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chartsheets/sheet3.xml" ContentType="application/vnd.openxmlformats-officedocument.spreadsheetml.chart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drawings/drawing10.xml" ContentType="application/vnd.openxmlformats-officedocument.drawing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13.xml" ContentType="application/vnd.openxmlformats-officedocument.drawing+xml"/>
  <Override PartName="/xl/charts/chart2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4.xml" ContentType="application/vnd.openxmlformats-officedocument.drawing+xml"/>
  <Override PartName="/xl/charts/chart3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3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3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5.xml" ContentType="application/vnd.openxmlformats-officedocument.drawing+xml"/>
  <Override PartName="/xl/charts/chart3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6.xml" ContentType="application/vnd.openxmlformats-officedocument.drawing+xml"/>
  <Override PartName="/xl/charts/chart3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7.xml" ContentType="application/vnd.openxmlformats-officedocument.drawing+xml"/>
  <Override PartName="/xl/charts/chart4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4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45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9.xml" ContentType="application/vnd.openxmlformats-officedocument.drawing+xml"/>
  <Override PartName="/xl/charts/chart4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4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0.xml" ContentType="application/vnd.openxmlformats-officedocument.drawing+xml"/>
  <Override PartName="/xl/charts/chart48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9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50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1.xml" ContentType="application/vnd.openxmlformats-officedocument.drawing+xml"/>
  <Override PartName="/xl/charts/chart51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52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53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2.xml" ContentType="application/vnd.openxmlformats-officedocument.drawing+xml"/>
  <Override PartName="/xl/charts/chart54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55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56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3.xml" ContentType="application/vnd.openxmlformats-officedocument.drawing+xml"/>
  <Override PartName="/xl/charts/chart57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58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9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ailuc-my.sharepoint.com/personal/marti2bc_mail_uc_edu/Documents/Old-School/Sem08_Spring 2025/AEEM 6092 Adv Aircraft Perf/Homeworks/"/>
    </mc:Choice>
  </mc:AlternateContent>
  <xr:revisionPtr revIDLastSave="2451" documentId="13_ncr:1_{057696EB-9E84-4B52-9A7A-2D6621D97A1E}" xr6:coauthVersionLast="47" xr6:coauthVersionMax="47" xr10:uidLastSave="{7E1CD2F1-2D40-4272-BFA4-65F631576F70}"/>
  <bookViews>
    <workbookView xWindow="-110" yWindow="-110" windowWidth="25820" windowHeight="13900" tabRatio="680" firstSheet="43" activeTab="46" xr2:uid="{00000000-000D-0000-FFFF-FFFF00000000}"/>
  </bookViews>
  <sheets>
    <sheet name="Aircraft Data" sheetId="29" r:id="rId1"/>
    <sheet name="Atmos" sheetId="8" r:id="rId2"/>
    <sheet name="1 - Atmosphere" sheetId="55" r:id="rId3"/>
    <sheet name="1 - Atmos Charts" sheetId="80" r:id="rId4"/>
    <sheet name="1 - ICET Data" sheetId="98" r:id="rId5"/>
    <sheet name="1 - ICET Charts" sheetId="81" r:id="rId6"/>
    <sheet name="2 - Aerodynamics" sheetId="56" r:id="rId7"/>
    <sheet name="2 - Drag Polar Plot" sheetId="100" r:id="rId8"/>
    <sheet name="3 - Propulsion" sheetId="57" r:id="rId9"/>
    <sheet name="3 - Data Charts" sheetId="82" r:id="rId10"/>
    <sheet name="4 - Dimensions" sheetId="59" r:id="rId11"/>
    <sheet name="6 - Numerical Methods" sheetId="58" r:id="rId12"/>
    <sheet name="7 - Flight Envelope Calc" sheetId="51" r:id="rId13"/>
    <sheet name="7 - Flight Envelope Chart" sheetId="52" r:id="rId14"/>
    <sheet name="7 - V-n Chart" sheetId="53" r:id="rId15"/>
    <sheet name="7 - nz vs Weight Chart" sheetId="83" r:id="rId16"/>
    <sheet name="8 - Energy Concepts" sheetId="73" r:id="rId17"/>
    <sheet name="9 - Maneuver - Corner Velocity" sheetId="70" r:id="rId18"/>
    <sheet name="9 - Maneuver - Sust g &amp; Fuel" sheetId="71" r:id="rId19"/>
    <sheet name="9 - Maneuver Diagram" sheetId="97" r:id="rId20"/>
    <sheet name="9 - Maneuver calcs" sheetId="94" r:id="rId21"/>
    <sheet name="10 - Cruise Summary" sheetId="78" r:id="rId22"/>
    <sheet name="10 - Cruise at SL" sheetId="67" r:id="rId23"/>
    <sheet name="10 - Cruise at 10k" sheetId="75" r:id="rId24"/>
    <sheet name="10 - Cruise at 20k" sheetId="76" r:id="rId25"/>
    <sheet name="10 - Cruise at 30k" sheetId="77" r:id="rId26"/>
    <sheet name="10 - Cruise at 40k" sheetId="74" r:id="rId27"/>
    <sheet name="10 - Cruise Plots" sheetId="101" r:id="rId28"/>
    <sheet name="11 - Climb Summary" sheetId="79" r:id="rId29"/>
    <sheet name="11 - Climb - Mil" sheetId="61" r:id="rId30"/>
    <sheet name="11 - Climb - Max" sheetId="62" r:id="rId31"/>
    <sheet name="11 - Climb RoC Calcs" sheetId="102" r:id="rId32"/>
    <sheet name="12 - Descent Summary" sheetId="87" r:id="rId33"/>
    <sheet name="12 - Descent" sheetId="86" r:id="rId34"/>
    <sheet name="12 - Descent Calcs" sheetId="103" r:id="rId35"/>
    <sheet name="13 - Ceilings - Mil" sheetId="63" r:id="rId36"/>
    <sheet name="13 - Ceilings - Max" sheetId="64" r:id="rId37"/>
    <sheet name="14 - Accel at 10k" sheetId="65" r:id="rId38"/>
    <sheet name="14 - Accel at 30k" sheetId="66" r:id="rId39"/>
    <sheet name="15 - Decel at 30k" sheetId="84" r:id="rId40"/>
    <sheet name="15 - Decel at 30k SPBK" sheetId="85" r:id="rId41"/>
    <sheet name="16 - Takeoff Summary" sheetId="89" r:id="rId42"/>
    <sheet name="16 - Takeoff" sheetId="60" r:id="rId43"/>
    <sheet name="17 - Takeoff Fuel" sheetId="88" r:id="rId44"/>
    <sheet name="18 - Landing Summary" sheetId="90" r:id="rId45"/>
    <sheet name="18 - Landing" sheetId="69" r:id="rId46"/>
    <sheet name="19 - Landing Reserves" sheetId="91" r:id="rId47"/>
    <sheet name="19 - Cruise at SL (2)" sheetId="104" r:id="rId48"/>
    <sheet name="19 - Cruise at 10k (2)" sheetId="105" r:id="rId49"/>
    <sheet name="Blank" sheetId="93" r:id="rId50"/>
    <sheet name="7 - Es Contours" sheetId="54" r:id="rId51"/>
    <sheet name="9 - R and g calculations" sheetId="95" r:id="rId52"/>
  </sheets>
  <functionGroups builtInGroupCount="19"/>
  <definedNames>
    <definedName name="_xleta.MAX" hidden="1" xlm="1">#NAME?</definedName>
    <definedName name="_xleta.MIN" hidden="1" xlm="1">#NAME?</definedName>
    <definedName name="_xleta.N" hidden="1" xlm="1">#NAME?</definedName>
    <definedName name="_xleta.RADIANS" hidden="1" xlm="1">#NAME?</definedName>
    <definedName name="_xleta.SIN" hidden="1" xlm="1">#NAME?</definedName>
    <definedName name="amlim">'Aircraft Data'!$C$8</definedName>
    <definedName name="AR" comment="Aspect Ratio">'Aircraft Data'!$C$4</definedName>
    <definedName name="atmos_aspeed" comment="[ft/s] Speed of Sound">Atmos!$M$4:$M$134</definedName>
    <definedName name="atmos_degC" comment="[deg. C] Temperature Range">Atmos!$D$4:$D$134</definedName>
    <definedName name="atmos_degF" comment="[deg. F] Temperature Range">Atmos!$B$4:$B$134</definedName>
    <definedName name="atmos_DR" comment="Density Ratio Range">Atmos!$I$4:$I$134</definedName>
    <definedName name="atmos_h" comment="[ft] Altitude Range">Atmos!$A$4:$A$134</definedName>
    <definedName name="atmos_P" comment="[lbf/sq ft] Pressure Range">Atmos!$G$4:$G$134</definedName>
    <definedName name="atmos_PR" comment="Pressure Ratio Range">Atmos!$F$4:$F$134</definedName>
    <definedName name="atmos_qms" comment="[lbf/ft^2] Dynamic Pressure / Mach Squared">Atmos!$K$4:$K$134</definedName>
    <definedName name="atmos_rho" comment="[slugs/ft^3] Density Range">Atmos!$H$4:$H$134</definedName>
    <definedName name="atmos_sqrtDR" comment="Squareroot of Density Ratio Range">Atmos!$J$4:$J$134</definedName>
    <definedName name="atmos_TR" comment="Temperature Ratio Range">Atmos!$E$4:$E$134</definedName>
    <definedName name="atmos_vela" comment="[NM/hr] Soeed of Sound">Atmos!$N$4:$N$134</definedName>
    <definedName name="b" comment="[ft] Wingspan">'Aircraft Data'!$C$3</definedName>
    <definedName name="BFDGW">'Aircraft Data'!$H$3</definedName>
    <definedName name="CD_CL" comment="Lift Coefficient Headers for Drag Coefficient Polar table">'Aircraft Data'!$C$20:$L$20</definedName>
    <definedName name="CD_M" comment="Mach row names for Drag Coefficient Polar table">'Aircraft Data'!$B$21:$B$47</definedName>
    <definedName name="CD_table" comment="Drag Coefficient values for drag polar across Mach numbers and lift coefficients">'Aircraft Data'!$C$21:$L$47</definedName>
    <definedName name="CLmax" comment="Max Lift Coefficient">'Aircraft Data'!$C$6</definedName>
    <definedName name="CLmaxLND">'Aircraft Data'!$C$13</definedName>
    <definedName name="CLmaxTO">'Aircraft Data'!$C$12</definedName>
    <definedName name="FFmax_h" comment="Altitude Range for Fuel Flow at Max AB power">'Aircraft Data'!$S$52:$AE$52</definedName>
    <definedName name="FFmax_M" comment="Mach Range for Fuel Flow at Max AB power">'Aircraft Data'!$R$53:$R$69</definedName>
    <definedName name="FFmax_table" comment="Data table for Fuel Flow at Max AB power">'Aircraft Data'!$S$53:$AE$69</definedName>
    <definedName name="FFmil_h" comment="Altitude Range for Fuel Flow at Military Thrust (Max non AB power)">'Aircraft Data'!$S$74:$AD$74</definedName>
    <definedName name="FFmil_M" comment="Mach Range for Fuel Flow at Military Thrust (Max non AB power)">'Aircraft Data'!$R$75:$R$85</definedName>
    <definedName name="FFmil_table" comment="Data table for Fuel Flow at Military Thrust (Max non AB power)">'Aircraft Data'!$S$75:$AE$85</definedName>
    <definedName name="FFnorm_h" comment="Altitude range for normal fuel flow per engine">'Aircraft Data'!$T$91:$AD$91</definedName>
    <definedName name="FFnorm_M" comment="Mach range for normal fuel flow per engine">'Aircraft Data'!$S$92:$S$102</definedName>
    <definedName name="FFnorm_PS" comment="Power Setting (PS) range for normal fuel flow per engine">'Aircraft Data'!$T$90:$Y$90</definedName>
    <definedName name="FFnorm_table" comment="Data table for normal fuel flow per engine (for altitude ranges, Power setting ranges, and mach numbers)">'Aircraft Data'!$T$92:$Y$212</definedName>
    <definedName name="glimit">'Aircraft Data'!$C$7</definedName>
    <definedName name="LND_alpha" comment="AoAs for alpha vs CL for landing">'18 - Landing'!$L$24:$L$35</definedName>
    <definedName name="LND_CD_cl" comment="CDs for CL vs CD for landing">'18 - Landing'!$P$24:$P$36</definedName>
    <definedName name="LND_CL_a" comment="CLs for alpha vs CL for landing">'18 - Landing'!$M$24:$M$35</definedName>
    <definedName name="LND_CL_cd" comment="CLs for CL vs CD for landing">'18 - Landing'!$O$24:$O$36</definedName>
    <definedName name="maxalt">'Aircraft Data'!$C$11</definedName>
    <definedName name="maxKEAS">'Aircraft Data'!$C$9</definedName>
    <definedName name="maxq">'Aircraft Data'!$C$10</definedName>
    <definedName name="n_FE">'7 - Flight Envelope Calc'!$D$6</definedName>
    <definedName name="numeng" comment="Number of Engines">'Aircraft Data'!$C$5</definedName>
    <definedName name="NZW">'Aircraft Data'!$H$2</definedName>
    <definedName name="S" comment="[sq ft] Reference Wing Area">'Aircraft Data'!$C$2</definedName>
    <definedName name="Tmax_h" comment="Altitude Range for Max Afterburner thrust (AB)">'Aircraft Data'!$C$52:$O$52</definedName>
    <definedName name="Tmax_M" comment="Mach Range for Max Afterburner thrust (AB)">'Aircraft Data'!$B$53:$B$69</definedName>
    <definedName name="Tmax_table" comment="Data Table for Max Afterburner thrust (AB)">'Aircraft Data'!$C$53:$O$69</definedName>
    <definedName name="Tmil_h" comment="Altitude Range for Military Thrust (Max thrust with no AB)">'Aircraft Data'!$C$74:$O$74</definedName>
    <definedName name="Tmil_M" comment="Mach Range for Military Thrust (Max thrust with no AB)">'Aircraft Data'!$B$75:$B$85</definedName>
    <definedName name="Tmil_table" comment="Data Table for Military Thrust (Max thrust with no AB)">'Aircraft Data'!$C$75:$O$85</definedName>
    <definedName name="Tnorm_h" comment="Altitude Range forNormal Power Thrust per engine">'Aircraft Data'!$C$90:$M$90</definedName>
    <definedName name="Tnorm_M" comment="Mach Range for Normal Power Thrust per engine">'Aircraft Data'!$B$91:$B$101</definedName>
    <definedName name="Tnorm_table" comment="Data table for Normal Power Thrust per engine">'Aircraft Data'!$C$91:$M$101</definedName>
    <definedName name="TO_alpha" comment="Angle of attack vs CL with TO flaps">'16 - Takeoff'!$M$64:$M$78</definedName>
    <definedName name="TO_CD_cl" comment="The CD column for the CL vs CD table for TO with flaps">'16 - Takeoff'!$Q$64:$Q$78</definedName>
    <definedName name="TO_CL_a" comment="CL from angle of attack for TO with flaps">'16 - Takeoff'!$N$64:$N$78</definedName>
    <definedName name="TO_CL_cd" comment="The CL column for the CL vs CD table for TO with flaps">'16 - Takeoff'!$P$64:$P$78</definedName>
    <definedName name="W_8">'8 - Energy Concepts'!$E$3</definedName>
    <definedName name="W_FE">'7 - Flight Envelope Calc'!$D$5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0" i="91" l="1"/>
  <c r="G11" i="91"/>
  <c r="G12" i="91"/>
  <c r="G9" i="91"/>
  <c r="G8" i="91"/>
  <c r="P50" i="60"/>
  <c r="P48" i="60"/>
  <c r="P47" i="60"/>
  <c r="P46" i="60"/>
  <c r="P45" i="60"/>
  <c r="F50" i="60"/>
  <c r="F46" i="60"/>
  <c r="F47" i="60"/>
  <c r="F48" i="60"/>
  <c r="F45" i="60"/>
  <c r="L10" i="65"/>
  <c r="L9" i="65"/>
  <c r="L10" i="66"/>
  <c r="L9" i="66"/>
  <c r="R9" i="86"/>
  <c r="D31" i="93"/>
  <c r="B76" i="93"/>
  <c r="B75" i="93"/>
  <c r="B73" i="93"/>
  <c r="D71" i="93"/>
  <c r="B44" i="93"/>
  <c r="B27" i="93"/>
  <c r="B11" i="105"/>
  <c r="B3" i="93" a="1"/>
  <c r="D56" i="93" a="1"/>
  <c r="I11" i="104"/>
  <c r="H11" i="104"/>
  <c r="D32" i="93" a="1"/>
  <c r="D48" i="93" a="1"/>
  <c r="B15" i="93" a="1"/>
  <c r="D49" i="93" a="1"/>
  <c r="F125" i="76" a="1"/>
  <c r="F124" i="76" a="1"/>
  <c r="F131" i="76" a="1"/>
  <c r="F125" i="76" l="1"/>
  <c r="F124" i="76"/>
  <c r="F131" i="76"/>
  <c r="D49" i="93"/>
  <c r="B53" i="93" s="1"/>
  <c r="D48" i="93"/>
  <c r="B3" i="93"/>
  <c r="E3" i="93" s="1"/>
  <c r="D56" i="93"/>
  <c r="B64" i="93" s="1"/>
  <c r="D32" i="93"/>
  <c r="B36" i="93" s="1"/>
  <c r="B15" i="93"/>
  <c r="B17" i="93" s="1"/>
  <c r="B18" i="93" s="1"/>
  <c r="B12" i="104"/>
  <c r="B13" i="104"/>
  <c r="B12" i="105"/>
  <c r="B13" i="105" s="1"/>
  <c r="B14" i="105" s="1"/>
  <c r="B15" i="105" s="1"/>
  <c r="B16" i="105" s="1"/>
  <c r="B17" i="105" s="1"/>
  <c r="B18" i="105" s="1"/>
  <c r="B19" i="105" s="1"/>
  <c r="B20" i="105" s="1"/>
  <c r="B21" i="105" s="1"/>
  <c r="B22" i="105" s="1"/>
  <c r="B23" i="105" s="1"/>
  <c r="B24" i="105" s="1"/>
  <c r="B25" i="105" s="1"/>
  <c r="B26" i="105" s="1"/>
  <c r="B27" i="105" s="1"/>
  <c r="B28" i="105" s="1"/>
  <c r="B29" i="105" s="1"/>
  <c r="B30" i="105" s="1"/>
  <c r="B31" i="105" s="1"/>
  <c r="B32" i="105" s="1"/>
  <c r="B33" i="105" s="1"/>
  <c r="B34" i="105" s="1"/>
  <c r="B35" i="105" s="1"/>
  <c r="B36" i="105" s="1"/>
  <c r="B37" i="105" s="1"/>
  <c r="B38" i="105" s="1"/>
  <c r="B39" i="105" s="1"/>
  <c r="B40" i="105" s="1"/>
  <c r="B41" i="105" s="1"/>
  <c r="B42" i="105" s="1"/>
  <c r="B43" i="105" s="1"/>
  <c r="B44" i="105" s="1"/>
  <c r="B45" i="105" s="1"/>
  <c r="B46" i="105" s="1"/>
  <c r="B47" i="105" s="1"/>
  <c r="B48" i="105" s="1"/>
  <c r="B49" i="105" s="1"/>
  <c r="B50" i="105" s="1"/>
  <c r="B51" i="105" s="1"/>
  <c r="B52" i="105" s="1"/>
  <c r="B53" i="105" s="1"/>
  <c r="B54" i="105" s="1"/>
  <c r="B55" i="105" s="1"/>
  <c r="B56" i="105" s="1"/>
  <c r="B57" i="105" s="1"/>
  <c r="B58" i="105" s="1"/>
  <c r="B59" i="105" s="1"/>
  <c r="B60" i="105" s="1"/>
  <c r="B61" i="105" s="1"/>
  <c r="B62" i="105" s="1"/>
  <c r="B63" i="105" s="1"/>
  <c r="B64" i="105" s="1"/>
  <c r="B65" i="105" s="1"/>
  <c r="B66" i="105" s="1"/>
  <c r="B67" i="105" s="1"/>
  <c r="B68" i="105" s="1"/>
  <c r="B69" i="105" s="1"/>
  <c r="B70" i="105" s="1"/>
  <c r="B71" i="105" s="1"/>
  <c r="B72" i="105" s="1"/>
  <c r="B73" i="105" s="1"/>
  <c r="B74" i="105" s="1"/>
  <c r="B75" i="105" s="1"/>
  <c r="B76" i="105" s="1"/>
  <c r="B77" i="105" s="1"/>
  <c r="B78" i="105" s="1"/>
  <c r="B79" i="105" s="1"/>
  <c r="B80" i="105" s="1"/>
  <c r="B81" i="105" s="1"/>
  <c r="B82" i="105" s="1"/>
  <c r="B14" i="104"/>
  <c r="B15" i="104" s="1"/>
  <c r="B16" i="104" s="1"/>
  <c r="B17" i="104" s="1"/>
  <c r="B18" i="104" s="1"/>
  <c r="B19" i="104" s="1"/>
  <c r="B20" i="104" s="1"/>
  <c r="B21" i="104" s="1"/>
  <c r="B22" i="104" s="1"/>
  <c r="B23" i="104" s="1"/>
  <c r="B24" i="104" s="1"/>
  <c r="B25" i="104" s="1"/>
  <c r="B26" i="104" s="1"/>
  <c r="B27" i="104" s="1"/>
  <c r="B28" i="104" s="1"/>
  <c r="B29" i="104" s="1"/>
  <c r="B30" i="104" s="1"/>
  <c r="B31" i="104" s="1"/>
  <c r="B32" i="104" s="1"/>
  <c r="B33" i="104" s="1"/>
  <c r="B34" i="104" s="1"/>
  <c r="B35" i="104" s="1"/>
  <c r="B36" i="104" s="1"/>
  <c r="B37" i="104" s="1"/>
  <c r="B38" i="104" s="1"/>
  <c r="B39" i="104" s="1"/>
  <c r="B40" i="104" s="1"/>
  <c r="B41" i="104" s="1"/>
  <c r="B42" i="104" s="1"/>
  <c r="B43" i="104" s="1"/>
  <c r="B44" i="104" s="1"/>
  <c r="B45" i="104" s="1"/>
  <c r="B46" i="104" s="1"/>
  <c r="B47" i="104" s="1"/>
  <c r="B48" i="104" s="1"/>
  <c r="B49" i="104" s="1"/>
  <c r="B50" i="104" s="1"/>
  <c r="B51" i="104" s="1"/>
  <c r="B52" i="104" s="1"/>
  <c r="B53" i="104" s="1"/>
  <c r="B54" i="104" s="1"/>
  <c r="B55" i="104" s="1"/>
  <c r="B56" i="104" s="1"/>
  <c r="B57" i="104" s="1"/>
  <c r="B58" i="104" s="1"/>
  <c r="B59" i="104" s="1"/>
  <c r="B60" i="104" s="1"/>
  <c r="B61" i="104" s="1"/>
  <c r="B62" i="104" s="1"/>
  <c r="B63" i="104" s="1"/>
  <c r="B64" i="104" s="1"/>
  <c r="B65" i="104" s="1"/>
  <c r="B66" i="104" s="1"/>
  <c r="B67" i="104" s="1"/>
  <c r="B68" i="104" s="1"/>
  <c r="B69" i="104" s="1"/>
  <c r="B70" i="104" s="1"/>
  <c r="B71" i="104" s="1"/>
  <c r="B72" i="104" s="1"/>
  <c r="B73" i="104" s="1"/>
  <c r="B74" i="104" s="1"/>
  <c r="B75" i="104" s="1"/>
  <c r="B76" i="104" s="1"/>
  <c r="B77" i="104" s="1"/>
  <c r="B78" i="104" s="1"/>
  <c r="B79" i="104" s="1"/>
  <c r="B80" i="104" s="1"/>
  <c r="B81" i="104" s="1"/>
  <c r="B82" i="104" s="1"/>
  <c r="B83" i="104" s="1"/>
  <c r="E10" i="91"/>
  <c r="E11" i="91"/>
  <c r="E12" i="91"/>
  <c r="E13" i="91"/>
  <c r="E9" i="91"/>
  <c r="AX5" i="69"/>
  <c r="AG5" i="69"/>
  <c r="J16" i="88"/>
  <c r="M55" i="60"/>
  <c r="C55" i="60"/>
  <c r="M25" i="60"/>
  <c r="C25" i="60"/>
  <c r="AP73" i="60"/>
  <c r="AO73" i="60"/>
  <c r="AN73" i="60"/>
  <c r="AJ73" i="60"/>
  <c r="AI73" i="60"/>
  <c r="AH73" i="60"/>
  <c r="AP3" i="60"/>
  <c r="AO3" i="60"/>
  <c r="AN3" i="60"/>
  <c r="AJ3" i="60"/>
  <c r="AI3" i="60"/>
  <c r="AH3" i="60"/>
  <c r="H78" i="105"/>
  <c r="H50" i="105"/>
  <c r="I61" i="105"/>
  <c r="H69" i="105"/>
  <c r="I48" i="105"/>
  <c r="I39" i="105"/>
  <c r="H40" i="105"/>
  <c r="I18" i="105"/>
  <c r="H14" i="105"/>
  <c r="I83" i="104"/>
  <c r="I51" i="104"/>
  <c r="I77" i="104"/>
  <c r="I57" i="104"/>
  <c r="H41" i="104"/>
  <c r="H35" i="104"/>
  <c r="H31" i="104"/>
  <c r="H17" i="104"/>
  <c r="I22" i="104"/>
  <c r="I15" i="104"/>
  <c r="M9" i="88" a="1"/>
  <c r="Z20" i="69" a="1"/>
  <c r="AQ53" i="69" a="1"/>
  <c r="Z112" i="60" a="1"/>
  <c r="Z56" i="69" a="1"/>
  <c r="Z52" i="69" a="1"/>
  <c r="AQ47" i="69" a="1"/>
  <c r="Z98" i="60" a="1"/>
  <c r="Z28" i="69" a="1"/>
  <c r="Z51" i="69" a="1"/>
  <c r="Z58" i="69" a="1"/>
  <c r="Z26" i="69" a="1"/>
  <c r="H67" i="104"/>
  <c r="I19" i="104"/>
  <c r="Z67" i="69" a="1"/>
  <c r="I66" i="104"/>
  <c r="AQ23" i="69" a="1"/>
  <c r="I71" i="105"/>
  <c r="I81" i="105"/>
  <c r="H60" i="105"/>
  <c r="I65" i="105"/>
  <c r="H45" i="105"/>
  <c r="H38" i="105"/>
  <c r="I33" i="105"/>
  <c r="H16" i="105"/>
  <c r="I34" i="105"/>
  <c r="H82" i="104"/>
  <c r="I82" i="104"/>
  <c r="H76" i="104"/>
  <c r="H56" i="104"/>
  <c r="I34" i="104"/>
  <c r="I28" i="104"/>
  <c r="I24" i="104"/>
  <c r="H38" i="104"/>
  <c r="H21" i="104"/>
  <c r="Z104" i="60" a="1"/>
  <c r="AQ52" i="69" a="1"/>
  <c r="AQ67" i="69" a="1"/>
  <c r="AQ20" i="69" a="1"/>
  <c r="Z90" i="60" a="1"/>
  <c r="Z97" i="60" a="1"/>
  <c r="Z54" i="69" a="1"/>
  <c r="AQ57" i="69" a="1"/>
  <c r="AQ50" i="69" a="1"/>
  <c r="Z42" i="69" a="1"/>
  <c r="Z101" i="60" a="1"/>
  <c r="AQ66" i="69" a="1"/>
  <c r="I72" i="105"/>
  <c r="I29" i="105"/>
  <c r="H24" i="105"/>
  <c r="H6" i="105"/>
  <c r="I62" i="104"/>
  <c r="H25" i="104"/>
  <c r="H6" i="104"/>
  <c r="H22" i="104"/>
  <c r="AN67" i="69" a="1"/>
  <c r="Z91" i="60" a="1"/>
  <c r="Z48" i="69" a="1"/>
  <c r="I41" i="104"/>
  <c r="Z75" i="60" a="1"/>
  <c r="AQ40" i="69" a="1"/>
  <c r="H70" i="105"/>
  <c r="I77" i="105"/>
  <c r="I53" i="105"/>
  <c r="H64" i="105"/>
  <c r="I37" i="105"/>
  <c r="I31" i="105"/>
  <c r="H32" i="105"/>
  <c r="I12" i="105"/>
  <c r="I17" i="105"/>
  <c r="I75" i="104"/>
  <c r="H75" i="104"/>
  <c r="I70" i="104"/>
  <c r="I72" i="104"/>
  <c r="H33" i="104"/>
  <c r="H71" i="104"/>
  <c r="I16" i="104"/>
  <c r="H30" i="104"/>
  <c r="I14" i="104"/>
  <c r="Z99" i="60" a="1"/>
  <c r="AQ59" i="69" a="1"/>
  <c r="Z23" i="69" a="1"/>
  <c r="Z41" i="69" a="1"/>
  <c r="Z100" i="60" a="1"/>
  <c r="H71" i="105"/>
  <c r="H17" i="105"/>
  <c r="I49" i="104"/>
  <c r="Z96" i="60" a="1"/>
  <c r="Z106" i="60" a="1"/>
  <c r="H47" i="105"/>
  <c r="I39" i="104"/>
  <c r="I73" i="105"/>
  <c r="I75" i="105"/>
  <c r="H52" i="105"/>
  <c r="I57" i="105"/>
  <c r="H36" i="105"/>
  <c r="H30" i="105"/>
  <c r="I25" i="105"/>
  <c r="H11" i="105"/>
  <c r="H15" i="105"/>
  <c r="H74" i="104"/>
  <c r="I68" i="104"/>
  <c r="H69" i="104"/>
  <c r="H55" i="104"/>
  <c r="I26" i="104"/>
  <c r="H51" i="104"/>
  <c r="H15" i="104"/>
  <c r="H27" i="104"/>
  <c r="H13" i="104"/>
  <c r="Z110" i="60" a="1"/>
  <c r="AQ34" i="69" a="1"/>
  <c r="Z115" i="60" a="1"/>
  <c r="Z44" i="69" a="1"/>
  <c r="J19" i="88" a="1"/>
  <c r="Z121" i="60" a="1"/>
  <c r="Z38" i="69" a="1"/>
  <c r="AQ22" i="69" a="1"/>
  <c r="Z83" i="60" a="1"/>
  <c r="Z65" i="69" a="1"/>
  <c r="I66" i="105"/>
  <c r="H56" i="105"/>
  <c r="I23" i="105"/>
  <c r="I74" i="104"/>
  <c r="I45" i="104"/>
  <c r="AQ30" i="69" a="1"/>
  <c r="AQ24" i="69" a="1"/>
  <c r="Z119" i="60" a="1"/>
  <c r="H59" i="104"/>
  <c r="I23" i="104"/>
  <c r="Z46" i="69" a="1"/>
  <c r="AQ36" i="69" a="1"/>
  <c r="I37" i="104"/>
  <c r="H65" i="105"/>
  <c r="I68" i="105"/>
  <c r="I62" i="105"/>
  <c r="I49" i="105"/>
  <c r="H28" i="105"/>
  <c r="H22" i="105"/>
  <c r="I78" i="105"/>
  <c r="H25" i="105"/>
  <c r="I42" i="105"/>
  <c r="I73" i="104"/>
  <c r="I60" i="104"/>
  <c r="H61" i="104"/>
  <c r="H48" i="104"/>
  <c r="H63" i="104"/>
  <c r="H44" i="104"/>
  <c r="H37" i="104"/>
  <c r="H18" i="104"/>
  <c r="H7" i="104"/>
  <c r="Z111" i="60" a="1"/>
  <c r="AQ21" i="69" a="1"/>
  <c r="Z32" i="69" a="1"/>
  <c r="Z40" i="69" a="1"/>
  <c r="AQ43" i="69" a="1"/>
  <c r="Z116" i="60" a="1"/>
  <c r="Z77" i="60" a="1"/>
  <c r="AQ18" i="69" a="1"/>
  <c r="Z82" i="60" a="1"/>
  <c r="Z94" i="60" a="1"/>
  <c r="I58" i="105"/>
  <c r="H67" i="105"/>
  <c r="H61" i="105"/>
  <c r="H48" i="105"/>
  <c r="I21" i="105"/>
  <c r="H76" i="105"/>
  <c r="H46" i="105"/>
  <c r="H18" i="105"/>
  <c r="H80" i="104"/>
  <c r="H53" i="104"/>
  <c r="Z81" i="60" a="1"/>
  <c r="I80" i="105"/>
  <c r="H57" i="105"/>
  <c r="I60" i="105"/>
  <c r="I54" i="105"/>
  <c r="I69" i="105"/>
  <c r="H20" i="105"/>
  <c r="H55" i="105"/>
  <c r="H42" i="105"/>
  <c r="I13" i="105"/>
  <c r="I16" i="105"/>
  <c r="H65" i="104"/>
  <c r="I81" i="104"/>
  <c r="I71" i="104"/>
  <c r="H40" i="104"/>
  <c r="H50" i="104"/>
  <c r="H36" i="104"/>
  <c r="I17" i="104"/>
  <c r="I20" i="104"/>
  <c r="Z76" i="60" a="1"/>
  <c r="Z74" i="60" a="1"/>
  <c r="Z39" i="69" a="1"/>
  <c r="Z92" i="60" a="1"/>
  <c r="Z17" i="69" a="1"/>
  <c r="AQ19" i="69" a="1"/>
  <c r="AQ65" i="69" a="1"/>
  <c r="Z55" i="69" a="1"/>
  <c r="Z24" i="69" a="1"/>
  <c r="AQ60" i="69" a="1"/>
  <c r="AQ49" i="69" a="1"/>
  <c r="H39" i="104"/>
  <c r="Z34" i="69" a="1"/>
  <c r="H74" i="105"/>
  <c r="I32" i="104"/>
  <c r="Z43" i="69" a="1"/>
  <c r="Z35" i="69" a="1"/>
  <c r="Z80" i="60" a="1"/>
  <c r="H79" i="105"/>
  <c r="I50" i="105"/>
  <c r="H59" i="105"/>
  <c r="H53" i="105"/>
  <c r="I56" i="105"/>
  <c r="I64" i="105"/>
  <c r="I40" i="105"/>
  <c r="I35" i="105"/>
  <c r="H12" i="105"/>
  <c r="I11" i="105"/>
  <c r="I58" i="104"/>
  <c r="I76" i="104"/>
  <c r="H70" i="104"/>
  <c r="I33" i="104"/>
  <c r="I43" i="104"/>
  <c r="I46" i="104"/>
  <c r="H16" i="104"/>
  <c r="H19" i="104"/>
  <c r="Z103" i="60" a="1"/>
  <c r="AQ63" i="69" a="1"/>
  <c r="Z62" i="69" a="1"/>
  <c r="Z73" i="60" a="1"/>
  <c r="Z53" i="69" a="1"/>
  <c r="AQ37" i="69" a="1"/>
  <c r="AQ35" i="69" a="1"/>
  <c r="AQ41" i="69" a="1"/>
  <c r="Z27" i="69" a="1"/>
  <c r="AQ54" i="69" a="1"/>
  <c r="AQ56" i="69" a="1"/>
  <c r="Z95" i="60" a="1"/>
  <c r="Z21" i="69" a="1"/>
  <c r="H72" i="105"/>
  <c r="I65" i="104"/>
  <c r="Z123" i="60" a="1"/>
  <c r="I79" i="105"/>
  <c r="H81" i="104"/>
  <c r="Z22" i="69" a="1"/>
  <c r="I82" i="105"/>
  <c r="H49" i="105"/>
  <c r="I52" i="105"/>
  <c r="I70" i="105"/>
  <c r="I45" i="105"/>
  <c r="H44" i="105"/>
  <c r="H39" i="105"/>
  <c r="H34" i="105"/>
  <c r="H5" i="105"/>
  <c r="H7" i="105"/>
  <c r="H57" i="104"/>
  <c r="I69" i="104"/>
  <c r="I63" i="104"/>
  <c r="H32" i="104"/>
  <c r="H42" i="104"/>
  <c r="H45" i="104"/>
  <c r="I47" i="104"/>
  <c r="I64" i="104"/>
  <c r="Z114" i="60" a="1"/>
  <c r="I31" i="104"/>
  <c r="Z50" i="69" a="1"/>
  <c r="Z109" i="60" a="1"/>
  <c r="Z64" i="69" a="1"/>
  <c r="AQ17" i="69" a="1"/>
  <c r="AQ25" i="69" a="1"/>
  <c r="Z29" i="69" a="1"/>
  <c r="Z25" i="69" a="1"/>
  <c r="AQ42" i="69" a="1"/>
  <c r="Z59" i="69" a="1"/>
  <c r="Z37" i="69" a="1"/>
  <c r="Z89" i="60" a="1"/>
  <c r="AQ38" i="69" a="1"/>
  <c r="Z31" i="69" a="1"/>
  <c r="AQ45" i="69" a="1"/>
  <c r="H58" i="105"/>
  <c r="H49" i="104"/>
  <c r="H5" i="104" a="1"/>
  <c r="Z113" i="60" a="1"/>
  <c r="Z47" i="69" a="1"/>
  <c r="H68" i="105"/>
  <c r="I41" i="105"/>
  <c r="I80" i="104"/>
  <c r="H12" i="104"/>
  <c r="H81" i="105"/>
  <c r="H82" i="105"/>
  <c r="H51" i="105"/>
  <c r="I63" i="105"/>
  <c r="I36" i="105"/>
  <c r="I38" i="105"/>
  <c r="I32" i="105"/>
  <c r="I27" i="105"/>
  <c r="I46" i="105"/>
  <c r="H83" i="104"/>
  <c r="H79" i="104"/>
  <c r="H68" i="104"/>
  <c r="H62" i="104"/>
  <c r="I25" i="104"/>
  <c r="I35" i="104"/>
  <c r="I56" i="104"/>
  <c r="I38" i="104"/>
  <c r="H26" i="104"/>
  <c r="Z79" i="60" a="1"/>
  <c r="H14" i="104"/>
  <c r="Z18" i="69" a="1"/>
  <c r="H33" i="105"/>
  <c r="Z102" i="60" a="1"/>
  <c r="I43" i="105"/>
  <c r="I36" i="104"/>
  <c r="I18" i="104"/>
  <c r="H29" i="104"/>
  <c r="AQ32" i="69" a="1"/>
  <c r="AQ28" i="69" a="1"/>
  <c r="I12" i="104"/>
  <c r="I74" i="105"/>
  <c r="I67" i="105"/>
  <c r="I44" i="105"/>
  <c r="H62" i="105"/>
  <c r="H35" i="105"/>
  <c r="H37" i="105"/>
  <c r="H31" i="105"/>
  <c r="H26" i="105"/>
  <c r="H41" i="105"/>
  <c r="I78" i="104"/>
  <c r="H73" i="104"/>
  <c r="I61" i="104"/>
  <c r="I55" i="104"/>
  <c r="H24" i="104"/>
  <c r="H34" i="104"/>
  <c r="I48" i="104"/>
  <c r="I30" i="104"/>
  <c r="I21" i="104"/>
  <c r="Z93" i="60" a="1"/>
  <c r="Z120" i="60" a="1"/>
  <c r="Z60" i="69" a="1"/>
  <c r="M25" i="88" a="1"/>
  <c r="AQ48" i="69" a="1"/>
  <c r="Z66" i="69" a="1"/>
  <c r="AQ26" i="69" a="1"/>
  <c r="Z122" i="60" a="1"/>
  <c r="Z45" i="69" a="1"/>
  <c r="AQ29" i="69" a="1"/>
  <c r="AQ44" i="69" a="1"/>
  <c r="AQ62" i="69" a="1"/>
  <c r="AQ39" i="69" a="1"/>
  <c r="Z85" i="60" a="1"/>
  <c r="AQ33" i="69" a="1"/>
  <c r="H75" i="105"/>
  <c r="I22" i="105"/>
  <c r="H78" i="104"/>
  <c r="H43" i="104"/>
  <c r="H46" i="104"/>
  <c r="Z57" i="69" a="1"/>
  <c r="Z118" i="60" a="1"/>
  <c r="H19" i="105"/>
  <c r="H21" i="105"/>
  <c r="H58" i="104"/>
  <c r="Z117" i="60" a="1"/>
  <c r="Z88" i="60" a="1"/>
  <c r="AQ58" i="69" a="1"/>
  <c r="H73" i="105"/>
  <c r="H66" i="105"/>
  <c r="H43" i="105"/>
  <c r="I55" i="105"/>
  <c r="I28" i="105"/>
  <c r="I30" i="105"/>
  <c r="I24" i="105"/>
  <c r="I19" i="105"/>
  <c r="I26" i="105"/>
  <c r="H77" i="104"/>
  <c r="I67" i="104"/>
  <c r="H60" i="104"/>
  <c r="H54" i="104"/>
  <c r="I54" i="104"/>
  <c r="I52" i="104"/>
  <c r="H47" i="104"/>
  <c r="H28" i="104"/>
  <c r="H20" i="104"/>
  <c r="M12" i="88" a="1"/>
  <c r="Z108" i="60" a="1"/>
  <c r="Z61" i="69" a="1"/>
  <c r="AQ61" i="69" a="1"/>
  <c r="W67" i="69" a="1"/>
  <c r="H80" i="105"/>
  <c r="I47" i="105"/>
  <c r="H13" i="105"/>
  <c r="H52" i="104"/>
  <c r="I15" i="105"/>
  <c r="I42" i="104"/>
  <c r="I29" i="104"/>
  <c r="Z107" i="60" a="1"/>
  <c r="AQ27" i="69" a="1"/>
  <c r="Z63" i="69" a="1"/>
  <c r="AQ55" i="69" a="1"/>
  <c r="Z84" i="60" a="1"/>
  <c r="I76" i="105"/>
  <c r="I59" i="105"/>
  <c r="H77" i="105"/>
  <c r="H54" i="105"/>
  <c r="H27" i="105"/>
  <c r="H29" i="105"/>
  <c r="H23" i="105"/>
  <c r="H63" i="105"/>
  <c r="I14" i="105"/>
  <c r="I79" i="104"/>
  <c r="H66" i="104"/>
  <c r="I53" i="104"/>
  <c r="H72" i="104"/>
  <c r="I50" i="104"/>
  <c r="I44" i="104"/>
  <c r="I40" i="104"/>
  <c r="I27" i="104"/>
  <c r="I13" i="104"/>
  <c r="AQ31" i="69" a="1"/>
  <c r="Z87" i="60" a="1"/>
  <c r="Z30" i="69" a="1"/>
  <c r="AQ51" i="69" a="1"/>
  <c r="Z49" i="69" a="1"/>
  <c r="Z33" i="69" a="1"/>
  <c r="Z19" i="69" a="1"/>
  <c r="Z105" i="60" a="1"/>
  <c r="Z78" i="60" a="1"/>
  <c r="Z36" i="69" a="1"/>
  <c r="I20" i="105"/>
  <c r="I59" i="104"/>
  <c r="H23" i="104"/>
  <c r="AQ64" i="69" a="1"/>
  <c r="AQ46" i="69" a="1"/>
  <c r="I51" i="105"/>
  <c r="H64" i="104"/>
  <c r="Z86" i="60" a="1"/>
  <c r="D11" i="104" l="1"/>
  <c r="D12" i="104"/>
  <c r="E76" i="105"/>
  <c r="E78" i="105"/>
  <c r="E70" i="105"/>
  <c r="E80" i="105"/>
  <c r="E75" i="105"/>
  <c r="E62" i="105"/>
  <c r="E54" i="105"/>
  <c r="E69" i="105"/>
  <c r="E63" i="105"/>
  <c r="E55" i="105"/>
  <c r="E82" i="105"/>
  <c r="E74" i="105"/>
  <c r="E64" i="105"/>
  <c r="E56" i="105"/>
  <c r="E48" i="105"/>
  <c r="E73" i="105"/>
  <c r="E65" i="105"/>
  <c r="E57" i="105"/>
  <c r="E49" i="105"/>
  <c r="E81" i="105"/>
  <c r="E79" i="105"/>
  <c r="E77" i="105"/>
  <c r="E66" i="105"/>
  <c r="E58" i="105"/>
  <c r="E50" i="105"/>
  <c r="E72" i="105"/>
  <c r="E67" i="105"/>
  <c r="E59" i="105"/>
  <c r="E61" i="105"/>
  <c r="E53" i="105"/>
  <c r="E45" i="105"/>
  <c r="E52" i="105"/>
  <c r="E47" i="105"/>
  <c r="E40" i="105"/>
  <c r="E32" i="105"/>
  <c r="E24" i="105"/>
  <c r="E16" i="105"/>
  <c r="E46" i="105"/>
  <c r="E41" i="105"/>
  <c r="E33" i="105"/>
  <c r="E25" i="105"/>
  <c r="E60" i="105"/>
  <c r="E42" i="105"/>
  <c r="E34" i="105"/>
  <c r="E26" i="105"/>
  <c r="E71" i="105"/>
  <c r="E35" i="105"/>
  <c r="E27" i="105"/>
  <c r="E19" i="105"/>
  <c r="E68" i="105"/>
  <c r="E36" i="105"/>
  <c r="E28" i="105"/>
  <c r="E20" i="105"/>
  <c r="E51" i="105"/>
  <c r="E44" i="105"/>
  <c r="E37" i="105"/>
  <c r="E29" i="105"/>
  <c r="E21" i="105"/>
  <c r="E39" i="105"/>
  <c r="E31" i="105"/>
  <c r="E23" i="105"/>
  <c r="E22" i="105"/>
  <c r="E18" i="105"/>
  <c r="E11" i="105"/>
  <c r="E14" i="105"/>
  <c r="E43" i="105"/>
  <c r="E30" i="105"/>
  <c r="E12" i="105"/>
  <c r="E13" i="105"/>
  <c r="E17" i="105"/>
  <c r="E15" i="105"/>
  <c r="E38" i="105"/>
  <c r="D75" i="105"/>
  <c r="D77" i="105"/>
  <c r="D69" i="105"/>
  <c r="D79" i="105"/>
  <c r="D82" i="105"/>
  <c r="D74" i="105"/>
  <c r="D78" i="105"/>
  <c r="D76" i="105"/>
  <c r="D70" i="105"/>
  <c r="D61" i="105"/>
  <c r="D53" i="105"/>
  <c r="D80" i="105"/>
  <c r="D62" i="105"/>
  <c r="D54" i="105"/>
  <c r="D63" i="105"/>
  <c r="D55" i="105"/>
  <c r="D47" i="105"/>
  <c r="D64" i="105"/>
  <c r="D56" i="105"/>
  <c r="D48" i="105"/>
  <c r="D73" i="105"/>
  <c r="D65" i="105"/>
  <c r="D57" i="105"/>
  <c r="D49" i="105"/>
  <c r="D81" i="105"/>
  <c r="D66" i="105"/>
  <c r="D58" i="105"/>
  <c r="D71" i="105"/>
  <c r="D68" i="105"/>
  <c r="D60" i="105"/>
  <c r="D52" i="105"/>
  <c r="D44" i="105"/>
  <c r="D72" i="105"/>
  <c r="D67" i="105"/>
  <c r="D39" i="105"/>
  <c r="D31" i="105"/>
  <c r="D23" i="105"/>
  <c r="D40" i="105"/>
  <c r="D32" i="105"/>
  <c r="D24" i="105"/>
  <c r="D46" i="105"/>
  <c r="D41" i="105"/>
  <c r="D33" i="105"/>
  <c r="D25" i="105"/>
  <c r="D42" i="105"/>
  <c r="D34" i="105"/>
  <c r="D26" i="105"/>
  <c r="D18" i="105"/>
  <c r="D50" i="105"/>
  <c r="D45" i="105"/>
  <c r="D35" i="105"/>
  <c r="D27" i="105"/>
  <c r="D19" i="105"/>
  <c r="D36" i="105"/>
  <c r="D28" i="105"/>
  <c r="D20" i="105"/>
  <c r="D43" i="105"/>
  <c r="D38" i="105"/>
  <c r="D30" i="105"/>
  <c r="D22" i="105"/>
  <c r="D29" i="105"/>
  <c r="D17" i="105"/>
  <c r="D15" i="105"/>
  <c r="D21" i="105"/>
  <c r="D37" i="105"/>
  <c r="D16" i="105"/>
  <c r="D13" i="105"/>
  <c r="D11" i="105"/>
  <c r="D12" i="105"/>
  <c r="D59" i="105"/>
  <c r="D51" i="105"/>
  <c r="D14" i="105"/>
  <c r="H5" i="104"/>
  <c r="D79" i="104"/>
  <c r="D81" i="104"/>
  <c r="D73" i="104"/>
  <c r="D82" i="104"/>
  <c r="D74" i="104"/>
  <c r="D83" i="104"/>
  <c r="D78" i="104"/>
  <c r="D69" i="104"/>
  <c r="D61" i="104"/>
  <c r="D53" i="104"/>
  <c r="D70" i="104"/>
  <c r="D62" i="104"/>
  <c r="D54" i="104"/>
  <c r="D71" i="104"/>
  <c r="D63" i="104"/>
  <c r="D72" i="104"/>
  <c r="D64" i="104"/>
  <c r="D56" i="104"/>
  <c r="D75" i="104"/>
  <c r="D65" i="104"/>
  <c r="D57" i="104"/>
  <c r="D66" i="104"/>
  <c r="D58" i="104"/>
  <c r="D80" i="104"/>
  <c r="D77" i="104"/>
  <c r="D68" i="104"/>
  <c r="D60" i="104"/>
  <c r="D52" i="104"/>
  <c r="D51" i="104"/>
  <c r="D44" i="104"/>
  <c r="D36" i="104"/>
  <c r="D28" i="104"/>
  <c r="D55" i="104"/>
  <c r="D45" i="104"/>
  <c r="D37" i="104"/>
  <c r="D29" i="104"/>
  <c r="D59" i="104"/>
  <c r="D46" i="104"/>
  <c r="D38" i="104"/>
  <c r="D47" i="104"/>
  <c r="D39" i="104"/>
  <c r="D31" i="104"/>
  <c r="D76" i="104"/>
  <c r="D67" i="104"/>
  <c r="D48" i="104"/>
  <c r="D40" i="104"/>
  <c r="D49" i="104"/>
  <c r="D41" i="104"/>
  <c r="D43" i="104"/>
  <c r="D35" i="104"/>
  <c r="D50" i="104"/>
  <c r="D19" i="104"/>
  <c r="D26" i="104"/>
  <c r="D20" i="104"/>
  <c r="D25" i="104"/>
  <c r="D21" i="104"/>
  <c r="D13" i="104"/>
  <c r="D24" i="104"/>
  <c r="D22" i="104"/>
  <c r="D14" i="104"/>
  <c r="D30" i="104"/>
  <c r="D23" i="104"/>
  <c r="D15" i="104"/>
  <c r="D33" i="104"/>
  <c r="D32" i="104"/>
  <c r="D16" i="104"/>
  <c r="D42" i="104"/>
  <c r="D17" i="104"/>
  <c r="D27" i="104"/>
  <c r="D18" i="104"/>
  <c r="D34" i="104"/>
  <c r="AQ28" i="69"/>
  <c r="AQ61" i="69"/>
  <c r="AQ17" i="69"/>
  <c r="AQ20" i="69"/>
  <c r="AQ23" i="69"/>
  <c r="AQ33" i="69"/>
  <c r="AQ41" i="69"/>
  <c r="AQ56" i="69"/>
  <c r="AQ18" i="69"/>
  <c r="AQ26" i="69"/>
  <c r="AQ37" i="69"/>
  <c r="AQ53" i="69"/>
  <c r="AQ21" i="69"/>
  <c r="AQ29" i="69"/>
  <c r="AQ32" i="69"/>
  <c r="AQ48" i="69"/>
  <c r="AQ24" i="69"/>
  <c r="AQ38" i="69"/>
  <c r="AQ19" i="69"/>
  <c r="AQ27" i="69"/>
  <c r="AQ30" i="69"/>
  <c r="AQ45" i="69"/>
  <c r="AQ46" i="69"/>
  <c r="AQ67" i="69"/>
  <c r="AQ22" i="69"/>
  <c r="AQ25" i="69"/>
  <c r="AQ40" i="69"/>
  <c r="AQ64" i="69"/>
  <c r="AQ34" i="69"/>
  <c r="AQ42" i="69"/>
  <c r="AQ50" i="69"/>
  <c r="AQ58" i="69"/>
  <c r="AQ66" i="69"/>
  <c r="AQ35" i="69"/>
  <c r="AQ43" i="69"/>
  <c r="AQ51" i="69"/>
  <c r="AQ59" i="69"/>
  <c r="AQ54" i="69"/>
  <c r="AQ62" i="69"/>
  <c r="AQ49" i="69"/>
  <c r="AQ57" i="69"/>
  <c r="AQ65" i="69"/>
  <c r="AQ36" i="69"/>
  <c r="AQ44" i="69"/>
  <c r="AQ52" i="69"/>
  <c r="AQ60" i="69"/>
  <c r="AN67" i="69"/>
  <c r="AQ31" i="69"/>
  <c r="AQ39" i="69"/>
  <c r="AQ47" i="69"/>
  <c r="AQ55" i="69"/>
  <c r="AQ63" i="69"/>
  <c r="W67" i="69"/>
  <c r="Z48" i="69"/>
  <c r="Z42" i="69"/>
  <c r="Z21" i="69"/>
  <c r="Z45" i="69"/>
  <c r="Z38" i="69"/>
  <c r="Z65" i="69"/>
  <c r="Z57" i="69"/>
  <c r="Z51" i="69"/>
  <c r="Z46" i="69"/>
  <c r="Z30" i="69"/>
  <c r="Z28" i="69"/>
  <c r="Z49" i="69"/>
  <c r="Z54" i="69"/>
  <c r="Z26" i="69"/>
  <c r="Z61" i="69"/>
  <c r="Z35" i="69"/>
  <c r="Z33" i="69"/>
  <c r="Z31" i="69"/>
  <c r="Z64" i="69"/>
  <c r="Z60" i="69"/>
  <c r="Z56" i="69"/>
  <c r="Z55" i="69"/>
  <c r="Z52" i="69"/>
  <c r="Z40" i="69"/>
  <c r="Z23" i="69"/>
  <c r="Z25" i="69"/>
  <c r="Z20" i="69"/>
  <c r="Z67" i="69"/>
  <c r="Z63" i="69"/>
  <c r="Z59" i="69"/>
  <c r="Z43" i="69"/>
  <c r="Z37" i="69"/>
  <c r="Z32" i="69"/>
  <c r="Z53" i="69"/>
  <c r="Z50" i="69"/>
  <c r="Z27" i="69"/>
  <c r="Z22" i="69"/>
  <c r="Z66" i="69"/>
  <c r="Z62" i="69"/>
  <c r="Z58" i="69"/>
  <c r="Z47" i="69"/>
  <c r="Z44" i="69"/>
  <c r="Z39" i="69"/>
  <c r="Z34" i="69"/>
  <c r="Z29" i="69"/>
  <c r="Z24" i="69"/>
  <c r="Z41" i="69"/>
  <c r="Z36" i="69"/>
  <c r="Z19" i="69"/>
  <c r="Z18" i="69"/>
  <c r="Z17" i="69"/>
  <c r="M12" i="88"/>
  <c r="M13" i="88" s="1"/>
  <c r="M9" i="88"/>
  <c r="M10" i="88" s="1"/>
  <c r="M25" i="88"/>
  <c r="M26" i="88" s="1"/>
  <c r="J19" i="88"/>
  <c r="J18" i="88"/>
  <c r="Z84" i="60"/>
  <c r="Z74" i="60"/>
  <c r="Z86" i="60"/>
  <c r="Z116" i="60"/>
  <c r="Z100" i="60"/>
  <c r="Z93" i="60"/>
  <c r="Z95" i="60"/>
  <c r="Z107" i="60"/>
  <c r="Z80" i="60"/>
  <c r="Z75" i="60"/>
  <c r="Z102" i="60"/>
  <c r="Z77" i="60"/>
  <c r="Z118" i="60"/>
  <c r="Z79" i="60"/>
  <c r="Z91" i="60"/>
  <c r="Z90" i="60"/>
  <c r="Z109" i="60"/>
  <c r="Z111" i="60"/>
  <c r="Z123" i="60"/>
  <c r="Z82" i="60"/>
  <c r="Z98" i="60"/>
  <c r="Z114" i="60"/>
  <c r="Z89" i="60"/>
  <c r="Z105" i="60"/>
  <c r="Z121" i="60"/>
  <c r="Z96" i="60"/>
  <c r="Z112" i="60"/>
  <c r="Z73" i="60"/>
  <c r="Z87" i="60"/>
  <c r="Z103" i="60"/>
  <c r="Z119" i="60"/>
  <c r="Z78" i="60"/>
  <c r="Z94" i="60"/>
  <c r="Z110" i="60"/>
  <c r="Z85" i="60"/>
  <c r="Z101" i="60"/>
  <c r="Z117" i="60"/>
  <c r="Z76" i="60"/>
  <c r="Z92" i="60"/>
  <c r="Z108" i="60"/>
  <c r="Z83" i="60"/>
  <c r="Z99" i="60"/>
  <c r="Z115" i="60"/>
  <c r="Z106" i="60"/>
  <c r="Z122" i="60"/>
  <c r="Z81" i="60"/>
  <c r="Z97" i="60"/>
  <c r="Z113" i="60"/>
  <c r="Z88" i="60"/>
  <c r="Z104" i="60"/>
  <c r="Z120" i="60"/>
  <c r="N10" i="85"/>
  <c r="N11" i="85"/>
  <c r="N12" i="85"/>
  <c r="N13" i="85"/>
  <c r="N14" i="85"/>
  <c r="N15" i="85"/>
  <c r="N16" i="85"/>
  <c r="N17" i="85"/>
  <c r="N18" i="85"/>
  <c r="N19" i="85"/>
  <c r="N20" i="85"/>
  <c r="N21" i="85"/>
  <c r="N22" i="85"/>
  <c r="N23" i="85"/>
  <c r="N24" i="85"/>
  <c r="N25" i="85"/>
  <c r="N26" i="85"/>
  <c r="N27" i="85"/>
  <c r="N28" i="85"/>
  <c r="N29" i="85"/>
  <c r="N30" i="85"/>
  <c r="N31" i="85"/>
  <c r="N32" i="85"/>
  <c r="N33" i="85"/>
  <c r="N34" i="85"/>
  <c r="N35" i="85"/>
  <c r="N36" i="85"/>
  <c r="N37" i="85"/>
  <c r="N38" i="85"/>
  <c r="N39" i="85"/>
  <c r="N40" i="85"/>
  <c r="N41" i="85"/>
  <c r="N42" i="85"/>
  <c r="N43" i="85"/>
  <c r="N44" i="85"/>
  <c r="N45" i="85"/>
  <c r="N46" i="85"/>
  <c r="N47" i="85"/>
  <c r="N48" i="85"/>
  <c r="N9" i="85"/>
  <c r="N8" i="85"/>
  <c r="I9" i="85"/>
  <c r="I10" i="85"/>
  <c r="I11" i="85"/>
  <c r="I12" i="85"/>
  <c r="I13" i="85"/>
  <c r="I14" i="85"/>
  <c r="I15" i="85"/>
  <c r="I16" i="85"/>
  <c r="I17" i="85"/>
  <c r="I18" i="85"/>
  <c r="I19" i="85"/>
  <c r="I20" i="85"/>
  <c r="I21" i="85"/>
  <c r="I22" i="85"/>
  <c r="I23" i="85"/>
  <c r="I24" i="85"/>
  <c r="I25" i="85"/>
  <c r="I26" i="85"/>
  <c r="I27" i="85"/>
  <c r="I28" i="85"/>
  <c r="I29" i="85"/>
  <c r="I30" i="85"/>
  <c r="I31" i="85"/>
  <c r="I32" i="85"/>
  <c r="I33" i="85"/>
  <c r="I34" i="85"/>
  <c r="I35" i="85"/>
  <c r="I36" i="85"/>
  <c r="I37" i="85"/>
  <c r="I38" i="85"/>
  <c r="I39" i="85"/>
  <c r="I40" i="85"/>
  <c r="I41" i="85"/>
  <c r="I42" i="85"/>
  <c r="I43" i="85"/>
  <c r="I44" i="85"/>
  <c r="I45" i="85"/>
  <c r="I46" i="85"/>
  <c r="I47" i="85"/>
  <c r="I48" i="85"/>
  <c r="I8" i="85"/>
  <c r="N9" i="84"/>
  <c r="N10" i="84"/>
  <c r="N11" i="84"/>
  <c r="N12" i="84"/>
  <c r="N13" i="84"/>
  <c r="N14" i="84"/>
  <c r="N15" i="84"/>
  <c r="N16" i="84"/>
  <c r="N17" i="84"/>
  <c r="N18" i="84"/>
  <c r="N19" i="84"/>
  <c r="N20" i="84"/>
  <c r="N21" i="84"/>
  <c r="N22" i="84"/>
  <c r="N23" i="84"/>
  <c r="N24" i="84"/>
  <c r="N25" i="84"/>
  <c r="N26" i="84"/>
  <c r="N27" i="84"/>
  <c r="N28" i="84"/>
  <c r="N29" i="84"/>
  <c r="N30" i="84"/>
  <c r="N31" i="84"/>
  <c r="N32" i="84"/>
  <c r="N33" i="84"/>
  <c r="N34" i="84"/>
  <c r="N35" i="84"/>
  <c r="N36" i="84"/>
  <c r="N37" i="84"/>
  <c r="N38" i="84"/>
  <c r="N39" i="84"/>
  <c r="N40" i="84"/>
  <c r="N41" i="84"/>
  <c r="N42" i="84"/>
  <c r="N43" i="84"/>
  <c r="N44" i="84"/>
  <c r="N45" i="84"/>
  <c r="N46" i="84"/>
  <c r="N47" i="84"/>
  <c r="N48" i="84"/>
  <c r="I12" i="84"/>
  <c r="I13" i="84"/>
  <c r="I14" i="84"/>
  <c r="I15" i="84"/>
  <c r="I16" i="84"/>
  <c r="I17" i="84"/>
  <c r="I18" i="84"/>
  <c r="I19" i="84"/>
  <c r="I20" i="84"/>
  <c r="I21" i="84"/>
  <c r="I22" i="84"/>
  <c r="I23" i="84"/>
  <c r="I24" i="84"/>
  <c r="I25" i="84"/>
  <c r="I26" i="84"/>
  <c r="I27" i="84"/>
  <c r="I28" i="84"/>
  <c r="I29" i="84"/>
  <c r="I30" i="84"/>
  <c r="I31" i="84"/>
  <c r="I32" i="84"/>
  <c r="I33" i="84"/>
  <c r="I34" i="84"/>
  <c r="I35" i="84"/>
  <c r="I36" i="84"/>
  <c r="I37" i="84"/>
  <c r="I38" i="84"/>
  <c r="I39" i="84"/>
  <c r="I40" i="84"/>
  <c r="I41" i="84"/>
  <c r="I42" i="84"/>
  <c r="I43" i="84"/>
  <c r="I44" i="84"/>
  <c r="I45" i="84"/>
  <c r="I46" i="84"/>
  <c r="I47" i="84"/>
  <c r="I48" i="84"/>
  <c r="I9" i="84"/>
  <c r="I10" i="84"/>
  <c r="I11" i="84"/>
  <c r="N8" i="84"/>
  <c r="I8" i="84"/>
  <c r="O8" i="66"/>
  <c r="O8" i="65"/>
  <c r="AC8" i="86"/>
  <c r="T9" i="86"/>
  <c r="T10" i="86"/>
  <c r="T11" i="86"/>
  <c r="T12" i="86"/>
  <c r="T13" i="86"/>
  <c r="T14" i="86"/>
  <c r="T15" i="86"/>
  <c r="T16" i="86"/>
  <c r="T17" i="86"/>
  <c r="T18" i="86"/>
  <c r="T19" i="86"/>
  <c r="T20" i="86"/>
  <c r="T21" i="86"/>
  <c r="T22" i="86"/>
  <c r="T23" i="86"/>
  <c r="T24" i="86"/>
  <c r="T25" i="86"/>
  <c r="T26" i="86"/>
  <c r="T27" i="86"/>
  <c r="T28" i="86"/>
  <c r="T29" i="86"/>
  <c r="T30" i="86"/>
  <c r="T31" i="86"/>
  <c r="T32" i="86"/>
  <c r="T33" i="86"/>
  <c r="T34" i="86"/>
  <c r="T35" i="86"/>
  <c r="T36" i="86"/>
  <c r="T37" i="86"/>
  <c r="T38" i="86"/>
  <c r="T39" i="86"/>
  <c r="T40" i="86"/>
  <c r="T41" i="86"/>
  <c r="T42" i="86"/>
  <c r="T43" i="86"/>
  <c r="T44" i="86"/>
  <c r="T45" i="86"/>
  <c r="T46" i="86"/>
  <c r="T47" i="86"/>
  <c r="T48" i="86"/>
  <c r="T8" i="86"/>
  <c r="U8" i="86" s="1"/>
  <c r="M10" i="86"/>
  <c r="M11" i="86"/>
  <c r="M12" i="86"/>
  <c r="M13" i="86"/>
  <c r="M14" i="86"/>
  <c r="M15" i="86"/>
  <c r="M16" i="86"/>
  <c r="M17" i="86"/>
  <c r="M18" i="86"/>
  <c r="M19" i="86"/>
  <c r="M20" i="86"/>
  <c r="M21" i="86"/>
  <c r="M22" i="86"/>
  <c r="M23" i="86"/>
  <c r="M24" i="86"/>
  <c r="M25" i="86"/>
  <c r="M26" i="86"/>
  <c r="M27" i="86"/>
  <c r="M28" i="86"/>
  <c r="M29" i="86"/>
  <c r="M30" i="86"/>
  <c r="M31" i="86"/>
  <c r="M32" i="86"/>
  <c r="M33" i="86"/>
  <c r="M34" i="86"/>
  <c r="M35" i="86"/>
  <c r="M36" i="86"/>
  <c r="M37" i="86"/>
  <c r="M38" i="86"/>
  <c r="M39" i="86"/>
  <c r="M40" i="86"/>
  <c r="M41" i="86"/>
  <c r="M42" i="86"/>
  <c r="M43" i="86"/>
  <c r="M44" i="86"/>
  <c r="M45" i="86"/>
  <c r="M46" i="86"/>
  <c r="M47" i="86"/>
  <c r="M48" i="86"/>
  <c r="M9" i="86"/>
  <c r="M8" i="86"/>
  <c r="Z52" i="101" a="1"/>
  <c r="Z52" i="101" s="1"/>
  <c r="F73" i="105"/>
  <c r="F55" i="105"/>
  <c r="F59" i="105"/>
  <c r="F30" i="105"/>
  <c r="F57" i="105"/>
  <c r="F15" i="105"/>
  <c r="F60" i="105"/>
  <c r="F44" i="105"/>
  <c r="F58" i="105"/>
  <c r="F32" i="105"/>
  <c r="F62" i="105"/>
  <c r="F36" i="105"/>
  <c r="F41" i="105"/>
  <c r="F72" i="105"/>
  <c r="F22" i="105"/>
  <c r="F71" i="105"/>
  <c r="F47" i="105"/>
  <c r="F68" i="105"/>
  <c r="F56" i="105"/>
  <c r="F43" i="105"/>
  <c r="F67" i="105"/>
  <c r="F76" i="105"/>
  <c r="F51" i="105"/>
  <c r="F25" i="105"/>
  <c r="F21" i="105"/>
  <c r="F77" i="105"/>
  <c r="F79" i="105"/>
  <c r="F69" i="105"/>
  <c r="F80" i="105"/>
  <c r="F38" i="105"/>
  <c r="F27" i="105"/>
  <c r="F53" i="105"/>
  <c r="F31" i="105"/>
  <c r="F14" i="105"/>
  <c r="F54" i="105"/>
  <c r="F70" i="105"/>
  <c r="F37" i="105"/>
  <c r="F17" i="105"/>
  <c r="F16" i="105"/>
  <c r="F50" i="105"/>
  <c r="F48" i="105"/>
  <c r="F63" i="105"/>
  <c r="F82" i="105"/>
  <c r="F75" i="105"/>
  <c r="F34" i="105"/>
  <c r="F45" i="105"/>
  <c r="F66" i="105"/>
  <c r="F65" i="105"/>
  <c r="F49" i="105"/>
  <c r="F64" i="105"/>
  <c r="F28" i="105"/>
  <c r="F46" i="105"/>
  <c r="F52" i="105"/>
  <c r="F40" i="105"/>
  <c r="F61" i="105"/>
  <c r="F18" i="105"/>
  <c r="F42" i="105"/>
  <c r="F13" i="105"/>
  <c r="F26" i="105"/>
  <c r="F33" i="105"/>
  <c r="F19" i="105"/>
  <c r="F24" i="105"/>
  <c r="F12" i="105"/>
  <c r="F35" i="105"/>
  <c r="F20" i="105"/>
  <c r="F29" i="105"/>
  <c r="F23" i="105"/>
  <c r="F78" i="105"/>
  <c r="F11" i="105"/>
  <c r="F74" i="105"/>
  <c r="F39" i="105"/>
  <c r="F81" i="105"/>
  <c r="E11" i="104" l="1"/>
  <c r="E12" i="104"/>
  <c r="G12" i="105"/>
  <c r="G18" i="105"/>
  <c r="G31" i="105"/>
  <c r="G28" i="105"/>
  <c r="G34" i="105"/>
  <c r="G16" i="105"/>
  <c r="G53" i="105"/>
  <c r="G77" i="105"/>
  <c r="G56" i="105"/>
  <c r="G62" i="105"/>
  <c r="G15" i="105"/>
  <c r="G30" i="105"/>
  <c r="G22" i="105"/>
  <c r="G39" i="105"/>
  <c r="G36" i="105"/>
  <c r="G42" i="105"/>
  <c r="G24" i="105"/>
  <c r="G61" i="105"/>
  <c r="G79" i="105"/>
  <c r="G64" i="105"/>
  <c r="G75" i="105"/>
  <c r="G17" i="105"/>
  <c r="G43" i="105"/>
  <c r="G21" i="105"/>
  <c r="G68" i="105"/>
  <c r="G60" i="105"/>
  <c r="G32" i="105"/>
  <c r="G59" i="105"/>
  <c r="G81" i="105"/>
  <c r="G74" i="105"/>
  <c r="G14" i="105"/>
  <c r="G29" i="105"/>
  <c r="G19" i="105"/>
  <c r="G40" i="105"/>
  <c r="G67" i="105"/>
  <c r="G49" i="105"/>
  <c r="G82" i="105"/>
  <c r="G37" i="105"/>
  <c r="G27" i="105"/>
  <c r="G25" i="105"/>
  <c r="G47" i="105"/>
  <c r="G72" i="105"/>
  <c r="G57" i="105"/>
  <c r="G55" i="105"/>
  <c r="G13" i="105"/>
  <c r="G11" i="105"/>
  <c r="G44" i="105"/>
  <c r="G35" i="105"/>
  <c r="G33" i="105"/>
  <c r="G52" i="105"/>
  <c r="G50" i="105"/>
  <c r="G65" i="105"/>
  <c r="G63" i="105"/>
  <c r="G70" i="105"/>
  <c r="G38" i="105"/>
  <c r="G51" i="105"/>
  <c r="G71" i="105"/>
  <c r="G41" i="105"/>
  <c r="G58" i="105"/>
  <c r="G73" i="105"/>
  <c r="G69" i="105"/>
  <c r="G78" i="105"/>
  <c r="G23" i="105"/>
  <c r="G20" i="105"/>
  <c r="G26" i="105"/>
  <c r="G46" i="105"/>
  <c r="G45" i="105"/>
  <c r="G66" i="105"/>
  <c r="G48" i="105"/>
  <c r="G54" i="105"/>
  <c r="G80" i="105"/>
  <c r="G76" i="105"/>
  <c r="J20" i="88"/>
  <c r="U51" i="101" a="1"/>
  <c r="U51" i="101" s="1"/>
  <c r="P51" i="101" a="1"/>
  <c r="P51" i="101" s="1"/>
  <c r="K51" i="101" a="1"/>
  <c r="K51" i="101" s="1"/>
  <c r="F51" i="101" a="1"/>
  <c r="F51" i="101" s="1"/>
  <c r="A51" i="101" a="1"/>
  <c r="A51" i="101" s="1"/>
  <c r="F11" i="104"/>
  <c r="BZ43" i="102" a="1"/>
  <c r="BO71" i="102" a="1"/>
  <c r="BG17" i="102" a="1"/>
  <c r="AY68" i="102" a="1"/>
  <c r="BB21" i="102" a="1"/>
  <c r="AQ43" i="102" a="1"/>
  <c r="BZ28" i="102" a="1"/>
  <c r="BR63" i="102" a="1"/>
  <c r="BR13" i="102" a="1"/>
  <c r="BG37" i="102" a="1"/>
  <c r="AY30" i="102" a="1"/>
  <c r="AQ67" i="102" a="1"/>
  <c r="AL39" i="102" a="1"/>
  <c r="BZ35" i="102" a="1"/>
  <c r="BO63" i="102" a="1"/>
  <c r="BJ84" i="102" a="1"/>
  <c r="AY60" i="102" a="1"/>
  <c r="AY11" i="102" a="1"/>
  <c r="AQ19" i="102" a="1"/>
  <c r="BZ18" i="102" a="1"/>
  <c r="BW50" i="102" a="1"/>
  <c r="BO27" i="102" a="1"/>
  <c r="BG24" i="102" a="1"/>
  <c r="AY37" i="102" a="1"/>
  <c r="AT55" i="102" a="1"/>
  <c r="AQ50" i="102" a="1"/>
  <c r="BW19" i="102" a="1"/>
  <c r="BR73" i="102" a="1"/>
  <c r="BG60" i="102" a="1"/>
  <c r="BG42" i="102" a="1"/>
  <c r="AY23" i="102" a="1"/>
  <c r="AT30" i="102" a="1"/>
  <c r="BZ79" i="102" a="1"/>
  <c r="BW18" i="102" a="1"/>
  <c r="BO25" i="102" a="1"/>
  <c r="BJ83" i="102" a="1"/>
  <c r="BB80" i="102" a="1"/>
  <c r="AT47" i="102" a="1"/>
  <c r="AQ23" i="102" a="1"/>
  <c r="BW80" i="102" a="1"/>
  <c r="BR65" i="102" a="1"/>
  <c r="BG52" i="102" a="1"/>
  <c r="BJ13" i="102" a="1"/>
  <c r="BB13" i="102" a="1"/>
  <c r="AT22" i="102" a="1"/>
  <c r="AI67" i="102" a="1"/>
  <c r="BZ36" i="102" a="1"/>
  <c r="BR71" i="102" a="1"/>
  <c r="BR48" i="102" a="1"/>
  <c r="BJ21" i="102" a="1"/>
  <c r="AY32" i="102" a="1"/>
  <c r="AQ75" i="102" a="1"/>
  <c r="AL47" i="102" a="1"/>
  <c r="AL61" i="102" a="1"/>
  <c r="AA64" i="102" a="1"/>
  <c r="S22" i="102" a="1"/>
  <c r="K12" i="102" a="1"/>
  <c r="N84" i="102" a="1"/>
  <c r="CP187" i="102" a="1"/>
  <c r="CM115" i="102" a="1"/>
  <c r="CH145" i="102" a="1"/>
  <c r="CH121" i="102" a="1"/>
  <c r="BW214" i="102" a="1"/>
  <c r="BZ188" i="102" a="1"/>
  <c r="BR122" i="102" a="1"/>
  <c r="BO132" i="102" a="1"/>
  <c r="BJ157" i="102" a="1"/>
  <c r="BJ149" i="102" a="1"/>
  <c r="BJ140" i="102" a="1"/>
  <c r="AI10" i="102" a="1"/>
  <c r="AD77" i="102" a="1"/>
  <c r="V32" i="102" a="1"/>
  <c r="N9" i="102" a="1"/>
  <c r="CM188" i="102" a="1"/>
  <c r="CP210" i="102" a="1"/>
  <c r="CP97" i="102" a="1"/>
  <c r="CH104" i="102" a="1"/>
  <c r="CH144" i="102" a="1"/>
  <c r="BW205" i="102" a="1"/>
  <c r="BZ108" i="102" a="1"/>
  <c r="BR113" i="102" a="1"/>
  <c r="BR137" i="102" a="1"/>
  <c r="BJ225" i="102" a="1"/>
  <c r="BG187" i="102" a="1"/>
  <c r="BB199" i="102" a="1"/>
  <c r="AI18" i="102" a="1"/>
  <c r="AD53" i="102" a="1"/>
  <c r="V46" i="102" a="1"/>
  <c r="K43" i="102" a="1"/>
  <c r="CP215" i="102" a="1"/>
  <c r="CM209" i="102" a="1"/>
  <c r="CH189" i="102" a="1"/>
  <c r="CE167" i="102" a="1"/>
  <c r="CH211" i="102" a="1"/>
  <c r="BZ184" i="102" a="1"/>
  <c r="BZ112" i="102" a="1"/>
  <c r="BO176" i="102" a="1"/>
  <c r="BR166" i="102" a="1"/>
  <c r="BG147" i="102" a="1"/>
  <c r="BG200" i="102" a="1"/>
  <c r="AI39" i="102" a="1"/>
  <c r="AD54" i="102" a="1"/>
  <c r="V81" i="102" a="1"/>
  <c r="N26" i="102" a="1"/>
  <c r="N28" i="102" a="1"/>
  <c r="CM157" i="102" a="1"/>
  <c r="CM216" i="102" a="1"/>
  <c r="CE115" i="102" a="1"/>
  <c r="F12" i="104"/>
  <c r="BZ72" i="102" a="1"/>
  <c r="BO39" i="102" a="1"/>
  <c r="BJ60" i="102" a="1"/>
  <c r="AY36" i="102" a="1"/>
  <c r="BB65" i="102" a="1"/>
  <c r="AT48" i="102" a="1"/>
  <c r="BZ65" i="102" a="1"/>
  <c r="BO78" i="102" a="1"/>
  <c r="BR56" i="102" a="1"/>
  <c r="BG66" i="102" a="1"/>
  <c r="AY29" i="102" a="1"/>
  <c r="AQ72" i="102" a="1"/>
  <c r="AI62" i="102" a="1"/>
  <c r="BZ64" i="102" a="1"/>
  <c r="BO31" i="102" a="1"/>
  <c r="BJ52" i="102" a="1"/>
  <c r="BB79" i="102" a="1"/>
  <c r="BB12" i="102" a="1"/>
  <c r="AQ35" i="102" a="1"/>
  <c r="BZ55" i="102" a="1"/>
  <c r="BZ12" i="102" a="1"/>
  <c r="BR35" i="102" a="1"/>
  <c r="BJ59" i="102" a="1"/>
  <c r="BB56" i="102" a="1"/>
  <c r="AT23" i="102" a="1"/>
  <c r="AL74" i="102" a="1"/>
  <c r="BW56" i="102" a="1"/>
  <c r="BR41" i="102" a="1"/>
  <c r="BG28" i="102" a="1"/>
  <c r="BJ16" i="102" a="1"/>
  <c r="BB54" i="102" a="1"/>
  <c r="AT67" i="102" a="1"/>
  <c r="BZ47" i="102" a="1"/>
  <c r="BW63" i="102" a="1"/>
  <c r="BR24" i="102" a="1"/>
  <c r="BJ51" i="102" a="1"/>
  <c r="BB48" i="102" a="1"/>
  <c r="AT15" i="102" a="1"/>
  <c r="AL66" i="102" a="1"/>
  <c r="BW48" i="102" a="1"/>
  <c r="BR78" i="102" a="1"/>
  <c r="BG20" i="102" a="1"/>
  <c r="BJ10" i="102" a="1"/>
  <c r="BB35" i="102" a="1"/>
  <c r="AT59" i="102" a="1"/>
  <c r="AI35" i="102" a="1"/>
  <c r="BZ73" i="102" a="1"/>
  <c r="BR39" i="102" a="1"/>
  <c r="BO10" i="102" a="1"/>
  <c r="BG16" i="102" a="1"/>
  <c r="AY51" i="102" a="1"/>
  <c r="AQ80" i="102" a="1"/>
  <c r="AI70" i="102" a="1"/>
  <c r="AL75" i="102" a="1"/>
  <c r="AA32" i="102" a="1"/>
  <c r="S59" i="102" a="1"/>
  <c r="K44" i="102" a="1"/>
  <c r="N71" i="102" a="1"/>
  <c r="CP123" i="102" a="1"/>
  <c r="CP114" i="102" a="1"/>
  <c r="CH222" i="102" a="1"/>
  <c r="CE184" i="102" a="1"/>
  <c r="BW150" i="102" a="1"/>
  <c r="BZ201" i="102" a="1"/>
  <c r="BO185" i="102" a="1"/>
  <c r="BO193" i="102" a="1"/>
  <c r="BJ93" i="102" a="1"/>
  <c r="BJ226" i="102" a="1"/>
  <c r="BG110" i="102" a="1"/>
  <c r="AI53" i="102" a="1"/>
  <c r="AA71" i="102" a="1"/>
  <c r="S49" i="102" a="1"/>
  <c r="N41" i="102" a="1"/>
  <c r="CM217" i="102" a="1"/>
  <c r="CP223" i="102" a="1"/>
  <c r="CE191" i="102" a="1"/>
  <c r="CH181" i="102" a="1"/>
  <c r="CH96" i="102" a="1"/>
  <c r="BW186" i="102" a="1"/>
  <c r="BW120" i="102" a="1"/>
  <c r="BR190" i="102" a="1"/>
  <c r="BO168" i="102" a="1"/>
  <c r="BJ161" i="102" a="1"/>
  <c r="BJ214" i="102" a="1"/>
  <c r="BB135" i="102" a="1"/>
  <c r="AI22" i="102" a="1"/>
  <c r="AA30" i="102" a="1"/>
  <c r="V13" i="102" a="1"/>
  <c r="K25" i="102" a="1"/>
  <c r="CP151" i="102" a="1"/>
  <c r="CM145" i="102" a="1"/>
  <c r="CH125" i="102" a="1"/>
  <c r="CE228" i="102" a="1"/>
  <c r="CH139" i="102" a="1"/>
  <c r="BZ120" i="102" a="1"/>
  <c r="BW104" i="102" a="1"/>
  <c r="BO112" i="102" a="1"/>
  <c r="BR195" i="102" a="1"/>
  <c r="BG224" i="102" a="1"/>
  <c r="BG136" i="102" a="1"/>
  <c r="AL26" i="102" a="1"/>
  <c r="AD22" i="102" a="1"/>
  <c r="V49" i="102" a="1"/>
  <c r="K7" i="102" a="1"/>
  <c r="K81" i="102" a="1"/>
  <c r="CM93" i="102" a="1"/>
  <c r="CM108" i="102" a="1"/>
  <c r="CE192" i="102" a="1"/>
  <c r="CH166" i="102" a="1"/>
  <c r="BW227" i="102" a="1"/>
  <c r="BW171" i="102" a="1"/>
  <c r="BR167" i="102" a="1"/>
  <c r="BR175" i="102" a="1"/>
  <c r="BG204" i="102" a="1"/>
  <c r="BG196" i="102" a="1"/>
  <c r="BG97" i="102" a="1"/>
  <c r="AD18" i="102" a="1"/>
  <c r="M15" i="88" a="1"/>
  <c r="BZ14" i="102" a="1"/>
  <c r="BO61" i="102" a="1"/>
  <c r="BJ28" i="102" a="1"/>
  <c r="BB55" i="102" a="1"/>
  <c r="AY16" i="102" a="1"/>
  <c r="AQ63" i="102" a="1"/>
  <c r="BZ33" i="102" a="1"/>
  <c r="BO83" i="102" a="1"/>
  <c r="BJ74" i="102" a="1"/>
  <c r="BJ12" i="102" a="1"/>
  <c r="AY47" i="102" a="1"/>
  <c r="AQ40" i="102" a="1"/>
  <c r="AI30" i="102" a="1"/>
  <c r="BZ6" i="102" a="1"/>
  <c r="BO46" i="102" a="1"/>
  <c r="BJ20" i="102" a="1"/>
  <c r="BB47" i="102" a="1"/>
  <c r="AY56" i="102" a="1"/>
  <c r="AQ31" i="102" a="1"/>
  <c r="BZ84" i="102" a="1"/>
  <c r="BR74" i="102" a="1"/>
  <c r="BR33" i="102" a="1"/>
  <c r="BJ69" i="102" a="1"/>
  <c r="BB24" i="102" a="1"/>
  <c r="AQ62" i="102" a="1"/>
  <c r="AL42" i="102" a="1"/>
  <c r="BW24" i="102" a="1"/>
  <c r="BR54" i="102" a="1"/>
  <c r="BG65" i="102" a="1"/>
  <c r="BG9" i="102" a="1"/>
  <c r="AY12" i="102" a="1"/>
  <c r="AT35" i="102" a="1"/>
  <c r="BZ76" i="102" a="1"/>
  <c r="BR66" i="102" a="1"/>
  <c r="BO18" i="102" a="1"/>
  <c r="BJ61" i="102" a="1"/>
  <c r="BB16" i="102" a="1"/>
  <c r="AQ54" i="102" a="1"/>
  <c r="AL34" i="102" a="1"/>
  <c r="BZ83" i="102" a="1"/>
  <c r="BR46" i="102" a="1"/>
  <c r="BG57" i="102" a="1"/>
  <c r="BG14" i="102" a="1"/>
  <c r="BB73" i="102" a="1"/>
  <c r="AQ58" i="102" a="1"/>
  <c r="AL54" i="102" a="1"/>
  <c r="BZ41" i="102" a="1"/>
  <c r="BO54" i="102" a="1"/>
  <c r="BJ82" i="102" a="1"/>
  <c r="BG10" i="102" a="1"/>
  <c r="AY80" i="102" a="1"/>
  <c r="AQ48" i="102" a="1"/>
  <c r="AI38" i="102" a="1"/>
  <c r="AL40" i="102" a="1"/>
  <c r="AD67" i="102" a="1"/>
  <c r="S80" i="102" a="1"/>
  <c r="N29" i="102" a="1"/>
  <c r="K14" i="102" a="1"/>
  <c r="CM186" i="102" a="1"/>
  <c r="CM133" i="102" a="1"/>
  <c r="CH158" i="102" a="1"/>
  <c r="CE120" i="102" a="1"/>
  <c r="BZ193" i="102" a="1"/>
  <c r="BZ137" i="102" a="1"/>
  <c r="BO121" i="102" a="1"/>
  <c r="BO129" i="102" a="1"/>
  <c r="BJ170" i="102" a="1"/>
  <c r="BJ162" i="102" a="1"/>
  <c r="BB205" i="102" a="1"/>
  <c r="AL17" i="102" a="1"/>
  <c r="AA47" i="102" a="1"/>
  <c r="S16" i="102" a="1"/>
  <c r="N23" i="102" a="1"/>
  <c r="CM153" i="102" a="1"/>
  <c r="CP159" i="102" a="1"/>
  <c r="CE127" i="102" a="1"/>
  <c r="CH117" i="102" a="1"/>
  <c r="CE197" i="102" a="1"/>
  <c r="BW122" i="102" a="1"/>
  <c r="BZ123" i="102" a="1"/>
  <c r="BR126" i="102" a="1"/>
  <c r="BO197" i="102" a="1"/>
  <c r="BJ97" i="102" a="1"/>
  <c r="BJ150" i="102" a="1"/>
  <c r="BB209" i="102" a="1"/>
  <c r="AD58" i="102" a="1"/>
  <c r="AA21" i="102" a="1"/>
  <c r="S15" i="102" a="1"/>
  <c r="N56" i="102" a="1"/>
  <c r="CP228" i="102" a="1"/>
  <c r="CM174" i="102" a="1"/>
  <c r="CE172" i="102" a="1"/>
  <c r="CE164" i="102" a="1"/>
  <c r="CH98" i="102" a="1"/>
  <c r="BZ197" i="102" a="1"/>
  <c r="BZ107" i="102" a="1"/>
  <c r="BO173" i="102" a="1"/>
  <c r="BR131" i="102" a="1"/>
  <c r="BG160" i="102" a="1"/>
  <c r="BJ211" i="102" a="1"/>
  <c r="AL83" i="102" a="1"/>
  <c r="AA53" i="102" a="1"/>
  <c r="V70" i="102" a="1"/>
  <c r="K39" i="102" a="1"/>
  <c r="K40" i="102" a="1"/>
  <c r="CP168" i="102" a="1"/>
  <c r="CP192" i="102" a="1"/>
  <c r="CE128" i="102" a="1"/>
  <c r="CH102" i="102" a="1"/>
  <c r="BW163" i="102" a="1"/>
  <c r="BW107" i="102" a="1"/>
  <c r="X67" i="69" a="1"/>
  <c r="BZ19" i="102" a="1"/>
  <c r="BR12" i="102" a="1"/>
  <c r="BJ65" i="102" a="1"/>
  <c r="BB23" i="102" a="1"/>
  <c r="BB38" i="102" a="1"/>
  <c r="AT8" i="102" a="1"/>
  <c r="BZ70" i="102" a="1"/>
  <c r="BO51" i="102" a="1"/>
  <c r="BJ42" i="102" a="1"/>
  <c r="BG58" i="102" a="1"/>
  <c r="BB46" i="102" a="1"/>
  <c r="AQ77" i="102" a="1"/>
  <c r="AL57" i="102" a="1"/>
  <c r="BZ11" i="102" a="1"/>
  <c r="BR72" i="102" a="1"/>
  <c r="BJ57" i="102" a="1"/>
  <c r="BB15" i="102" a="1"/>
  <c r="AQ84" i="102" a="1"/>
  <c r="AQ74" i="102" a="1"/>
  <c r="BZ52" i="102" a="1"/>
  <c r="BR42" i="102" a="1"/>
  <c r="BO12" i="102" a="1"/>
  <c r="BJ37" i="102" a="1"/>
  <c r="AY63" i="102" a="1"/>
  <c r="AQ30" i="102" a="1"/>
  <c r="AL63" i="102" a="1"/>
  <c r="BZ59" i="102" a="1"/>
  <c r="BR22" i="102" a="1"/>
  <c r="BG33" i="102" a="1"/>
  <c r="AY84" i="102" a="1"/>
  <c r="BB61" i="102" a="1"/>
  <c r="AT9" i="102" a="1"/>
  <c r="BZ44" i="102" a="1"/>
  <c r="BR79" i="102" a="1"/>
  <c r="BO45" i="102" a="1"/>
  <c r="BJ29" i="102" a="1"/>
  <c r="BB45" i="102" a="1"/>
  <c r="AQ83" i="102" a="1"/>
  <c r="AL55" i="102" a="1"/>
  <c r="BZ51" i="102" a="1"/>
  <c r="BO79" i="102" a="1"/>
  <c r="BG25" i="102" a="1"/>
  <c r="AY76" i="102" a="1"/>
  <c r="AY48" i="102" a="1"/>
  <c r="AQ55" i="102" a="1"/>
  <c r="AL22" i="102" a="1"/>
  <c r="BZ78" i="102" a="1"/>
  <c r="BO59" i="102" a="1"/>
  <c r="BJ50" i="102" a="1"/>
  <c r="BG7" i="102" a="1"/>
  <c r="AY7" i="102" a="1"/>
  <c r="AQ16" i="102" a="1"/>
  <c r="AL65" i="102" a="1"/>
  <c r="AL20" i="102" a="1"/>
  <c r="AD80" i="102" a="1"/>
  <c r="S48" i="102" a="1"/>
  <c r="N8" i="102" a="1"/>
  <c r="K60" i="102" a="1"/>
  <c r="CM122" i="102" a="1"/>
  <c r="CP95" i="102" a="1"/>
  <c r="CH219" i="102" a="1"/>
  <c r="CE116" i="102" a="1"/>
  <c r="BZ129" i="102" a="1"/>
  <c r="BW200" i="102" a="1"/>
  <c r="BO182" i="102" a="1"/>
  <c r="BR204" i="102" a="1"/>
  <c r="BG217" i="102" a="1"/>
  <c r="BJ207" i="102" a="1"/>
  <c r="BB141" i="102" a="1"/>
  <c r="AA60" i="102" a="1"/>
  <c r="AD35" i="102" a="1"/>
  <c r="V25" i="102" a="1"/>
  <c r="N40" i="102" a="1"/>
  <c r="CM230" i="102" a="1"/>
  <c r="CP188" i="102" a="1"/>
  <c r="CH186" i="102" a="1"/>
  <c r="CH178" i="102" a="1"/>
  <c r="CH123" i="102" a="1"/>
  <c r="BW199" i="102" a="1"/>
  <c r="BZ139" i="102" a="1"/>
  <c r="BR187" i="102" a="1"/>
  <c r="BO133" i="102" a="1"/>
  <c r="BJ174" i="102" a="1"/>
  <c r="BG213" i="102" a="1"/>
  <c r="BB145" i="102" a="1"/>
  <c r="AD26" i="102" a="1"/>
  <c r="AA31" i="102" a="1"/>
  <c r="V18" i="102" a="1"/>
  <c r="K22" i="102" a="1"/>
  <c r="CP164" i="102" a="1"/>
  <c r="CP195" i="102" a="1"/>
  <c r="CH231" i="102" a="1"/>
  <c r="CE209" i="102" a="1"/>
  <c r="BZ173" i="102" a="1"/>
  <c r="BZ133" i="102" a="1"/>
  <c r="BZ118" i="102" a="1"/>
  <c r="BO218" i="102" a="1"/>
  <c r="BO109" i="102" a="1"/>
  <c r="BG96" i="102" a="1"/>
  <c r="BJ147" i="102" a="1"/>
  <c r="AI6" i="102" a="1"/>
  <c r="AA66" i="102" a="1"/>
  <c r="V75" i="102" a="1"/>
  <c r="K18" i="102" a="1"/>
  <c r="BZ58" i="102" a="1"/>
  <c r="BZ37" i="102" a="1"/>
  <c r="BR16" i="102" a="1"/>
  <c r="BJ33" i="102" a="1"/>
  <c r="AY62" i="102" a="1"/>
  <c r="AQ60" i="102" a="1"/>
  <c r="AQ7" i="102" a="1"/>
  <c r="BZ38" i="102" a="1"/>
  <c r="BO64" i="102" a="1"/>
  <c r="BJ79" i="102" a="1"/>
  <c r="BJ32" i="102" a="1"/>
  <c r="AY21" i="102" a="1"/>
  <c r="AQ45" i="102" a="1"/>
  <c r="AI72" i="102" a="1"/>
  <c r="BZ56" i="102" a="1"/>
  <c r="BO11" i="102" a="1"/>
  <c r="BJ25" i="102" a="1"/>
  <c r="AY54" i="102" a="1"/>
  <c r="AQ52" i="102" a="1"/>
  <c r="AT53" i="102" a="1"/>
  <c r="BZ20" i="102" a="1"/>
  <c r="BR55" i="102" a="1"/>
  <c r="BR27" i="102" a="1"/>
  <c r="BJ14" i="102" a="1"/>
  <c r="AY13" i="102" a="1"/>
  <c r="AQ59" i="102" a="1"/>
  <c r="AL31" i="102" a="1"/>
  <c r="BZ27" i="102" a="1"/>
  <c r="BO55" i="102" a="1"/>
  <c r="BJ76" i="102" a="1"/>
  <c r="AY52" i="102" a="1"/>
  <c r="AY40" i="102" a="1"/>
  <c r="AQ8" i="102" a="1"/>
  <c r="BZ81" i="102" a="1"/>
  <c r="BR47" i="102" a="1"/>
  <c r="BO17" i="102" a="1"/>
  <c r="BJ6" i="102" a="1"/>
  <c r="BB70" i="102" a="1"/>
  <c r="AQ51" i="102" a="1"/>
  <c r="AI78" i="102" a="1"/>
  <c r="BZ80" i="102" a="1"/>
  <c r="BO47" i="102" a="1"/>
  <c r="BJ68" i="102" a="1"/>
  <c r="AY44" i="102" a="1"/>
  <c r="AY83" i="102" a="1"/>
  <c r="AT80" i="102" a="1"/>
  <c r="AI55" i="102" a="1"/>
  <c r="BZ46" i="102" a="1"/>
  <c r="BO72" i="102" a="1"/>
  <c r="BJ18" i="102" a="1"/>
  <c r="BG29" i="102" a="1"/>
  <c r="BB34" i="102" a="1"/>
  <c r="AQ53" i="102" a="1"/>
  <c r="AI80" i="102" a="1"/>
  <c r="AI8" i="102" a="1"/>
  <c r="AD48" i="102" a="1"/>
  <c r="S53" i="102" a="1"/>
  <c r="K13" i="102" a="1"/>
  <c r="CP221" i="102" a="1"/>
  <c r="CM199" i="102" a="1"/>
  <c r="CM132" i="102" a="1"/>
  <c r="CH155" i="102" a="1"/>
  <c r="CE194" i="102" a="1"/>
  <c r="BZ206" i="102" a="1"/>
  <c r="BW125" i="102" a="1"/>
  <c r="BO118" i="102" a="1"/>
  <c r="BR140" i="102" a="1"/>
  <c r="BG153" i="102" a="1"/>
  <c r="BJ143" i="102" a="1"/>
  <c r="BB218" i="102" a="1"/>
  <c r="AA28" i="102" a="1"/>
  <c r="AD45" i="102" a="1"/>
  <c r="V19" i="102" a="1"/>
  <c r="K82" i="102" a="1"/>
  <c r="CM166" i="102" a="1"/>
  <c r="CM213" i="102" a="1"/>
  <c r="CH122" i="102" a="1"/>
  <c r="CH223" i="102" a="1"/>
  <c r="BW175" i="102" a="1"/>
  <c r="BW135" i="102" a="1"/>
  <c r="BW184" i="102" a="1"/>
  <c r="BR123" i="102" a="1"/>
  <c r="BO100" i="102" a="1"/>
  <c r="BJ110" i="102" a="1"/>
  <c r="BG149" i="102" a="1"/>
  <c r="BB190" i="102" a="1"/>
  <c r="AD63" i="102" a="1"/>
  <c r="AA25" i="102" a="1"/>
  <c r="V47" i="102" a="1"/>
  <c r="K69" i="102" a="1"/>
  <c r="CP100" i="102" a="1"/>
  <c r="CP224" i="102" a="1"/>
  <c r="CH167" i="102" a="1"/>
  <c r="CE145" i="102" a="1"/>
  <c r="BZ109" i="102" a="1"/>
  <c r="BZ210" i="102" a="1"/>
  <c r="BZ147" i="102" a="1"/>
  <c r="BO154" i="102" a="1"/>
  <c r="BR224" i="102" a="1"/>
  <c r="BG173" i="102" a="1"/>
  <c r="BJ112" i="102" a="1"/>
  <c r="AI26" i="102" a="1"/>
  <c r="AA34" i="102" a="1"/>
  <c r="V43" i="102" a="1"/>
  <c r="N27" i="102" a="1"/>
  <c r="CM191" i="102" a="1"/>
  <c r="BZ66" i="102" a="1"/>
  <c r="BW55" i="102" a="1"/>
  <c r="BO34" i="102" a="1"/>
  <c r="BJ70" i="102" a="1"/>
  <c r="BB83" i="102" a="1"/>
  <c r="AQ28" i="102" a="1"/>
  <c r="AT10" i="102" a="1"/>
  <c r="BW69" i="102" a="1"/>
  <c r="BO32" i="102" a="1"/>
  <c r="BJ47" i="102" a="1"/>
  <c r="BG26" i="102" a="1"/>
  <c r="BB28" i="102" a="1"/>
  <c r="AT21" i="102" a="1"/>
  <c r="BW52" i="102" a="1"/>
  <c r="BZ53" i="102" a="1"/>
  <c r="BO29" i="102" a="1"/>
  <c r="BJ62" i="102" a="1"/>
  <c r="BB75" i="102" a="1"/>
  <c r="AQ20" i="102" a="1"/>
  <c r="AT61" i="102" a="1"/>
  <c r="BZ57" i="102" a="1"/>
  <c r="BO70" i="102" a="1"/>
  <c r="BR10" i="102" a="1"/>
  <c r="BG34" i="102" a="1"/>
  <c r="AY27" i="102" a="1"/>
  <c r="AQ64" i="102" a="1"/>
  <c r="AI54" i="102" a="1"/>
  <c r="BW34" i="102" a="1"/>
  <c r="BO23" i="102" a="1"/>
  <c r="BJ44" i="102" a="1"/>
  <c r="BB71" i="102" a="1"/>
  <c r="BB19" i="102" a="1"/>
  <c r="AT16" i="102" a="1"/>
  <c r="BZ49" i="102" a="1"/>
  <c r="BO62" i="102" a="1"/>
  <c r="BO21" i="102" a="1"/>
  <c r="BJ11" i="102" a="1"/>
  <c r="BB8" i="102" a="1"/>
  <c r="AQ56" i="102" a="1"/>
  <c r="AI46" i="102" a="1"/>
  <c r="BZ16" i="102" a="1"/>
  <c r="BO15" i="102" a="1"/>
  <c r="BJ36" i="102" a="1"/>
  <c r="BB63" i="102" a="1"/>
  <c r="BB25" i="102" a="1"/>
  <c r="AT11" i="102" a="1"/>
  <c r="AI23" i="102" a="1"/>
  <c r="BW77" i="102" a="1"/>
  <c r="BO40" i="102" a="1"/>
  <c r="BJ55" i="102" a="1"/>
  <c r="BG50" i="102" a="1"/>
  <c r="BB30" i="102" a="1"/>
  <c r="AT37" i="102" a="1"/>
  <c r="AI48" i="102" a="1"/>
  <c r="AL16" i="102" a="1"/>
  <c r="AA55" i="102" a="1"/>
  <c r="S66" i="102" a="1"/>
  <c r="K45" i="102" a="1"/>
  <c r="CP157" i="102" a="1"/>
  <c r="CM135" i="102" a="1"/>
  <c r="CP111" i="102" a="1"/>
  <c r="CE170" i="102" a="1"/>
  <c r="CE146" i="102" a="1"/>
  <c r="BZ142" i="102" a="1"/>
  <c r="BW94" i="102" a="1"/>
  <c r="BO179" i="102" a="1"/>
  <c r="BO203" i="102" a="1"/>
  <c r="BG182" i="102" a="1"/>
  <c r="BJ188" i="102" a="1"/>
  <c r="BB154" i="102" a="1"/>
  <c r="AA65" i="102" a="1"/>
  <c r="AD39" i="102" a="1"/>
  <c r="S65" i="102" a="1"/>
  <c r="N67" i="102" a="1"/>
  <c r="CM102" i="102" a="1"/>
  <c r="CM95" i="102" a="1"/>
  <c r="CE169" i="102" a="1"/>
  <c r="CH159" i="102" a="1"/>
  <c r="BW111" i="102" a="1"/>
  <c r="BW212" i="102" a="1"/>
  <c r="BZ182" i="102" a="1"/>
  <c r="BR168" i="102" a="1"/>
  <c r="BO114" i="102" a="1"/>
  <c r="BJ187" i="102" a="1"/>
  <c r="BG139" i="102" a="1"/>
  <c r="AY221" i="102" a="1"/>
  <c r="AA70" i="102" a="1"/>
  <c r="V82" i="102" a="1"/>
  <c r="S39" i="102" a="1"/>
  <c r="N47" i="102" a="1"/>
  <c r="CP177" i="102" a="1"/>
  <c r="CM104" i="102" a="1"/>
  <c r="CH103" i="102" a="1"/>
  <c r="CE222" i="102" a="1"/>
  <c r="BZ186" i="102" a="1"/>
  <c r="BZ146" i="102" a="1"/>
  <c r="BR221" i="102" a="1"/>
  <c r="BO231" i="102" a="1"/>
  <c r="BR112" i="102" a="1"/>
  <c r="BG109" i="102" a="1"/>
  <c r="BG94" i="102" a="1"/>
  <c r="AI82" i="102" a="1"/>
  <c r="AD16" i="102" a="1"/>
  <c r="V56" i="102" a="1"/>
  <c r="N6" i="102" a="1"/>
  <c r="CM127" i="102" a="1"/>
  <c r="CP117" i="102" a="1"/>
  <c r="CM226" i="102" a="1"/>
  <c r="CH152" i="102" a="1"/>
  <c r="CE125" i="102" a="1"/>
  <c r="BW112" i="102" a="1"/>
  <c r="BZ128" i="102" a="1"/>
  <c r="BR161" i="102" a="1"/>
  <c r="BR185" i="102" a="1"/>
  <c r="BJ164" i="102" a="1"/>
  <c r="BG158" i="102" a="1"/>
  <c r="AI56" i="102" a="1"/>
  <c r="AA43" i="102" a="1"/>
  <c r="S70" i="102" a="1"/>
  <c r="S47" i="102" a="1"/>
  <c r="K75" i="102" a="1"/>
  <c r="CP142" i="102" a="1"/>
  <c r="CM194" i="102" a="1"/>
  <c r="CH100" i="102" a="1"/>
  <c r="CH217" i="102" a="1"/>
  <c r="BW169" i="102" a="1"/>
  <c r="BZ143" i="102" a="1"/>
  <c r="BW28" i="102" a="1"/>
  <c r="BW6" i="102" a="1"/>
  <c r="BR80" i="102" a="1"/>
  <c r="BJ38" i="102" a="1"/>
  <c r="BB51" i="102" a="1"/>
  <c r="AQ65" i="102" a="1"/>
  <c r="AT64" i="102" a="1"/>
  <c r="BW37" i="102" a="1"/>
  <c r="BR69" i="102" a="1"/>
  <c r="BJ15" i="102" a="1"/>
  <c r="BB66" i="102" a="1"/>
  <c r="BB20" i="102" a="1"/>
  <c r="AQ26" i="102" a="1"/>
  <c r="BW20" i="102" a="1"/>
  <c r="BZ69" i="102" a="1"/>
  <c r="BO35" i="102" a="1"/>
  <c r="BJ30" i="102" a="1"/>
  <c r="BB43" i="102" a="1"/>
  <c r="AQ57" i="102" a="1"/>
  <c r="AT20" i="102" a="1"/>
  <c r="BZ25" i="102" a="1"/>
  <c r="BO75" i="102" a="1"/>
  <c r="BJ66" i="102" a="1"/>
  <c r="BJ64" i="102" a="1"/>
  <c r="AY24" i="102" a="1"/>
  <c r="AQ32" i="102" a="1"/>
  <c r="AL81" i="102" a="1"/>
  <c r="BZ21" i="102" a="1"/>
  <c r="BR20" i="102" a="1"/>
  <c r="BJ81" i="102" a="1"/>
  <c r="BB39" i="102" a="1"/>
  <c r="BB7" i="102" a="1"/>
  <c r="AT24" i="102" a="1"/>
  <c r="BZ17" i="102" a="1"/>
  <c r="BO67" i="102" a="1"/>
  <c r="BJ58" i="102" a="1"/>
  <c r="BJ24" i="102" a="1"/>
  <c r="AY22" i="102" a="1"/>
  <c r="AQ24" i="102" a="1"/>
  <c r="AL73" i="102" a="1"/>
  <c r="BZ45" i="102" a="1"/>
  <c r="BR18" i="102" a="1"/>
  <c r="BJ73" i="102" a="1"/>
  <c r="BB31" i="102" a="1"/>
  <c r="AY15" i="102" a="1"/>
  <c r="AT17" i="102" a="1"/>
  <c r="AL10" i="102" a="1"/>
  <c r="BW45" i="102" a="1"/>
  <c r="BR77" i="102" a="1"/>
  <c r="BJ23" i="102" a="1"/>
  <c r="BB74" i="102" a="1"/>
  <c r="BB22" i="102" a="1"/>
  <c r="AQ47" i="102" a="1"/>
  <c r="AI16" i="102" a="1"/>
  <c r="AI21" i="102" a="1"/>
  <c r="AA6" i="102" a="1"/>
  <c r="S34" i="102" a="1"/>
  <c r="K24" i="102" a="1"/>
  <c r="CP202" i="102" a="1"/>
  <c r="CM212" i="102" a="1"/>
  <c r="CM126" i="102" a="1"/>
  <c r="CE106" i="102" a="1"/>
  <c r="CE226" i="102" a="1"/>
  <c r="BZ219" i="102" a="1"/>
  <c r="BZ116" i="102" a="1"/>
  <c r="BO115" i="102" a="1"/>
  <c r="BO139" i="102" a="1"/>
  <c r="BG227" i="102" a="1"/>
  <c r="BJ201" i="102" a="1"/>
  <c r="AY201" i="102" a="1"/>
  <c r="AD76" i="102" a="1"/>
  <c r="S84" i="102" a="1"/>
  <c r="S79" i="102" a="1"/>
  <c r="N20" i="102" a="1"/>
  <c r="CM179" i="102" a="1"/>
  <c r="CP106" i="102" a="1"/>
  <c r="CE105" i="102" a="1"/>
  <c r="CH95" i="102" a="1"/>
  <c r="BW188" i="102" a="1"/>
  <c r="BW148" i="102" a="1"/>
  <c r="BO223" i="102" a="1"/>
  <c r="BR104" i="102" a="1"/>
  <c r="BO136" i="102" a="1"/>
  <c r="BJ123" i="102" a="1"/>
  <c r="BJ96" i="102" a="1"/>
  <c r="AL68" i="102" a="1"/>
  <c r="AA83" i="102" a="1"/>
  <c r="V50" i="102" a="1"/>
  <c r="S40" i="102" a="1"/>
  <c r="K64" i="102" a="1"/>
  <c r="CP222" i="102" a="1"/>
  <c r="CM200" i="102" a="1"/>
  <c r="CH180" i="102" a="1"/>
  <c r="CE158" i="102" a="1"/>
  <c r="BZ122" i="102" a="1"/>
  <c r="BZ223" i="102" a="1"/>
  <c r="BR157" i="102" a="1"/>
  <c r="BO167" i="102" a="1"/>
  <c r="BO146" i="102" a="1"/>
  <c r="BJ184" i="102" a="1"/>
  <c r="BJ176" i="102" a="1"/>
  <c r="AI17" i="102" a="1"/>
  <c r="AD37" i="102" a="1"/>
  <c r="V24" i="102" a="1"/>
  <c r="N17" i="102" a="1"/>
  <c r="CM172" i="102" a="1"/>
  <c r="CP194" i="102" a="1"/>
  <c r="CP166" i="102" a="1"/>
  <c r="CH229" i="102" a="1"/>
  <c r="CE100" i="102" a="1"/>
  <c r="BW189" i="102" a="1"/>
  <c r="BW133" i="102" a="1"/>
  <c r="BR97" i="102" a="1"/>
  <c r="BO216" i="102" a="1"/>
  <c r="BJ209" i="102" a="1"/>
  <c r="BG171" i="102" a="1"/>
  <c r="AL77" i="102" a="1"/>
  <c r="AA80" i="102" a="1"/>
  <c r="S38" i="102" a="1"/>
  <c r="S8" i="102" a="1"/>
  <c r="N68" i="102" a="1"/>
  <c r="CP219" i="102" a="1"/>
  <c r="CM187" i="102" a="1"/>
  <c r="CH177" i="102" a="1"/>
  <c r="CH153" i="102" a="1"/>
  <c r="BW105" i="102" a="1"/>
  <c r="BZ220" i="102" a="1"/>
  <c r="BW65" i="102" a="1"/>
  <c r="BW12" i="102" a="1"/>
  <c r="BO82" i="102" a="1"/>
  <c r="BG69" i="102" a="1"/>
  <c r="AY66" i="102" a="1"/>
  <c r="AQ33" i="102" a="1"/>
  <c r="AI84" i="102" a="1"/>
  <c r="BW66" i="102" a="1"/>
  <c r="BR37" i="102" a="1"/>
  <c r="BG54" i="102" a="1"/>
  <c r="AY81" i="102" a="1"/>
  <c r="BB27" i="102" a="1"/>
  <c r="AQ39" i="102" a="1"/>
  <c r="BW57" i="102" a="1"/>
  <c r="BW23" i="102" a="1"/>
  <c r="BR40" i="102" a="1"/>
  <c r="BG61" i="102" a="1"/>
  <c r="AY58" i="102" a="1"/>
  <c r="AQ25" i="102" a="1"/>
  <c r="AI76" i="102" a="1"/>
  <c r="BZ62" i="102" a="1"/>
  <c r="BO43" i="102" a="1"/>
  <c r="BJ34" i="102" a="1"/>
  <c r="BG21" i="102" a="1"/>
  <c r="AY72" i="102" a="1"/>
  <c r="AQ69" i="102" a="1"/>
  <c r="AL49" i="102" a="1"/>
  <c r="BZ29" i="102" a="1"/>
  <c r="BO42" i="102" a="1"/>
  <c r="BJ49" i="102" a="1"/>
  <c r="AY78" i="102" a="1"/>
  <c r="AQ76" i="102" a="1"/>
  <c r="AT32" i="102" a="1"/>
  <c r="BZ54" i="102" a="1"/>
  <c r="BO80" i="102" a="1"/>
  <c r="BJ26" i="102" a="1"/>
  <c r="BG12" i="102" a="1"/>
  <c r="AY39" i="102" a="1"/>
  <c r="AQ61" i="102" a="1"/>
  <c r="AL41" i="102" a="1"/>
  <c r="BZ7" i="102" a="1"/>
  <c r="BO33" i="102" a="1"/>
  <c r="BJ41" i="102" a="1"/>
  <c r="AY70" i="102" a="1"/>
  <c r="AQ68" i="102" a="1"/>
  <c r="AQ22" i="102" a="1"/>
  <c r="AL24" i="102" a="1"/>
  <c r="BW74" i="102" a="1"/>
  <c r="BR45" i="102" a="1"/>
  <c r="BG62" i="102" a="1"/>
  <c r="BB42" i="102" a="1"/>
  <c r="BB17" i="102" a="1"/>
  <c r="AQ66" i="102" a="1"/>
  <c r="AL53" i="102" a="1"/>
  <c r="AL13" i="102" a="1"/>
  <c r="AD6" i="102" a="1"/>
  <c r="V63" i="102" a="1"/>
  <c r="K35" i="102" a="1"/>
  <c r="CP231" i="102" a="1"/>
  <c r="CM225" i="102" a="1"/>
  <c r="CH205" i="102" a="1"/>
  <c r="CE183" i="102" a="1"/>
  <c r="CE178" i="102" a="1"/>
  <c r="BZ200" i="102" a="1"/>
  <c r="BW136" i="102" a="1"/>
  <c r="BO192" i="102" a="1"/>
  <c r="BR182" i="102" a="1"/>
  <c r="BG163" i="102" a="1"/>
  <c r="BG216" i="102" a="1"/>
  <c r="AL84" i="102" a="1"/>
  <c r="AD44" i="102" a="1"/>
  <c r="S52" i="102" a="1"/>
  <c r="V7" i="102" a="1"/>
  <c r="N62" i="102" a="1"/>
  <c r="CM224" i="102" a="1"/>
  <c r="CP118" i="102" a="1"/>
  <c r="CE182" i="102" a="1"/>
  <c r="CH172" i="102" a="1"/>
  <c r="BW124" i="102" a="1"/>
  <c r="BW225" i="102" a="1"/>
  <c r="BO159" i="102" a="1"/>
  <c r="BR181" i="102" a="1"/>
  <c r="BR192" i="102" a="1"/>
  <c r="BG186" i="102" a="1"/>
  <c r="BG101" i="102" a="1"/>
  <c r="AI64" i="102" a="1"/>
  <c r="AA51" i="102" a="1"/>
  <c r="S78" i="102" a="1"/>
  <c r="S13" i="102" a="1"/>
  <c r="K67" i="102" a="1"/>
  <c r="CP158" i="102" a="1"/>
  <c r="CM99" i="102" a="1"/>
  <c r="CH116" i="102" a="1"/>
  <c r="CE94" i="102" a="1"/>
  <c r="BW185" i="102" a="1"/>
  <c r="BZ159" i="102" a="1"/>
  <c r="BR93" i="102" a="1"/>
  <c r="BO103" i="102" a="1"/>
  <c r="BO162" i="102" a="1"/>
  <c r="BJ120" i="102" a="1"/>
  <c r="BG142" i="102" a="1"/>
  <c r="AL15" i="102" a="1"/>
  <c r="AA33" i="102" a="1"/>
  <c r="S37" i="102" a="1"/>
  <c r="N49" i="102" a="1"/>
  <c r="CM201" i="102" a="1"/>
  <c r="CP207" i="102" a="1"/>
  <c r="CE175" i="102" a="1"/>
  <c r="CH165" i="102" a="1"/>
  <c r="CE165" i="102" a="1"/>
  <c r="BW170" i="102" a="1"/>
  <c r="BW33" i="102" a="1"/>
  <c r="BO84" i="102" a="1"/>
  <c r="BR7" i="102" a="1"/>
  <c r="BG79" i="102" a="1"/>
  <c r="AY34" i="102" a="1"/>
  <c r="AT76" i="102" a="1"/>
  <c r="AI52" i="102" a="1"/>
  <c r="BW8" i="102" a="1"/>
  <c r="BO50" i="102" a="1"/>
  <c r="BG22" i="102" a="1"/>
  <c r="AY49" i="102" a="1"/>
  <c r="AY8" i="102" a="1"/>
  <c r="AT40" i="102" a="1"/>
  <c r="BW25" i="102" a="1"/>
  <c r="BO76" i="102" a="1"/>
  <c r="BO53" i="102" a="1"/>
  <c r="BG71" i="102" a="1"/>
  <c r="AY26" i="102" a="1"/>
  <c r="AT68" i="102" a="1"/>
  <c r="AI44" i="102" a="1"/>
  <c r="BZ30" i="102" a="1"/>
  <c r="BO56" i="102" a="1"/>
  <c r="BJ71" i="102" a="1"/>
  <c r="BG15" i="102" a="1"/>
  <c r="AY19" i="102" a="1"/>
  <c r="AQ37" i="102" a="1"/>
  <c r="BZ82" i="102" a="1"/>
  <c r="BW10" i="102" a="1"/>
  <c r="BR83" i="102" a="1"/>
  <c r="BJ17" i="102" a="1"/>
  <c r="AY46" i="102" a="1"/>
  <c r="AQ44" i="102" a="1"/>
  <c r="AQ29" i="102" a="1"/>
  <c r="BZ22" i="102" a="1"/>
  <c r="BO48" i="102" a="1"/>
  <c r="BJ63" i="102" a="1"/>
  <c r="BJ7" i="102" a="1"/>
  <c r="BB10" i="102" a="1"/>
  <c r="AT72" i="102" a="1"/>
  <c r="BZ74" i="102" a="1"/>
  <c r="BW9" i="102" a="1"/>
  <c r="BR51" i="102" a="1"/>
  <c r="BJ78" i="102" a="1"/>
  <c r="AY38" i="102" a="1"/>
  <c r="AQ36" i="102" a="1"/>
  <c r="AQ15" i="102" a="1"/>
  <c r="AL19" i="102" a="1"/>
  <c r="BZ15" i="102" a="1"/>
  <c r="BR75" i="102" a="1"/>
  <c r="BG30" i="102" a="1"/>
  <c r="AY57" i="102" a="1"/>
  <c r="AY14" i="102" a="1"/>
  <c r="AT77" i="102" a="1"/>
  <c r="AL21" i="102" a="1"/>
  <c r="AI20" i="102" a="1"/>
  <c r="AA22" i="102" a="1"/>
  <c r="S17" i="102" a="1"/>
  <c r="K17" i="102" a="1"/>
  <c r="CP167" i="102" a="1"/>
  <c r="CM161" i="102" a="1"/>
  <c r="CH141" i="102" a="1"/>
  <c r="CE119" i="102" a="1"/>
  <c r="CH163" i="102" a="1"/>
  <c r="BZ136" i="102" a="1"/>
  <c r="BZ166" i="102" a="1"/>
  <c r="BO128" i="102" a="1"/>
  <c r="BR211" i="102" a="1"/>
  <c r="BG99" i="102" a="1"/>
  <c r="BG152" i="102" a="1"/>
  <c r="AL70" i="102" a="1"/>
  <c r="AD57" i="102" a="1"/>
  <c r="V84" i="102" a="1"/>
  <c r="S24" i="102" a="1"/>
  <c r="N65" i="102" a="1"/>
  <c r="CM160" i="102" a="1"/>
  <c r="CM120" i="102" a="1"/>
  <c r="CE118" i="102" a="1"/>
  <c r="CH108" i="102" a="1"/>
  <c r="BZ199" i="102" a="1"/>
  <c r="BW161" i="102" a="1"/>
  <c r="BO95" i="102" a="1"/>
  <c r="BR117" i="102" a="1"/>
  <c r="BO98" i="102" a="1"/>
  <c r="BG122" i="102" a="1"/>
  <c r="BJ105" i="102" a="1"/>
  <c r="AI24" i="102" a="1"/>
  <c r="AA19" i="102" a="1"/>
  <c r="S46" i="102" a="1"/>
  <c r="S29" i="102" a="1"/>
  <c r="N60" i="102" a="1"/>
  <c r="CP94" i="102" a="1"/>
  <c r="CM94" i="102" a="1"/>
  <c r="CH193" i="102" a="1"/>
  <c r="CH169" i="102" a="1"/>
  <c r="BW121" i="102" a="1"/>
  <c r="BZ95" i="102" a="1"/>
  <c r="BR170" i="102" a="1"/>
  <c r="BO180" i="102" a="1"/>
  <c r="BJ205" i="102" a="1"/>
  <c r="BJ197" i="102" a="1"/>
  <c r="BJ102" i="102" a="1"/>
  <c r="AA84" i="102" a="1"/>
  <c r="AD28" i="102" a="1"/>
  <c r="S7" i="102" a="1"/>
  <c r="N31" i="102" a="1"/>
  <c r="CM137" i="102" a="1"/>
  <c r="CP143" i="102" a="1"/>
  <c r="CE111" i="102" a="1"/>
  <c r="BW62" i="102" a="1"/>
  <c r="BO52" i="102" a="1"/>
  <c r="BO36" i="102" a="1"/>
  <c r="BG47" i="102" a="1"/>
  <c r="BB53" i="102" a="1"/>
  <c r="AT44" i="102" a="1"/>
  <c r="AI73" i="102" a="1"/>
  <c r="BW13" i="102" a="1"/>
  <c r="BO6" i="102" a="1"/>
  <c r="BG59" i="102" a="1"/>
  <c r="AY17" i="102" a="1"/>
  <c r="AY9" i="102" a="1"/>
  <c r="AQ82" i="102" a="1"/>
  <c r="BW54" i="102" a="1"/>
  <c r="BO44" i="102" a="1"/>
  <c r="BO74" i="102" a="1"/>
  <c r="BG39" i="102" a="1"/>
  <c r="BB78" i="102" a="1"/>
  <c r="AT36" i="102" a="1"/>
  <c r="AI65" i="102" a="1"/>
  <c r="BW61" i="102" a="1"/>
  <c r="BO24" i="102" a="1"/>
  <c r="BJ39" i="102" a="1"/>
  <c r="BJ9" i="102" a="1"/>
  <c r="AY75" i="102" a="1"/>
  <c r="AQ11" i="102" a="1"/>
  <c r="BW44" i="102" a="1"/>
  <c r="BZ23" i="102" a="1"/>
  <c r="BR14" i="102" a="1"/>
  <c r="BJ54" i="102" a="1"/>
  <c r="BB67" i="102" a="1"/>
  <c r="AQ81" i="102" a="1"/>
  <c r="AT41" i="102" a="1"/>
  <c r="BW53" i="102" a="1"/>
  <c r="BO16" i="102" a="1"/>
  <c r="BJ31" i="102" a="1"/>
  <c r="BB82" i="102" a="1"/>
  <c r="BB57" i="102" a="1"/>
  <c r="AT69" i="102" a="1"/>
  <c r="BW36" i="102" a="1"/>
  <c r="BW7" i="102" a="1"/>
  <c r="BR6" i="102" a="1"/>
  <c r="BJ46" i="102" a="1"/>
  <c r="BB59" i="102" a="1"/>
  <c r="AQ73" i="102" a="1"/>
  <c r="AT12" i="102" a="1"/>
  <c r="AI45" i="102" a="1"/>
  <c r="BW31" i="102" a="1"/>
  <c r="BO14" i="102" a="1"/>
  <c r="BG67" i="102" a="1"/>
  <c r="AY25" i="102" a="1"/>
  <c r="BB69" i="102" a="1"/>
  <c r="AQ10" i="102" a="1"/>
  <c r="AI9" i="102" a="1"/>
  <c r="AD66" i="102" a="1"/>
  <c r="AA37" i="102" a="1"/>
  <c r="V26" i="102" a="1"/>
  <c r="N38" i="102" a="1"/>
  <c r="CP103" i="102" a="1"/>
  <c r="CM190" i="102" a="1"/>
  <c r="CE188" i="102" a="1"/>
  <c r="CE180" i="102" a="1"/>
  <c r="CE162" i="102" a="1"/>
  <c r="BZ213" i="102" a="1"/>
  <c r="BZ144" i="102" a="1"/>
  <c r="BO189" i="102" a="1"/>
  <c r="BR147" i="102" a="1"/>
  <c r="BG176" i="102" a="1"/>
  <c r="BJ227" i="102" a="1"/>
  <c r="AL30" i="102" a="1"/>
  <c r="AD25" i="102" a="1"/>
  <c r="V52" i="102" a="1"/>
  <c r="S25" i="102" a="1"/>
  <c r="K50" i="102" a="1"/>
  <c r="CM96" i="102" a="1"/>
  <c r="CP96" i="102" a="1"/>
  <c r="CE195" i="102" a="1"/>
  <c r="CE171" i="102" a="1"/>
  <c r="BZ135" i="102" a="1"/>
  <c r="BW97" i="102" a="1"/>
  <c r="BO172" i="102" a="1"/>
  <c r="BR194" i="102" a="1"/>
  <c r="BG207" i="102" a="1"/>
  <c r="BG199" i="102" a="1"/>
  <c r="BG108" i="102" a="1"/>
  <c r="AL45" i="102" a="1"/>
  <c r="AA56" i="102" a="1"/>
  <c r="S83" i="102" a="1"/>
  <c r="K20" i="102" a="1"/>
  <c r="N69" i="102" a="1"/>
  <c r="CP171" i="102" a="1"/>
  <c r="CM101" i="102" a="1"/>
  <c r="CH129" i="102" a="1"/>
  <c r="CH105" i="102" a="1"/>
  <c r="BW198" i="102" a="1"/>
  <c r="BZ172" i="102" a="1"/>
  <c r="BR106" i="102" a="1"/>
  <c r="BO116" i="102" a="1"/>
  <c r="BJ141" i="102" a="1"/>
  <c r="BJ133" i="102" a="1"/>
  <c r="BG116" i="102" a="1"/>
  <c r="AA52" i="102" a="1"/>
  <c r="AD19" i="102" a="1"/>
  <c r="S12" i="102" a="1"/>
  <c r="K58" i="102" a="1"/>
  <c r="BW30" i="102" a="1"/>
  <c r="BO65" i="102" a="1"/>
  <c r="BR26" i="102" a="1"/>
  <c r="BJ72" i="102" a="1"/>
  <c r="AY31" i="102" a="1"/>
  <c r="AT73" i="102" a="1"/>
  <c r="AI41" i="102" a="1"/>
  <c r="BW71" i="102" a="1"/>
  <c r="BR15" i="102" a="1"/>
  <c r="BG27" i="102" a="1"/>
  <c r="BB60" i="102" a="1"/>
  <c r="AT58" i="102" a="1"/>
  <c r="AQ71" i="102" a="1"/>
  <c r="BW22" i="102" a="1"/>
  <c r="BO57" i="102" a="1"/>
  <c r="BR32" i="102" a="1"/>
  <c r="BJ19" i="102" a="1"/>
  <c r="BB14" i="102" a="1"/>
  <c r="AT65" i="102" a="1"/>
  <c r="AI33" i="102" a="1"/>
  <c r="BW29" i="102" a="1"/>
  <c r="BR61" i="102" a="1"/>
  <c r="BG78" i="102" a="1"/>
  <c r="BB58" i="102" a="1"/>
  <c r="BB9" i="102" a="1"/>
  <c r="AT14" i="102" a="1"/>
  <c r="BW81" i="102" a="1"/>
  <c r="BZ32" i="102" a="1"/>
  <c r="BO26" i="102" a="1"/>
  <c r="BJ22" i="102" a="1"/>
  <c r="AY82" i="102" a="1"/>
  <c r="AQ49" i="102" a="1"/>
  <c r="AQ9" i="102" a="1"/>
  <c r="BW82" i="102" a="1"/>
  <c r="BR53" i="102" a="1"/>
  <c r="BG70" i="102" a="1"/>
  <c r="BB50" i="102" a="1"/>
  <c r="AY35" i="102" a="1"/>
  <c r="AT6" i="102" a="1"/>
  <c r="BW73" i="102" a="1"/>
  <c r="BW17" i="102" a="1"/>
  <c r="BO13" i="102" a="1"/>
  <c r="BG77" i="102" a="1"/>
  <c r="AY74" i="102" a="1"/>
  <c r="AQ41" i="102" a="1"/>
  <c r="AT7" i="102" a="1"/>
  <c r="AI42" i="102" a="1"/>
  <c r="BW58" i="102" a="1"/>
  <c r="BR17" i="102" a="1"/>
  <c r="BG35" i="102" a="1"/>
  <c r="BB68" i="102" a="1"/>
  <c r="AT66" i="102" a="1"/>
  <c r="AT13" i="102" a="1"/>
  <c r="AL23" i="102" a="1"/>
  <c r="AD34" i="102" a="1"/>
  <c r="AA63" i="102" a="1"/>
  <c r="V53" i="102" a="1"/>
  <c r="N80" i="102" a="1"/>
  <c r="CP180" i="102" a="1"/>
  <c r="CP230" i="102" a="1"/>
  <c r="CE124" i="102" a="1"/>
  <c r="CE225" i="102" a="1"/>
  <c r="BZ189" i="102" a="1"/>
  <c r="BZ149" i="102" a="1"/>
  <c r="BW93" i="102" a="1"/>
  <c r="BO125" i="102" a="1"/>
  <c r="BO130" i="102" a="1"/>
  <c r="BG112" i="102" a="1"/>
  <c r="BJ163" i="102" a="1"/>
  <c r="AI47" i="102" a="1"/>
  <c r="AD62" i="102" a="1"/>
  <c r="V20" i="102" a="1"/>
  <c r="N18" i="102" a="1"/>
  <c r="K49" i="102" a="1"/>
  <c r="CM173" i="102" a="1"/>
  <c r="CP105" i="102" a="1"/>
  <c r="CE131" i="102" a="1"/>
  <c r="CE107" i="102" a="1"/>
  <c r="BZ212" i="102" a="1"/>
  <c r="BW174" i="102" a="1"/>
  <c r="BO108" i="102" a="1"/>
  <c r="BR130" i="102" a="1"/>
  <c r="BG143" i="102" a="1"/>
  <c r="BG135" i="102" a="1"/>
  <c r="BJ116" i="102" a="1"/>
  <c r="AL43" i="102" a="1"/>
  <c r="AA24" i="102" a="1"/>
  <c r="S51" i="102" a="1"/>
  <c r="K52" i="102" a="1"/>
  <c r="N79" i="102" a="1"/>
  <c r="CP107" i="102" a="1"/>
  <c r="CM110" i="102" a="1"/>
  <c r="CH206" i="102" a="1"/>
  <c r="CE168" i="102" a="1"/>
  <c r="BW134" i="102" a="1"/>
  <c r="BZ185" i="102" a="1"/>
  <c r="BO169" i="102" a="1"/>
  <c r="BO177" i="102" a="1"/>
  <c r="BJ218" i="102" a="1"/>
  <c r="BJ210" i="102" a="1"/>
  <c r="BJ99" i="102" a="1"/>
  <c r="AA20" i="102" a="1"/>
  <c r="AD29" i="102" a="1"/>
  <c r="V17" i="102" a="1"/>
  <c r="K30" i="102" a="1"/>
  <c r="CM150" i="102" a="1"/>
  <c r="CM155" i="102" a="1"/>
  <c r="CE217" i="102" a="1"/>
  <c r="CH207" i="102" a="1"/>
  <c r="BW159" i="102" a="1"/>
  <c r="BW119" i="102" a="1"/>
  <c r="BZ192" i="102" a="1"/>
  <c r="BR216" i="102" a="1"/>
  <c r="BR105" i="102" a="1"/>
  <c r="BJ94" i="102" a="1"/>
  <c r="BG133" i="102" a="1"/>
  <c r="AL80" i="102" a="1"/>
  <c r="BW67" i="102" a="1"/>
  <c r="BR84" i="102" a="1"/>
  <c r="BR67" i="102" a="1"/>
  <c r="BG6" i="102" a="1"/>
  <c r="BB37" i="102" a="1"/>
  <c r="AT78" i="102" a="1"/>
  <c r="BW60" i="102" a="1"/>
  <c r="BW11" i="102" a="1"/>
  <c r="BO30" i="102" a="1"/>
  <c r="BG64" i="102" a="1"/>
  <c r="AY77" i="102" a="1"/>
  <c r="AT26" i="102" a="1"/>
  <c r="AQ79" i="102" a="1"/>
  <c r="BW59" i="102" a="1"/>
  <c r="BR76" i="102" a="1"/>
  <c r="BR44" i="102" a="1"/>
  <c r="BJ48" i="102" a="1"/>
  <c r="AY28" i="102" a="1"/>
  <c r="AT70" i="102" a="1"/>
  <c r="AL60" i="102" a="1"/>
  <c r="BZ48" i="102" a="1"/>
  <c r="BR29" i="102" a="1"/>
  <c r="BG46" i="102" a="1"/>
  <c r="AY73" i="102" a="1"/>
  <c r="BB26" i="102" a="1"/>
  <c r="AQ27" i="102" a="1"/>
  <c r="BW49" i="102" a="1"/>
  <c r="BW79" i="102" a="1"/>
  <c r="BR25" i="102" a="1"/>
  <c r="BG53" i="102" a="1"/>
  <c r="AY50" i="102" a="1"/>
  <c r="AQ17" i="102" a="1"/>
  <c r="AI68" i="102" a="1"/>
  <c r="BW21" i="102" a="1"/>
  <c r="BR21" i="102" a="1"/>
  <c r="BG38" i="102" a="1"/>
  <c r="AY65" i="102" a="1"/>
  <c r="BB6" i="102" a="1"/>
  <c r="AQ13" i="102" a="1"/>
  <c r="BW41" i="102" a="1"/>
  <c r="BZ61" i="102" a="1"/>
  <c r="BR23" i="102" a="1"/>
  <c r="BG45" i="102" a="1"/>
  <c r="AY42" i="102" a="1"/>
  <c r="AT84" i="102" a="1"/>
  <c r="AI60" i="102" a="1"/>
  <c r="BW68" i="102" a="1"/>
  <c r="BZ40" i="102" a="1"/>
  <c r="BR43" i="102" a="1"/>
  <c r="BG72" i="102" a="1"/>
  <c r="BB36" i="102" a="1"/>
  <c r="AT34" i="102" a="1"/>
  <c r="AQ12" i="102" a="1"/>
  <c r="AL18" i="102" a="1"/>
  <c r="AD71" i="102" a="1"/>
  <c r="AA41" i="102" a="1"/>
  <c r="V37" i="102" a="1"/>
  <c r="K61" i="102" a="1"/>
  <c r="CP116" i="102" a="1"/>
  <c r="CM97" i="102" a="1"/>
  <c r="CH183" i="102" a="1"/>
  <c r="CE161" i="102" a="1"/>
  <c r="BZ125" i="102" a="1"/>
  <c r="BZ226" i="102" a="1"/>
  <c r="BZ102" i="102" a="1"/>
  <c r="BO170" i="102" a="1"/>
  <c r="BO120" i="102" a="1"/>
  <c r="BG189" i="102" a="1"/>
  <c r="BG146" i="102" a="1"/>
  <c r="AI61" i="102" a="1"/>
  <c r="AD30" i="102" a="1"/>
  <c r="V57" i="102" a="1"/>
  <c r="N50" i="102" a="1"/>
  <c r="K73" i="102" a="1"/>
  <c r="CM109" i="102" a="1"/>
  <c r="CP112" i="102" a="1"/>
  <c r="CE208" i="102" a="1"/>
  <c r="CH182" i="102" a="1"/>
  <c r="BZ148" i="102" a="1"/>
  <c r="BW187" i="102" a="1"/>
  <c r="BR183" i="102" a="1"/>
  <c r="BR191" i="102" a="1"/>
  <c r="BG220" i="102" a="1"/>
  <c r="BG212" i="102" a="1"/>
  <c r="BG102" i="102" a="1"/>
  <c r="AL25" i="102" a="1"/>
  <c r="AD59" i="102" a="1"/>
  <c r="S72" i="102" a="1"/>
  <c r="N37" i="102" a="1"/>
  <c r="K38" i="102" a="1"/>
  <c r="CM170" i="102" a="1"/>
  <c r="CM210" i="102" a="1"/>
  <c r="CH142" i="102" a="1"/>
  <c r="CE104" i="102" a="1"/>
  <c r="BZ177" i="102" a="1"/>
  <c r="BZ121" i="102" a="1"/>
  <c r="BO230" i="102" a="1"/>
  <c r="BO113" i="102" a="1"/>
  <c r="BJ154" i="102" a="1"/>
  <c r="BJ146" i="102" a="1"/>
  <c r="BB189" i="102" a="1"/>
  <c r="AA57" i="102" a="1"/>
  <c r="AD23" i="102" a="1"/>
  <c r="V45" i="102" a="1"/>
  <c r="N75" i="102" a="1"/>
  <c r="CM227" i="102" a="1"/>
  <c r="CM178" i="102" a="1"/>
  <c r="CE153" i="102" a="1"/>
  <c r="CH143" i="102" a="1"/>
  <c r="BW95" i="102" a="1"/>
  <c r="BW196" i="102" a="1"/>
  <c r="BW118" i="102" a="1"/>
  <c r="BR152" i="102" a="1"/>
  <c r="BO178" i="102" a="1"/>
  <c r="BJ171" i="102" a="1"/>
  <c r="BJ106" i="102" a="1"/>
  <c r="AI74" i="102" a="1"/>
  <c r="AD32" i="102" a="1"/>
  <c r="S82" i="102" a="1"/>
  <c r="K29" i="102" a="1"/>
  <c r="CP189" i="102" a="1"/>
  <c r="CM167" i="102" a="1"/>
  <c r="CM197" i="102" a="1"/>
  <c r="CE202" i="102" a="1"/>
  <c r="CH106" i="102" a="1"/>
  <c r="BZ174" i="102" a="1"/>
  <c r="BW157" i="102" a="1"/>
  <c r="BW35" i="102" a="1"/>
  <c r="BR52" i="102" a="1"/>
  <c r="BG76" i="102" a="1"/>
  <c r="BJ8" i="102" a="1"/>
  <c r="BB62" i="102" a="1"/>
  <c r="AT46" i="102" a="1"/>
  <c r="BZ26" i="102" a="1"/>
  <c r="BW26" i="102" a="1"/>
  <c r="BO66" i="102" a="1"/>
  <c r="BG32" i="102" a="1"/>
  <c r="AY45" i="102" a="1"/>
  <c r="AT63" i="102" a="1"/>
  <c r="AT27" i="102" a="1"/>
  <c r="BW27" i="102" a="1"/>
  <c r="BR81" i="102" a="1"/>
  <c r="BG68" i="102" a="1"/>
  <c r="BG82" i="102" a="1"/>
  <c r="AY43" i="102" a="1"/>
  <c r="AT38" i="102" a="1"/>
  <c r="AI83" i="102" a="1"/>
  <c r="BZ24" i="102" a="1"/>
  <c r="BR36" i="102" a="1"/>
  <c r="BG83" i="102" a="1"/>
  <c r="AY41" i="102" a="1"/>
  <c r="BB18" i="102" a="1"/>
  <c r="AT29" i="102" a="1"/>
  <c r="BW78" i="102" a="1"/>
  <c r="BO68" i="102" a="1"/>
  <c r="BR28" i="102" a="1"/>
  <c r="BG63" i="102" a="1"/>
  <c r="AY18" i="102" a="1"/>
  <c r="AT60" i="102" a="1"/>
  <c r="AI36" i="102" a="1"/>
  <c r="BZ77" i="102" a="1"/>
  <c r="BR19" i="102" a="1"/>
  <c r="BG75" i="102" a="1"/>
  <c r="AY33" i="102" a="1"/>
  <c r="AY6" i="102" a="1"/>
  <c r="AQ21" i="102" a="1"/>
  <c r="BW70" i="102" a="1"/>
  <c r="BO60" i="102" a="1"/>
  <c r="BO19" i="102" a="1"/>
  <c r="BG55" i="102" a="1"/>
  <c r="AY71" i="102" a="1"/>
  <c r="AT52" i="102" a="1"/>
  <c r="AI81" i="102" a="1"/>
  <c r="BZ34" i="102" a="1"/>
  <c r="BW14" i="102" a="1"/>
  <c r="BO77" i="102" a="1"/>
  <c r="BG40" i="102" a="1"/>
  <c r="AY53" i="102" a="1"/>
  <c r="AT71" i="102" a="1"/>
  <c r="AQ6" i="102" a="1"/>
  <c r="AI34" i="102" a="1"/>
  <c r="AA78" i="102" a="1"/>
  <c r="AA38" i="102" a="1"/>
  <c r="V9" i="102" a="1"/>
  <c r="N81" i="102" a="1"/>
  <c r="CP193" i="102" a="1"/>
  <c r="CP108" i="102" a="1"/>
  <c r="CH119" i="102" a="1"/>
  <c r="CE97" i="102" a="1"/>
  <c r="BZ202" i="102" a="1"/>
  <c r="BZ162" i="102" a="1"/>
  <c r="BZ208" i="102" a="1"/>
  <c r="BO106" i="102" a="1"/>
  <c r="BR118" i="102" a="1"/>
  <c r="BG125" i="102" a="1"/>
  <c r="BJ98" i="102" a="1"/>
  <c r="AL27" i="102" a="1"/>
  <c r="AA61" i="102" a="1"/>
  <c r="V78" i="102" a="1"/>
  <c r="K31" i="102" a="1"/>
  <c r="K32" i="102" a="1"/>
  <c r="CP184" i="102" a="1"/>
  <c r="CM117" i="102" a="1"/>
  <c r="CE144" i="102" a="1"/>
  <c r="CH118" i="102" a="1"/>
  <c r="BW179" i="102" a="1"/>
  <c r="BW123" i="102" a="1"/>
  <c r="BR119" i="102" a="1"/>
  <c r="BR127" i="102" a="1"/>
  <c r="BG156" i="102" a="1"/>
  <c r="BG148" i="102" a="1"/>
  <c r="AY191" i="102" a="1"/>
  <c r="AL12" i="102" a="1"/>
  <c r="AD72" i="102" a="1"/>
  <c r="S77" i="102" a="1"/>
  <c r="N16" i="102" a="1"/>
  <c r="K68" i="102" a="1"/>
  <c r="CM106" i="102" a="1"/>
  <c r="CP208" i="102" a="1"/>
  <c r="CH203" i="102" a="1"/>
  <c r="CE229" i="102" a="1"/>
  <c r="BZ113" i="102" a="1"/>
  <c r="BW229" i="102" a="1"/>
  <c r="BO166" i="102" a="1"/>
  <c r="BR188" i="102" a="1"/>
  <c r="BG201" i="102" a="1"/>
  <c r="BJ191" i="102" a="1"/>
  <c r="BB125" i="102" a="1"/>
  <c r="AD68" i="102" a="1"/>
  <c r="S76" i="102" a="1"/>
  <c r="V55" i="102" a="1"/>
  <c r="K63" i="102" a="1"/>
  <c r="CM163" i="102" a="1"/>
  <c r="CP217" i="102" a="1"/>
  <c r="CE230" i="102" a="1"/>
  <c r="CH220" i="102" a="1"/>
  <c r="BW172" i="102" a="1"/>
  <c r="BW132" i="102" a="1"/>
  <c r="BW72" i="102" a="1"/>
  <c r="BR57" i="102" a="1"/>
  <c r="BG44" i="102" a="1"/>
  <c r="BG74" i="102" a="1"/>
  <c r="BB77" i="102" a="1"/>
  <c r="AT83" i="102" a="1"/>
  <c r="BZ63" i="102" a="1"/>
  <c r="BZ10" i="102" a="1"/>
  <c r="BR64" i="102" a="1"/>
  <c r="BJ67" i="102" a="1"/>
  <c r="BB64" i="102" a="1"/>
  <c r="AT31" i="102" a="1"/>
  <c r="AL82" i="102" a="1"/>
  <c r="BW64" i="102" a="1"/>
  <c r="BR49" i="102" a="1"/>
  <c r="BG36" i="102" a="1"/>
  <c r="BJ35" i="102" a="1"/>
  <c r="BB81" i="102" a="1"/>
  <c r="AT75" i="102" a="1"/>
  <c r="AI51" i="102" a="1"/>
  <c r="BW47" i="102" a="1"/>
  <c r="BO58" i="102" a="1"/>
  <c r="BG51" i="102" a="1"/>
  <c r="BB84" i="102" a="1"/>
  <c r="AT82" i="102" a="1"/>
  <c r="AT56" i="102" a="1"/>
  <c r="BW46" i="102" a="1"/>
  <c r="BO81" i="102" a="1"/>
  <c r="BO37" i="102" a="1"/>
  <c r="BG31" i="102" a="1"/>
  <c r="AY59" i="102" a="1"/>
  <c r="AT28" i="102" a="1"/>
  <c r="AI57" i="102" a="1"/>
  <c r="BW15" i="102" a="1"/>
  <c r="BO38" i="102" a="1"/>
  <c r="BG43" i="102" a="1"/>
  <c r="BB76" i="102" a="1"/>
  <c r="AT74" i="102" a="1"/>
  <c r="AT25" i="102" a="1"/>
  <c r="BW38" i="102" a="1"/>
  <c r="BO73" i="102" a="1"/>
  <c r="BO7" i="102" a="1"/>
  <c r="BG23" i="102" a="1"/>
  <c r="BB41" i="102" a="1"/>
  <c r="AT81" i="102" a="1"/>
  <c r="AI49" i="102" a="1"/>
  <c r="BZ71" i="102" a="1"/>
  <c r="BW16" i="102" a="1"/>
  <c r="BR11" i="102" a="1"/>
  <c r="BJ75" i="102" a="1"/>
  <c r="BB72" i="102" a="1"/>
  <c r="AT39" i="102" a="1"/>
  <c r="AQ34" i="102" a="1"/>
  <c r="AL33" i="102" a="1"/>
  <c r="AA46" i="102" a="1"/>
  <c r="V58" i="102" a="1"/>
  <c r="S9" i="102" a="1"/>
  <c r="K56" i="102" a="1"/>
  <c r="CP129" i="102" a="1"/>
  <c r="CP146" i="102" a="1"/>
  <c r="CH196" i="102" a="1"/>
  <c r="CE174" i="102" a="1"/>
  <c r="BZ138" i="102" a="1"/>
  <c r="BZ98" i="102" a="1"/>
  <c r="BR173" i="102" a="1"/>
  <c r="BO183" i="102" a="1"/>
  <c r="BR134" i="102" a="1"/>
  <c r="BJ200" i="102" a="1"/>
  <c r="BJ114" i="102" a="1"/>
  <c r="AI14" i="102" a="1"/>
  <c r="AA74" i="102" a="1"/>
  <c r="V83" i="102" a="1"/>
  <c r="K10" i="102" a="1"/>
  <c r="N66" i="102" a="1"/>
  <c r="CP120" i="102" a="1"/>
  <c r="CP93" i="102" a="1"/>
  <c r="CE205" i="102" a="1"/>
  <c r="CE98" i="102" a="1"/>
  <c r="BW115" i="102" a="1"/>
  <c r="BZ198" i="102" a="1"/>
  <c r="BR180" i="102" a="1"/>
  <c r="BO190" i="102" a="1"/>
  <c r="BJ215" i="102" a="1"/>
  <c r="BG193" i="102" a="1"/>
  <c r="AY127" i="102" a="1"/>
  <c r="AL56" i="102" a="1"/>
  <c r="AD40" i="102" a="1"/>
  <c r="S45" i="102" a="1"/>
  <c r="K21" i="102" a="1"/>
  <c r="CP205" i="102" a="1"/>
  <c r="CM183" i="102" a="1"/>
  <c r="CM100" i="102" a="1"/>
  <c r="CE218" i="102" a="1"/>
  <c r="CH227" i="102" a="1"/>
  <c r="BZ190" i="102" a="1"/>
  <c r="BW102" i="102" a="1"/>
  <c r="BO227" i="102" a="1"/>
  <c r="BR124" i="102" a="1"/>
  <c r="BG230" i="102" a="1"/>
  <c r="BJ127" i="102" a="1"/>
  <c r="AL52" i="102" a="1"/>
  <c r="AD81" i="102" a="1"/>
  <c r="S44" i="102" a="1"/>
  <c r="S73" i="102" a="1"/>
  <c r="N70" i="102" a="1"/>
  <c r="BZ75" i="102" a="1"/>
  <c r="BR38" i="102" a="1"/>
  <c r="BG49" i="102" a="1"/>
  <c r="BJ40" i="102" a="1"/>
  <c r="AY64" i="102" a="1"/>
  <c r="AT33" i="102" a="1"/>
  <c r="BZ60" i="102" a="1"/>
  <c r="BR50" i="102" a="1"/>
  <c r="BO20" i="102" a="1"/>
  <c r="BJ45" i="102" a="1"/>
  <c r="BB49" i="102" a="1"/>
  <c r="AQ38" i="102" a="1"/>
  <c r="AL71" i="102" a="1"/>
  <c r="BZ67" i="102" a="1"/>
  <c r="BR30" i="102" a="1"/>
  <c r="BG41" i="102" a="1"/>
  <c r="BG11" i="102" a="1"/>
  <c r="AY79" i="102" a="1"/>
  <c r="AQ18" i="102" a="1"/>
  <c r="BZ50" i="102" a="1"/>
  <c r="BW39" i="102" a="1"/>
  <c r="BO28" i="102" a="1"/>
  <c r="BG56" i="102" a="1"/>
  <c r="AY69" i="102" a="1"/>
  <c r="AT18" i="102" a="1"/>
  <c r="AT45" i="102" a="1"/>
  <c r="BW51" i="102" a="1"/>
  <c r="BR68" i="102" a="1"/>
  <c r="BR31" i="102" a="1"/>
  <c r="BG13" i="102" a="1"/>
  <c r="AY10" i="102" a="1"/>
  <c r="AT62" i="102" a="1"/>
  <c r="BZ42" i="102" a="1"/>
  <c r="BZ13" i="102" a="1"/>
  <c r="BO8" i="102" a="1"/>
  <c r="BG48" i="102" a="1"/>
  <c r="AY61" i="102" a="1"/>
  <c r="AT79" i="102" a="1"/>
  <c r="AQ14" i="102" a="1"/>
  <c r="BW43" i="102" a="1"/>
  <c r="BR60" i="102" a="1"/>
  <c r="BG84" i="102" a="1"/>
  <c r="BJ27" i="102" a="1"/>
  <c r="BB29" i="102" a="1"/>
  <c r="AT54" i="102" a="1"/>
  <c r="AL44" i="102" a="1"/>
  <c r="BZ68" i="102" a="1"/>
  <c r="BR58" i="102" a="1"/>
  <c r="BR34" i="102" a="1"/>
  <c r="BJ53" i="102" a="1"/>
  <c r="AY67" i="102" a="1"/>
  <c r="AQ46" i="102" a="1"/>
  <c r="AL79" i="102" a="1"/>
  <c r="AI32" i="102" a="1"/>
  <c r="AA27" i="102" a="1"/>
  <c r="S54" i="102" a="1"/>
  <c r="V38" i="102" a="1"/>
  <c r="N48" i="102" a="1"/>
  <c r="CP110" i="102" a="1"/>
  <c r="CP98" i="102" a="1"/>
  <c r="CH209" i="102" a="1"/>
  <c r="CH185" i="102" a="1"/>
  <c r="BW137" i="102" a="1"/>
  <c r="BZ111" i="102" a="1"/>
  <c r="BR186" i="102" a="1"/>
  <c r="BO196" i="102" a="1"/>
  <c r="BJ221" i="102" a="1"/>
  <c r="BJ213" i="102" a="1"/>
  <c r="BJ124" i="102" a="1"/>
  <c r="AI19" i="102" a="1"/>
  <c r="AA29" i="102" a="1"/>
  <c r="V64" i="102" a="1"/>
  <c r="N51" i="102" a="1"/>
  <c r="CM143" i="102" a="1"/>
  <c r="CP133" i="102" a="1"/>
  <c r="CP109" i="102" a="1"/>
  <c r="CH168" i="102" a="1"/>
  <c r="CH128" i="102" a="1"/>
  <c r="BW128" i="102" a="1"/>
  <c r="BW168" i="102" a="1"/>
  <c r="BR177" i="102" a="1"/>
  <c r="BR201" i="102" a="1"/>
  <c r="BJ180" i="102" a="1"/>
  <c r="BG174" i="102" a="1"/>
  <c r="AY140" i="102" a="1"/>
  <c r="AL8" i="102" a="1"/>
  <c r="AA39" i="102" a="1"/>
  <c r="S26" i="102" a="1"/>
  <c r="K11" i="102" a="1"/>
  <c r="CP186" i="102" a="1"/>
  <c r="CM196" i="102" a="1"/>
  <c r="CM184" i="102" a="1"/>
  <c r="CE231" i="102" a="1"/>
  <c r="CE114" i="102" a="1"/>
  <c r="BZ203" i="102" a="1"/>
  <c r="BW101" i="102" a="1"/>
  <c r="BO99" i="102" a="1"/>
  <c r="BR230" i="102" a="1"/>
  <c r="BG211" i="102" a="1"/>
  <c r="BJ185" i="102" a="1"/>
  <c r="AI79" i="102" a="1"/>
  <c r="AD17" i="102" a="1"/>
  <c r="V44" i="102" a="1"/>
  <c r="S27" i="102" a="1"/>
  <c r="K62" i="102" a="1"/>
  <c r="CM221" i="102" a="1"/>
  <c r="CM116" i="102" a="1"/>
  <c r="CE179" i="102" a="1"/>
  <c r="CE155" i="102" a="1"/>
  <c r="BZ119" i="102" a="1"/>
  <c r="BW222" i="102" a="1"/>
  <c r="BO156" i="102" a="1"/>
  <c r="BR178" i="102" a="1"/>
  <c r="BG191" i="102" a="1"/>
  <c r="BG183" i="102" a="1"/>
  <c r="BG100" i="102" a="1"/>
  <c r="AD82" i="102" a="1"/>
  <c r="AA10" i="102" a="1"/>
  <c r="V71" i="102" a="1"/>
  <c r="K33" i="102" a="1"/>
  <c r="CP135" i="102" a="1"/>
  <c r="CM222" i="102" a="1"/>
  <c r="CE220" i="102" a="1"/>
  <c r="CE212" i="102" a="1"/>
  <c r="CE117" i="102" a="1"/>
  <c r="BZ104" i="102" a="1"/>
  <c r="BZ115" i="102" a="1"/>
  <c r="BR62" i="102" a="1"/>
  <c r="BB11" i="102" a="1"/>
  <c r="BZ39" i="102" a="1"/>
  <c r="BW201" i="102" a="1"/>
  <c r="BW192" i="102" a="1"/>
  <c r="BZ126" i="102" a="1"/>
  <c r="CP181" i="102" a="1"/>
  <c r="CH147" i="102" a="1"/>
  <c r="BW142" i="102" a="1"/>
  <c r="BR114" i="102" a="1"/>
  <c r="BJ158" i="102" a="1"/>
  <c r="AY111" i="102" a="1"/>
  <c r="AD15" i="102" a="1"/>
  <c r="S14" i="102" a="1"/>
  <c r="K34" i="102" a="1"/>
  <c r="CM103" i="102" a="1"/>
  <c r="CH215" i="102" a="1"/>
  <c r="CE216" i="102" a="1"/>
  <c r="BZ110" i="102" a="1"/>
  <c r="BW165" i="102" a="1"/>
  <c r="BO202" i="102" a="1"/>
  <c r="BR128" i="102" a="1"/>
  <c r="BG221" i="102" a="1"/>
  <c r="BJ131" i="102" a="1"/>
  <c r="AL7" i="102" a="1"/>
  <c r="AA77" i="102" a="1"/>
  <c r="V41" i="102" a="1"/>
  <c r="K15" i="102" a="1"/>
  <c r="N82" i="102" a="1"/>
  <c r="CP216" i="102" a="1"/>
  <c r="CM181" i="102" a="1"/>
  <c r="CE176" i="102" a="1"/>
  <c r="CH150" i="102" a="1"/>
  <c r="BW211" i="102" a="1"/>
  <c r="BW155" i="102" a="1"/>
  <c r="BR151" i="102" a="1"/>
  <c r="BR159" i="102" a="1"/>
  <c r="BG188" i="102" a="1"/>
  <c r="BG180" i="102" a="1"/>
  <c r="AY223" i="102" a="1"/>
  <c r="AI37" i="102" a="1"/>
  <c r="AD43" i="102" a="1"/>
  <c r="S56" i="102" a="1"/>
  <c r="N53" i="102" a="1"/>
  <c r="N55" i="102" a="1"/>
  <c r="CM138" i="102" a="1"/>
  <c r="CP185" i="102" a="1"/>
  <c r="CH110" i="102" a="1"/>
  <c r="CE101" i="102" a="1"/>
  <c r="BZ145" i="102" a="1"/>
  <c r="BW216" i="102" a="1"/>
  <c r="BO198" i="102" a="1"/>
  <c r="BR220" i="102" a="1"/>
  <c r="BJ122" i="102" a="1"/>
  <c r="BJ223" i="102" a="1"/>
  <c r="BB157" i="102" a="1"/>
  <c r="AD52" i="102" a="1"/>
  <c r="S60" i="102" a="1"/>
  <c r="V22" i="102" a="1"/>
  <c r="K54" i="102" a="1"/>
  <c r="CM131" i="102" a="1"/>
  <c r="CM111" i="102" a="1"/>
  <c r="CE198" i="102" a="1"/>
  <c r="CH188" i="102" a="1"/>
  <c r="BW140" i="102" a="1"/>
  <c r="BW100" i="102" a="1"/>
  <c r="BO175" i="102" a="1"/>
  <c r="BR197" i="102" a="1"/>
  <c r="BO194" i="102" a="1"/>
  <c r="BG202" i="102" a="1"/>
  <c r="BG118" i="102" a="1"/>
  <c r="BB165" i="102" a="1"/>
  <c r="AY165" i="102" a="1"/>
  <c r="AQ128" i="102" a="1"/>
  <c r="AT97" i="102" a="1"/>
  <c r="AL225" i="102" a="1"/>
  <c r="AL156" i="102" a="1"/>
  <c r="AD212" i="102" a="1"/>
  <c r="AA206" i="102" a="1"/>
  <c r="S172" i="102" a="1"/>
  <c r="S129" i="102" a="1"/>
  <c r="N180" i="102" a="1"/>
  <c r="N166" i="102" a="1"/>
  <c r="N170" i="102" a="1"/>
  <c r="J43" i="103" a="1"/>
  <c r="I38" i="103" a="1"/>
  <c r="K37" i="103" a="1"/>
  <c r="AY161" i="102" a="1"/>
  <c r="BB224" i="102" a="1"/>
  <c r="AQ231" i="102" a="1"/>
  <c r="AT140" i="102" a="1"/>
  <c r="AI221" i="102" a="1"/>
  <c r="AI152" i="102" a="1"/>
  <c r="AA224" i="102" a="1"/>
  <c r="AA168" i="102" a="1"/>
  <c r="V209" i="102" a="1"/>
  <c r="S184" i="102" a="1"/>
  <c r="N176" i="102" a="1"/>
  <c r="N98" i="102" a="1"/>
  <c r="G21" i="103" a="1"/>
  <c r="E31" i="103" a="1"/>
  <c r="J18" i="103" a="1"/>
  <c r="AY185" i="102" a="1"/>
  <c r="AY171" i="102" a="1"/>
  <c r="AT122" i="102" a="1"/>
  <c r="AQ209" i="102" a="1"/>
  <c r="AI191" i="102" a="1"/>
  <c r="AL229" i="102" a="1"/>
  <c r="AL224" i="102" a="1"/>
  <c r="AA186" i="102" a="1"/>
  <c r="AD96" i="102" a="1"/>
  <c r="S189" i="102" a="1"/>
  <c r="S104" i="102" a="1"/>
  <c r="BB187" i="102" a="1"/>
  <c r="BB94" i="102" a="1"/>
  <c r="AT132" i="102" a="1"/>
  <c r="AT182" i="102" a="1"/>
  <c r="AI169" i="102" a="1"/>
  <c r="AI100" i="102" a="1"/>
  <c r="AD170" i="102" a="1"/>
  <c r="AD210" i="102" a="1"/>
  <c r="AD131" i="102" a="1"/>
  <c r="V149" i="102" a="1"/>
  <c r="S181" i="102" a="1"/>
  <c r="N184" i="102" a="1"/>
  <c r="K163" i="102" a="1"/>
  <c r="M70" i="103" a="1"/>
  <c r="BG73" i="102" a="1"/>
  <c r="AT57" i="102" a="1"/>
  <c r="BZ9" i="102" a="1"/>
  <c r="BZ175" i="102" a="1"/>
  <c r="BW98" i="102" a="1"/>
  <c r="BZ150" i="102" a="1"/>
  <c r="CP172" i="102" a="1"/>
  <c r="CE181" i="102" a="1"/>
  <c r="BZ96" i="102" a="1"/>
  <c r="BR111" i="102" a="1"/>
  <c r="BJ107" i="102" a="1"/>
  <c r="AL36" i="102" a="1"/>
  <c r="AA23" i="102" a="1"/>
  <c r="S32" i="102" a="1"/>
  <c r="N74" i="102" a="1"/>
  <c r="CM180" i="102" a="1"/>
  <c r="CH151" i="102" a="1"/>
  <c r="CE152" i="102" a="1"/>
  <c r="BZ187" i="102" a="1"/>
  <c r="BW110" i="102" a="1"/>
  <c r="BO138" i="102" a="1"/>
  <c r="BO105" i="102" a="1"/>
  <c r="BG157" i="102" a="1"/>
  <c r="BG107" i="102" a="1"/>
  <c r="AL51" i="102" a="1"/>
  <c r="AA45" i="102" a="1"/>
  <c r="V62" i="102" a="1"/>
  <c r="K47" i="102" a="1"/>
  <c r="N54" i="102" a="1"/>
  <c r="CP152" i="102" a="1"/>
  <c r="CM203" i="102" a="1"/>
  <c r="CE112" i="102" a="1"/>
  <c r="CE149" i="102" a="1"/>
  <c r="BW147" i="102" a="1"/>
  <c r="BZ230" i="102" a="1"/>
  <c r="BR212" i="102" a="1"/>
  <c r="BO222" i="102" a="1"/>
  <c r="BG124" i="102" a="1"/>
  <c r="BG225" i="102" a="1"/>
  <c r="AY159" i="102" a="1"/>
  <c r="AL59" i="102" a="1"/>
  <c r="AD56" i="102" a="1"/>
  <c r="S61" i="102" a="1"/>
  <c r="N32" i="102" a="1"/>
  <c r="D49" i="61" a="1"/>
  <c r="CM215" i="102" a="1"/>
  <c r="CP147" i="102" a="1"/>
  <c r="CH171" i="102" a="1"/>
  <c r="CE95" i="102" a="1"/>
  <c r="BZ222" i="102" a="1"/>
  <c r="BW197" i="102" a="1"/>
  <c r="BO134" i="102" a="1"/>
  <c r="BR156" i="102" a="1"/>
  <c r="BG169" i="102" a="1"/>
  <c r="BJ159" i="102" a="1"/>
  <c r="AI43" i="102" a="1"/>
  <c r="AD65" i="102" a="1"/>
  <c r="S81" i="102" a="1"/>
  <c r="S20" i="102" a="1"/>
  <c r="N57" i="102" a="1"/>
  <c r="CM176" i="102" a="1"/>
  <c r="CM165" i="102" a="1"/>
  <c r="CE134" i="102" a="1"/>
  <c r="CH124" i="102" a="1"/>
  <c r="BZ215" i="102" a="1"/>
  <c r="BW177" i="102" a="1"/>
  <c r="BO111" i="102" a="1"/>
  <c r="BR133" i="102" a="1"/>
  <c r="BO123" i="102" a="1"/>
  <c r="BG138" i="102" a="1"/>
  <c r="BG123" i="102" a="1"/>
  <c r="BB101" i="102" a="1"/>
  <c r="AY96" i="102" a="1"/>
  <c r="AQ189" i="102" a="1"/>
  <c r="AT159" i="102" a="1"/>
  <c r="AL161" i="102" a="1"/>
  <c r="AI219" i="102" a="1"/>
  <c r="AD148" i="102" a="1"/>
  <c r="AA142" i="102" a="1"/>
  <c r="S108" i="102" a="1"/>
  <c r="S174" i="102" a="1"/>
  <c r="N183" i="102" a="1"/>
  <c r="N137" i="102" a="1"/>
  <c r="N157" i="102" a="1"/>
  <c r="L57" i="103" a="1"/>
  <c r="I65" i="103" a="1"/>
  <c r="M51" i="103" a="1"/>
  <c r="AY97" i="102" a="1"/>
  <c r="AT221" i="102" a="1"/>
  <c r="AQ167" i="102" a="1"/>
  <c r="AQ101" i="102" a="1"/>
  <c r="AI157" i="102" a="1"/>
  <c r="AI229" i="102" a="1"/>
  <c r="AA160" i="102" a="1"/>
  <c r="AA111" i="102" a="1"/>
  <c r="V145" i="102" a="1"/>
  <c r="V166" i="102" a="1"/>
  <c r="N177" i="102" a="1"/>
  <c r="N162" i="102" a="1"/>
  <c r="I35" i="103" a="1"/>
  <c r="G45" i="103" a="1"/>
  <c r="L32" i="103" a="1"/>
  <c r="AY105" i="102" a="1"/>
  <c r="AY184" i="102" a="1"/>
  <c r="AQ185" i="102" a="1"/>
  <c r="AQ190" i="102" a="1"/>
  <c r="AI127" i="102" a="1"/>
  <c r="AL165" i="102" a="1"/>
  <c r="AL192" i="102" a="1"/>
  <c r="AA122" i="102" a="1"/>
  <c r="AD109" i="102" a="1"/>
  <c r="S202" i="102" a="1"/>
  <c r="V133" i="102" a="1"/>
  <c r="AY218" i="102" a="1"/>
  <c r="BB110" i="102" a="1"/>
  <c r="AT209" i="102" a="1"/>
  <c r="AT179" i="102" a="1"/>
  <c r="AI105" i="102" a="1"/>
  <c r="AI177" i="102" a="1"/>
  <c r="AD106" i="102" a="1"/>
  <c r="AD146" i="102" a="1"/>
  <c r="V221" i="102" a="1"/>
  <c r="V178" i="102" a="1"/>
  <c r="S117" i="102" a="1"/>
  <c r="K189" i="102" a="1"/>
  <c r="K150" i="102" a="1"/>
  <c r="E78" i="103" a="1"/>
  <c r="BW40" i="102" a="1"/>
  <c r="BG18" i="102" a="1"/>
  <c r="BW76" i="102" a="1"/>
  <c r="BO9" i="102" a="1"/>
  <c r="BR109" i="102" a="1"/>
  <c r="BR116" i="102" a="1"/>
  <c r="BO163" i="102" a="1"/>
  <c r="CP182" i="102" a="1"/>
  <c r="CH131" i="102" a="1"/>
  <c r="BZ163" i="102" a="1"/>
  <c r="BO174" i="102" a="1"/>
  <c r="BG170" i="102" a="1"/>
  <c r="AL37" i="102" a="1"/>
  <c r="AD31" i="102" a="1"/>
  <c r="S21" i="102" a="1"/>
  <c r="K42" i="102" a="1"/>
  <c r="CM193" i="102" a="1"/>
  <c r="CH228" i="102" a="1"/>
  <c r="CH195" i="102" a="1"/>
  <c r="BZ168" i="102" a="1"/>
  <c r="BR205" i="102" a="1"/>
  <c r="BO215" i="102" a="1"/>
  <c r="BR107" i="102" a="1"/>
  <c r="BG93" i="102" a="1"/>
  <c r="BG178" i="102" a="1"/>
  <c r="AI77" i="102" a="1"/>
  <c r="AA58" i="102" a="1"/>
  <c r="V67" i="102" a="1"/>
  <c r="K26" i="102" a="1"/>
  <c r="C49" i="61" a="1"/>
  <c r="CP229" i="102" a="1"/>
  <c r="CM152" i="102" a="1"/>
  <c r="CE173" i="102" a="1"/>
  <c r="CH115" i="102" a="1"/>
  <c r="BW224" i="102" a="1"/>
  <c r="BZ211" i="102" a="1"/>
  <c r="BR148" i="102" a="1"/>
  <c r="BO158" i="102" a="1"/>
  <c r="BJ183" i="102" a="1"/>
  <c r="BG161" i="102" a="1"/>
  <c r="AY95" i="102" a="1"/>
  <c r="AI25" i="102" a="1"/>
  <c r="AD24" i="102" a="1"/>
  <c r="S74" i="102" a="1"/>
  <c r="K37" i="102" a="1"/>
  <c r="CP173" i="102" a="1"/>
  <c r="CM151" i="102" a="1"/>
  <c r="CM129" i="102" a="1"/>
  <c r="CE186" i="102" a="1"/>
  <c r="CE108" i="102" a="1"/>
  <c r="BZ158" i="102" a="1"/>
  <c r="BZ124" i="102" a="1"/>
  <c r="BO195" i="102" a="1"/>
  <c r="BO219" i="102" a="1"/>
  <c r="BG198" i="102" a="1"/>
  <c r="BJ204" i="102" a="1"/>
  <c r="AL38" i="102" a="1"/>
  <c r="AD33" i="102" a="1"/>
  <c r="V60" i="102" a="1"/>
  <c r="V21" i="102" a="1"/>
  <c r="N12" i="102" a="1"/>
  <c r="CM112" i="102" a="1"/>
  <c r="CP122" i="102" a="1"/>
  <c r="CE211" i="102" a="1"/>
  <c r="CE187" i="102" a="1"/>
  <c r="BZ151" i="102" a="1"/>
  <c r="BW113" i="102" a="1"/>
  <c r="BO188" i="102" a="1"/>
  <c r="BR210" i="102" a="1"/>
  <c r="BG223" i="102" a="1"/>
  <c r="BG215" i="102" a="1"/>
  <c r="BG130" i="102" a="1"/>
  <c r="BB178" i="102" a="1"/>
  <c r="BB163" i="102" a="1"/>
  <c r="AQ125" i="102" a="1"/>
  <c r="AQ104" i="102" a="1"/>
  <c r="AL97" i="102" a="1"/>
  <c r="AI155" i="102" a="1"/>
  <c r="AD225" i="102" a="1"/>
  <c r="AA171" i="102" a="1"/>
  <c r="S198" i="102" a="1"/>
  <c r="S187" i="102" a="1"/>
  <c r="K211" i="102" a="1"/>
  <c r="K110" i="102" a="1"/>
  <c r="N144" i="102" a="1"/>
  <c r="G15" i="103" a="1"/>
  <c r="K79" i="103" a="1"/>
  <c r="F64" i="103" a="1"/>
  <c r="AY174" i="102" a="1"/>
  <c r="AT157" i="102" a="1"/>
  <c r="AT210" i="102" a="1"/>
  <c r="AT134" i="102" a="1"/>
  <c r="AI93" i="102" a="1"/>
  <c r="AI165" i="102" a="1"/>
  <c r="AA189" i="102" a="1"/>
  <c r="AA162" i="102" a="1"/>
  <c r="V190" i="102" a="1"/>
  <c r="S149" i="102" a="1"/>
  <c r="K229" i="102" a="1"/>
  <c r="N133" i="102" a="1"/>
  <c r="K49" i="103" a="1"/>
  <c r="I59" i="103" a="1"/>
  <c r="E47" i="103" a="1"/>
  <c r="BB161" i="102" a="1"/>
  <c r="AY120" i="102" a="1"/>
  <c r="AQ121" i="102" a="1"/>
  <c r="AT185" i="102" a="1"/>
  <c r="AI204" i="102" a="1"/>
  <c r="AL101" i="102" a="1"/>
  <c r="AL208" i="102" a="1"/>
  <c r="AA199" i="102" a="1"/>
  <c r="AA159" i="102" a="1"/>
  <c r="S138" i="102" a="1"/>
  <c r="S115" i="102" a="1"/>
  <c r="AY154" i="102" a="1"/>
  <c r="BB128" i="102" a="1"/>
  <c r="AT145" i="102" a="1"/>
  <c r="AQ98" i="102" a="1"/>
  <c r="AI182" i="102" a="1"/>
  <c r="AI113" i="102" a="1"/>
  <c r="AA169" i="102" a="1"/>
  <c r="AD175" i="102" a="1"/>
  <c r="V157" i="102" a="1"/>
  <c r="V114" i="102" a="1"/>
  <c r="V106" i="102" a="1"/>
  <c r="K192" i="102" a="1"/>
  <c r="K137" i="102" a="1"/>
  <c r="BR70" i="102" a="1"/>
  <c r="AY20" i="102" a="1"/>
  <c r="BZ8" i="102" a="1"/>
  <c r="BJ43" i="102" a="1"/>
  <c r="BO119" i="102" a="1"/>
  <c r="BO126" i="102" a="1"/>
  <c r="BO187" i="102" a="1"/>
  <c r="CM162" i="102" a="1"/>
  <c r="BW223" i="102" a="1"/>
  <c r="BO207" i="102" a="1"/>
  <c r="BO110" i="102" a="1"/>
  <c r="BG106" i="102" a="1"/>
  <c r="AI12" i="102" a="1"/>
  <c r="AA17" i="102" a="1"/>
  <c r="S33" i="102" a="1"/>
  <c r="K79" i="102" a="1"/>
  <c r="CM158" i="102" a="1"/>
  <c r="CH164" i="102" a="1"/>
  <c r="CE130" i="102" a="1"/>
  <c r="BZ181" i="102" a="1"/>
  <c r="BR141" i="102" a="1"/>
  <c r="BO151" i="102" a="1"/>
  <c r="BO104" i="102" a="1"/>
  <c r="BJ168" i="102" a="1"/>
  <c r="BJ111" i="102" a="1"/>
  <c r="AI27" i="102" a="1"/>
  <c r="AA26" i="102" a="1"/>
  <c r="V80" i="102" a="1"/>
  <c r="N35" i="102" a="1"/>
  <c r="CM175" i="102" a="1"/>
  <c r="CP165" i="102" a="1"/>
  <c r="CP179" i="102" a="1"/>
  <c r="CH200" i="102" a="1"/>
  <c r="CH94" i="102" a="1"/>
  <c r="BW160" i="102" a="1"/>
  <c r="BZ132" i="102" a="1"/>
  <c r="BR209" i="102" a="1"/>
  <c r="BO94" i="102" a="1"/>
  <c r="BJ212" i="102" a="1"/>
  <c r="BG206" i="102" a="1"/>
  <c r="AY172" i="102" a="1"/>
  <c r="AI13" i="102" a="1"/>
  <c r="AD9" i="102" a="1"/>
  <c r="S42" i="102" a="1"/>
  <c r="K16" i="102" a="1"/>
  <c r="CP218" i="102" a="1"/>
  <c r="CM228" i="102" a="1"/>
  <c r="CP201" i="102" a="1"/>
  <c r="CE122" i="102" a="1"/>
  <c r="CE103" i="102" a="1"/>
  <c r="BZ94" i="102" a="1"/>
  <c r="BW146" i="102" a="1"/>
  <c r="BO131" i="102" a="1"/>
  <c r="BO155" i="102" a="1"/>
  <c r="BG134" i="102" a="1"/>
  <c r="BJ217" i="102" a="1"/>
  <c r="AI63" i="102" a="1"/>
  <c r="AD70" i="102" a="1"/>
  <c r="V28" i="102" a="1"/>
  <c r="N10" i="102" a="1"/>
  <c r="K78" i="102" a="1"/>
  <c r="CM189" i="102" a="1"/>
  <c r="CP144" i="102" a="1"/>
  <c r="CE147" i="102" a="1"/>
  <c r="CE123" i="102" a="1"/>
  <c r="BZ228" i="102" a="1"/>
  <c r="BW190" i="102" a="1"/>
  <c r="BO124" i="102" a="1"/>
  <c r="BR146" i="102" a="1"/>
  <c r="BG159" i="102" a="1"/>
  <c r="BG151" i="102" a="1"/>
  <c r="BG105" i="102" a="1"/>
  <c r="BB114" i="102" a="1"/>
  <c r="BB126" i="102" a="1"/>
  <c r="AT200" i="102" a="1"/>
  <c r="AQ111" i="102" a="1"/>
  <c r="AL174" i="102" a="1"/>
  <c r="AL230" i="102" a="1"/>
  <c r="AD161" i="102" a="1"/>
  <c r="AA107" i="102" a="1"/>
  <c r="S134" i="102" a="1"/>
  <c r="S123" i="102" a="1"/>
  <c r="K220" i="102" a="1"/>
  <c r="K97" i="102" a="1"/>
  <c r="K19" i="103" a="1"/>
  <c r="I29" i="103" a="1"/>
  <c r="E17" i="103" a="1"/>
  <c r="AY220" i="102" a="1"/>
  <c r="AY110" i="102" a="1"/>
  <c r="AQ188" i="102" a="1"/>
  <c r="AT146" i="102" a="1"/>
  <c r="AT125" i="102" a="1"/>
  <c r="AL168" i="102" a="1"/>
  <c r="AI101" i="102" a="1"/>
  <c r="AA125" i="102" a="1"/>
  <c r="AA100" i="102" a="1"/>
  <c r="V126" i="102" a="1"/>
  <c r="V101" i="102" a="1"/>
  <c r="K179" i="102" a="1"/>
  <c r="N120" i="102" a="1"/>
  <c r="F7" i="103" a="1"/>
  <c r="I67" i="103" a="1"/>
  <c r="G61" i="103" a="1"/>
  <c r="AY176" i="102" a="1"/>
  <c r="BB106" i="102" a="1"/>
  <c r="AQ198" i="102" a="1"/>
  <c r="AT121" i="102" a="1"/>
  <c r="AI140" i="102" a="1"/>
  <c r="AL178" i="102" a="1"/>
  <c r="AA175" i="102" a="1"/>
  <c r="AA135" i="102" a="1"/>
  <c r="AD108" i="102" a="1"/>
  <c r="S215" i="102" a="1"/>
  <c r="S101" i="102" a="1"/>
  <c r="AY199" i="102" a="1"/>
  <c r="AY118" i="102" a="1"/>
  <c r="AT174" i="102" a="1"/>
  <c r="AT93" i="102" a="1"/>
  <c r="AI118" i="102" a="1"/>
  <c r="AI190" i="102" a="1"/>
  <c r="AA105" i="102" a="1"/>
  <c r="AD111" i="102" a="1"/>
  <c r="V218" i="102" a="1"/>
  <c r="V175" i="102" a="1"/>
  <c r="S142" i="102" a="1"/>
  <c r="K120" i="102" a="1"/>
  <c r="K124" i="102" a="1"/>
  <c r="BG81" i="102" a="1"/>
  <c r="AT43" i="102" a="1"/>
  <c r="BO69" i="102" a="1"/>
  <c r="BB40" i="102" a="1"/>
  <c r="BR103" i="102" a="1"/>
  <c r="BJ151" i="102" a="1"/>
  <c r="BG166" i="102" a="1"/>
  <c r="CP214" i="102" a="1"/>
  <c r="BW108" i="102" a="1"/>
  <c r="BO143" i="102" a="1"/>
  <c r="BO152" i="102" a="1"/>
  <c r="BG119" i="102" a="1"/>
  <c r="AI69" i="102" a="1"/>
  <c r="AA15" i="102" a="1"/>
  <c r="K28" i="102" a="1"/>
  <c r="CP125" i="102" a="1"/>
  <c r="CP150" i="102" a="1"/>
  <c r="CH113" i="102" a="1"/>
  <c r="CH179" i="102" a="1"/>
  <c r="BZ117" i="102" a="1"/>
  <c r="BR218" i="102" a="1"/>
  <c r="BO228" i="102" a="1"/>
  <c r="BO93" i="102" a="1"/>
  <c r="BJ104" i="102" a="1"/>
  <c r="BJ100" i="102" a="1"/>
  <c r="AL48" i="102" a="1"/>
  <c r="AA11" i="102" a="1"/>
  <c r="V48" i="102" a="1"/>
  <c r="N14" i="102" a="1"/>
  <c r="CM220" i="102" a="1"/>
  <c r="CP101" i="102" a="1"/>
  <c r="CM219" i="102" a="1"/>
  <c r="CH136" i="102" a="1"/>
  <c r="CH109" i="102" a="1"/>
  <c r="BW96" i="102" a="1"/>
  <c r="BW226" i="102" a="1"/>
  <c r="BR145" i="102" a="1"/>
  <c r="BR169" i="102" a="1"/>
  <c r="BJ148" i="102" a="1"/>
  <c r="BG219" i="102" a="1"/>
  <c r="BB231" i="102" a="1"/>
  <c r="AI7" i="102" a="1"/>
  <c r="AD14" i="102" a="1"/>
  <c r="V69" i="102" a="1"/>
  <c r="K27" i="102" a="1"/>
  <c r="CP154" i="102" a="1"/>
  <c r="CM164" i="102" a="1"/>
  <c r="CH221" i="102" a="1"/>
  <c r="CE199" i="102" a="1"/>
  <c r="CH99" i="102" a="1"/>
  <c r="BZ216" i="102" a="1"/>
  <c r="BW162" i="102" a="1"/>
  <c r="BO208" i="102" a="1"/>
  <c r="BR198" i="102" a="1"/>
  <c r="BG179" i="102" a="1"/>
  <c r="BJ153" i="102" a="1"/>
  <c r="AI15" i="102" a="1"/>
  <c r="AD38" i="102" a="1"/>
  <c r="V65" i="102" a="1"/>
  <c r="N42" i="102" a="1"/>
  <c r="K65" i="102" a="1"/>
  <c r="CM125" i="102" a="1"/>
  <c r="CP124" i="102" a="1"/>
  <c r="CE224" i="102" a="1"/>
  <c r="CH198" i="102" a="1"/>
  <c r="BZ164" i="102" a="1"/>
  <c r="BW203" i="102" a="1"/>
  <c r="BR199" i="102" a="1"/>
  <c r="BR207" i="102" a="1"/>
  <c r="BG95" i="102" a="1"/>
  <c r="BG228" i="102" a="1"/>
  <c r="BG210" i="102" a="1"/>
  <c r="BB175" i="102" a="1"/>
  <c r="BB208" i="102" a="1"/>
  <c r="AT136" i="102" a="1"/>
  <c r="AQ158" i="102" a="1"/>
  <c r="AL110" i="102" a="1"/>
  <c r="AL166" i="102" a="1"/>
  <c r="AD97" i="102" a="1"/>
  <c r="AD182" i="102" a="1"/>
  <c r="S211" i="102" a="1"/>
  <c r="V198" i="102" a="1"/>
  <c r="K223" i="102" a="1"/>
  <c r="K161" i="102" a="1"/>
  <c r="M33" i="103" a="1"/>
  <c r="K43" i="103" a="1"/>
  <c r="G31" i="103" a="1"/>
  <c r="BB215" i="102" a="1"/>
  <c r="BB185" i="102" a="1"/>
  <c r="AQ124" i="102" a="1"/>
  <c r="AT223" i="102" a="1"/>
  <c r="AL205" i="102" a="1"/>
  <c r="AI231" i="102" a="1"/>
  <c r="AI124" i="102" a="1"/>
  <c r="AD200" i="102" a="1"/>
  <c r="AA133" i="102" a="1"/>
  <c r="V203" i="102" a="1"/>
  <c r="S135" i="102" a="1"/>
  <c r="K174" i="102" a="1"/>
  <c r="N107" i="102" a="1"/>
  <c r="H21" i="103" a="1"/>
  <c r="J74" i="103" a="1"/>
  <c r="I68" i="103" a="1"/>
  <c r="BJ80" i="102" a="1"/>
  <c r="BW84" i="102" a="1"/>
  <c r="BG80" i="102" a="1"/>
  <c r="AQ78" i="102" a="1"/>
  <c r="BJ136" i="102" a="1"/>
  <c r="BG129" i="102" a="1"/>
  <c r="BJ172" i="102" a="1"/>
  <c r="CM98" i="102" a="1"/>
  <c r="BZ183" i="102" a="1"/>
  <c r="BO220" i="102" a="1"/>
  <c r="BO181" i="102" a="1"/>
  <c r="BG132" i="102" a="1"/>
  <c r="AL64" i="102" a="1"/>
  <c r="AA9" i="102" a="1"/>
  <c r="N13" i="102" a="1"/>
  <c r="CP170" i="102" a="1"/>
  <c r="CP160" i="102" a="1"/>
  <c r="CH190" i="102" a="1"/>
  <c r="CE213" i="102" a="1"/>
  <c r="BZ194" i="102" a="1"/>
  <c r="BR154" i="102" a="1"/>
  <c r="BO164" i="102" a="1"/>
  <c r="BJ189" i="102" a="1"/>
  <c r="BJ181" i="102" a="1"/>
  <c r="BG98" i="102" a="1"/>
  <c r="AI29" i="102" a="1"/>
  <c r="AD21" i="102" a="1"/>
  <c r="V16" i="102" a="1"/>
  <c r="N25" i="102" a="1"/>
  <c r="CM156" i="102" a="1"/>
  <c r="CP178" i="102" a="1"/>
  <c r="CE223" i="102" a="1"/>
  <c r="CH213" i="102" a="1"/>
  <c r="CE109" i="102" a="1"/>
  <c r="BW218" i="102" a="1"/>
  <c r="BZ179" i="102" a="1"/>
  <c r="BR222" i="102" a="1"/>
  <c r="BO200" i="102" a="1"/>
  <c r="BJ193" i="102" a="1"/>
  <c r="BG155" i="102" a="1"/>
  <c r="BB167" i="102" a="1"/>
  <c r="AL67" i="102" a="1"/>
  <c r="AD11" i="102" a="1"/>
  <c r="V30" i="102" a="1"/>
  <c r="K9" i="102" a="1"/>
  <c r="CP183" i="102" a="1"/>
  <c r="CM177" i="102" a="1"/>
  <c r="CH157" i="102" a="1"/>
  <c r="CE135" i="102" a="1"/>
  <c r="CE133" i="102" a="1"/>
  <c r="BZ152" i="102" a="1"/>
  <c r="BZ131" i="102" a="1"/>
  <c r="BO144" i="102" a="1"/>
  <c r="BR227" i="102" a="1"/>
  <c r="BG115" i="102" a="1"/>
  <c r="BG168" i="102" a="1"/>
  <c r="AI58" i="102" a="1"/>
  <c r="AA69" i="102" a="1"/>
  <c r="V33" i="102" a="1"/>
  <c r="K23" i="102" a="1"/>
  <c r="N61" i="102" a="1"/>
  <c r="CP200" i="102" a="1"/>
  <c r="CM148" i="102" a="1"/>
  <c r="CE160" i="102" a="1"/>
  <c r="CH134" i="102" a="1"/>
  <c r="BW195" i="102" a="1"/>
  <c r="BW139" i="102" a="1"/>
  <c r="BR135" i="102" a="1"/>
  <c r="BR143" i="102" a="1"/>
  <c r="BG172" i="102" a="1"/>
  <c r="BG164" i="102" a="1"/>
  <c r="AY207" i="102" a="1"/>
  <c r="BB111" i="102" a="1"/>
  <c r="AQ223" i="102" a="1"/>
  <c r="AT181" i="102" a="1"/>
  <c r="AT115" i="102" a="1"/>
  <c r="AL171" i="102" a="1"/>
  <c r="AL102" i="102" a="1"/>
  <c r="AD174" i="102" a="1"/>
  <c r="AD130" i="102" a="1"/>
  <c r="S147" i="102" a="1"/>
  <c r="S201" i="102" a="1"/>
  <c r="K226" i="102" a="1"/>
  <c r="K148" i="102" a="1"/>
  <c r="F48" i="103" a="1"/>
  <c r="M57" i="103" a="1"/>
  <c r="I45" i="103" a="1"/>
  <c r="BB119" i="102" a="1"/>
  <c r="BB198" i="102" a="1"/>
  <c r="AT199" i="102" a="1"/>
  <c r="AT204" i="102" a="1"/>
  <c r="AL141" i="102" a="1"/>
  <c r="AI167" i="102" a="1"/>
  <c r="AI108" i="102" a="1"/>
  <c r="AD136" i="102" a="1"/>
  <c r="AA213" i="102" a="1"/>
  <c r="V216" i="102" a="1"/>
  <c r="S137" i="102" a="1"/>
  <c r="K177" i="102" a="1"/>
  <c r="N171" i="102" a="1"/>
  <c r="J35" i="103" a="1"/>
  <c r="K81" i="103" a="1"/>
  <c r="J75" i="103" a="1"/>
  <c r="AY125" i="102" a="1"/>
  <c r="BB115" i="102" a="1"/>
  <c r="AQ211" i="102" a="1"/>
  <c r="AQ181" i="102" a="1"/>
  <c r="AL119" i="102" a="1"/>
  <c r="AL191" i="102" a="1"/>
  <c r="AA108" i="102" a="1"/>
  <c r="AA148" i="102" a="1"/>
  <c r="S223" i="102" a="1"/>
  <c r="S180" i="102" a="1"/>
  <c r="V195" i="102" a="1"/>
  <c r="AY212" i="102" a="1"/>
  <c r="BB144" i="102" a="1"/>
  <c r="AT171" i="102" a="1"/>
  <c r="AQ119" i="102" a="1"/>
  <c r="AI131" i="102" a="1"/>
  <c r="AL201" i="102" a="1"/>
  <c r="AA118" i="102" a="1"/>
  <c r="AD217" i="102" a="1"/>
  <c r="V215" i="102" a="1"/>
  <c r="V156" i="102" a="1"/>
  <c r="K201" i="102" a="1"/>
  <c r="K155" i="102" a="1"/>
  <c r="K98" i="102" a="1"/>
  <c r="BB33" i="102" a="1"/>
  <c r="BW42" i="102" a="1"/>
  <c r="BB44" i="102" a="1"/>
  <c r="AL58" i="102" a="1"/>
  <c r="BG121" i="102" a="1"/>
  <c r="AY204" i="102" a="1"/>
  <c r="AL62" i="102" a="1"/>
  <c r="CH170" i="102" a="1"/>
  <c r="BZ196" i="102" a="1"/>
  <c r="BR231" i="102" a="1"/>
  <c r="BO117" i="102" a="1"/>
  <c r="BG177" i="102" a="1"/>
  <c r="AL32" i="102" a="1"/>
  <c r="V74" i="102" a="1"/>
  <c r="N45" i="102" a="1"/>
  <c r="CP199" i="102" a="1"/>
  <c r="CM171" i="102" a="1"/>
  <c r="CH126" i="102" a="1"/>
  <c r="CH93" i="102" a="1"/>
  <c r="BZ130" i="102" a="1"/>
  <c r="BO217" i="102" a="1"/>
  <c r="BO225" i="102" a="1"/>
  <c r="BJ125" i="102" a="1"/>
  <c r="BJ117" i="102" a="1"/>
  <c r="BJ119" i="102" a="1"/>
  <c r="AL9" i="102" a="1"/>
  <c r="AA13" i="102" a="1"/>
  <c r="V31" i="102" a="1"/>
  <c r="N7" i="102" a="1"/>
  <c r="CM185" i="102" a="1"/>
  <c r="CP191" i="102" a="1"/>
  <c r="CE159" i="102" a="1"/>
  <c r="CH149" i="102" a="1"/>
  <c r="CH176" i="102" a="1"/>
  <c r="BW154" i="102" a="1"/>
  <c r="BZ155" i="102" a="1"/>
  <c r="BR158" i="102" a="1"/>
  <c r="BO229" i="102" a="1"/>
  <c r="BJ129" i="102" a="1"/>
  <c r="BJ182" i="102" a="1"/>
  <c r="BB103" i="102" a="1"/>
  <c r="AD74" i="102" a="1"/>
  <c r="AD20" i="102" a="1"/>
  <c r="S63" i="102" a="1"/>
  <c r="K41" i="102" a="1"/>
  <c r="CP119" i="102" a="1"/>
  <c r="CM206" i="102" a="1"/>
  <c r="CE204" i="102" a="1"/>
  <c r="CE196" i="102" a="1"/>
  <c r="CH101" i="102" a="1"/>
  <c r="BZ229" i="102" a="1"/>
  <c r="BZ160" i="102" a="1"/>
  <c r="BO205" i="102" a="1"/>
  <c r="BR163" i="102" a="1"/>
  <c r="BG192" i="102" a="1"/>
  <c r="BG104" i="102" a="1"/>
  <c r="AL28" i="102" a="1"/>
  <c r="AA82" i="102" a="1"/>
  <c r="V54" i="102" a="1"/>
  <c r="K55" i="102" a="1"/>
  <c r="N58" i="102" a="1"/>
  <c r="CP136" i="102" a="1"/>
  <c r="CP121" i="102" a="1"/>
  <c r="CE221" i="102" a="1"/>
  <c r="CH160" i="102" a="1"/>
  <c r="BW131" i="102" a="1"/>
  <c r="BZ214" i="102" a="1"/>
  <c r="BR196" i="102" a="1"/>
  <c r="BO206" i="102" a="1"/>
  <c r="BJ231" i="102" a="1"/>
  <c r="BG209" i="102" a="1"/>
  <c r="AY143" i="102" a="1"/>
  <c r="BB188" i="102" a="1"/>
  <c r="AQ159" i="102" a="1"/>
  <c r="AQ212" i="102" a="1"/>
  <c r="AQ145" i="102" a="1"/>
  <c r="AL107" i="102" a="1"/>
  <c r="AL179" i="102" a="1"/>
  <c r="AD203" i="102" a="1"/>
  <c r="AA194" i="102" a="1"/>
  <c r="S192" i="102" a="1"/>
  <c r="S185" i="102" a="1"/>
  <c r="N227" i="102" a="1"/>
  <c r="K119" i="102" a="1"/>
  <c r="G24" i="103" a="1"/>
  <c r="J66" i="103" a="1"/>
  <c r="K59" i="103" a="1"/>
  <c r="AY163" i="102" a="1"/>
  <c r="BB134" i="102" a="1"/>
  <c r="AT135" i="102" a="1"/>
  <c r="AQ187" i="102" a="1"/>
  <c r="AL218" i="102" a="1"/>
  <c r="AI103" i="102" a="1"/>
  <c r="AT51" i="102" a="1"/>
  <c r="BR9" i="102" a="1"/>
  <c r="AT42" i="102" a="1"/>
  <c r="AL78" i="102" a="1"/>
  <c r="AL6" i="102" a="1"/>
  <c r="AL11" i="102" a="1"/>
  <c r="AD49" i="102" a="1"/>
  <c r="CE166" i="102" a="1"/>
  <c r="BW99" i="102" a="1"/>
  <c r="BR228" i="102" a="1"/>
  <c r="BR121" i="102" a="1"/>
  <c r="BG222" i="102" a="1"/>
  <c r="AI11" i="102" a="1"/>
  <c r="V42" i="102" a="1"/>
  <c r="N24" i="102" a="1"/>
  <c r="CP212" i="102" a="1"/>
  <c r="CP130" i="102" a="1"/>
  <c r="CH187" i="102" a="1"/>
  <c r="BZ221" i="102" a="1"/>
  <c r="BZ207" i="102" a="1"/>
  <c r="BO153" i="102" a="1"/>
  <c r="BO161" i="102" a="1"/>
  <c r="BJ202" i="102" a="1"/>
  <c r="BJ194" i="102" a="1"/>
  <c r="BJ208" i="102" a="1"/>
  <c r="AA76" i="102" a="1"/>
  <c r="AD8" i="102" a="1"/>
  <c r="V77" i="102" a="1"/>
  <c r="N39" i="102" a="1"/>
  <c r="CM121" i="102" a="1"/>
  <c r="CP220" i="102" a="1"/>
  <c r="CH218" i="102" a="1"/>
  <c r="CH210" i="102" a="1"/>
  <c r="CH107" i="102" a="1"/>
  <c r="BW231" i="102" a="1"/>
  <c r="BW178" i="102" a="1"/>
  <c r="BR219" i="102" a="1"/>
  <c r="BO165" i="102" a="1"/>
  <c r="BJ206" i="102" a="1"/>
  <c r="BJ118" i="102" a="1"/>
  <c r="BB177" i="102" a="1"/>
  <c r="AD42" i="102" a="1"/>
  <c r="AD13" i="102" a="1"/>
  <c r="S41" i="102" a="1"/>
  <c r="N72" i="102" a="1"/>
  <c r="CP196" i="102" a="1"/>
  <c r="CM142" i="102" a="1"/>
  <c r="CE140" i="102" a="1"/>
  <c r="CE132" i="102" a="1"/>
  <c r="BZ205" i="102" a="1"/>
  <c r="BZ165" i="102" a="1"/>
  <c r="BZ134" i="102" a="1"/>
  <c r="BO141" i="102" a="1"/>
  <c r="BR99" i="102" a="1"/>
  <c r="BG128" i="102" a="1"/>
  <c r="BJ179" i="102" a="1"/>
  <c r="AL14" i="102" a="1"/>
  <c r="AA50" i="102" a="1"/>
  <c r="V59" i="102" a="1"/>
  <c r="N11" i="102" a="1"/>
  <c r="CM223" i="102" a="1"/>
  <c r="CP213" i="102" a="1"/>
  <c r="CP138" i="102" a="1"/>
  <c r="CE157" i="102" a="1"/>
  <c r="CE210" i="102" a="1"/>
  <c r="BW208" i="102" a="1"/>
  <c r="BZ195" i="102" a="1"/>
  <c r="BR132" i="102" a="1"/>
  <c r="BO142" i="102" a="1"/>
  <c r="BJ167" i="102" a="1"/>
  <c r="BG145" i="102" a="1"/>
  <c r="BB93" i="102" a="1"/>
  <c r="BB124" i="102" a="1"/>
  <c r="AT202" i="102" a="1"/>
  <c r="AQ148" i="102" a="1"/>
  <c r="AQ131" i="102" a="1"/>
  <c r="AI170" i="102" a="1"/>
  <c r="AL115" i="102" a="1"/>
  <c r="AD139" i="102" a="1"/>
  <c r="AA110" i="102" a="1"/>
  <c r="S128" i="102" a="1"/>
  <c r="S113" i="102" a="1"/>
  <c r="N230" i="102" a="1"/>
  <c r="K106" i="102" a="1"/>
  <c r="F18" i="103" a="1"/>
  <c r="K73" i="103" a="1"/>
  <c r="J67" i="103" a="1"/>
  <c r="AY192" i="102" a="1"/>
  <c r="AY109" i="102" a="1"/>
  <c r="AT212" i="102" a="1"/>
  <c r="AQ123" i="102" a="1"/>
  <c r="BZ31" i="102" a="1"/>
  <c r="BG19" i="102" a="1"/>
  <c r="AT19" i="102" a="1"/>
  <c r="AA59" i="102" a="1"/>
  <c r="AA42" i="102" a="1"/>
  <c r="AD27" i="102" a="1"/>
  <c r="V76" i="102" a="1"/>
  <c r="CE102" i="102" a="1"/>
  <c r="BW176" i="102" a="1"/>
  <c r="BR164" i="102" a="1"/>
  <c r="BO107" i="102" a="1"/>
  <c r="BJ198" i="102" a="1"/>
  <c r="AD50" i="102" a="1"/>
  <c r="S75" i="102" a="1"/>
  <c r="K8" i="102" a="1"/>
  <c r="CP148" i="102" a="1"/>
  <c r="CP198" i="102" a="1"/>
  <c r="CE138" i="102" a="1"/>
  <c r="BZ157" i="102" a="1"/>
  <c r="BZ156" i="102" a="1"/>
  <c r="BO214" i="102" a="1"/>
  <c r="BO97" i="102" a="1"/>
  <c r="BJ138" i="102" a="1"/>
  <c r="BJ130" i="102" a="1"/>
  <c r="BB173" i="102" a="1"/>
  <c r="AA44" i="102" a="1"/>
  <c r="AA16" i="102" a="1"/>
  <c r="S57" i="102" a="1"/>
  <c r="K66" i="102" a="1"/>
  <c r="CM198" i="102" a="1"/>
  <c r="CP156" i="102" a="1"/>
  <c r="CH154" i="102" a="1"/>
  <c r="CH146" i="102" a="1"/>
  <c r="BW207" i="102" a="1"/>
  <c r="BW167" i="102" a="1"/>
  <c r="BZ171" i="102" a="1"/>
  <c r="BR155" i="102" a="1"/>
  <c r="BO101" i="102" a="1"/>
  <c r="BJ142" i="102" a="1"/>
  <c r="BG181" i="102" a="1"/>
  <c r="BB222" i="102" a="1"/>
  <c r="AD79" i="102" a="1"/>
  <c r="AD10" i="102" a="1"/>
  <c r="S6" i="102" a="1"/>
  <c r="K48" i="102" a="1"/>
  <c r="CP132" i="102" a="1"/>
  <c r="CP113" i="102" a="1"/>
  <c r="CH199" i="102" a="1"/>
  <c r="CE177" i="102" a="1"/>
  <c r="BZ141" i="102" a="1"/>
  <c r="BZ101" i="102" a="1"/>
  <c r="BZ176" i="102" a="1"/>
  <c r="BO186" i="102" a="1"/>
  <c r="BR94" i="102" a="1"/>
  <c r="BG205" i="102" a="1"/>
  <c r="BJ115" i="102" a="1"/>
  <c r="AI50" i="102" a="1"/>
  <c r="AA18" i="102" a="1"/>
  <c r="V72" i="102" a="1"/>
  <c r="N43" i="102" a="1"/>
  <c r="CM159" i="102" a="1"/>
  <c r="CP149" i="102" a="1"/>
  <c r="CM124" i="102" a="1"/>
  <c r="CH184" i="102" a="1"/>
  <c r="CH192" i="102" a="1"/>
  <c r="BW144" i="102" a="1"/>
  <c r="BW117" i="102" a="1"/>
  <c r="BR193" i="102" a="1"/>
  <c r="BR217" i="102" a="1"/>
  <c r="BJ196" i="102" a="1"/>
  <c r="BG190" i="102" a="1"/>
  <c r="AY217" i="102" a="1"/>
  <c r="AY187" i="102" a="1"/>
  <c r="AT138" i="102" a="1"/>
  <c r="AQ225" i="102" a="1"/>
  <c r="AI207" i="102" a="1"/>
  <c r="AI106" i="102" a="1"/>
  <c r="AI226" i="102" a="1"/>
  <c r="AA202" i="102" a="1"/>
  <c r="AA146" i="102" a="1"/>
  <c r="S205" i="102" a="1"/>
  <c r="V99" i="102" a="1"/>
  <c r="N172" i="102" a="1"/>
  <c r="K170" i="102" a="1"/>
  <c r="H32" i="103" a="1"/>
  <c r="L80" i="103" a="1"/>
  <c r="K74" i="103" a="1"/>
  <c r="AY205" i="102" a="1"/>
  <c r="AY230" i="102" a="1"/>
  <c r="AT148" i="102" a="1"/>
  <c r="AT198" i="102" a="1"/>
  <c r="AI185" i="102" a="1"/>
  <c r="AI116" i="102" a="1"/>
  <c r="AD186" i="102" a="1"/>
  <c r="AD226" i="102" a="1"/>
  <c r="AD157" i="102" a="1"/>
  <c r="V165" i="102" a="1"/>
  <c r="S97" i="102" a="1"/>
  <c r="N229" i="102" a="1"/>
  <c r="K147" i="102" a="1"/>
  <c r="F69" i="103" a="1"/>
  <c r="E77" i="103" a="1"/>
  <c r="J26" i="103" a="1"/>
  <c r="BB149" i="102" a="1"/>
  <c r="AY115" i="102" a="1"/>
  <c r="AQ112" i="102" a="1"/>
  <c r="AQ226" i="102" a="1"/>
  <c r="AL209" i="102" a="1"/>
  <c r="AL140" i="102" a="1"/>
  <c r="AD196" i="102" a="1"/>
  <c r="AA190" i="102" a="1"/>
  <c r="S156" i="102" a="1"/>
  <c r="S222" i="102" a="1"/>
  <c r="N196" i="102" a="1"/>
  <c r="AY145" i="102" a="1"/>
  <c r="AY114" i="102" a="1"/>
  <c r="AQ215" i="102" a="1"/>
  <c r="AQ113" i="102" a="1"/>
  <c r="AI205" i="102" a="1"/>
  <c r="AI136" i="102" a="1"/>
  <c r="AA208" i="102" a="1"/>
  <c r="AA152" i="102" a="1"/>
  <c r="V193" i="102" a="1"/>
  <c r="V167" i="102" a="1"/>
  <c r="N192" i="102" a="1"/>
  <c r="N114" i="102" a="1"/>
  <c r="H24" i="103" a="1"/>
  <c r="BR82" i="102" a="1"/>
  <c r="BB52" i="102" a="1"/>
  <c r="BW75" i="102" a="1"/>
  <c r="V79" i="102" a="1"/>
  <c r="V51" i="102" a="1"/>
  <c r="S58" i="102" a="1"/>
  <c r="V11" i="102" a="1"/>
  <c r="CE189" i="102" a="1"/>
  <c r="BW106" i="102" a="1"/>
  <c r="BR225" i="102" a="1"/>
  <c r="BR100" i="102" a="1"/>
  <c r="BJ134" i="102" a="1"/>
  <c r="AD55" i="102" a="1"/>
  <c r="S43" i="102" a="1"/>
  <c r="K19" i="102" a="1"/>
  <c r="CP225" i="102" a="1"/>
  <c r="CP227" i="102" a="1"/>
  <c r="CE215" i="102" a="1"/>
  <c r="BZ93" i="102" a="1"/>
  <c r="BZ169" i="102" a="1"/>
  <c r="BO150" i="102" a="1"/>
  <c r="BR172" i="102" a="1"/>
  <c r="BG185" i="102" a="1"/>
  <c r="BJ175" i="102" a="1"/>
  <c r="BB109" i="102" a="1"/>
  <c r="AA81" i="102" a="1"/>
  <c r="AA12" i="102" a="1"/>
  <c r="V12" i="102" a="1"/>
  <c r="N46" i="102" a="1"/>
  <c r="CM134" i="102" a="1"/>
  <c r="CP131" i="102" a="1"/>
  <c r="CE201" i="102" a="1"/>
  <c r="CH191" i="102" a="1"/>
  <c r="BW143" i="102" a="1"/>
  <c r="BW103" i="102" a="1"/>
  <c r="BW126" i="102" a="1"/>
  <c r="BR200" i="102" a="1"/>
  <c r="BR102" i="102" a="1"/>
  <c r="BJ219" i="102" a="1"/>
  <c r="BG117" i="102" a="1"/>
  <c r="BB158" i="102" a="1"/>
  <c r="AD47" i="102" a="1"/>
  <c r="AA79" i="102" a="1"/>
  <c r="V15" i="102" a="1"/>
  <c r="N78" i="102" a="1"/>
  <c r="CP209" i="102" a="1"/>
  <c r="CP128" i="102" a="1"/>
  <c r="CH135" i="102" a="1"/>
  <c r="CE113" i="102" a="1"/>
  <c r="BZ218" i="102" a="1"/>
  <c r="BZ178" i="102" a="1"/>
  <c r="BW152" i="102" a="1"/>
  <c r="BO122" i="102" a="1"/>
  <c r="BO102" i="102" a="1"/>
  <c r="BG141" i="102" a="1"/>
  <c r="BJ144" i="102" a="1"/>
  <c r="AI66" i="102" a="1"/>
  <c r="AD12" i="102" a="1"/>
  <c r="V40" i="102" a="1"/>
  <c r="N22" i="102" a="1"/>
  <c r="CM204" i="102" a="1"/>
  <c r="CP226" i="102" a="1"/>
  <c r="CP137" i="102" a="1"/>
  <c r="CH120" i="102" a="1"/>
  <c r="CE93" i="102" a="1"/>
  <c r="BW221" i="102" a="1"/>
  <c r="BW141" i="102" a="1"/>
  <c r="BR129" i="102" a="1"/>
  <c r="BR153" i="102" a="1"/>
  <c r="BJ132" i="102" a="1"/>
  <c r="BG203" i="102" a="1"/>
  <c r="AY121" i="102" a="1"/>
  <c r="AY200" i="102" a="1"/>
  <c r="AQ201" i="102" a="1"/>
  <c r="AQ206" i="102" a="1"/>
  <c r="AI143" i="102" a="1"/>
  <c r="AL181" i="102" a="1"/>
  <c r="AI194" i="102" a="1"/>
  <c r="AA138" i="102" a="1"/>
  <c r="AD94" i="102" a="1"/>
  <c r="S218" i="102" a="1"/>
  <c r="V147" i="102" a="1"/>
  <c r="N175" i="102" a="1"/>
  <c r="K157" i="102" a="1"/>
  <c r="J46" i="103" a="1"/>
  <c r="L33" i="103" a="1"/>
  <c r="L81" i="103" a="1"/>
  <c r="BB139" i="102" a="1"/>
  <c r="AY198" i="102" a="1"/>
  <c r="AT225" i="102" a="1"/>
  <c r="AT195" i="102" a="1"/>
  <c r="AI121" i="102" a="1"/>
  <c r="AI193" i="102" a="1"/>
  <c r="AD122" i="102" a="1"/>
  <c r="AD162" i="102" a="1"/>
  <c r="AA95" i="102" a="1"/>
  <c r="V194" i="102" a="1"/>
  <c r="S125" i="102" a="1"/>
  <c r="K173" i="102" a="1"/>
  <c r="K134" i="102" a="1"/>
  <c r="G76" i="103" a="1"/>
  <c r="F12" i="103" a="1"/>
  <c r="L40" i="103" a="1"/>
  <c r="BB226" i="102" a="1"/>
  <c r="BB164" i="102" a="1"/>
  <c r="AQ173" i="102" a="1"/>
  <c r="AQ130" i="102" a="1"/>
  <c r="AL145" i="102" a="1"/>
  <c r="AI203" i="102" a="1"/>
  <c r="AD132" i="102" a="1"/>
  <c r="AA219" i="102" a="1"/>
  <c r="S217" i="102" a="1"/>
  <c r="S158" i="102" a="1"/>
  <c r="N199" i="102" a="1"/>
  <c r="AY222" i="102" a="1"/>
  <c r="AT205" i="102" a="1"/>
  <c r="AQ151" i="102" a="1"/>
  <c r="AT176" i="102" a="1"/>
  <c r="AI141" i="102" a="1"/>
  <c r="AI213" i="102" a="1"/>
  <c r="AA144" i="102" a="1"/>
  <c r="AA94" i="102" a="1"/>
  <c r="V129" i="102" a="1"/>
  <c r="V124" i="102" a="1"/>
  <c r="K181" i="102" a="1"/>
  <c r="K117" i="102" a="1"/>
  <c r="J38" i="103" a="1"/>
  <c r="BR59" i="102" a="1"/>
  <c r="AT50" i="102" a="1"/>
  <c r="BO41" i="102" a="1"/>
  <c r="V8" i="102" a="1"/>
  <c r="N19" i="102" a="1"/>
  <c r="K53" i="102" a="1"/>
  <c r="N73" i="102" a="1"/>
  <c r="CH216" i="102" a="1"/>
  <c r="BW183" i="102" a="1"/>
  <c r="BR174" i="102" a="1"/>
  <c r="BG127" i="102" a="1"/>
  <c r="BG197" i="102" a="1"/>
  <c r="AA62" i="102" a="1"/>
  <c r="S64" i="102" a="1"/>
  <c r="K51" i="102" a="1"/>
  <c r="CP161" i="102" a="1"/>
  <c r="CM130" i="102" a="1"/>
  <c r="CE151" i="102" a="1"/>
  <c r="BZ170" i="102" a="1"/>
  <c r="BZ105" i="102" a="1"/>
  <c r="BO211" i="102" a="1"/>
  <c r="BR108" i="102" a="1"/>
  <c r="BG214" i="102" a="1"/>
  <c r="BJ220" i="102" a="1"/>
  <c r="BB186" i="102" a="1"/>
  <c r="AA49" i="102" a="1"/>
  <c r="AD7" i="102" a="1"/>
  <c r="S31" i="102" a="1"/>
  <c r="N83" i="102" a="1"/>
  <c r="CM211" i="102" a="1"/>
  <c r="CM146" i="102" a="1"/>
  <c r="CE137" i="102" a="1"/>
  <c r="CH127" i="102" a="1"/>
  <c r="BW220" i="102" a="1"/>
  <c r="BW180" i="102" a="1"/>
  <c r="BW210" i="102" a="1"/>
  <c r="BR136" i="102" a="1"/>
  <c r="BR176" i="102" a="1"/>
  <c r="BJ155" i="102" a="1"/>
  <c r="BG226" i="102" a="1"/>
  <c r="AY189" i="102" a="1"/>
  <c r="AA54" i="102" a="1"/>
  <c r="V66" i="102" a="1"/>
  <c r="S10" i="102" a="1"/>
  <c r="N52" i="102" a="1"/>
  <c r="CP145" i="102" a="1"/>
  <c r="CM113" i="102" a="1"/>
  <c r="CH212" i="102" a="1"/>
  <c r="CE190" i="102" a="1"/>
  <c r="BZ154" i="102" a="1"/>
  <c r="BZ114" i="102" a="1"/>
  <c r="BR189" i="102" a="1"/>
  <c r="BO199" i="102" a="1"/>
  <c r="BO96" i="102" a="1"/>
  <c r="BJ216" i="102" a="1"/>
  <c r="BG126" i="102" a="1"/>
  <c r="AL35" i="102" a="1"/>
  <c r="AA8" i="102" a="1"/>
  <c r="S55" i="102" a="1"/>
  <c r="N33" i="102" a="1"/>
  <c r="CM140" i="102" a="1"/>
  <c r="CP162" i="102" a="1"/>
  <c r="CE207" i="102" a="1"/>
  <c r="CH197" i="102" a="1"/>
  <c r="CH224" i="102" a="1"/>
  <c r="BW202" i="102" a="1"/>
  <c r="BZ140" i="102" a="1"/>
  <c r="BR206" i="102" a="1"/>
  <c r="BO184" i="102" a="1"/>
  <c r="BJ177" i="102" a="1"/>
  <c r="BJ230" i="102" a="1"/>
  <c r="AY179" i="102" a="1"/>
  <c r="AY136" i="102" a="1"/>
  <c r="AQ137" i="102" a="1"/>
  <c r="AT201" i="102" a="1"/>
  <c r="AI220" i="102" a="1"/>
  <c r="AL117" i="102" a="1"/>
  <c r="AL128" i="102" a="1"/>
  <c r="AA215" i="102" a="1"/>
  <c r="AD112" i="102" a="1"/>
  <c r="S154" i="102" a="1"/>
  <c r="V176" i="102" a="1"/>
  <c r="K195" i="102" a="1"/>
  <c r="K112" i="102" a="1"/>
  <c r="L60" i="103" a="1"/>
  <c r="E59" i="103" a="1"/>
  <c r="L10" i="103" a="1"/>
  <c r="AY170" i="102" a="1"/>
  <c r="AY182" i="102" a="1"/>
  <c r="AT161" i="102" a="1"/>
  <c r="AT144" i="102" a="1"/>
  <c r="AI198" i="102" a="1"/>
  <c r="AI129" i="102" a="1"/>
  <c r="AA185" i="102" a="1"/>
  <c r="AD191" i="102" a="1"/>
  <c r="V173" i="102" a="1"/>
  <c r="V130" i="102" a="1"/>
  <c r="V111" i="102" a="1"/>
  <c r="K176" i="102" a="1"/>
  <c r="K121" i="102" a="1"/>
  <c r="H83" i="103" a="1"/>
  <c r="H26" i="103" a="1"/>
  <c r="E55" i="103" a="1"/>
  <c r="BB162" i="102" a="1"/>
  <c r="BB132" i="102" a="1"/>
  <c r="AQ109" i="102" a="1"/>
  <c r="AQ95" i="102" a="1"/>
  <c r="AL222" i="102" a="1"/>
  <c r="AI139" i="102" a="1"/>
  <c r="AD209" i="102" a="1"/>
  <c r="AA155" i="102" a="1"/>
  <c r="S182" i="102" a="1"/>
  <c r="S171" i="102" a="1"/>
  <c r="K172" i="102" a="1"/>
  <c r="AY158" i="102" a="1"/>
  <c r="AT141" i="102" a="1"/>
  <c r="AT194" i="102" a="1"/>
  <c r="AQ110" i="102" a="1"/>
  <c r="AL216" i="102" a="1"/>
  <c r="AI149" i="102" a="1"/>
  <c r="AA173" i="102" a="1"/>
  <c r="AA117" i="102" a="1"/>
  <c r="V174" i="102" a="1"/>
  <c r="S141" i="102" a="1"/>
  <c r="K184" i="102" a="1"/>
  <c r="N149" i="102" a="1"/>
  <c r="L52" i="103" a="1"/>
  <c r="BJ77" i="102" a="1"/>
  <c r="AQ42" i="102" a="1"/>
  <c r="BR8" i="102" a="1"/>
  <c r="K59" i="102" a="1"/>
  <c r="CM207" i="102" a="1"/>
  <c r="CP141" i="102" a="1"/>
  <c r="K76" i="102" a="1"/>
  <c r="CH226" i="102" a="1"/>
  <c r="BW209" i="102" a="1"/>
  <c r="BR110" i="102" a="1"/>
  <c r="BG140" i="102" a="1"/>
  <c r="BJ224" i="102" a="1"/>
  <c r="AA75" i="102" a="1"/>
  <c r="S69" i="102" a="1"/>
  <c r="N64" i="102" a="1"/>
  <c r="CP206" i="102" a="1"/>
  <c r="CM168" i="102" a="1"/>
  <c r="CE148" i="102" a="1"/>
  <c r="BZ106" i="102" a="1"/>
  <c r="BW213" i="102" a="1"/>
  <c r="BO147" i="102" a="1"/>
  <c r="BO171" i="102" a="1"/>
  <c r="BG150" i="102" a="1"/>
  <c r="BJ156" i="102" a="1"/>
  <c r="BB122" i="102" a="1"/>
  <c r="AD60" i="102" a="1"/>
  <c r="S68" i="102" a="1"/>
  <c r="S19" i="102" a="1"/>
  <c r="N30" i="102" a="1"/>
  <c r="CM147" i="102" a="1"/>
  <c r="CP115" i="102" a="1"/>
  <c r="CE214" i="102" a="1"/>
  <c r="CH204" i="102" a="1"/>
  <c r="BW156" i="102" a="1"/>
  <c r="BW116" i="102" a="1"/>
  <c r="BO191" i="102" a="1"/>
  <c r="BR213" i="102" a="1"/>
  <c r="BR98" i="102" a="1"/>
  <c r="BG218" i="102" a="1"/>
  <c r="BJ137" i="102" a="1"/>
  <c r="AI59" i="102" a="1"/>
  <c r="AA67" i="102" a="1"/>
  <c r="V34" i="102" a="1"/>
  <c r="V14" i="102" a="1"/>
  <c r="K6" i="102" a="1"/>
  <c r="CP190" i="102" a="1"/>
  <c r="CP211" i="102" a="1"/>
  <c r="CH148" i="102" a="1"/>
  <c r="CE126" i="102" a="1"/>
  <c r="BW217" i="102" a="1"/>
  <c r="BZ191" i="102" a="1"/>
  <c r="BR125" i="102" a="1"/>
  <c r="BO135" i="102" a="1"/>
  <c r="BR144" i="102" a="1"/>
  <c r="BJ152" i="102" a="1"/>
  <c r="BJ108" i="102" a="1"/>
  <c r="AI28" i="102" a="1"/>
  <c r="AD36" i="102" a="1"/>
  <c r="V29" i="102" a="1"/>
  <c r="N15" i="102" a="1"/>
  <c r="CM169" i="102" a="1"/>
  <c r="CP175" i="102" a="1"/>
  <c r="CE143" i="102" a="1"/>
  <c r="CH133" i="102" a="1"/>
  <c r="CH112" i="102" a="1"/>
  <c r="BW138" i="102" a="1"/>
  <c r="BZ100" i="102" a="1"/>
  <c r="BR142" i="102" a="1"/>
  <c r="BO213" i="102" a="1"/>
  <c r="BJ113" i="102" a="1"/>
  <c r="BJ166" i="102" a="1"/>
  <c r="BB206" i="102" a="1"/>
  <c r="BB113" i="102" a="1"/>
  <c r="AQ214" i="102" a="1"/>
  <c r="AT137" i="102" a="1"/>
  <c r="AI156" i="102" a="1"/>
  <c r="AL194" i="102" a="1"/>
  <c r="AA191" i="102" a="1"/>
  <c r="AA151" i="102" a="1"/>
  <c r="AD118" i="102" a="1"/>
  <c r="S231" i="102" a="1"/>
  <c r="S130" i="102" a="1"/>
  <c r="K212" i="102" a="1"/>
  <c r="N131" i="102" a="1"/>
  <c r="G68" i="103" a="1"/>
  <c r="G75" i="103" a="1"/>
  <c r="E25" i="103" a="1"/>
  <c r="AY215" i="102" a="1"/>
  <c r="AY166" i="102" a="1"/>
  <c r="AT190" i="102" a="1"/>
  <c r="AT127" i="102" a="1"/>
  <c r="AI134" i="102" a="1"/>
  <c r="AI206" i="102" a="1"/>
  <c r="AA121" i="102" a="1"/>
  <c r="AD127" i="102" a="1"/>
  <c r="V109" i="102" a="1"/>
  <c r="V191" i="102" a="1"/>
  <c r="S168" i="102" a="1"/>
  <c r="K104" i="102" a="1"/>
  <c r="K108" i="102" a="1"/>
  <c r="K16" i="103" a="1"/>
  <c r="J40" i="103" a="1"/>
  <c r="I12" i="103" a="1"/>
  <c r="BB223" i="102" a="1"/>
  <c r="BB104" i="102" a="1"/>
  <c r="AT184" i="102" a="1"/>
  <c r="AQ99" i="102" a="1"/>
  <c r="AL158" i="102" a="1"/>
  <c r="AL214" i="102" a="1"/>
  <c r="AD145" i="102" a="1"/>
  <c r="AD230" i="102" a="1"/>
  <c r="S118" i="102" a="1"/>
  <c r="S107" i="102" a="1"/>
  <c r="AY188" i="102" a="1"/>
  <c r="AY94" i="102" a="1"/>
  <c r="AQ172" i="102" a="1"/>
  <c r="AT130" i="102" a="1"/>
  <c r="AQ115" i="102" a="1"/>
  <c r="AL152" i="102" a="1"/>
  <c r="AL160" i="102" a="1"/>
  <c r="AA109" i="102" a="1"/>
  <c r="AA130" i="102" a="1"/>
  <c r="V110" i="102" a="1"/>
  <c r="V199" i="102" a="1"/>
  <c r="K187" i="102" a="1"/>
  <c r="N136" i="102" a="1"/>
  <c r="G10" i="103" a="1"/>
  <c r="BB32" i="102" a="1"/>
  <c r="BW83" i="102" a="1"/>
  <c r="BJ56" i="102" a="1"/>
  <c r="CP174" i="102" a="1"/>
  <c r="CP197" i="102" a="1"/>
  <c r="CM119" i="102" a="1"/>
  <c r="CM214" i="102" a="1"/>
  <c r="CH162" i="102" a="1"/>
  <c r="BW145" i="102" a="1"/>
  <c r="BR171" i="102" a="1"/>
  <c r="BJ199" i="102" a="1"/>
  <c r="BJ121" i="102" a="1"/>
  <c r="AA48" i="102" a="1"/>
  <c r="S50" i="102" a="1"/>
  <c r="N44" i="102" a="1"/>
  <c r="CP155" i="102" a="1"/>
  <c r="CM114" i="102" a="1"/>
  <c r="CE193" i="102" a="1"/>
  <c r="BW182" i="102" a="1"/>
  <c r="BW109" i="102" a="1"/>
  <c r="BO224" i="102" a="1"/>
  <c r="BR214" i="102" a="1"/>
  <c r="BG195" i="102" a="1"/>
  <c r="BJ169" i="102" a="1"/>
  <c r="AI75" i="102" a="1"/>
  <c r="AD73" i="102" a="1"/>
  <c r="S36" i="102" a="1"/>
  <c r="S28" i="102" a="1"/>
  <c r="K46" i="102" a="1"/>
  <c r="CM192" i="102" a="1"/>
  <c r="CM229" i="102" a="1"/>
  <c r="CE150" i="102" a="1"/>
  <c r="CH140" i="102" a="1"/>
  <c r="BZ231" i="102" a="1"/>
  <c r="BW193" i="102" a="1"/>
  <c r="BO127" i="102" a="1"/>
  <c r="BR149" i="102" a="1"/>
  <c r="BR95" i="102" a="1"/>
  <c r="BG154" i="102" a="1"/>
  <c r="BG137" i="102" a="1"/>
  <c r="AI40" i="102" a="1"/>
  <c r="AA35" i="102" a="1"/>
  <c r="S62" i="102" a="1"/>
  <c r="V23" i="102" a="1"/>
  <c r="K71" i="102" a="1"/>
  <c r="CP126" i="102" a="1"/>
  <c r="CP153" i="102" a="1"/>
  <c r="CH225" i="102" a="1"/>
  <c r="CH201" i="102" a="1"/>
  <c r="BW153" i="102" a="1"/>
  <c r="BZ127" i="102" a="1"/>
  <c r="BR202" i="102" a="1"/>
  <c r="BO212" i="102" a="1"/>
  <c r="BO210" i="102" a="1"/>
  <c r="BJ229" i="102" a="1"/>
  <c r="BG194" i="102" a="1"/>
  <c r="AA68" i="102" a="1"/>
  <c r="AD69" i="102" a="1"/>
  <c r="V27" i="102" a="1"/>
  <c r="N36" i="102" a="1"/>
  <c r="CM105" i="102" a="1"/>
  <c r="CP204" i="102" a="1"/>
  <c r="CH202" i="102" a="1"/>
  <c r="CH194" i="102" a="1"/>
  <c r="CH208" i="102" a="1"/>
  <c r="BW215" i="102" a="1"/>
  <c r="BW149" i="102" a="1"/>
  <c r="BR203" i="102" a="1"/>
  <c r="BO149" i="102" a="1"/>
  <c r="BJ190" i="102" a="1"/>
  <c r="BG229" i="102" a="1"/>
  <c r="BB219" i="102" a="1"/>
  <c r="BB116" i="102" a="1"/>
  <c r="AQ150" i="102" a="1"/>
  <c r="AQ200" i="102" a="1"/>
  <c r="AL199" i="102" a="1"/>
  <c r="AL130" i="102" a="1"/>
  <c r="AA188" i="102" a="1"/>
  <c r="AA228" i="102" a="1"/>
  <c r="AA210" i="102" a="1"/>
  <c r="S167" i="102" a="1"/>
  <c r="S99" i="102" a="1"/>
  <c r="K215" i="102" a="1"/>
  <c r="N145" i="102" a="1"/>
  <c r="H75" i="103" a="1"/>
  <c r="J10" i="103" a="1"/>
  <c r="G39" i="103" a="1"/>
  <c r="AY151" i="102" a="1"/>
  <c r="AY139" i="102" a="1"/>
  <c r="AT126" i="102" a="1"/>
  <c r="AT150" i="102" a="1"/>
  <c r="AI211" i="102" a="1"/>
  <c r="AI142" i="102" a="1"/>
  <c r="AA198" i="102" a="1"/>
  <c r="AD204" i="102" a="1"/>
  <c r="V170" i="102" a="1"/>
  <c r="V127" i="102" a="1"/>
  <c r="K182" i="102" a="1"/>
  <c r="K168" i="102" a="1"/>
  <c r="K95" i="102" a="1"/>
  <c r="M30" i="103" a="1"/>
  <c r="L54" i="103" a="1"/>
  <c r="K26" i="103" a="1"/>
  <c r="BB159" i="102" a="1"/>
  <c r="AY178" i="102" a="1"/>
  <c r="AT229" i="102" a="1"/>
  <c r="AQ126" i="102" a="1"/>
  <c r="AL219" i="102" a="1"/>
  <c r="AL150" i="102" a="1"/>
  <c r="AD222" i="102" a="1"/>
  <c r="AD166" i="102" a="1"/>
  <c r="S195" i="102" a="1"/>
  <c r="V182" i="102" a="1"/>
  <c r="BB183" i="102" a="1"/>
  <c r="BB169" i="102" a="1"/>
  <c r="AQ108" i="102" a="1"/>
  <c r="AT207" i="102" a="1"/>
  <c r="AL189" i="102" a="1"/>
  <c r="AI215" i="102" a="1"/>
  <c r="AI178" i="102" a="1"/>
  <c r="AD184" i="102" a="1"/>
  <c r="AA226" i="102" a="1"/>
  <c r="V187" i="102" a="1"/>
  <c r="V183" i="102" a="1"/>
  <c r="K190" i="102" a="1"/>
  <c r="N123" i="102" a="1"/>
  <c r="I24" i="103" a="1"/>
  <c r="AQ70" i="102" a="1"/>
  <c r="BO49" i="102" a="1"/>
  <c r="AY55" i="102" a="1"/>
  <c r="CP127" i="102" a="1"/>
  <c r="CP102" i="102" a="1"/>
  <c r="CM107" i="102" a="1"/>
  <c r="CM208" i="102" a="1"/>
  <c r="CH156" i="102" a="1"/>
  <c r="BW158" i="102" a="1"/>
  <c r="BR229" i="102" a="1"/>
  <c r="BJ228" i="102" a="1"/>
  <c r="BG114" i="102" a="1"/>
  <c r="AD83" i="102" a="1"/>
  <c r="S18" i="102" a="1"/>
  <c r="K77" i="102" a="1"/>
  <c r="CM218" i="102" a="1"/>
  <c r="CP134" i="102" a="1"/>
  <c r="CE129" i="102" a="1"/>
  <c r="BZ225" i="102" a="1"/>
  <c r="BZ224" i="102" a="1"/>
  <c r="BO160" i="102" a="1"/>
  <c r="BR150" i="102" a="1"/>
  <c r="BG131" i="102" a="1"/>
  <c r="BG184" i="102" a="1"/>
  <c r="AL46" i="102" a="1"/>
  <c r="AD41" i="102" a="1"/>
  <c r="V68" i="102" a="1"/>
  <c r="V39" i="102" a="1"/>
  <c r="K83" i="102" a="1"/>
  <c r="CM128" i="102" a="1"/>
  <c r="CP176" i="102" a="1"/>
  <c r="CE227" i="102" a="1"/>
  <c r="CE203" i="102" a="1"/>
  <c r="BZ167" i="102" a="1"/>
  <c r="BW129" i="102" a="1"/>
  <c r="BO204" i="102" a="1"/>
  <c r="BR226" i="102" a="1"/>
  <c r="BR208" i="102" a="1"/>
  <c r="BG231" i="102" a="1"/>
  <c r="BJ95" i="102" a="1"/>
  <c r="AL69" i="102" a="1"/>
  <c r="AA72" i="102" a="1"/>
  <c r="S30" i="102" a="1"/>
  <c r="S23" i="102" a="1"/>
  <c r="N76" i="102" a="1"/>
  <c r="CP203" i="102" a="1"/>
  <c r="CM149" i="102" a="1"/>
  <c r="CH161" i="102" a="1"/>
  <c r="CH137" i="102" a="1"/>
  <c r="BW230" i="102" a="1"/>
  <c r="BZ204" i="102" a="1"/>
  <c r="BR138" i="102" a="1"/>
  <c r="BO148" i="102" a="1"/>
  <c r="BJ173" i="102" a="1"/>
  <c r="BJ165" i="102" a="1"/>
  <c r="BJ135" i="102" a="1"/>
  <c r="AA36" i="102" a="1"/>
  <c r="AA7" i="102" a="1"/>
  <c r="S71" i="102" a="1"/>
  <c r="K74" i="102" a="1"/>
  <c r="CM182" i="102" a="1"/>
  <c r="CP140" i="102" a="1"/>
  <c r="CH138" i="102" a="1"/>
  <c r="CH130" i="102" a="1"/>
  <c r="BW191" i="102" a="1"/>
  <c r="BW151" i="102" a="1"/>
  <c r="BZ99" i="102" a="1"/>
  <c r="BR139" i="102" a="1"/>
  <c r="BR160" i="102" a="1"/>
  <c r="BJ126" i="102" a="1"/>
  <c r="BG165" i="102" a="1"/>
  <c r="AY141" i="102" a="1"/>
  <c r="AY213" i="102" a="1"/>
  <c r="AQ227" i="102" a="1"/>
  <c r="AQ197" i="102" a="1"/>
  <c r="AL135" i="102" a="1"/>
  <c r="AL207" i="102" a="1"/>
  <c r="AA124" i="102" a="1"/>
  <c r="AA164" i="102" a="1"/>
  <c r="AD114" i="102" a="1"/>
  <c r="S196" i="102" a="1"/>
  <c r="S93" i="102" a="1"/>
  <c r="K218" i="102" a="1"/>
  <c r="N132" i="102" a="1"/>
  <c r="I82" i="103" a="1"/>
  <c r="L24" i="103" a="1"/>
  <c r="I53" i="103" a="1"/>
  <c r="AY228" i="102" a="1"/>
  <c r="BB179" i="102" a="1"/>
  <c r="BW32" i="102" a="1"/>
  <c r="BG8" i="102" a="1"/>
  <c r="AL76" i="102" a="1"/>
  <c r="CE110" i="102" a="1"/>
  <c r="CE96" i="102" a="1"/>
  <c r="CH114" i="102" a="1"/>
  <c r="CP104" i="102" a="1"/>
  <c r="CH230" i="102" a="1"/>
  <c r="BW181" i="102" a="1"/>
  <c r="BR101" i="102" a="1"/>
  <c r="BJ222" i="102" a="1"/>
  <c r="AY175" i="102" a="1"/>
  <c r="AD64" i="102" a="1"/>
  <c r="V10" i="102" a="1"/>
  <c r="K72" i="102" a="1"/>
  <c r="CM231" i="102" a="1"/>
  <c r="CE156" i="102" a="1"/>
  <c r="CE142" i="102" a="1"/>
  <c r="BZ97" i="102" a="1"/>
  <c r="BW194" i="102" a="1"/>
  <c r="BO157" i="102" a="1"/>
  <c r="BR115" i="102" a="1"/>
  <c r="BG144" i="102" a="1"/>
  <c r="BJ195" i="102" a="1"/>
  <c r="AI31" i="102" a="1"/>
  <c r="AD46" i="102" a="1"/>
  <c r="V73" i="102" a="1"/>
  <c r="N34" i="102" a="1"/>
  <c r="K57" i="102" a="1"/>
  <c r="CM141" i="102" a="1"/>
  <c r="CM139" i="102" a="1"/>
  <c r="CE99" i="102" a="1"/>
  <c r="CH214" i="102" a="1"/>
  <c r="BZ180" i="102" a="1"/>
  <c r="BW219" i="102" a="1"/>
  <c r="BR215" i="102" a="1"/>
  <c r="BR223" i="102" a="1"/>
  <c r="BG111" i="102" a="1"/>
  <c r="BG103" i="102" a="1"/>
  <c r="BG113" i="102" a="1"/>
  <c r="AL72" i="102" a="1"/>
  <c r="AD75" i="102" a="1"/>
  <c r="S35" i="102" a="1"/>
  <c r="N21" i="102" a="1"/>
  <c r="K84" i="102" a="1"/>
  <c r="CM202" i="102" a="1"/>
  <c r="CP163" i="102" a="1"/>
  <c r="CH174" i="102" a="1"/>
  <c r="CE136" i="102" a="1"/>
  <c r="BZ209" i="102" a="1"/>
  <c r="BZ153" i="102" a="1"/>
  <c r="BO137" i="102" a="1"/>
  <c r="BO145" i="102" a="1"/>
  <c r="BJ186" i="102" a="1"/>
  <c r="BJ178" i="102" a="1"/>
  <c r="BB221" i="102" a="1"/>
  <c r="AD84" i="102" a="1"/>
  <c r="AD61" i="102" a="1"/>
  <c r="S11" i="102" a="1"/>
  <c r="K80" i="102" a="1"/>
  <c r="CM195" i="102" a="1"/>
  <c r="CM123" i="102" a="1"/>
  <c r="CE121" i="102" a="1"/>
  <c r="CH111" i="102" a="1"/>
  <c r="BW204" i="102" a="1"/>
  <c r="BW164" i="102" a="1"/>
  <c r="BW114" i="102" a="1"/>
  <c r="BR120" i="102" a="1"/>
  <c r="BR96" i="102" a="1"/>
  <c r="BJ139" i="102" a="1"/>
  <c r="BJ103" i="102" a="1"/>
  <c r="BB229" i="102" a="1"/>
  <c r="AY181" i="102" a="1"/>
  <c r="AQ192" i="102" a="1"/>
  <c r="AT133" i="102" a="1"/>
  <c r="AL148" i="102" a="1"/>
  <c r="AL220" i="102" a="1"/>
  <c r="AD135" i="102" a="1"/>
  <c r="AA129" i="102" a="1"/>
  <c r="S111" i="102" a="1"/>
  <c r="S193" i="102" a="1"/>
  <c r="V128" i="102" a="1"/>
  <c r="N102" i="102" a="1"/>
  <c r="N106" i="102" a="1"/>
  <c r="H29" i="103" a="1"/>
  <c r="G53" i="103" a="1"/>
  <c r="I23" i="103" a="1"/>
  <c r="AD51" i="102" a="1"/>
  <c r="K70" i="102" a="1"/>
  <c r="N63" i="102" a="1"/>
  <c r="CM118" i="102" a="1"/>
  <c r="AL143" i="102" a="1"/>
  <c r="AT123" i="102" a="1"/>
  <c r="AA211" i="102" a="1"/>
  <c r="V121" i="102" a="1"/>
  <c r="L49" i="103" a="1"/>
  <c r="BB168" i="102" a="1"/>
  <c r="AQ132" i="102" a="1"/>
  <c r="AL227" i="102" a="1"/>
  <c r="S159" i="102" a="1"/>
  <c r="BB174" i="102" a="1"/>
  <c r="AT188" i="102" a="1"/>
  <c r="AL137" i="102" a="1"/>
  <c r="AD98" i="102" a="1"/>
  <c r="K193" i="102" a="1"/>
  <c r="BB170" i="102" a="1"/>
  <c r="AY219" i="102" a="1"/>
  <c r="AT170" i="102" a="1"/>
  <c r="AQ116" i="102" a="1"/>
  <c r="AT112" i="102" a="1"/>
  <c r="AI138" i="102" a="1"/>
  <c r="AI114" i="102" a="1"/>
  <c r="AD107" i="102" a="1"/>
  <c r="AD126" i="102" a="1"/>
  <c r="S96" i="102" a="1"/>
  <c r="V140" i="102" a="1"/>
  <c r="N201" i="102" a="1"/>
  <c r="K138" i="102" a="1"/>
  <c r="E26" i="103" a="1"/>
  <c r="G77" i="103" a="1"/>
  <c r="F71" i="103" a="1"/>
  <c r="AY144" i="102" a="1"/>
  <c r="BB147" i="102" a="1"/>
  <c r="AT180" i="102" a="1"/>
  <c r="AT230" i="102" a="1"/>
  <c r="AI217" i="102" a="1"/>
  <c r="AI148" i="102" a="1"/>
  <c r="AD218" i="102" a="1"/>
  <c r="AD117" i="102" a="1"/>
  <c r="AA165" i="102" a="1"/>
  <c r="V197" i="102" a="1"/>
  <c r="V139" i="102" a="1"/>
  <c r="N197" i="102" a="1"/>
  <c r="K115" i="102" a="1"/>
  <c r="J65" i="103" a="1"/>
  <c r="M69" i="103" a="1"/>
  <c r="G20" i="103" a="1"/>
  <c r="BB117" i="102" a="1"/>
  <c r="AY133" i="102" a="1"/>
  <c r="AQ205" i="102" a="1"/>
  <c r="AT224" i="102" a="1"/>
  <c r="AL177" i="102" a="1"/>
  <c r="AL108" i="102" a="1"/>
  <c r="AD164" i="102" a="1"/>
  <c r="AA158" i="102" a="1"/>
  <c r="S124" i="102" a="1"/>
  <c r="S190" i="102" a="1"/>
  <c r="N228" i="102" a="1"/>
  <c r="N121" i="102" a="1"/>
  <c r="N141" i="102" a="1"/>
  <c r="L38" i="103" a="1"/>
  <c r="J30" i="103" a="1"/>
  <c r="BB193" i="102" a="1"/>
  <c r="BB150" i="102" a="1"/>
  <c r="AT151" i="102" a="1"/>
  <c r="AQ203" i="102" a="1"/>
  <c r="AL93" i="102" a="1"/>
  <c r="AI119" i="102" a="1"/>
  <c r="AL106" i="102" a="1"/>
  <c r="AD229" i="102" a="1"/>
  <c r="AA178" i="102" a="1"/>
  <c r="V168" i="102" a="1"/>
  <c r="S226" i="102" a="1"/>
  <c r="K225" i="102" a="1"/>
  <c r="N110" i="102" a="1"/>
  <c r="G59" i="103" a="1"/>
  <c r="M55" i="103" a="1"/>
  <c r="F9" i="103" a="1"/>
  <c r="F28" i="103" a="1"/>
  <c r="K76" i="103" a="1"/>
  <c r="E54" i="103" a="1"/>
  <c r="AH68" i="102" a="1"/>
  <c r="BV163" i="102" a="1"/>
  <c r="CD181" i="102" a="1"/>
  <c r="J51" i="102" a="1"/>
  <c r="AX26" i="102" a="1"/>
  <c r="BV23" i="102" a="1"/>
  <c r="CD127" i="102" a="1"/>
  <c r="J31" i="102" a="1"/>
  <c r="AX49" i="102" a="1"/>
  <c r="BV199" i="102" a="1"/>
  <c r="R221" i="102" a="1"/>
  <c r="Z186" i="102" a="1"/>
  <c r="Z156" i="102" a="1"/>
  <c r="E34" i="103" a="1"/>
  <c r="E52" i="103" a="1"/>
  <c r="G60" i="103" a="1"/>
  <c r="J22" i="103" a="1"/>
  <c r="AX22" i="102" a="1"/>
  <c r="BV145" i="102" a="1"/>
  <c r="CL131" i="102" a="1"/>
  <c r="R19" i="102" a="1"/>
  <c r="AX13" i="102" a="1"/>
  <c r="BV81" i="102" a="1"/>
  <c r="CD120" i="102" a="1"/>
  <c r="R34" i="102" a="1"/>
  <c r="BF32" i="102" a="1"/>
  <c r="J120" i="102" a="1"/>
  <c r="R107" i="102" a="1"/>
  <c r="R188" i="102" a="1"/>
  <c r="Z148" i="102" a="1"/>
  <c r="AH98" i="102" a="1"/>
  <c r="H20" i="103" a="1"/>
  <c r="H16" i="103" a="1"/>
  <c r="E13" i="103" a="1"/>
  <c r="J63" i="102" a="1"/>
  <c r="BN13" i="102" a="1"/>
  <c r="BV124" i="102" a="1"/>
  <c r="CD107" i="102" a="1"/>
  <c r="R62" i="102" a="1"/>
  <c r="AH71" i="102" a="1"/>
  <c r="BN179" i="102" a="1"/>
  <c r="CD205" i="102" a="1"/>
  <c r="R33" i="102" a="1"/>
  <c r="V35" i="102" a="1"/>
  <c r="CM205" i="102" a="1"/>
  <c r="CP139" i="102" a="1"/>
  <c r="CP99" i="102" a="1"/>
  <c r="AD199" i="102" a="1"/>
  <c r="AQ186" i="102" a="1"/>
  <c r="AA147" i="102" a="1"/>
  <c r="V117" i="102" a="1"/>
  <c r="E62" i="103" a="1"/>
  <c r="BB213" i="102" a="1"/>
  <c r="AQ184" i="102" a="1"/>
  <c r="AL163" i="102" a="1"/>
  <c r="S220" i="102" a="1"/>
  <c r="AY135" i="102" a="1"/>
  <c r="AQ171" i="102" a="1"/>
  <c r="AI200" i="102" a="1"/>
  <c r="V154" i="102" a="1"/>
  <c r="N178" i="102" a="1"/>
  <c r="AY169" i="102" a="1"/>
  <c r="AY155" i="102" a="1"/>
  <c r="AT106" i="102" a="1"/>
  <c r="AQ193" i="102" a="1"/>
  <c r="AI175" i="102" a="1"/>
  <c r="AL213" i="102" a="1"/>
  <c r="AL96" i="102" a="1"/>
  <c r="AA170" i="102" a="1"/>
  <c r="AA136" i="102" a="1"/>
  <c r="S173" i="102" a="1"/>
  <c r="V107" i="102" a="1"/>
  <c r="N204" i="102" a="1"/>
  <c r="K125" i="102" a="1"/>
  <c r="G40" i="103" a="1"/>
  <c r="H84" i="103" a="1"/>
  <c r="G78" i="103" a="1"/>
  <c r="BB171" i="102" a="1"/>
  <c r="AY214" i="102" a="1"/>
  <c r="AT116" i="102" a="1"/>
  <c r="AT227" i="102" a="1"/>
  <c r="AI153" i="102" a="1"/>
  <c r="AI225" i="102" a="1"/>
  <c r="AD154" i="102" a="1"/>
  <c r="AD194" i="102" a="1"/>
  <c r="AD134" i="102" a="1"/>
  <c r="V226" i="102" a="1"/>
  <c r="S136" i="102" a="1"/>
  <c r="N200" i="102" a="1"/>
  <c r="K102" i="102" a="1"/>
  <c r="K72" i="103" a="1"/>
  <c r="F84" i="103" a="1"/>
  <c r="I34" i="103" a="1"/>
  <c r="BB194" i="102" a="1"/>
  <c r="AY162" i="102" a="1"/>
  <c r="AQ141" i="102" a="1"/>
  <c r="AQ142" i="102" a="1"/>
  <c r="AL113" i="102" a="1"/>
  <c r="AI171" i="102" a="1"/>
  <c r="AD100" i="102" a="1"/>
  <c r="AA187" i="102" a="1"/>
  <c r="S214" i="102" a="1"/>
  <c r="S203" i="102" a="1"/>
  <c r="N231" i="102" a="1"/>
  <c r="K94" i="102" a="1"/>
  <c r="N128" i="102" a="1"/>
  <c r="E53" i="103" a="1"/>
  <c r="M61" i="103" a="1"/>
  <c r="AY208" i="102" a="1"/>
  <c r="BB153" i="102" a="1"/>
  <c r="AT228" i="102" a="1"/>
  <c r="AQ139" i="102" a="1"/>
  <c r="AL170" i="102" a="1"/>
  <c r="AI196" i="102" a="1"/>
  <c r="AD205" i="102" a="1"/>
  <c r="AD165" i="102" a="1"/>
  <c r="AD125" i="102" a="1"/>
  <c r="V104" i="102" a="1"/>
  <c r="S153" i="102" a="1"/>
  <c r="N210" i="102" a="1"/>
  <c r="K101" i="102" a="1"/>
  <c r="H67" i="103" a="1"/>
  <c r="I73" i="103" a="1"/>
  <c r="H23" i="103" a="1"/>
  <c r="E14" i="103" a="1"/>
  <c r="L83" i="103" a="1"/>
  <c r="M9" i="103" a="1"/>
  <c r="Z39" i="102" a="1"/>
  <c r="BV67" i="102" a="1"/>
  <c r="CD222" i="102" a="1"/>
  <c r="CL176" i="102" a="1"/>
  <c r="AH35" i="102" a="1"/>
  <c r="BF81" i="102" a="1"/>
  <c r="BV153" i="102" a="1"/>
  <c r="CL224" i="102" a="1"/>
  <c r="AH29" i="102" a="1"/>
  <c r="BN198" i="102" a="1"/>
  <c r="J217" i="102" a="1"/>
  <c r="R102" i="102" a="1"/>
  <c r="R165" i="102" a="1"/>
  <c r="F34" i="103" a="1"/>
  <c r="M7" i="103" a="1"/>
  <c r="M67" i="103" a="1"/>
  <c r="L36" i="103" a="1"/>
  <c r="AH82" i="102" a="1"/>
  <c r="N77" i="102" a="1"/>
  <c r="CP169" i="102" a="1"/>
  <c r="CM136" i="102" a="1"/>
  <c r="CE185" i="102" a="1"/>
  <c r="AA193" i="102" a="1"/>
  <c r="AQ133" i="102" a="1"/>
  <c r="AD213" i="102" a="1"/>
  <c r="S105" i="102" a="1"/>
  <c r="F45" i="103" a="1"/>
  <c r="BB95" i="102" a="1"/>
  <c r="AT102" i="102" a="1"/>
  <c r="AL99" i="102" a="1"/>
  <c r="S131" i="102" a="1"/>
  <c r="AY148" i="102" a="1"/>
  <c r="AQ107" i="102" a="1"/>
  <c r="AI146" i="102" a="1"/>
  <c r="V180" i="102" a="1"/>
  <c r="N181" i="102" a="1"/>
  <c r="BB225" i="102" a="1"/>
  <c r="AY168" i="102" a="1"/>
  <c r="AQ169" i="102" a="1"/>
  <c r="AQ174" i="102" a="1"/>
  <c r="AI111" i="102" a="1"/>
  <c r="AL149" i="102" a="1"/>
  <c r="AI130" i="102" a="1"/>
  <c r="AA106" i="102" a="1"/>
  <c r="AA96" i="102" a="1"/>
  <c r="S186" i="102" a="1"/>
  <c r="S110" i="102" a="1"/>
  <c r="N207" i="102" a="1"/>
  <c r="N163" i="102" a="1"/>
  <c r="I54" i="103" a="1"/>
  <c r="L44" i="103" a="1"/>
  <c r="J19" i="103" a="1"/>
  <c r="AY202" i="102" a="1"/>
  <c r="BB96" i="102" a="1"/>
  <c r="AT193" i="102" a="1"/>
  <c r="AT163" i="102" a="1"/>
  <c r="AI230" i="102" a="1"/>
  <c r="AI161" i="102" a="1"/>
  <c r="AA217" i="102" a="1"/>
  <c r="AD223" i="102" a="1"/>
  <c r="V205" i="102" a="1"/>
  <c r="V162" i="102" a="1"/>
  <c r="S169" i="102" a="1"/>
  <c r="K205" i="102" a="1"/>
  <c r="K166" i="102" a="1"/>
  <c r="L79" i="103" a="1"/>
  <c r="E20" i="103" a="1"/>
  <c r="K48" i="103" a="1"/>
  <c r="BB130" i="102" a="1"/>
  <c r="AY210" i="102" a="1"/>
  <c r="AT216" i="102" a="1"/>
  <c r="AQ136" i="102" a="1"/>
  <c r="AL190" i="102" a="1"/>
  <c r="AI107" i="102" a="1"/>
  <c r="AD177" i="102" a="1"/>
  <c r="AA123" i="102" a="1"/>
  <c r="S150" i="102" a="1"/>
  <c r="S139" i="102" a="1"/>
  <c r="K204" i="102" a="1"/>
  <c r="K158" i="102" a="1"/>
  <c r="K93" i="102" a="1"/>
  <c r="E12" i="103" a="1"/>
  <c r="F76" i="103" a="1"/>
  <c r="AY128" i="102" a="1"/>
  <c r="AY130" i="102" a="1"/>
  <c r="AT164" i="102" a="1"/>
  <c r="AT214" i="102" a="1"/>
  <c r="AI201" i="102" a="1"/>
  <c r="AI132" i="102" a="1"/>
  <c r="AD202" i="102" a="1"/>
  <c r="AD101" i="102" a="1"/>
  <c r="AD163" i="102" a="1"/>
  <c r="V181" i="102" a="1"/>
  <c r="S120" i="102" a="1"/>
  <c r="N213" i="102" a="1"/>
  <c r="K131" i="102" a="1"/>
  <c r="I74" i="103" a="1"/>
  <c r="E9" i="103" a="1"/>
  <c r="J37" i="103" a="1"/>
  <c r="I42" i="103" a="1"/>
  <c r="M15" i="103" a="1"/>
  <c r="F24" i="103" a="1"/>
  <c r="J67" i="102" a="1"/>
  <c r="BN17" i="102" a="1"/>
  <c r="BV225" i="102" a="1"/>
  <c r="CD161" i="102" a="1"/>
  <c r="R50" i="102" a="1"/>
  <c r="AP75" i="102" a="1"/>
  <c r="BN175" i="102" a="1"/>
  <c r="CD137" i="102" a="1"/>
  <c r="Z69" i="102" a="1"/>
  <c r="BF176" i="102" a="1"/>
  <c r="J117" i="102" a="1"/>
  <c r="J110" i="102" a="1"/>
  <c r="J220" i="102" a="1"/>
  <c r="H76" i="103" a="1"/>
  <c r="F22" i="103" a="1"/>
  <c r="E75" i="103" a="1"/>
  <c r="E51" i="103" a="1"/>
  <c r="Z15" i="102" a="1"/>
  <c r="BF28" i="102" a="1"/>
  <c r="BV211" i="102" a="1"/>
  <c r="CD165" i="102" a="1"/>
  <c r="R61" i="102" a="1"/>
  <c r="AX40" i="102" a="1"/>
  <c r="BV33" i="102" a="1"/>
  <c r="CL155" i="102" a="1"/>
  <c r="Z63" i="102" a="1"/>
  <c r="AX137" i="102" a="1"/>
  <c r="BF169" i="102" a="1"/>
  <c r="BN122" i="102" a="1"/>
  <c r="J182" i="102" a="1"/>
  <c r="N179" i="102" a="1"/>
  <c r="M65" i="103" a="1"/>
  <c r="G33" i="103" a="1"/>
  <c r="I41" i="103" a="1"/>
  <c r="CD167" i="102" a="1"/>
  <c r="AP12" i="102" a="1"/>
  <c r="BF78" i="102" a="1"/>
  <c r="BV69" i="102" a="1"/>
  <c r="CL110" i="102" a="1"/>
  <c r="R7" i="102" a="1"/>
  <c r="AX75" i="102" a="1"/>
  <c r="BN214" i="102" a="1"/>
  <c r="CL128" i="102" a="1"/>
  <c r="CM154" i="102" a="1"/>
  <c r="CE163" i="102" a="1"/>
  <c r="CH97" i="102" a="1"/>
  <c r="CH175" i="102" a="1"/>
  <c r="S175" i="102" a="1"/>
  <c r="AQ97" i="102" a="1"/>
  <c r="AD149" i="102" a="1"/>
  <c r="K185" i="102" a="1"/>
  <c r="H59" i="103" a="1"/>
  <c r="BB172" i="102" a="1"/>
  <c r="AT109" i="102" a="1"/>
  <c r="AA172" i="102" a="1"/>
  <c r="S176" i="102" a="1"/>
  <c r="AY209" i="102" a="1"/>
  <c r="AT166" i="102" a="1"/>
  <c r="AI162" i="102" a="1"/>
  <c r="V116" i="102" a="1"/>
  <c r="K149" i="102" a="1"/>
  <c r="AY131" i="102" a="1"/>
  <c r="AY104" i="102" a="1"/>
  <c r="AQ105" i="102" a="1"/>
  <c r="AT169" i="102" a="1"/>
  <c r="AI188" i="102" a="1"/>
  <c r="AL226" i="102" a="1"/>
  <c r="AA223" i="102" a="1"/>
  <c r="AA183" i="102" a="1"/>
  <c r="AA132" i="102" a="1"/>
  <c r="S122" i="102" a="1"/>
  <c r="S103" i="102" a="1"/>
  <c r="K180" i="102" a="1"/>
  <c r="K144" i="102" a="1"/>
  <c r="K64" i="103" a="1"/>
  <c r="F68" i="103" a="1"/>
  <c r="K18" i="103" a="1"/>
  <c r="AY138" i="102" a="1"/>
  <c r="AY101" i="102" a="1"/>
  <c r="AT222" i="102" a="1"/>
  <c r="AQ120" i="102" a="1"/>
  <c r="AI166" i="102" a="1"/>
  <c r="AI97" i="102" a="1"/>
  <c r="AA153" i="102" a="1"/>
  <c r="AD159" i="102" a="1"/>
  <c r="V141" i="102" a="1"/>
  <c r="V223" i="102" a="1"/>
  <c r="S119" i="102" a="1"/>
  <c r="K208" i="102" a="1"/>
  <c r="K153" i="102" a="1"/>
  <c r="L8" i="103" a="1"/>
  <c r="G34" i="103" a="1"/>
  <c r="G13" i="103" a="1"/>
  <c r="BB191" i="102" a="1"/>
  <c r="AY117" i="102" a="1"/>
  <c r="AT152" i="102" a="1"/>
  <c r="AT192" i="102" a="1"/>
  <c r="AL126" i="102" a="1"/>
  <c r="AL182" i="102" a="1"/>
  <c r="AD113" i="102" a="1"/>
  <c r="AD198" i="102" a="1"/>
  <c r="S227" i="102" a="1"/>
  <c r="V214" i="102" a="1"/>
  <c r="K207" i="102" a="1"/>
  <c r="K145" i="102" a="1"/>
  <c r="I16" i="103" a="1"/>
  <c r="G26" i="103" a="1"/>
  <c r="L13" i="103" a="1"/>
  <c r="BB155" i="102" a="1"/>
  <c r="AY99" i="102" a="1"/>
  <c r="AT100" i="102" a="1"/>
  <c r="AT211" i="102" a="1"/>
  <c r="AI137" i="102" a="1"/>
  <c r="AI209" i="102" a="1"/>
  <c r="AD138" i="102" a="1"/>
  <c r="AD178" i="102" a="1"/>
  <c r="AD124" i="102" a="1"/>
  <c r="V210" i="102" a="1"/>
  <c r="S95" i="102" a="1"/>
  <c r="N216" i="102" a="1"/>
  <c r="K118" i="102" a="1"/>
  <c r="J81" i="103" a="1"/>
  <c r="G23" i="103" a="1"/>
  <c r="L51" i="103" a="1"/>
  <c r="G63" i="103" a="1"/>
  <c r="F30" i="103" a="1"/>
  <c r="H38" i="103" a="1"/>
  <c r="CL184" i="102" a="1"/>
  <c r="AX15" i="102" a="1"/>
  <c r="BV55" i="102" a="1"/>
  <c r="BV167" i="102" a="1"/>
  <c r="J55" i="102" a="1"/>
  <c r="AH26" i="102" a="1"/>
  <c r="BV15" i="102" a="1"/>
  <c r="BV159" i="102" a="1"/>
  <c r="R39" i="102" a="1"/>
  <c r="AX175" i="102" a="1"/>
  <c r="BF230" i="102" a="1"/>
  <c r="BN203" i="102" a="1"/>
  <c r="AL50" i="102" a="1"/>
  <c r="CH173" i="102" a="1"/>
  <c r="CE139" i="102" a="1"/>
  <c r="CE200" i="102" a="1"/>
  <c r="BW127" i="102" a="1"/>
  <c r="S132" i="102" a="1"/>
  <c r="AQ106" i="102" a="1"/>
  <c r="AD140" i="102" a="1"/>
  <c r="K227" i="102" a="1"/>
  <c r="L16" i="103" a="1"/>
  <c r="BB108" i="102" a="1"/>
  <c r="AQ168" i="102" a="1"/>
  <c r="AD183" i="102" a="1"/>
  <c r="S112" i="102" a="1"/>
  <c r="BB182" i="102" a="1"/>
  <c r="AT113" i="102" a="1"/>
  <c r="AD173" i="102" a="1"/>
  <c r="V200" i="102" a="1"/>
  <c r="N140" i="102" a="1"/>
  <c r="AY160" i="102" a="1"/>
  <c r="BB176" i="102" a="1"/>
  <c r="AQ182" i="102" a="1"/>
  <c r="AT105" i="102" a="1"/>
  <c r="AL231" i="102" a="1"/>
  <c r="AL162" i="102" a="1"/>
  <c r="AA220" i="102" a="1"/>
  <c r="AA119" i="102" a="1"/>
  <c r="AD208" i="102" a="1"/>
  <c r="S199" i="102" a="1"/>
  <c r="S152" i="102" a="1"/>
  <c r="K183" i="102" a="1"/>
  <c r="N113" i="102" a="1"/>
  <c r="L71" i="103" a="1"/>
  <c r="H82" i="103" a="1"/>
  <c r="M32" i="103" a="1"/>
  <c r="AY183" i="102" a="1"/>
  <c r="BB105" i="102" a="1"/>
  <c r="AT158" i="102" a="1"/>
  <c r="AQ122" i="102" a="1"/>
  <c r="AI102" i="102" a="1"/>
  <c r="AI174" i="102" a="1"/>
  <c r="AA230" i="102" a="1"/>
  <c r="AD95" i="102" a="1"/>
  <c r="V202" i="102" a="1"/>
  <c r="V159" i="102" a="1"/>
  <c r="V96" i="102" a="1"/>
  <c r="K136" i="102" a="1"/>
  <c r="K140" i="102" a="1"/>
  <c r="E23" i="103" a="1"/>
  <c r="I48" i="103" a="1"/>
  <c r="L18" i="103" a="1"/>
  <c r="BB127" i="102" a="1"/>
  <c r="AY93" i="102" a="1"/>
  <c r="AT197" i="102" a="1"/>
  <c r="AQ152" i="102" a="1"/>
  <c r="AL187" i="102" a="1"/>
  <c r="AL118" i="102" a="1"/>
  <c r="AD190" i="102" a="1"/>
  <c r="AA101" i="102" a="1"/>
  <c r="S163" i="102" a="1"/>
  <c r="S100" i="102" a="1"/>
  <c r="K210" i="102" a="1"/>
  <c r="K132" i="102" a="1"/>
  <c r="K30" i="103" a="1"/>
  <c r="I40" i="103" a="1"/>
  <c r="E28" i="103" a="1"/>
  <c r="AY186" i="102" a="1"/>
  <c r="BB228" i="102" a="1"/>
  <c r="AT177" i="102" a="1"/>
  <c r="AT147" i="102" a="1"/>
  <c r="AI214" i="102" a="1"/>
  <c r="AI145" i="102" a="1"/>
  <c r="AA201" i="102" a="1"/>
  <c r="AD207" i="102" a="1"/>
  <c r="V189" i="102" a="1"/>
  <c r="V146" i="102" a="1"/>
  <c r="S146" i="102" a="1"/>
  <c r="K221" i="102" a="1"/>
  <c r="K105" i="102" a="1"/>
  <c r="M11" i="103" a="1"/>
  <c r="I37" i="103" a="1"/>
  <c r="K175" i="102" a="1"/>
  <c r="F72" i="103" a="1"/>
  <c r="H44" i="103" a="1"/>
  <c r="J52" i="103" a="1"/>
  <c r="CD128" i="102" a="1"/>
  <c r="AP80" i="102" a="1"/>
  <c r="BF39" i="102" a="1"/>
  <c r="BV68" i="102" a="1"/>
  <c r="CL120" i="102" a="1"/>
  <c r="R20" i="102" a="1"/>
  <c r="BF6" i="102" a="1"/>
  <c r="BN114" i="102" a="1"/>
  <c r="CL169" i="102" a="1"/>
  <c r="AP199" i="102" a="1"/>
  <c r="AX186" i="102" a="1"/>
  <c r="BF187" i="102" a="1"/>
  <c r="BN142" i="102" a="1"/>
  <c r="J59" i="103" a="1"/>
  <c r="J50" i="103" a="1"/>
  <c r="M12" i="103" a="1"/>
  <c r="BV48" i="102" a="1"/>
  <c r="CL215" i="102" a="1"/>
  <c r="AH78" i="102" a="1"/>
  <c r="BN65" i="102" a="1"/>
  <c r="BV131" i="102" a="1"/>
  <c r="CD108" i="102" a="1"/>
  <c r="AH8" i="102" a="1"/>
  <c r="AX6" i="102" a="1"/>
  <c r="BV154" i="102" a="1"/>
  <c r="CL102" i="102" a="1"/>
  <c r="AP125" i="102" a="1"/>
  <c r="AP178" i="102" a="1"/>
  <c r="AX170" i="102" a="1"/>
  <c r="BF126" i="102" a="1"/>
  <c r="K164" i="102" a="1"/>
  <c r="E81" i="103" a="1"/>
  <c r="L14" i="103" a="1"/>
  <c r="G66" i="103" a="1"/>
  <c r="BV63" i="102" a="1"/>
  <c r="J37" i="102" a="1"/>
  <c r="AH14" i="102" a="1"/>
  <c r="AX27" i="102" a="1"/>
  <c r="BO22" i="102" a="1"/>
  <c r="CE206" i="102" a="1"/>
  <c r="BZ103" i="102" a="1"/>
  <c r="BW166" i="102" a="1"/>
  <c r="BW228" i="102" a="1"/>
  <c r="V119" i="102" a="1"/>
  <c r="AL154" i="102" a="1"/>
  <c r="AD169" i="102" a="1"/>
  <c r="N173" i="102" a="1"/>
  <c r="M36" i="103" a="1"/>
  <c r="AY122" i="102" a="1"/>
  <c r="AT128" i="102" a="1"/>
  <c r="AD119" i="102" a="1"/>
  <c r="S151" i="102" a="1"/>
  <c r="BB118" i="102" a="1"/>
  <c r="AT94" i="102" a="1"/>
  <c r="AA182" i="102" a="1"/>
  <c r="V136" i="102" a="1"/>
  <c r="N127" i="102" a="1"/>
  <c r="AY173" i="102" a="1"/>
  <c r="AY229" i="102" a="1"/>
  <c r="AQ118" i="102" a="1"/>
  <c r="AQ229" i="102" a="1"/>
  <c r="AL167" i="102" a="1"/>
  <c r="AL98" i="102" a="1"/>
  <c r="AA156" i="102" a="1"/>
  <c r="AA196" i="102" a="1"/>
  <c r="AA197" i="102" a="1"/>
  <c r="S228" i="102" a="1"/>
  <c r="V163" i="102" a="1"/>
  <c r="K186" i="102" a="1"/>
  <c r="N100" i="102" a="1"/>
  <c r="M78" i="103" a="1"/>
  <c r="I18" i="103" a="1"/>
  <c r="F47" i="103" a="1"/>
  <c r="AY119" i="102" a="1"/>
  <c r="BB180" i="102" a="1"/>
  <c r="AT219" i="102" a="1"/>
  <c r="AT111" i="102" a="1"/>
  <c r="AI179" i="102" a="1"/>
  <c r="AI110" i="102" a="1"/>
  <c r="AA166" i="102" a="1"/>
  <c r="AD172" i="102" a="1"/>
  <c r="V138" i="102" a="1"/>
  <c r="V204" i="102" a="1"/>
  <c r="K214" i="102" a="1"/>
  <c r="K107" i="102" a="1"/>
  <c r="K127" i="102" a="1"/>
  <c r="G37" i="103" a="1"/>
  <c r="I27" i="103" a="1"/>
  <c r="E33" i="103" a="1"/>
  <c r="BB204" i="102" a="1"/>
  <c r="AQ175" i="102" a="1"/>
  <c r="AQ228" i="102" a="1"/>
  <c r="AQ94" i="102" a="1"/>
  <c r="AL123" i="102" a="1"/>
  <c r="AL195" i="102" a="1"/>
  <c r="AD219" i="102" a="1"/>
  <c r="AA114" i="102" a="1"/>
  <c r="S208" i="102" a="1"/>
  <c r="S229" i="102" a="1"/>
  <c r="N211" i="102" a="1"/>
  <c r="K103" i="102" a="1"/>
  <c r="M44" i="103" a="1"/>
  <c r="K54" i="103" a="1"/>
  <c r="G42" i="103" a="1"/>
  <c r="AY231" i="102" a="1"/>
  <c r="BB212" i="102" a="1"/>
  <c r="AT206" i="102" a="1"/>
  <c r="AT143" i="102" a="1"/>
  <c r="AI150" i="102" a="1"/>
  <c r="AI222" i="102" a="1"/>
  <c r="AA137" i="102" a="1"/>
  <c r="AD143" i="102" a="1"/>
  <c r="V125" i="102" a="1"/>
  <c r="V207" i="102" a="1"/>
  <c r="S162" i="102" a="1"/>
  <c r="K224" i="102" a="1"/>
  <c r="K169" i="102" a="1"/>
  <c r="F26" i="103" a="1"/>
  <c r="K51" i="103" a="1"/>
  <c r="K228" i="102" a="1"/>
  <c r="G79" i="103" a="1"/>
  <c r="J58" i="103" a="1"/>
  <c r="I64" i="103" a="1"/>
  <c r="BV138" i="102" a="1"/>
  <c r="AH27" i="102" a="1"/>
  <c r="AX77" i="102" a="1"/>
  <c r="BN28" i="102" a="1"/>
  <c r="CD186" i="102" a="1"/>
  <c r="J58" i="102" a="1"/>
  <c r="AP25" i="102" a="1"/>
  <c r="BV45" i="102" a="1"/>
  <c r="CD182" i="102" a="1"/>
  <c r="AH160" i="102" a="1"/>
  <c r="AP204" i="102" a="1"/>
  <c r="AX215" i="102" a="1"/>
  <c r="BF103" i="102" a="1"/>
  <c r="K21" i="103" a="1"/>
  <c r="H63" i="103" a="1"/>
  <c r="F27" i="103" a="1"/>
  <c r="BF66" i="102" a="1"/>
  <c r="CD166" i="102" a="1"/>
  <c r="R24" i="102" a="1"/>
  <c r="AX14" i="102" a="1"/>
  <c r="BV72" i="102" a="1"/>
  <c r="BV95" i="102" a="1"/>
  <c r="R54" i="102" a="1"/>
  <c r="AH77" i="102" a="1"/>
  <c r="BN163" i="102" a="1"/>
  <c r="CL129" i="102" a="1"/>
  <c r="AH161" i="102" a="1"/>
  <c r="AP103" i="102" a="1"/>
  <c r="AP153" i="102" a="1"/>
  <c r="AX199" i="102" a="1"/>
  <c r="N148" i="102" a="1"/>
  <c r="M10" i="103" a="1"/>
  <c r="F19" i="103" a="1"/>
  <c r="H73" i="103" a="1"/>
  <c r="BN40" i="102" a="1"/>
  <c r="CL218" i="102" a="1"/>
  <c r="Z21" i="102" a="1"/>
  <c r="AH52" i="102" a="1"/>
  <c r="BN185" i="102" a="1"/>
  <c r="CD190" i="102" a="1"/>
  <c r="CL185" i="102" a="1"/>
  <c r="AX78" i="102" a="1"/>
  <c r="BV42" i="102" a="1"/>
  <c r="AT49" i="102" a="1"/>
  <c r="BZ161" i="102" a="1"/>
  <c r="BW206" i="102" a="1"/>
  <c r="BZ217" i="102" a="1"/>
  <c r="BW130" i="102" a="1"/>
  <c r="N174" i="102" a="1"/>
  <c r="AI147" i="102" a="1"/>
  <c r="AD105" i="102" a="1"/>
  <c r="N209" i="102" a="1"/>
  <c r="L62" i="103" a="1"/>
  <c r="AY146" i="102" a="1"/>
  <c r="AT117" i="102" a="1"/>
  <c r="AD158" i="102" a="1"/>
  <c r="S116" i="102" a="1"/>
  <c r="BB99" i="102" a="1"/>
  <c r="AL125" i="102" a="1"/>
  <c r="AA195" i="102" a="1"/>
  <c r="V213" i="102" a="1"/>
  <c r="N147" i="102" a="1"/>
  <c r="BB216" i="102" a="1"/>
  <c r="AY106" i="102" a="1"/>
  <c r="AQ195" i="102" a="1"/>
  <c r="AQ165" i="102" a="1"/>
  <c r="AL103" i="102" a="1"/>
  <c r="AL175" i="102" a="1"/>
  <c r="AD231" i="102" a="1"/>
  <c r="AA225" i="102" a="1"/>
  <c r="S207" i="102" a="1"/>
  <c r="S164" i="102" a="1"/>
  <c r="V102" i="102" a="1"/>
  <c r="N203" i="102" a="1"/>
  <c r="N164" i="102" a="1"/>
  <c r="G7" i="103" a="1"/>
  <c r="K32" i="103" a="1"/>
  <c r="H61" i="103" a="1"/>
  <c r="AY196" i="102" a="1"/>
  <c r="BB107" i="102" a="1"/>
  <c r="AT155" i="102" a="1"/>
  <c r="AT99" i="102" a="1"/>
  <c r="AI115" i="102" a="1"/>
  <c r="AL185" i="102" a="1"/>
  <c r="AA102" i="102" a="1"/>
  <c r="AD201" i="102" a="1"/>
  <c r="V228" i="102" a="1"/>
  <c r="V217" i="102" a="1"/>
  <c r="K217" i="102" a="1"/>
  <c r="K171" i="102" a="1"/>
  <c r="K114" i="102" a="1"/>
  <c r="I51" i="103" a="1"/>
  <c r="I57" i="103" a="1"/>
  <c r="G47" i="103" a="1"/>
  <c r="BB140" i="102" a="1"/>
  <c r="AT218" i="102" a="1"/>
  <c r="AQ164" i="102" a="1"/>
  <c r="AQ210" i="102" a="1"/>
  <c r="AI186" i="102" a="1"/>
  <c r="AL131" i="102" a="1"/>
  <c r="AD155" i="102" a="1"/>
  <c r="AA127" i="102" a="1"/>
  <c r="S144" i="102" a="1"/>
  <c r="S178" i="102" a="1"/>
  <c r="N214" i="102" a="1"/>
  <c r="K167" i="102" a="1"/>
  <c r="F59" i="103" a="1"/>
  <c r="L64" i="103" a="1"/>
  <c r="I56" i="103" a="1"/>
  <c r="AY167" i="102" a="1"/>
  <c r="BB196" i="102" a="1"/>
  <c r="AT142" i="102" a="1"/>
  <c r="AT104" i="102" a="1"/>
  <c r="AI227" i="102" a="1"/>
  <c r="AI158" i="102" a="1"/>
  <c r="AA214" i="102" a="1"/>
  <c r="AD220" i="102" a="1"/>
  <c r="V186" i="102" a="1"/>
  <c r="V143" i="102" a="1"/>
  <c r="V179" i="102" a="1"/>
  <c r="K152" i="102" a="1"/>
  <c r="K156" i="102" a="1"/>
  <c r="H40" i="103" a="1"/>
  <c r="H35" i="103" a="1"/>
  <c r="K113" i="102" a="1"/>
  <c r="L7" i="103" a="1"/>
  <c r="E16" i="103" a="1"/>
  <c r="J71" i="103" a="1"/>
  <c r="BN137" i="102" a="1"/>
  <c r="R35" i="102" a="1"/>
  <c r="AH67" i="102" a="1"/>
  <c r="AX47" i="102" a="1"/>
  <c r="BV160" i="102" a="1"/>
  <c r="CL187" i="102" a="1"/>
  <c r="Z6" i="102" a="1"/>
  <c r="BF44" i="102" a="1"/>
  <c r="BV217" i="102" a="1"/>
  <c r="Z211" i="102" a="1"/>
  <c r="AP110" i="102" a="1"/>
  <c r="AP176" i="102" a="1"/>
  <c r="CH132" i="102" a="1"/>
  <c r="BW173" i="102" a="1"/>
  <c r="BO140" i="102" a="1"/>
  <c r="BO201" i="102" a="1"/>
  <c r="BR184" i="102" a="1"/>
  <c r="N119" i="102" a="1"/>
  <c r="AI224" i="102" a="1"/>
  <c r="AD211" i="102" a="1"/>
  <c r="N226" i="102" a="1"/>
  <c r="K41" i="103" a="1"/>
  <c r="AY134" i="102" a="1"/>
  <c r="AL183" i="102" a="1"/>
  <c r="AD187" i="102" a="1"/>
  <c r="S177" i="102" a="1"/>
  <c r="BB98" i="102" a="1"/>
  <c r="AL202" i="102" a="1"/>
  <c r="AA131" i="102" a="1"/>
  <c r="V220" i="102" a="1"/>
  <c r="N142" i="102" a="1"/>
  <c r="BB152" i="102" a="1"/>
  <c r="AY108" i="102" a="1"/>
  <c r="AQ224" i="102" a="1"/>
  <c r="AT95" i="102" a="1"/>
  <c r="AL180" i="102" a="1"/>
  <c r="AL111" i="102" a="1"/>
  <c r="AD167" i="102" a="1"/>
  <c r="AA161" i="102" a="1"/>
  <c r="S143" i="102" a="1"/>
  <c r="S225" i="102" a="1"/>
  <c r="V98" i="102" a="1"/>
  <c r="N206" i="102" a="1"/>
  <c r="N151" i="102" a="1"/>
  <c r="I21" i="103" a="1"/>
  <c r="M46" i="103" a="1"/>
  <c r="F17" i="103" a="1"/>
  <c r="AY132" i="102" a="1"/>
  <c r="AY98" i="102" a="1"/>
  <c r="AQ218" i="102" a="1"/>
  <c r="AT101" i="102" a="1"/>
  <c r="AI192" i="102" a="1"/>
  <c r="AL121" i="102" a="1"/>
  <c r="AA179" i="102" a="1"/>
  <c r="AD137" i="102" a="1"/>
  <c r="V164" i="102" a="1"/>
  <c r="V153" i="102" a="1"/>
  <c r="N202" i="102" a="1"/>
  <c r="N156" i="102" a="1"/>
  <c r="N93" i="102" a="1"/>
  <c r="I10" i="103" a="1"/>
  <c r="H74" i="103" a="1"/>
  <c r="BB138" i="102" a="1"/>
  <c r="AY203" i="102" a="1"/>
  <c r="AT154" i="102" a="1"/>
  <c r="AQ100" i="102" a="1"/>
  <c r="AI223" i="102" a="1"/>
  <c r="AI122" i="102" a="1"/>
  <c r="AL104" i="102" a="1"/>
  <c r="AA218" i="102" a="1"/>
  <c r="AD179" i="102" a="1"/>
  <c r="S221" i="102" a="1"/>
  <c r="V115" i="102" a="1"/>
  <c r="N217" i="102" a="1"/>
  <c r="K154" i="102" a="1"/>
  <c r="E15" i="103" a="1"/>
  <c r="M71" i="103" a="1"/>
  <c r="L65" i="103" a="1"/>
  <c r="AY103" i="102" a="1"/>
  <c r="BB100" i="102" a="1"/>
  <c r="AT203" i="102" a="1"/>
  <c r="AT160" i="102" a="1"/>
  <c r="AI163" i="102" a="1"/>
  <c r="AI94" i="102" a="1"/>
  <c r="AA150" i="102" a="1"/>
  <c r="AD156" i="102" a="1"/>
  <c r="V122" i="102" a="1"/>
  <c r="V188" i="102" a="1"/>
  <c r="K230" i="102" a="1"/>
  <c r="K123" i="102" a="1"/>
  <c r="K143" i="102" a="1"/>
  <c r="J54" i="103" a="1"/>
  <c r="K63" i="103" a="1"/>
  <c r="N97" i="102" a="1"/>
  <c r="E22" i="103" a="1"/>
  <c r="G30" i="103" a="1"/>
  <c r="K78" i="103" a="1"/>
  <c r="BN78" i="102" a="1"/>
  <c r="CL227" i="102" a="1"/>
  <c r="Z61" i="102" a="1"/>
  <c r="AP28" i="102" a="1"/>
  <c r="BN226" i="102" a="1"/>
  <c r="CD119" i="102" a="1"/>
  <c r="CL133" i="102" a="1"/>
  <c r="AX65" i="102" a="1"/>
  <c r="BN108" i="102" a="1"/>
  <c r="R146" i="102" a="1"/>
  <c r="AH184" i="102" a="1"/>
  <c r="AP96" i="102" a="1"/>
  <c r="CE141" i="102" a="1"/>
  <c r="BO221" i="102" a="1"/>
  <c r="BR162" i="102" a="1"/>
  <c r="BO209" i="102" a="1"/>
  <c r="BO226" i="102" a="1"/>
  <c r="F15" i="103" a="1"/>
  <c r="AI160" i="102" a="1"/>
  <c r="AA112" i="102" a="1"/>
  <c r="K139" i="102" a="1"/>
  <c r="G67" i="103" a="1"/>
  <c r="AQ207" i="102" a="1"/>
  <c r="AL196" i="102" a="1"/>
  <c r="AD123" i="102" a="1"/>
  <c r="V134" i="102" a="1"/>
  <c r="BB120" i="102" a="1"/>
  <c r="AL138" i="102" a="1"/>
  <c r="AD120" i="102" a="1"/>
  <c r="V169" i="102" a="1"/>
  <c r="K99" i="102" a="1"/>
  <c r="BB197" i="102" a="1"/>
  <c r="BB112" i="102" a="1"/>
  <c r="AQ160" i="102" a="1"/>
  <c r="AT172" i="102" a="1"/>
  <c r="AL116" i="102" a="1"/>
  <c r="AL188" i="102" a="1"/>
  <c r="AD103" i="102" a="1"/>
  <c r="AA97" i="102" a="1"/>
  <c r="S204" i="102" a="1"/>
  <c r="S161" i="102" a="1"/>
  <c r="V135" i="102" a="1"/>
  <c r="N134" i="102" a="1"/>
  <c r="N138" i="102" a="1"/>
  <c r="K35" i="103" a="1"/>
  <c r="F61" i="103" a="1"/>
  <c r="H31" i="103" a="1"/>
  <c r="AY193" i="102" a="1"/>
  <c r="BB131" i="102" a="1"/>
  <c r="AQ154" i="102" a="1"/>
  <c r="AQ129" i="102" a="1"/>
  <c r="AI128" i="102" a="1"/>
  <c r="AI184" i="102" a="1"/>
  <c r="AA115" i="102" a="1"/>
  <c r="AA200" i="102" a="1"/>
  <c r="V100" i="102" a="1"/>
  <c r="S216" i="102" a="1"/>
  <c r="N205" i="102" a="1"/>
  <c r="N143" i="102" a="1"/>
  <c r="M14" i="103" a="1"/>
  <c r="K24" i="103" a="1"/>
  <c r="G12" i="103" a="1"/>
  <c r="BB151" i="102" a="1"/>
  <c r="AY216" i="102" a="1"/>
  <c r="AQ217" i="102" a="1"/>
  <c r="AQ222" i="102" a="1"/>
  <c r="AI159" i="102" a="1"/>
  <c r="AL197" i="102" a="1"/>
  <c r="AL122" i="102" a="1"/>
  <c r="AA154" i="102" a="1"/>
  <c r="AA116" i="102" a="1"/>
  <c r="S157" i="102" a="1"/>
  <c r="V95" i="102" a="1"/>
  <c r="N220" i="102" a="1"/>
  <c r="K141" i="102" a="1"/>
  <c r="G29" i="103" a="1"/>
  <c r="E79" i="103" a="1"/>
  <c r="M72" i="103" a="1"/>
  <c r="AY180" i="102" a="1"/>
  <c r="AY226" i="102" a="1"/>
  <c r="AT139" i="102" a="1"/>
  <c r="AT129" i="102" a="1"/>
  <c r="AI99" i="102" a="1"/>
  <c r="AL169" i="102" a="1"/>
  <c r="AA227" i="102" a="1"/>
  <c r="AD185" i="102" a="1"/>
  <c r="V212" i="102" a="1"/>
  <c r="V201" i="102" a="1"/>
  <c r="N193" i="102" a="1"/>
  <c r="N108" i="102" a="1"/>
  <c r="K130" i="102" a="1"/>
  <c r="J13" i="103" a="1"/>
  <c r="M77" i="103" a="1"/>
  <c r="F37" i="103" a="1"/>
  <c r="G36" i="103" a="1"/>
  <c r="I44" i="103" a="1"/>
  <c r="L6" i="103" a="1"/>
  <c r="BF17" i="102" a="1"/>
  <c r="CD212" i="102" a="1"/>
  <c r="R26" i="102" a="1"/>
  <c r="Z30" i="102" a="1"/>
  <c r="BN55" i="102" a="1"/>
  <c r="BV205" i="102" a="1"/>
  <c r="CL222" i="102" a="1"/>
  <c r="AH76" i="102" a="1"/>
  <c r="BN81" i="102" a="1"/>
  <c r="R174" i="102" a="1"/>
  <c r="Z219" i="102" a="1"/>
  <c r="AH152" i="102" a="1"/>
  <c r="AH173" i="102" a="1"/>
  <c r="J15" i="103" a="1"/>
  <c r="K84" i="103" a="1"/>
  <c r="I11" i="103" a="1"/>
  <c r="Z16" i="102" a="1"/>
  <c r="BV21" i="102" a="1"/>
  <c r="CD98" i="102" a="1"/>
  <c r="CL202" i="102" a="1"/>
  <c r="AH33" i="102" a="1"/>
  <c r="BF22" i="102" a="1"/>
  <c r="BV179" i="102" a="1"/>
  <c r="CL109" i="102" a="1"/>
  <c r="AH10" i="102" a="1"/>
  <c r="BN93" i="102" a="1"/>
  <c r="J215" i="102" a="1"/>
  <c r="R196" i="102" a="1"/>
  <c r="R147" i="102" a="1"/>
  <c r="Z166" i="102" a="1"/>
  <c r="K46" i="103" a="1"/>
  <c r="J53" i="103" a="1"/>
  <c r="K61" i="103" a="1"/>
  <c r="L25" i="103" a="1"/>
  <c r="AH21" i="102" a="1"/>
  <c r="BN76" i="102" a="1"/>
  <c r="CD192" i="102" a="1"/>
  <c r="J79" i="102" a="1"/>
  <c r="AH45" i="102" a="1"/>
  <c r="BF52" i="102" a="1"/>
  <c r="BV152" i="102" a="1"/>
  <c r="J38" i="102" a="1"/>
  <c r="CE154" i="102" a="1"/>
  <c r="BR179" i="102" a="1"/>
  <c r="BG175" i="102" a="1"/>
  <c r="BJ109" i="102" a="1"/>
  <c r="BJ203" i="102" a="1"/>
  <c r="E39" i="103" a="1"/>
  <c r="AI180" i="102" a="1"/>
  <c r="V231" i="102" a="1"/>
  <c r="N124" i="102" a="1"/>
  <c r="I81" i="103" a="1"/>
  <c r="AQ143" i="102" a="1"/>
  <c r="AL132" i="102" a="1"/>
  <c r="AA212" i="102" a="1"/>
  <c r="V144" i="102" a="1"/>
  <c r="AY194" i="102" a="1"/>
  <c r="AI195" i="102" a="1"/>
  <c r="AD197" i="102" a="1"/>
  <c r="V105" i="102" a="1"/>
  <c r="K111" i="102" a="1"/>
  <c r="BB133" i="102" a="1"/>
  <c r="BB195" i="102" a="1"/>
  <c r="AQ221" i="102" a="1"/>
  <c r="AT124" i="102" a="1"/>
  <c r="AL193" i="102" a="1"/>
  <c r="AL124" i="102" a="1"/>
  <c r="AD180" i="102" a="1"/>
  <c r="AA174" i="102" a="1"/>
  <c r="S140" i="102" a="1"/>
  <c r="S206" i="102" a="1"/>
  <c r="N212" i="102" a="1"/>
  <c r="N105" i="102" a="1"/>
  <c r="N125" i="102" a="1"/>
  <c r="M49" i="103" a="1"/>
  <c r="H54" i="103" a="1"/>
  <c r="J45" i="103" a="1"/>
  <c r="AY129" i="102" a="1"/>
  <c r="BB97" i="102" a="1"/>
  <c r="AQ199" i="102" a="1"/>
  <c r="AQ177" i="102" a="1"/>
  <c r="AI189" i="102" a="1"/>
  <c r="AI120" i="102" a="1"/>
  <c r="AA192" i="102" a="1"/>
  <c r="AD195" i="102" a="1"/>
  <c r="V177" i="102" a="1"/>
  <c r="V113" i="102" a="1"/>
  <c r="N208" i="102" a="1"/>
  <c r="N130" i="102" a="1"/>
  <c r="F29" i="103" a="1"/>
  <c r="M38" i="103" a="1"/>
  <c r="I26" i="103" a="1"/>
  <c r="AY195" i="102" a="1"/>
  <c r="AY152" i="102" a="1"/>
  <c r="AQ153" i="102" a="1"/>
  <c r="AT217" i="102" a="1"/>
  <c r="AI95" i="102" a="1"/>
  <c r="AL133" i="102" a="1"/>
  <c r="AL144" i="102" a="1"/>
  <c r="AA231" i="102" a="1"/>
  <c r="AD224" i="102" a="1"/>
  <c r="S170" i="102" a="1"/>
  <c r="V108" i="102" a="1"/>
  <c r="N223" i="102" a="1"/>
  <c r="K96" i="102" a="1"/>
  <c r="I43" i="103" a="1"/>
  <c r="M25" i="103" a="1"/>
  <c r="E80" i="103" a="1"/>
  <c r="AY116" i="102" a="1"/>
  <c r="BB137" i="102" a="1"/>
  <c r="AQ202" i="102" a="1"/>
  <c r="AT118" i="102" a="1"/>
  <c r="AI176" i="102" a="1"/>
  <c r="AL105" i="102" a="1"/>
  <c r="AA163" i="102" a="1"/>
  <c r="AD121" i="102" a="1"/>
  <c r="V148" i="102" a="1"/>
  <c r="V137" i="102" a="1"/>
  <c r="N218" i="102" a="1"/>
  <c r="N95" i="102" a="1"/>
  <c r="E18" i="103" a="1"/>
  <c r="L27" i="103" a="1"/>
  <c r="H15" i="103" a="1"/>
  <c r="I32" i="103" a="1"/>
  <c r="I50" i="103" a="1"/>
  <c r="K58" i="103" a="1"/>
  <c r="E21" i="103" a="1"/>
  <c r="AX9" i="102" a="1"/>
  <c r="BV183" i="102" a="1"/>
  <c r="CL137" i="102" a="1"/>
  <c r="R22" i="102" a="1"/>
  <c r="AX8" i="102" a="1"/>
  <c r="BV39" i="102" a="1"/>
  <c r="CD216" i="102" a="1"/>
  <c r="Z31" i="102" a="1"/>
  <c r="BF72" i="102" a="1"/>
  <c r="J95" i="102" a="1"/>
  <c r="R94" i="102" a="1"/>
  <c r="R210" i="102" a="1"/>
  <c r="Z170" i="102" a="1"/>
  <c r="E44" i="103" a="1"/>
  <c r="I17" i="103" a="1"/>
  <c r="K25" i="103" a="1"/>
  <c r="J68" i="102" a="1"/>
  <c r="BN8" i="102" a="1"/>
  <c r="BV94" i="102" a="1"/>
  <c r="CD126" i="102" a="1"/>
  <c r="R68" i="102" a="1"/>
  <c r="AP7" i="102" a="1"/>
  <c r="BN169" i="102" a="1"/>
  <c r="CD147" i="102" a="1"/>
  <c r="R74" i="102" a="1"/>
  <c r="BF202" i="102" a="1"/>
  <c r="BN112" i="102" a="1"/>
  <c r="J100" i="102" a="1"/>
  <c r="J216" i="102" a="1"/>
  <c r="R137" i="102" a="1"/>
  <c r="L46" i="103" a="1"/>
  <c r="I9" i="103" a="1"/>
  <c r="L68" i="103" a="1"/>
  <c r="E40" i="103" a="1"/>
  <c r="R66" i="102" a="1"/>
  <c r="BF38" i="102" a="1"/>
  <c r="BV176" i="102" a="1"/>
  <c r="CD114" i="102" a="1"/>
  <c r="R17" i="102" a="1"/>
  <c r="AX46" i="102" a="1"/>
  <c r="BV83" i="102" a="1"/>
  <c r="CL119" i="102" a="1"/>
  <c r="CM144" i="102" a="1"/>
  <c r="BG208" i="102" a="1"/>
  <c r="BG167" i="102" a="1"/>
  <c r="BJ101" i="102" a="1"/>
  <c r="BJ160" i="102" a="1"/>
  <c r="G9" i="103" a="1"/>
  <c r="AL217" i="102" a="1"/>
  <c r="V196" i="102" a="1"/>
  <c r="N111" i="102" a="1"/>
  <c r="K82" i="103" a="1"/>
  <c r="AT186" i="102" a="1"/>
  <c r="AL155" i="102" a="1"/>
  <c r="AA177" i="102" a="1"/>
  <c r="V227" i="102" a="1"/>
  <c r="AT183" i="102" a="1"/>
  <c r="AI208" i="102" a="1"/>
  <c r="AD133" i="102" a="1"/>
  <c r="V123" i="102" a="1"/>
  <c r="K162" i="102" a="1"/>
  <c r="BB210" i="102" a="1"/>
  <c r="BB123" i="102" a="1"/>
  <c r="AQ157" i="102" a="1"/>
  <c r="AQ114" i="102" a="1"/>
  <c r="AL129" i="102" a="1"/>
  <c r="AI187" i="102" a="1"/>
  <c r="AD116" i="102" a="1"/>
  <c r="AA203" i="102" a="1"/>
  <c r="S230" i="102" a="1"/>
  <c r="S219" i="102" a="1"/>
  <c r="N215" i="102" a="1"/>
  <c r="N169" i="102" a="1"/>
  <c r="N112" i="102" a="1"/>
  <c r="M8" i="103" a="1"/>
  <c r="J72" i="103" a="1"/>
  <c r="L59" i="103" a="1"/>
  <c r="AY206" i="102" a="1"/>
  <c r="AT189" i="102" a="1"/>
  <c r="AQ135" i="102" a="1"/>
  <c r="AT131" i="102" a="1"/>
  <c r="AI125" i="102" a="1"/>
  <c r="AI197" i="102" a="1"/>
  <c r="AA221" i="102" a="1"/>
  <c r="AA229" i="102" a="1"/>
  <c r="V222" i="102" a="1"/>
  <c r="S98" i="102" a="1"/>
  <c r="K197" i="102" a="1"/>
  <c r="N101" i="102" a="1"/>
  <c r="H43" i="103" a="1"/>
  <c r="F53" i="103" a="1"/>
  <c r="K40" i="103" a="1"/>
  <c r="AY224" i="102" a="1"/>
  <c r="BB192" i="102" a="1"/>
  <c r="AQ230" i="102" a="1"/>
  <c r="AT153" i="102" a="1"/>
  <c r="AI172" i="102" a="1"/>
  <c r="AL210" i="102" a="1"/>
  <c r="AA207" i="102" a="1"/>
  <c r="AA167" i="102" a="1"/>
  <c r="AD176" i="102" a="1"/>
  <c r="S106" i="102" a="1"/>
  <c r="S197" i="102" a="1"/>
  <c r="K196" i="102" a="1"/>
  <c r="K160" i="102" a="1"/>
  <c r="K57" i="103" a="1"/>
  <c r="K52" i="103" a="1"/>
  <c r="J7" i="103" a="1"/>
  <c r="AY177" i="102" a="1"/>
  <c r="AY107" i="102" a="1"/>
  <c r="AQ138" i="102" a="1"/>
  <c r="AQ178" i="102" a="1"/>
  <c r="AI112" i="102" a="1"/>
  <c r="AI168" i="102" a="1"/>
  <c r="AA99" i="102" a="1"/>
  <c r="AA184" i="102" a="1"/>
  <c r="V225" i="102" a="1"/>
  <c r="S200" i="102" a="1"/>
  <c r="N221" i="102" a="1"/>
  <c r="N159" i="102" a="1"/>
  <c r="G32" i="103" a="1"/>
  <c r="E42" i="103" a="1"/>
  <c r="J29" i="103" a="1"/>
  <c r="J32" i="103" a="1"/>
  <c r="H6" i="103" a="1"/>
  <c r="E67" i="103" a="1"/>
  <c r="G35" i="103" a="1"/>
  <c r="AP40" i="102" a="1"/>
  <c r="BV32" i="102" a="1"/>
  <c r="CD159" i="102" a="1"/>
  <c r="J70" i="102" a="1"/>
  <c r="AH31" i="102" a="1"/>
  <c r="BF82" i="102" a="1"/>
  <c r="BV135" i="102" a="1"/>
  <c r="J28" i="102" a="1"/>
  <c r="AP8" i="102" a="1"/>
  <c r="BF159" i="102" a="1"/>
  <c r="J97" i="102" a="1"/>
  <c r="R136" i="102" a="1"/>
  <c r="R224" i="102" a="1"/>
  <c r="E65" i="103" a="1"/>
  <c r="K31" i="103" a="1"/>
  <c r="M39" i="103" a="1"/>
  <c r="CL101" i="102" a="1"/>
  <c r="AX38" i="102" a="1"/>
  <c r="BV38" i="102" a="1"/>
  <c r="BV129" i="102" a="1"/>
  <c r="CL178" i="102" a="1"/>
  <c r="AH11" i="102" a="1"/>
  <c r="BN47" i="102" a="1"/>
  <c r="BV198" i="102" a="1"/>
  <c r="J16" i="102" a="1"/>
  <c r="AX166" i="102" a="1"/>
  <c r="BF115" i="102" a="1"/>
  <c r="BN97" i="102" a="1"/>
  <c r="J105" i="102" a="1"/>
  <c r="R103" i="102" a="1"/>
  <c r="J82" i="103" a="1"/>
  <c r="K23" i="103" a="1"/>
  <c r="M75" i="103" a="1"/>
  <c r="G54" i="103" a="1"/>
  <c r="J80" i="102" a="1"/>
  <c r="AX19" i="102" a="1"/>
  <c r="BV26" i="102" a="1"/>
  <c r="CD187" i="102" a="1"/>
  <c r="CL195" i="102" a="1"/>
  <c r="AP15" i="102" a="1"/>
  <c r="BF73" i="102" a="1"/>
  <c r="CD154" i="102" a="1"/>
  <c r="CE219" i="102" a="1"/>
  <c r="BG120" i="102" a="1"/>
  <c r="BJ192" i="102" a="1"/>
  <c r="BG162" i="102" a="1"/>
  <c r="BB184" i="102" a="1"/>
  <c r="AY164" i="102" a="1"/>
  <c r="AL153" i="102" a="1"/>
  <c r="V132" i="102" a="1"/>
  <c r="N126" i="102" a="1"/>
  <c r="H12" i="103" a="1"/>
  <c r="AQ134" i="102" a="1"/>
  <c r="AI218" i="102" a="1"/>
  <c r="AA113" i="102" a="1"/>
  <c r="V211" i="102" a="1"/>
  <c r="AT119" i="102" a="1"/>
  <c r="AI144" i="102" a="1"/>
  <c r="AD188" i="102" a="1"/>
  <c r="V112" i="102" a="1"/>
  <c r="F10" i="103" a="1"/>
  <c r="BB146" i="102" a="1"/>
  <c r="AY112" i="102" a="1"/>
  <c r="AQ93" i="102" a="1"/>
  <c r="AT108" i="102" a="1"/>
  <c r="AL206" i="102" a="1"/>
  <c r="AI123" i="102" a="1"/>
  <c r="AD193" i="102" a="1"/>
  <c r="AA139" i="102" a="1"/>
  <c r="S166" i="102" a="1"/>
  <c r="S155" i="102" a="1"/>
  <c r="K188" i="102" a="1"/>
  <c r="K142" i="102" a="1"/>
  <c r="H13" i="103" a="1"/>
  <c r="F23" i="103" a="1"/>
  <c r="K10" i="103" a="1"/>
  <c r="K67" i="103" a="1"/>
  <c r="AY142" i="102" a="1"/>
  <c r="AQ220" i="102" a="1"/>
  <c r="AT178" i="102" a="1"/>
  <c r="AQ96" i="102" a="1"/>
  <c r="AL200" i="102" a="1"/>
  <c r="AI133" i="102" a="1"/>
  <c r="AA157" i="102" a="1"/>
  <c r="AA181" i="102" a="1"/>
  <c r="V158" i="102" a="1"/>
  <c r="S194" i="102" a="1"/>
  <c r="K200" i="102" a="1"/>
  <c r="N165" i="102" a="1"/>
  <c r="J57" i="103" a="1"/>
  <c r="M63" i="103" a="1"/>
  <c r="M54" i="103" a="1"/>
  <c r="BB142" i="102" a="1"/>
  <c r="BB160" i="102" a="1"/>
  <c r="AQ166" i="102" a="1"/>
  <c r="AQ216" i="102" a="1"/>
  <c r="AL215" i="102" a="1"/>
  <c r="AL146" i="102" a="1"/>
  <c r="AA204" i="102" a="1"/>
  <c r="AA103" i="102" a="1"/>
  <c r="AD128" i="102" a="1"/>
  <c r="S183" i="102" a="1"/>
  <c r="S133" i="102" a="1"/>
  <c r="K199" i="102" a="1"/>
  <c r="N129" i="102" a="1"/>
  <c r="I66" i="103" a="1"/>
  <c r="K71" i="103" a="1"/>
  <c r="L21" i="103" a="1"/>
  <c r="AY113" i="102" a="1"/>
  <c r="AY102" i="102" a="1"/>
  <c r="AQ183" i="102" a="1"/>
  <c r="AT120" i="102" a="1"/>
  <c r="AI173" i="102" a="1"/>
  <c r="AI104" i="102" a="1"/>
  <c r="AA176" i="102" a="1"/>
  <c r="AD147" i="102" a="1"/>
  <c r="V161" i="102" a="1"/>
  <c r="V208" i="102" a="1"/>
  <c r="N224" i="102" a="1"/>
  <c r="N146" i="102" a="1"/>
  <c r="I46" i="103" a="1"/>
  <c r="G56" i="103" a="1"/>
  <c r="L43" i="103" a="1"/>
  <c r="I75" i="103" a="1"/>
  <c r="J20" i="103" a="1"/>
  <c r="F74" i="103" a="1"/>
  <c r="I49" i="103" a="1"/>
  <c r="Z37" i="102" a="1"/>
  <c r="BF58" i="102" a="1"/>
  <c r="BV185" i="102" a="1"/>
  <c r="CL105" i="102" a="1"/>
  <c r="R49" i="102" a="1"/>
  <c r="AX68" i="102" a="1"/>
  <c r="BV52" i="102" a="1"/>
  <c r="CL151" i="102" a="1"/>
  <c r="AH75" i="102" a="1"/>
  <c r="AX165" i="102" a="1"/>
  <c r="BF149" i="102" a="1"/>
  <c r="BN96" i="102" a="1"/>
  <c r="K178" i="102" a="1"/>
  <c r="E73" i="103" a="1"/>
  <c r="M45" i="103" a="1"/>
  <c r="F54" i="103" a="1"/>
  <c r="CD138" i="102" a="1"/>
  <c r="AP21" i="102" a="1"/>
  <c r="BF68" i="102" a="1"/>
  <c r="BV49" i="102" a="1"/>
  <c r="CL94" i="102" a="1"/>
  <c r="R51" i="102" a="1"/>
  <c r="BF27" i="102" a="1"/>
  <c r="BN204" i="102" a="1"/>
  <c r="CL163" i="102" a="1"/>
  <c r="AP129" i="102" a="1"/>
  <c r="AX196" i="102" a="1"/>
  <c r="BF184" i="102" a="1"/>
  <c r="BF133" i="102" a="1"/>
  <c r="BN231" i="102" a="1"/>
  <c r="K13" i="103" a="1"/>
  <c r="M37" i="103" a="1"/>
  <c r="E83" i="103" a="1"/>
  <c r="BV10" i="102" a="1"/>
  <c r="CL97" i="102" a="1"/>
  <c r="Z26" i="102" a="1"/>
  <c r="BF79" i="102" a="1"/>
  <c r="BV190" i="102" a="1"/>
  <c r="BZ227" i="102" a="1"/>
  <c r="AI71" i="102" a="1"/>
  <c r="AL29" i="102" a="1"/>
  <c r="AA73" i="102" a="1"/>
  <c r="AY197" i="102" a="1"/>
  <c r="AY225" i="102" a="1"/>
  <c r="AI216" i="102" a="1"/>
  <c r="V152" i="102" a="1"/>
  <c r="K165" i="102" a="1"/>
  <c r="M40" i="103" a="1"/>
  <c r="AQ147" i="102" a="1"/>
  <c r="AI154" i="102" a="1"/>
  <c r="AA104" i="102" a="1"/>
  <c r="S109" i="102" a="1"/>
  <c r="AT196" i="102" a="1"/>
  <c r="AI151" i="102" a="1"/>
  <c r="AD153" i="102" a="1"/>
  <c r="V224" i="102" a="1"/>
  <c r="K38" i="103" a="1"/>
  <c r="BB207" i="102" a="1"/>
  <c r="AY149" i="102" a="1"/>
  <c r="AT168" i="102" a="1"/>
  <c r="AQ194" i="102" a="1"/>
  <c r="AL142" i="102" a="1"/>
  <c r="AL198" i="102" a="1"/>
  <c r="AD129" i="102" a="1"/>
  <c r="AD214" i="102" a="1"/>
  <c r="S102" i="102" a="1"/>
  <c r="V230" i="102" a="1"/>
  <c r="K191" i="102" a="1"/>
  <c r="K129" i="102" a="1"/>
  <c r="J27" i="103" a="1"/>
  <c r="H37" i="103" a="1"/>
  <c r="M24" i="103" a="1"/>
  <c r="AY156" i="102" a="1"/>
  <c r="BB217" i="102" a="1"/>
  <c r="AQ156" i="102" a="1"/>
  <c r="AT114" i="102" a="1"/>
  <c r="AT208" i="102" a="1"/>
  <c r="AL136" i="102" a="1"/>
  <c r="AI98" i="102" a="1"/>
  <c r="AA93" i="102" a="1"/>
  <c r="AD93" i="102" a="1"/>
  <c r="V94" i="102" a="1"/>
  <c r="S121" i="102" a="1"/>
  <c r="K203" i="102" a="1"/>
  <c r="N152" i="102" a="1"/>
  <c r="I13" i="103" a="1"/>
  <c r="E71" i="103" a="1"/>
  <c r="M64" i="103" a="1"/>
  <c r="AY157" i="102" a="1"/>
  <c r="BB121" i="102" a="1"/>
  <c r="AQ102" i="102" a="1"/>
  <c r="AQ213" i="102" a="1"/>
  <c r="AL151" i="102" a="1"/>
  <c r="AL223" i="102" a="1"/>
  <c r="AA140" i="102" a="1"/>
  <c r="AA180" i="102" a="1"/>
  <c r="AA128" i="102" a="1"/>
  <c r="S212" i="102" a="1"/>
  <c r="S126" i="102" a="1"/>
  <c r="K202" i="102" a="1"/>
  <c r="N116" i="102" a="1"/>
  <c r="J73" i="103" a="1"/>
  <c r="H7" i="103" a="1"/>
  <c r="E36" i="103" a="1"/>
  <c r="AY190" i="102" a="1"/>
  <c r="AT173" i="102" a="1"/>
  <c r="AT226" i="102" a="1"/>
  <c r="AT175" i="102" a="1"/>
  <c r="AI109" i="102" a="1"/>
  <c r="AI181" i="102" a="1"/>
  <c r="AA205" i="102" a="1"/>
  <c r="AD110" i="102" a="1"/>
  <c r="V206" i="102" a="1"/>
  <c r="V192" i="102" a="1"/>
  <c r="K213" i="102" a="1"/>
  <c r="N117" i="102" a="1"/>
  <c r="K60" i="103" a="1"/>
  <c r="K65" i="103" a="1"/>
  <c r="E58" i="103" a="1"/>
  <c r="L78" i="103" a="1"/>
  <c r="L34" i="103" a="1"/>
  <c r="G81" i="103" a="1"/>
  <c r="C59" i="62" a="1"/>
  <c r="J24" i="102" a="1"/>
  <c r="AX16" i="102" a="1"/>
  <c r="BN201" i="102" a="1"/>
  <c r="CD206" i="102" a="1"/>
  <c r="CL95" i="102" a="1"/>
  <c r="BJ128" i="102" a="1"/>
  <c r="V6" i="102" a="1"/>
  <c r="K36" i="102" a="1"/>
  <c r="N59" i="102" a="1"/>
  <c r="AL212" i="102" a="1"/>
  <c r="AT187" i="102" a="1"/>
  <c r="AA134" i="102" a="1"/>
  <c r="V185" i="102" a="1"/>
  <c r="E7" i="103" a="1"/>
  <c r="BB203" i="102" a="1"/>
  <c r="AQ196" i="102" a="1"/>
  <c r="AL204" i="102" a="1"/>
  <c r="AA149" i="102" a="1"/>
  <c r="AY147" i="102" a="1"/>
  <c r="AQ170" i="102" a="1"/>
  <c r="AI126" i="102" a="1"/>
  <c r="AD144" i="102" a="1"/>
  <c r="N189" i="102" a="1"/>
  <c r="K22" i="103" a="1"/>
  <c r="BB156" i="102" a="1"/>
  <c r="AQ127" i="102" a="1"/>
  <c r="AQ180" i="102" a="1"/>
  <c r="AQ103" i="102" a="1"/>
  <c r="AI202" i="102" a="1"/>
  <c r="AL147" i="102" a="1"/>
  <c r="AD171" i="102" a="1"/>
  <c r="AD227" i="102" a="1"/>
  <c r="S160" i="102" a="1"/>
  <c r="S94" i="102" a="1"/>
  <c r="N198" i="102" a="1"/>
  <c r="K151" i="102" a="1"/>
  <c r="L11" i="103" a="1"/>
  <c r="F70" i="103" a="1"/>
  <c r="E64" i="103" a="1"/>
  <c r="BB129" i="102" a="1"/>
  <c r="BB102" i="102" a="1"/>
  <c r="AT103" i="102" a="1"/>
  <c r="AQ155" i="102" a="1"/>
  <c r="AL186" i="102" a="1"/>
  <c r="AI212" i="102" a="1"/>
  <c r="AD221" i="102" a="1"/>
  <c r="AD181" i="102" a="1"/>
  <c r="AD115" i="102" a="1"/>
  <c r="V120" i="102" a="1"/>
  <c r="S213" i="102" a="1"/>
  <c r="N194" i="102" a="1"/>
  <c r="N158" i="102" a="1"/>
  <c r="F56" i="103" a="1"/>
  <c r="J49" i="103" a="1"/>
  <c r="E6" i="103" a="1"/>
  <c r="BB181" i="102" a="1"/>
  <c r="BB211" i="102" a="1"/>
  <c r="AQ144" i="102" a="1"/>
  <c r="AQ117" i="102" a="1"/>
  <c r="AL100" i="102" a="1"/>
  <c r="AL172" i="102" a="1"/>
  <c r="AD228" i="102" a="1"/>
  <c r="AA222" i="102" a="1"/>
  <c r="S188" i="102" a="1"/>
  <c r="S145" i="102" a="1"/>
  <c r="S210" i="102" a="1"/>
  <c r="N150" i="102" a="1"/>
  <c r="N154" i="102" a="1"/>
  <c r="J24" i="103" a="1"/>
  <c r="E50" i="103" a="1"/>
  <c r="AY137" i="102" a="1"/>
  <c r="BB214" i="102" a="1"/>
  <c r="AT215" i="102" a="1"/>
  <c r="AT220" i="102" a="1"/>
  <c r="AL157" i="102" a="1"/>
  <c r="AI183" i="102" a="1"/>
  <c r="AI96" i="102" a="1"/>
  <c r="AD152" i="102" a="1"/>
  <c r="AD99" i="102" a="1"/>
  <c r="V155" i="102" a="1"/>
  <c r="S165" i="102" a="1"/>
  <c r="K222" i="102" a="1"/>
  <c r="N155" i="102" a="1"/>
  <c r="E45" i="103" a="1"/>
  <c r="E29" i="103" a="1"/>
  <c r="M80" i="103" a="1"/>
  <c r="H69" i="103" a="1"/>
  <c r="J69" i="103" a="1"/>
  <c r="L39" i="103" a="1"/>
  <c r="AX52" i="102" a="1"/>
  <c r="CD155" i="102" a="1"/>
  <c r="J71" i="102" a="1"/>
  <c r="AH30" i="102" a="1"/>
  <c r="BF60" i="102" a="1"/>
  <c r="BV139" i="102" a="1"/>
  <c r="CL140" i="102" a="1"/>
  <c r="R81" i="102" a="1"/>
  <c r="BN80" i="102" a="1"/>
  <c r="CD158" i="102" a="1"/>
  <c r="Z119" i="102" a="1"/>
  <c r="AH215" i="102" a="1"/>
  <c r="AH108" i="102" a="1"/>
  <c r="H51" i="103" a="1"/>
  <c r="L37" i="103" a="1"/>
  <c r="E46" i="103" a="1"/>
  <c r="H8" i="103" a="1"/>
  <c r="BF67" i="102" a="1"/>
  <c r="CD177" i="102" a="1"/>
  <c r="R29" i="102" a="1"/>
  <c r="Z56" i="102" a="1"/>
  <c r="BN57" i="102" a="1"/>
  <c r="BV231" i="102" a="1"/>
  <c r="CL130" i="102" a="1"/>
  <c r="AH16" i="102" a="1"/>
  <c r="BN21" i="102" a="1"/>
  <c r="J226" i="102" a="1"/>
  <c r="Z122" i="102" a="1"/>
  <c r="Z226" i="102" a="1"/>
  <c r="AH199" i="102" a="1"/>
  <c r="AP101" i="102" a="1"/>
  <c r="H42" i="103" a="1"/>
  <c r="I78" i="103" a="1"/>
  <c r="F57" i="103" a="1"/>
  <c r="R44" i="102" a="1"/>
  <c r="BV7" i="102" a="1"/>
  <c r="CD136" i="102" a="1"/>
  <c r="CL206" i="102" a="1"/>
  <c r="AH6" i="102" a="1"/>
  <c r="BF45" i="102" a="1"/>
  <c r="BV144" i="102" a="1"/>
  <c r="CL164" i="102" a="1"/>
  <c r="AH59" i="102" a="1"/>
  <c r="AQ162" i="102" a="1"/>
  <c r="AD192" i="102" a="1"/>
  <c r="AQ191" i="102" a="1"/>
  <c r="V118" i="102" a="1"/>
  <c r="AT167" i="102" a="1"/>
  <c r="V93" i="102" a="1"/>
  <c r="AQ208" i="102" a="1"/>
  <c r="S114" i="102" a="1"/>
  <c r="AT98" i="102" a="1"/>
  <c r="K219" i="102" a="1"/>
  <c r="BN19" i="102" a="1"/>
  <c r="AH54" i="102" a="1"/>
  <c r="J125" i="102" a="1"/>
  <c r="J17" i="103" a="1"/>
  <c r="BN117" i="102" a="1"/>
  <c r="AX36" i="102" a="1"/>
  <c r="BF23" i="102" a="1"/>
  <c r="BF55" i="102" a="1"/>
  <c r="AP169" i="102" a="1"/>
  <c r="AP116" i="102" a="1"/>
  <c r="M73" i="103" a="1"/>
  <c r="J11" i="103" a="1"/>
  <c r="CL166" i="102" a="1"/>
  <c r="CL156" i="102" a="1"/>
  <c r="CL99" i="102" a="1"/>
  <c r="BV180" i="102" a="1"/>
  <c r="BN103" i="102" a="1"/>
  <c r="J107" i="102" a="1"/>
  <c r="R193" i="102" a="1"/>
  <c r="R144" i="102" a="1"/>
  <c r="H50" i="103" a="1"/>
  <c r="G22" i="103" a="1"/>
  <c r="L28" i="103" a="1"/>
  <c r="CD197" i="102" a="1"/>
  <c r="AX29" i="102" a="1"/>
  <c r="BV14" i="102" a="1"/>
  <c r="BV171" i="102" a="1"/>
  <c r="CL230" i="102" a="1"/>
  <c r="Z81" i="102" a="1"/>
  <c r="BN9" i="102" a="1"/>
  <c r="BV215" i="102" a="1"/>
  <c r="J72" i="102" a="1"/>
  <c r="AX151" i="102" a="1"/>
  <c r="BF135" i="102" a="1"/>
  <c r="BF229" i="102" a="1"/>
  <c r="N118" i="102" a="1"/>
  <c r="K75" i="103" a="1"/>
  <c r="G52" i="103" a="1"/>
  <c r="I60" i="103" a="1"/>
  <c r="BV216" i="102" a="1"/>
  <c r="Z24" i="102" a="1"/>
  <c r="AP62" i="102" a="1"/>
  <c r="BF53" i="102" a="1"/>
  <c r="BV165" i="102" a="1"/>
  <c r="CL125" i="102" a="1"/>
  <c r="AH18" i="102" a="1"/>
  <c r="BN75" i="102" a="1"/>
  <c r="CD113" i="102" a="1"/>
  <c r="AH187" i="102" a="1"/>
  <c r="AP218" i="102" a="1"/>
  <c r="AX108" i="102" a="1"/>
  <c r="AX134" i="102" a="1"/>
  <c r="F50" i="103" a="1"/>
  <c r="M66" i="103" a="1"/>
  <c r="I33" i="103" a="1"/>
  <c r="BF10" i="102" a="1"/>
  <c r="CD97" i="102" a="1"/>
  <c r="J75" i="102" a="1"/>
  <c r="AP33" i="102" a="1"/>
  <c r="BN7" i="102" a="1"/>
  <c r="BV113" i="102" a="1"/>
  <c r="R53" i="102" a="1"/>
  <c r="Z40" i="102" a="1"/>
  <c r="BN39" i="102" a="1"/>
  <c r="CD189" i="102" a="1"/>
  <c r="Z207" i="102" a="1"/>
  <c r="AH179" i="102" a="1"/>
  <c r="AP94" i="102" a="1"/>
  <c r="AP160" i="102" a="1"/>
  <c r="K8" i="103" a="1"/>
  <c r="I31" i="103" a="1"/>
  <c r="K39" i="103" a="1"/>
  <c r="E84" i="103" a="1"/>
  <c r="BF47" i="102" a="1"/>
  <c r="CD105" i="102" a="1"/>
  <c r="R70" i="102" a="1"/>
  <c r="Z18" i="102" a="1"/>
  <c r="BV51" i="102" a="1"/>
  <c r="BV175" i="102" a="1"/>
  <c r="CL177" i="102" a="1"/>
  <c r="AP32" i="102" a="1"/>
  <c r="BV37" i="102" a="1"/>
  <c r="R207" i="102" a="1"/>
  <c r="Z199" i="102" a="1"/>
  <c r="AH145" i="102" a="1"/>
  <c r="G69" i="103" a="1"/>
  <c r="M18" i="103" a="1"/>
  <c r="G73" i="103" a="1"/>
  <c r="M47" i="103" a="1"/>
  <c r="R14" i="102" a="1"/>
  <c r="AX44" i="102" a="1"/>
  <c r="BN207" i="102" a="1"/>
  <c r="CD135" i="102" a="1"/>
  <c r="CL149" i="102" a="1"/>
  <c r="AP64" i="102" a="1"/>
  <c r="BN12" i="102" a="1"/>
  <c r="CD217" i="102" a="1"/>
  <c r="R27" i="102" a="1"/>
  <c r="AX104" i="102" a="1"/>
  <c r="BF107" i="102" a="1"/>
  <c r="BF214" i="102" a="1"/>
  <c r="R100" i="102" a="1"/>
  <c r="BN171" i="102" a="1"/>
  <c r="J162" i="102" a="1"/>
  <c r="BN189" i="102" a="1"/>
  <c r="Z44" i="60" a="1"/>
  <c r="AS52" i="69" a="1"/>
  <c r="AX143" i="102" a="1"/>
  <c r="J129" i="102" a="1"/>
  <c r="R126" i="102" a="1"/>
  <c r="J221" i="102" a="1"/>
  <c r="J207" i="102" a="1"/>
  <c r="AA103" i="60" a="1"/>
  <c r="AB59" i="69" a="1"/>
  <c r="AP117" i="102" a="1"/>
  <c r="Z225" i="102" a="1"/>
  <c r="Z173" i="102" a="1"/>
  <c r="AY150" i="102" a="1"/>
  <c r="V150" i="102" a="1"/>
  <c r="AT213" i="102" a="1"/>
  <c r="K194" i="102" a="1"/>
  <c r="AT191" i="102" a="1"/>
  <c r="K206" i="102" a="1"/>
  <c r="AQ149" i="102" a="1"/>
  <c r="N219" i="102" a="1"/>
  <c r="AT156" i="102" a="1"/>
  <c r="N104" i="102" a="1"/>
  <c r="CL112" i="102" a="1"/>
  <c r="CD227" i="102" a="1"/>
  <c r="AX129" i="102" a="1"/>
  <c r="L31" i="103" a="1"/>
  <c r="AH24" i="102" a="1"/>
  <c r="AH79" i="102" a="1"/>
  <c r="AP53" i="102" a="1"/>
  <c r="AX10" i="102" a="1"/>
  <c r="AH226" i="102" a="1"/>
  <c r="R180" i="102" a="1"/>
  <c r="F25" i="103" a="1"/>
  <c r="BF36" i="102" a="1"/>
  <c r="CD220" i="102" a="1"/>
  <c r="CD100" i="102" a="1"/>
  <c r="CD160" i="102" a="1"/>
  <c r="BV71" i="102" a="1"/>
  <c r="BF231" i="102" a="1"/>
  <c r="BN138" i="102" a="1"/>
  <c r="J131" i="102" a="1"/>
  <c r="N182" i="102" a="1"/>
  <c r="L66" i="103" a="1"/>
  <c r="I36" i="103" a="1"/>
  <c r="E43" i="103" a="1"/>
  <c r="CD123" i="102" a="1"/>
  <c r="AH47" i="102" a="1"/>
  <c r="BF59" i="102" a="1"/>
  <c r="BV9" i="102" a="1"/>
  <c r="CL121" i="102" a="1"/>
  <c r="J18" i="102" a="1"/>
  <c r="AX80" i="102" a="1"/>
  <c r="BN192" i="102" a="1"/>
  <c r="CL231" i="102" a="1"/>
  <c r="AP121" i="102" a="1"/>
  <c r="AX97" i="102" a="1"/>
  <c r="BF100" i="102" a="1"/>
  <c r="K122" i="102" a="1"/>
  <c r="L82" i="103" a="1"/>
  <c r="F8" i="103" a="1"/>
  <c r="E68" i="103" a="1"/>
  <c r="BV27" i="102" a="1"/>
  <c r="J30" i="102" a="1"/>
  <c r="AH32" i="102" a="1"/>
  <c r="AP34" i="102" a="1"/>
  <c r="BV168" i="102" a="1"/>
  <c r="CD188" i="102" a="1"/>
  <c r="R13" i="102" a="1"/>
  <c r="AX66" i="102" a="1"/>
  <c r="BV119" i="102" a="1"/>
  <c r="Z171" i="102" a="1"/>
  <c r="AH99" i="102" a="1"/>
  <c r="AP168" i="102" a="1"/>
  <c r="AP127" i="102" a="1"/>
  <c r="I84" i="103" a="1"/>
  <c r="E74" i="103" a="1"/>
  <c r="K47" i="103" a="1"/>
  <c r="AP50" i="102" a="1"/>
  <c r="BV192" i="102" a="1"/>
  <c r="CL219" i="102" a="1"/>
  <c r="R23" i="102" a="1"/>
  <c r="AX76" i="102" a="1"/>
  <c r="BV60" i="102" a="1"/>
  <c r="CL123" i="102" a="1"/>
  <c r="J26" i="102" a="1"/>
  <c r="BF35" i="102" a="1"/>
  <c r="BV143" i="102" a="1"/>
  <c r="R204" i="102" a="1"/>
  <c r="Z217" i="102" a="1"/>
  <c r="AH190" i="102" a="1"/>
  <c r="AH229" i="102" a="1"/>
  <c r="G18" i="103" a="1"/>
  <c r="K45" i="103" a="1"/>
  <c r="M53" i="103" a="1"/>
  <c r="M17" i="103" a="1"/>
  <c r="AX41" i="102" a="1"/>
  <c r="BV166" i="102" a="1"/>
  <c r="CL194" i="102" a="1"/>
  <c r="R59" i="102" a="1"/>
  <c r="BF64" i="102" a="1"/>
  <c r="BN230" i="102" a="1"/>
  <c r="CD129" i="102" a="1"/>
  <c r="Z80" i="102" a="1"/>
  <c r="BF65" i="102" a="1"/>
  <c r="J115" i="102" a="1"/>
  <c r="R113" i="102" a="1"/>
  <c r="Z142" i="102" a="1"/>
  <c r="H66" i="103" a="1"/>
  <c r="F33" i="103" a="1"/>
  <c r="H80" i="103" a="1"/>
  <c r="BV65" i="102" a="1"/>
  <c r="CL147" i="102" a="1"/>
  <c r="AH60" i="102" a="1"/>
  <c r="BV8" i="102" a="1"/>
  <c r="BV106" i="102" a="1"/>
  <c r="CL116" i="102" a="1"/>
  <c r="AH72" i="102" a="1"/>
  <c r="AX69" i="102" a="1"/>
  <c r="BV137" i="102" a="1"/>
  <c r="CL197" i="102" a="1"/>
  <c r="AP209" i="102" a="1"/>
  <c r="AX139" i="102" a="1"/>
  <c r="AX201" i="102" a="1"/>
  <c r="BN196" i="102" a="1"/>
  <c r="BF155" i="102" a="1"/>
  <c r="BF121" i="102" a="1"/>
  <c r="BF180" i="102" a="1"/>
  <c r="Z5" i="60" a="1"/>
  <c r="AS56" i="69" a="1"/>
  <c r="AH149" i="102" a="1"/>
  <c r="BN184" i="102" a="1"/>
  <c r="J140" i="102" a="1"/>
  <c r="BN106" i="102" a="1"/>
  <c r="J101" i="102" a="1"/>
  <c r="AA107" i="60" a="1"/>
  <c r="AB52" i="69" a="1"/>
  <c r="AH94" i="102" a="1"/>
  <c r="R161" i="102" a="1"/>
  <c r="R230" i="102" a="1"/>
  <c r="AY123" i="102" a="1"/>
  <c r="AY227" i="102" a="1"/>
  <c r="AT149" i="102" a="1"/>
  <c r="N195" i="102" a="1"/>
  <c r="AQ219" i="102" a="1"/>
  <c r="K209" i="102" a="1"/>
  <c r="AQ161" i="102" a="1"/>
  <c r="N222" i="102" a="1"/>
  <c r="AL221" i="102" a="1"/>
  <c r="N168" i="102" a="1"/>
  <c r="CD175" i="102" a="1"/>
  <c r="BV128" i="102" a="1"/>
  <c r="AP184" i="102" a="1"/>
  <c r="F82" i="103" a="1"/>
  <c r="J42" i="102" a="1"/>
  <c r="J84" i="102" a="1"/>
  <c r="CL214" i="102" a="1"/>
  <c r="CD224" i="102" a="1"/>
  <c r="AH130" i="102" a="1"/>
  <c r="BN116" i="102" a="1"/>
  <c r="H39" i="103" a="1"/>
  <c r="AX35" i="102" a="1"/>
  <c r="BV80" i="102" a="1"/>
  <c r="BV212" i="102" a="1"/>
  <c r="BN49" i="102" a="1"/>
  <c r="BF84" i="102" a="1"/>
  <c r="AX141" i="102" a="1"/>
  <c r="BF221" i="102" a="1"/>
  <c r="BN102" i="102" a="1"/>
  <c r="N190" i="102" a="1"/>
  <c r="L74" i="103" a="1"/>
  <c r="K50" i="103" a="1"/>
  <c r="G57" i="103" a="1"/>
  <c r="BV100" i="102" a="1"/>
  <c r="Z57" i="102" a="1"/>
  <c r="AP52" i="102" a="1"/>
  <c r="BF30" i="102" a="1"/>
  <c r="CD115" i="102" a="1"/>
  <c r="CL134" i="102" a="1"/>
  <c r="AH37" i="102" a="1"/>
  <c r="BN69" i="102" a="1"/>
  <c r="CD148" i="102" a="1"/>
  <c r="AH116" i="102" a="1"/>
  <c r="AP205" i="102" a="1"/>
  <c r="AX152" i="102" a="1"/>
  <c r="N122" i="102" a="1"/>
  <c r="F14" i="103" a="1"/>
  <c r="H22" i="103" a="1"/>
  <c r="F75" i="103" a="1"/>
  <c r="BN24" i="102" a="1"/>
  <c r="CL122" i="102" a="1"/>
  <c r="R58" i="102" a="1"/>
  <c r="AH70" i="102" a="1"/>
  <c r="BV18" i="102" a="1"/>
  <c r="CD168" i="102" a="1"/>
  <c r="CL144" i="102" a="1"/>
  <c r="AP58" i="102" a="1"/>
  <c r="BV25" i="102" a="1"/>
  <c r="R209" i="102" a="1"/>
  <c r="Z115" i="102" a="1"/>
  <c r="AH154" i="102" a="1"/>
  <c r="AH188" i="102" a="1"/>
  <c r="F58" i="103" a="1"/>
  <c r="F81" i="103" a="1"/>
  <c r="E10" i="103" a="1"/>
  <c r="Z60" i="102" a="1"/>
  <c r="BV34" i="102" a="1"/>
  <c r="CD112" i="102" a="1"/>
  <c r="CL111" i="102" a="1"/>
  <c r="AP41" i="102" a="1"/>
  <c r="BN18" i="102" a="1"/>
  <c r="CD200" i="102" a="1"/>
  <c r="CL213" i="102" a="1"/>
  <c r="AP24" i="102" a="1"/>
  <c r="BN213" i="102" a="1"/>
  <c r="R158" i="102" a="1"/>
  <c r="Z165" i="102" a="1"/>
  <c r="Z161" i="102" a="1"/>
  <c r="AH114" i="102" a="1"/>
  <c r="H18" i="103" a="1"/>
  <c r="M59" i="103" a="1"/>
  <c r="G65" i="103" a="1"/>
  <c r="F32" i="103" a="1"/>
  <c r="AP6" i="102" a="1"/>
  <c r="BV76" i="102" a="1"/>
  <c r="CL139" i="102" a="1"/>
  <c r="J77" i="102" a="1"/>
  <c r="AP35" i="102" a="1"/>
  <c r="BN77" i="102" a="1"/>
  <c r="BV224" i="102" a="1"/>
  <c r="J41" i="102" a="1"/>
  <c r="AP59" i="102" a="1"/>
  <c r="AI210" i="102" a="1"/>
  <c r="AT110" i="102" a="1"/>
  <c r="AT96" i="102" a="1"/>
  <c r="K116" i="102" a="1"/>
  <c r="AL173" i="102" a="1"/>
  <c r="N139" i="102" a="1"/>
  <c r="AL228" i="102" a="1"/>
  <c r="N103" i="102" a="1"/>
  <c r="AL184" i="102" a="1"/>
  <c r="J16" i="103" a="1"/>
  <c r="AH73" i="102" a="1"/>
  <c r="BN153" i="102" a="1"/>
  <c r="K231" i="102" a="1"/>
  <c r="H41" i="103" a="1"/>
  <c r="CL192" i="102" a="1"/>
  <c r="CD104" i="102" a="1"/>
  <c r="CD118" i="102" a="1"/>
  <c r="BV102" i="102" a="1"/>
  <c r="J103" i="102" a="1"/>
  <c r="AP105" i="102" a="1"/>
  <c r="F52" i="103" a="1"/>
  <c r="AH51" i="102" a="1"/>
  <c r="AP23" i="102" a="1"/>
  <c r="BN83" i="102" a="1"/>
  <c r="AP20" i="102" a="1"/>
  <c r="AP39" i="102" a="1"/>
  <c r="AP155" i="102" a="1"/>
  <c r="AX161" i="102" a="1"/>
  <c r="BF114" i="102" a="1"/>
  <c r="K135" i="102" a="1"/>
  <c r="M81" i="103" a="1"/>
  <c r="I6" i="103" a="1"/>
  <c r="F67" i="103" a="1"/>
  <c r="BV46" i="102" a="1"/>
  <c r="J43" i="102" a="1"/>
  <c r="AH9" i="102" a="1"/>
  <c r="AX12" i="102" a="1"/>
  <c r="BV174" i="102" a="1"/>
  <c r="CD149" i="102" a="1"/>
  <c r="R41" i="102" a="1"/>
  <c r="BF80" i="102" a="1"/>
  <c r="BV93" i="102" a="1"/>
  <c r="Z180" i="102" a="1"/>
  <c r="AH230" i="102" a="1"/>
  <c r="AP219" i="102" a="1"/>
  <c r="E37" i="103" a="1"/>
  <c r="H28" i="103" a="1"/>
  <c r="J36" i="103" a="1"/>
  <c r="G82" i="103" a="1"/>
  <c r="AX34" i="102" a="1"/>
  <c r="BV162" i="102" a="1"/>
  <c r="J81" i="102" a="1"/>
  <c r="Z27" i="102" a="1"/>
  <c r="BF41" i="102" a="1"/>
  <c r="BN130" i="102" a="1"/>
  <c r="CD125" i="102" a="1"/>
  <c r="Z68" i="102" a="1"/>
  <c r="BN43" i="102" a="1"/>
  <c r="J94" i="102" a="1"/>
  <c r="R160" i="102" a="1"/>
  <c r="Z125" i="102" a="1"/>
  <c r="Z95" i="102" a="1"/>
  <c r="L29" i="103" a="1"/>
  <c r="F11" i="103" a="1"/>
  <c r="H19" i="103" a="1"/>
  <c r="R69" i="102" a="1"/>
  <c r="BN67" i="102" a="1"/>
  <c r="BV105" i="102" a="1"/>
  <c r="CD230" i="102" a="1"/>
  <c r="Z84" i="102" a="1"/>
  <c r="AX11" i="102" a="1"/>
  <c r="BV107" i="102" a="1"/>
  <c r="CL161" i="102" a="1"/>
  <c r="Z75" i="102" a="1"/>
  <c r="BF165" i="102" a="1"/>
  <c r="J102" i="102" a="1"/>
  <c r="J181" i="102" a="1"/>
  <c r="R184" i="102" a="1"/>
  <c r="Z184" i="102" a="1"/>
  <c r="H68" i="103" a="1"/>
  <c r="H17" i="103" a="1"/>
  <c r="H72" i="103" a="1"/>
  <c r="H46" i="103" a="1"/>
  <c r="Z67" i="102" a="1"/>
  <c r="BN16" i="102" a="1"/>
  <c r="BV181" i="102" a="1"/>
  <c r="CL141" i="102" a="1"/>
  <c r="Z10" i="102" a="1"/>
  <c r="AX74" i="102" a="1"/>
  <c r="BN134" i="102" a="1"/>
  <c r="CL198" i="102" a="1"/>
  <c r="AH69" i="102" a="1"/>
  <c r="BF94" i="102" a="1"/>
  <c r="BN123" i="102" a="1"/>
  <c r="J108" i="102" a="1"/>
  <c r="I7" i="103" a="1"/>
  <c r="J61" i="103" a="1"/>
  <c r="E24" i="103" a="1"/>
  <c r="AX63" i="102" a="1"/>
  <c r="CD203" i="102" a="1"/>
  <c r="J76" i="102" a="1"/>
  <c r="AH39" i="102" a="1"/>
  <c r="BF31" i="102" a="1"/>
  <c r="BV104" i="102" a="1"/>
  <c r="CL162" i="102" a="1"/>
  <c r="Z13" i="102" a="1"/>
  <c r="BN35" i="102" a="1"/>
  <c r="CD193" i="102" a="1"/>
  <c r="Z141" i="102" a="1"/>
  <c r="AH189" i="102" a="1"/>
  <c r="AH223" i="102" a="1"/>
  <c r="AX123" i="102" a="1"/>
  <c r="AP179" i="102" a="1"/>
  <c r="AP130" i="102" a="1"/>
  <c r="AP154" i="102" a="1"/>
  <c r="Z46" i="60" a="1"/>
  <c r="AB51" i="69" a="1"/>
  <c r="J189" i="102" a="1"/>
  <c r="AX209" i="102" a="1"/>
  <c r="AX197" i="102" a="1"/>
  <c r="AX94" i="102" a="1"/>
  <c r="AX95" i="102" a="1"/>
  <c r="AA89" i="60" a="1"/>
  <c r="AB17" i="69" a="1"/>
  <c r="AD189" i="102" a="1"/>
  <c r="AT107" i="102" a="1"/>
  <c r="AQ146" i="102" a="1"/>
  <c r="K133" i="102" a="1"/>
  <c r="AL109" i="102" a="1"/>
  <c r="N94" i="102" a="1"/>
  <c r="AL164" i="102" a="1"/>
  <c r="N167" i="102" a="1"/>
  <c r="AL120" i="102" a="1"/>
  <c r="L30" i="103" a="1"/>
  <c r="R67" i="102" a="1"/>
  <c r="J34" i="102" a="1"/>
  <c r="K100" i="102" a="1"/>
  <c r="J55" i="103" a="1"/>
  <c r="BN66" i="102" a="1"/>
  <c r="BF70" i="102" a="1"/>
  <c r="AP19" i="102" a="1"/>
  <c r="BN118" i="102" a="1"/>
  <c r="BF108" i="102" a="1"/>
  <c r="AH138" i="102" a="1"/>
  <c r="G64" i="103" a="1"/>
  <c r="CL135" i="102" a="1"/>
  <c r="J32" i="102" a="1"/>
  <c r="AX25" i="102" a="1"/>
  <c r="R82" i="102" a="1"/>
  <c r="J22" i="102" a="1"/>
  <c r="AH231" i="102" a="1"/>
  <c r="AP182" i="102" a="1"/>
  <c r="AX142" i="102" a="1"/>
  <c r="N135" i="102" a="1"/>
  <c r="J12" i="103" a="1"/>
  <c r="K20" i="103" a="1"/>
  <c r="G74" i="103" a="1"/>
  <c r="BN33" i="102" a="1"/>
  <c r="CL193" i="102" a="1"/>
  <c r="Z7" i="102" a="1"/>
  <c r="AH65" i="102" a="1"/>
  <c r="BN195" i="102" a="1"/>
  <c r="CD171" i="102" a="1"/>
  <c r="CL179" i="102" a="1"/>
  <c r="AX17" i="102" a="1"/>
  <c r="BV44" i="102" a="1"/>
  <c r="R212" i="102" a="1"/>
  <c r="Z137" i="102" a="1"/>
  <c r="AH224" i="102" a="1"/>
  <c r="F77" i="103" a="1"/>
  <c r="J42" i="103" a="1"/>
  <c r="L50" i="103" a="1"/>
  <c r="K14" i="103" a="1"/>
  <c r="AP70" i="102" a="1"/>
  <c r="BN182" i="102" a="1"/>
  <c r="CL100" i="102" a="1"/>
  <c r="J15" i="102" a="1"/>
  <c r="AP84" i="102" a="1"/>
  <c r="BV16" i="102" a="1"/>
  <c r="BV220" i="102" a="1"/>
  <c r="R40" i="102" a="1"/>
  <c r="AP79" i="102" a="1"/>
  <c r="BN148" i="102" a="1"/>
  <c r="J219" i="102" a="1"/>
  <c r="R205" i="102" a="1"/>
  <c r="Z123" i="102" a="1"/>
  <c r="G58" i="103" a="1"/>
  <c r="H25" i="103" a="1"/>
  <c r="J33" i="103" a="1"/>
  <c r="CL182" i="102" a="1"/>
  <c r="BF21" i="102" a="1"/>
  <c r="BN127" i="102" a="1"/>
  <c r="BV111" i="102" a="1"/>
  <c r="R18" i="102" a="1"/>
  <c r="AH62" i="102" a="1"/>
  <c r="BV43" i="102" a="1"/>
  <c r="CD174" i="102" a="1"/>
  <c r="R71" i="102" a="1"/>
  <c r="BF132" i="102" a="1"/>
  <c r="BN152" i="102" a="1"/>
  <c r="BN157" i="102" a="1"/>
  <c r="J208" i="102" a="1"/>
  <c r="R151" i="102" a="1"/>
  <c r="J64" i="103" a="1"/>
  <c r="J31" i="103" a="1"/>
  <c r="I79" i="103" a="1"/>
  <c r="J60" i="103" a="1"/>
  <c r="R30" i="102" a="1"/>
  <c r="AX55" i="102" a="1"/>
  <c r="BN101" i="102" a="1"/>
  <c r="CD96" i="102" a="1"/>
  <c r="J56" i="102" a="1"/>
  <c r="AP46" i="102" a="1"/>
  <c r="BN29" i="102" a="1"/>
  <c r="CD111" i="102" a="1"/>
  <c r="R77" i="102" a="1"/>
  <c r="AX158" i="102" a="1"/>
  <c r="BF145" i="102" a="1"/>
  <c r="BF140" i="102" a="1"/>
  <c r="F63" i="103" a="1"/>
  <c r="K68" i="103" a="1"/>
  <c r="G38" i="103" a="1"/>
  <c r="AH42" i="102" a="1"/>
  <c r="BV103" i="102" a="1"/>
  <c r="CL190" i="102" a="1"/>
  <c r="J45" i="102" a="1"/>
  <c r="AX48" i="102" a="1"/>
  <c r="BV19" i="102" a="1"/>
  <c r="CD178" i="102" a="1"/>
  <c r="J27" i="102" a="1"/>
  <c r="AX72" i="102" a="1"/>
  <c r="BV173" i="102" a="1"/>
  <c r="R198" i="102" a="1"/>
  <c r="Z160" i="102" a="1"/>
  <c r="AH102" i="102" a="1"/>
  <c r="AH194" i="102" a="1"/>
  <c r="AH217" i="102" a="1"/>
  <c r="AH121" i="102" a="1"/>
  <c r="AH175" i="102" a="1"/>
  <c r="Z42" i="60" a="1"/>
  <c r="AB26" i="69" a="1"/>
  <c r="BN168" i="102" a="1"/>
  <c r="AP99" i="102" a="1"/>
  <c r="AP156" i="102" a="1"/>
  <c r="AP136" i="102" a="1"/>
  <c r="AX120" i="102" a="1"/>
  <c r="AA108" i="60" a="1"/>
  <c r="AB49" i="69" a="1"/>
  <c r="BN99" i="102" a="1"/>
  <c r="V229" i="102" a="1"/>
  <c r="AI228" i="102" a="1"/>
  <c r="AL203" i="102" a="1"/>
  <c r="L41" i="103" a="1"/>
  <c r="AI199" i="102" a="1"/>
  <c r="K27" i="103" a="1"/>
  <c r="AL159" i="102" a="1"/>
  <c r="K80" i="103" a="1"/>
  <c r="AI117" i="102" a="1"/>
  <c r="L72" i="103" a="1"/>
  <c r="BN63" i="102" a="1"/>
  <c r="CL143" i="102" a="1"/>
  <c r="N161" i="102" a="1"/>
  <c r="H65" i="103" a="1"/>
  <c r="AX28" i="102" a="1"/>
  <c r="AX7" i="102" a="1"/>
  <c r="Z36" i="102" a="1"/>
  <c r="AP48" i="102" a="1"/>
  <c r="AH100" i="102" a="1"/>
  <c r="BF189" i="102" a="1"/>
  <c r="H71" i="103" a="1"/>
  <c r="BV206" i="102" a="1"/>
  <c r="CL96" i="102" a="1"/>
  <c r="CD214" i="102" a="1"/>
  <c r="CD207" i="102" a="1"/>
  <c r="CD109" i="102" a="1"/>
  <c r="Z202" i="102" a="1"/>
  <c r="AH124" i="102" a="1"/>
  <c r="AP193" i="102" a="1"/>
  <c r="L22" i="103" a="1"/>
  <c r="L26" i="103" a="1"/>
  <c r="M34" i="103" a="1"/>
  <c r="H81" i="103" a="1"/>
  <c r="AX64" i="102" a="1"/>
  <c r="CD184" i="102" a="1"/>
  <c r="J17" i="102" a="1"/>
  <c r="Z11" i="102" a="1"/>
  <c r="BF71" i="102" a="1"/>
  <c r="BV120" i="102" a="1"/>
  <c r="CD198" i="102" a="1"/>
  <c r="Z42" i="102" a="1"/>
  <c r="BN59" i="102" a="1"/>
  <c r="J211" i="102" a="1"/>
  <c r="R163" i="102" a="1"/>
  <c r="Z182" i="102" a="1"/>
  <c r="M60" i="103" a="1"/>
  <c r="L56" i="103" a="1"/>
  <c r="I63" i="103" a="1"/>
  <c r="M28" i="103" a="1"/>
  <c r="Z74" i="102" a="1"/>
  <c r="BN53" i="102" a="1"/>
  <c r="CD231" i="102" a="1"/>
  <c r="CL191" i="102" a="1"/>
  <c r="Z41" i="102" a="1"/>
  <c r="BF43" i="102" a="1"/>
  <c r="BN149" i="102" a="1"/>
  <c r="CL146" i="102" a="1"/>
  <c r="AH41" i="102" a="1"/>
  <c r="BF158" i="102" a="1"/>
  <c r="BN218" i="102" a="1"/>
  <c r="J128" i="102" a="1"/>
  <c r="N188" i="102" a="1"/>
  <c r="I69" i="103" a="1"/>
  <c r="J39" i="103" a="1"/>
  <c r="L47" i="103" a="1"/>
  <c r="CD95" i="102" a="1"/>
  <c r="AP71" i="102" a="1"/>
  <c r="BN15" i="102" a="1"/>
  <c r="BN156" i="102" a="1"/>
  <c r="CL221" i="102" a="1"/>
  <c r="Z48" i="102" a="1"/>
  <c r="BF63" i="102" a="1"/>
  <c r="BV142" i="102" a="1"/>
  <c r="J40" i="102" a="1"/>
  <c r="AP194" i="102" a="1"/>
  <c r="AX130" i="102" a="1"/>
  <c r="BF125" i="102" a="1"/>
  <c r="BN190" i="102" a="1"/>
  <c r="J134" i="102" a="1"/>
  <c r="F42" i="103" a="1"/>
  <c r="L45" i="103" a="1"/>
  <c r="J6" i="103" a="1"/>
  <c r="BV84" i="102" a="1"/>
  <c r="CL153" i="102" a="1"/>
  <c r="AH34" i="102" a="1"/>
  <c r="BV11" i="102" a="1"/>
  <c r="BV221" i="102" a="1"/>
  <c r="CL209" i="102" a="1"/>
  <c r="AH12" i="102" a="1"/>
  <c r="AX31" i="102" a="1"/>
  <c r="BV133" i="102" a="1"/>
  <c r="J74" i="102" a="1"/>
  <c r="AP138" i="102" a="1"/>
  <c r="AX135" i="102" a="1"/>
  <c r="AX114" i="102" a="1"/>
  <c r="I15" i="103" a="1"/>
  <c r="L75" i="103" a="1"/>
  <c r="I52" i="103" a="1"/>
  <c r="Z72" i="102" a="1"/>
  <c r="BV17" i="102" a="1"/>
  <c r="CD151" i="102" a="1"/>
  <c r="CL211" i="102" a="1"/>
  <c r="AH66" i="102" a="1"/>
  <c r="BF42" i="102" a="1"/>
  <c r="BV140" i="102" a="1"/>
  <c r="CL118" i="102" a="1"/>
  <c r="AP29" i="102" a="1"/>
  <c r="BN188" i="102" a="1"/>
  <c r="J223" i="102" a="1"/>
  <c r="R108" i="102" a="1"/>
  <c r="Z138" i="102" a="1"/>
  <c r="Z140" i="102" a="1"/>
  <c r="Z194" i="102" a="1"/>
  <c r="Z147" i="102" a="1"/>
  <c r="Z108" i="102" a="1"/>
  <c r="Z18" i="60" a="1"/>
  <c r="AB40" i="69" a="1"/>
  <c r="AX214" i="102" a="1"/>
  <c r="AH157" i="102" a="1"/>
  <c r="AH182" i="102" a="1"/>
  <c r="AH106" i="102" a="1"/>
  <c r="AH101" i="102" a="1"/>
  <c r="AS28" i="69" a="1"/>
  <c r="V172" i="102" a="1"/>
  <c r="AI164" i="102" a="1"/>
  <c r="AL139" i="102" a="1"/>
  <c r="E56" i="103" a="1"/>
  <c r="AI135" i="102" a="1"/>
  <c r="M41" i="103" a="1"/>
  <c r="AL95" i="102" a="1"/>
  <c r="H10" i="103" a="1"/>
  <c r="AL112" i="102" a="1"/>
  <c r="M79" i="103" a="1"/>
  <c r="AX20" i="102" a="1"/>
  <c r="CL138" i="102" a="1"/>
  <c r="J80" i="103" a="1"/>
  <c r="I72" i="103" a="1"/>
  <c r="CL207" i="102" a="1"/>
  <c r="CD215" i="102" a="1"/>
  <c r="CL220" i="102" a="1"/>
  <c r="J29" i="102" a="1"/>
  <c r="Z164" i="102" a="1"/>
  <c r="AX154" i="102" a="1"/>
  <c r="E19" i="103" a="1"/>
  <c r="AX59" i="102" a="1"/>
  <c r="AP63" i="102" a="1"/>
  <c r="BV134" i="102" a="1"/>
  <c r="BV229" i="102" a="1"/>
  <c r="BV208" i="102" a="1"/>
  <c r="R118" i="102" a="1"/>
  <c r="Z172" i="102" a="1"/>
  <c r="AH134" i="102" a="1"/>
  <c r="E70" i="103" a="1"/>
  <c r="E41" i="103" a="1"/>
  <c r="F49" i="103" a="1"/>
  <c r="F13" i="103" a="1"/>
  <c r="AP60" i="102" a="1"/>
  <c r="BN172" i="102" a="1"/>
  <c r="CL199" i="102" a="1"/>
  <c r="J11" i="102" a="1"/>
  <c r="AP55" i="102" a="1"/>
  <c r="BV64" i="102" a="1"/>
  <c r="BV114" i="102" a="1"/>
  <c r="R83" i="102" a="1"/>
  <c r="AX62" i="102" a="1"/>
  <c r="BN183" i="102" a="1"/>
  <c r="J200" i="102" a="1"/>
  <c r="R182" i="102" a="1"/>
  <c r="E61" i="103" a="1"/>
  <c r="G14" i="103" a="1"/>
  <c r="J70" i="103" a="1"/>
  <c r="F43" i="103" a="1"/>
  <c r="R78" i="102" a="1"/>
  <c r="BF9" i="102" a="1"/>
  <c r="BV228" i="102" a="1"/>
  <c r="CD169" i="102" a="1"/>
  <c r="J53" i="102" a="1"/>
  <c r="AP66" i="102" a="1"/>
  <c r="BN42" i="102" a="1"/>
  <c r="CD213" i="102" a="1"/>
  <c r="R73" i="102" a="1"/>
  <c r="AX231" i="102" a="1"/>
  <c r="BF186" i="102" a="1"/>
  <c r="BF194" i="102" a="1"/>
  <c r="N115" i="102" a="1"/>
  <c r="J76" i="103" a="1"/>
  <c r="L53" i="103" a="1"/>
  <c r="L61" i="103" a="1"/>
  <c r="BV223" i="102" a="1"/>
  <c r="AH61" i="102" a="1"/>
  <c r="AX84" i="102" a="1"/>
  <c r="BN68" i="102" a="1"/>
  <c r="CD143" i="102" a="1"/>
  <c r="J19" i="102" a="1"/>
  <c r="AP47" i="102" a="1"/>
  <c r="BV73" i="102" a="1"/>
  <c r="CL158" i="102" a="1"/>
  <c r="AH220" i="102" a="1"/>
  <c r="AX98" i="102" a="1"/>
  <c r="AX230" i="102" a="1"/>
  <c r="BR165" i="102" a="1"/>
  <c r="K159" i="102" a="1"/>
  <c r="AA216" i="102" a="1"/>
  <c r="AL134" i="102" a="1"/>
  <c r="J51" i="103" a="1"/>
  <c r="AL176" i="102" a="1"/>
  <c r="F78" i="103" a="1"/>
  <c r="AD215" i="102" a="1"/>
  <c r="J21" i="103" a="1"/>
  <c r="AA141" i="102" a="1"/>
  <c r="K66" i="103" a="1"/>
  <c r="BV209" i="102" a="1"/>
  <c r="AX124" i="102" a="1"/>
  <c r="G70" i="103" a="1"/>
  <c r="J79" i="103" a="1"/>
  <c r="CD130" i="102" a="1"/>
  <c r="BV186" i="102" a="1"/>
  <c r="BV97" i="102" a="1"/>
  <c r="CD131" i="102" a="1"/>
  <c r="AX100" i="102" a="1"/>
  <c r="AP172" i="102" a="1"/>
  <c r="I47" i="103" a="1"/>
  <c r="AP31" i="102" a="1"/>
  <c r="Z47" i="102" a="1"/>
  <c r="BN140" i="102" a="1"/>
  <c r="AP18" i="102" a="1"/>
  <c r="BN64" i="102" a="1"/>
  <c r="J218" i="102" a="1"/>
  <c r="R181" i="102" a="1"/>
  <c r="Z191" i="102" a="1"/>
  <c r="G48" i="103" a="1"/>
  <c r="G55" i="103" a="1"/>
  <c r="J62" i="103" a="1"/>
  <c r="H27" i="103" a="1"/>
  <c r="AH40" i="102" a="1"/>
  <c r="BN30" i="102" a="1"/>
  <c r="CD202" i="102" a="1"/>
  <c r="J52" i="102" a="1"/>
  <c r="AH25" i="102" a="1"/>
  <c r="BF62" i="102" a="1"/>
  <c r="BV184" i="102" a="1"/>
  <c r="J69" i="102" a="1"/>
  <c r="AH55" i="102" a="1"/>
  <c r="BF164" i="102" a="1"/>
  <c r="J114" i="102" a="1"/>
  <c r="J122" i="102" a="1"/>
  <c r="F40" i="103" a="1"/>
  <c r="I28" i="103" a="1"/>
  <c r="K77" i="103" a="1"/>
  <c r="H57" i="103" a="1"/>
  <c r="CL210" i="102" a="1"/>
  <c r="AP22" i="102" a="1"/>
  <c r="BV78" i="102" a="1"/>
  <c r="BV191" i="102" a="1"/>
  <c r="CL186" i="102" a="1"/>
  <c r="AH84" i="102" a="1"/>
  <c r="BF8" i="102" a="1"/>
  <c r="CD101" i="102" a="1"/>
  <c r="J57" i="102" a="1"/>
  <c r="AP227" i="102" a="1"/>
  <c r="AX150" i="102" a="1"/>
  <c r="BF148" i="102" a="1"/>
  <c r="K109" i="102" a="1"/>
  <c r="K83" i="103" a="1"/>
  <c r="K9" i="103" a="1"/>
  <c r="M68" i="103" a="1"/>
  <c r="BV99" i="102" a="1"/>
  <c r="R65" i="102" a="1"/>
  <c r="AP9" i="102" a="1"/>
  <c r="BF16" i="102" a="1"/>
  <c r="BV156" i="102" a="1"/>
  <c r="CL180" i="102" a="1"/>
  <c r="AH80" i="102" a="1"/>
  <c r="BN72" i="102" a="1"/>
  <c r="BV213" i="102" a="1"/>
  <c r="AH168" i="102" a="1"/>
  <c r="AP120" i="102" a="1"/>
  <c r="AP223" i="102" a="1"/>
  <c r="AX109" i="102" a="1"/>
  <c r="AX213" i="102" a="1"/>
  <c r="G62" i="103" a="1"/>
  <c r="L67" i="103" a="1"/>
  <c r="E35" i="103" a="1"/>
  <c r="AX58" i="102" a="1"/>
  <c r="CD99" i="102" a="1"/>
  <c r="J62" i="102" a="1"/>
  <c r="AP56" i="102" a="1"/>
  <c r="BN23" i="102" a="1"/>
  <c r="BV203" i="102" a="1"/>
  <c r="J33" i="102" a="1"/>
  <c r="Z12" i="102" a="1"/>
  <c r="BN41" i="102" a="1"/>
  <c r="CD228" i="102" a="1"/>
  <c r="Z198" i="102" a="1"/>
  <c r="AH144" i="102" a="1"/>
  <c r="AH210" i="102" a="1"/>
  <c r="F36" i="103" a="1"/>
  <c r="H14" i="103" a="1"/>
  <c r="I22" i="103" a="1"/>
  <c r="CL228" i="102" a="1"/>
  <c r="BF15" i="102" a="1"/>
  <c r="BN131" i="102" a="1"/>
  <c r="BV141" i="102" a="1"/>
  <c r="J25" i="102" a="1"/>
  <c r="AH48" i="102" a="1"/>
  <c r="BV12" i="102" a="1"/>
  <c r="BV194" i="102" a="1"/>
  <c r="R6" i="102" a="1"/>
  <c r="AX226" i="102" a="1"/>
  <c r="BF156" i="102" a="1"/>
  <c r="BN132" i="102" a="1"/>
  <c r="AX194" i="102" a="1"/>
  <c r="J224" i="102" a="1"/>
  <c r="R142" i="102" a="1"/>
  <c r="J185" i="102" a="1"/>
  <c r="R93" i="102" a="1"/>
  <c r="AA116" i="60" a="1"/>
  <c r="AB36" i="69" a="1"/>
  <c r="AH129" i="102" a="1"/>
  <c r="R164" i="102" a="1"/>
  <c r="R201" i="102" a="1"/>
  <c r="R225" i="102" a="1"/>
  <c r="R179" i="102" a="1"/>
  <c r="AS58" i="69" a="1"/>
  <c r="AB58" i="69" a="1"/>
  <c r="AH198" i="102" a="1"/>
  <c r="AH192" i="102" a="1"/>
  <c r="BJ145" i="102" a="1"/>
  <c r="K146" i="102" a="1"/>
  <c r="AD102" i="102" a="1"/>
  <c r="AL211" i="102" a="1"/>
  <c r="E63" i="103" a="1"/>
  <c r="AL94" i="102" a="1"/>
  <c r="M6" i="103" a="1"/>
  <c r="AD151" i="102" a="1"/>
  <c r="L35" i="103" a="1"/>
  <c r="AD216" i="102" a="1"/>
  <c r="L73" i="103" a="1"/>
  <c r="BV30" i="102" a="1"/>
  <c r="AP174" i="102" a="1"/>
  <c r="K29" i="103" a="1"/>
  <c r="D59" i="62" a="1"/>
  <c r="AP82" i="102" a="1"/>
  <c r="BN191" i="102" a="1"/>
  <c r="BF34" i="102" a="1"/>
  <c r="BV161" i="102" a="1"/>
  <c r="AP122" i="102" a="1"/>
  <c r="Z155" i="102" a="1"/>
  <c r="H33" i="103" a="1"/>
  <c r="CD208" i="102" a="1"/>
  <c r="J73" i="102" a="1"/>
  <c r="BN60" i="102" a="1"/>
  <c r="AH17" i="102" a="1"/>
  <c r="AX23" i="102" a="1"/>
  <c r="BN173" i="102" a="1"/>
  <c r="J204" i="102" a="1"/>
  <c r="R153" i="102" a="1"/>
  <c r="H48" i="103" a="1"/>
  <c r="E11" i="103" a="1"/>
  <c r="K69" i="103" a="1"/>
  <c r="J41" i="103" a="1"/>
  <c r="R84" i="102" a="1"/>
  <c r="BF61" i="102" a="1"/>
  <c r="BV202" i="102" a="1"/>
  <c r="CD204" i="102" a="1"/>
  <c r="R9" i="102" a="1"/>
  <c r="AX54" i="102" a="1"/>
  <c r="BV29" i="102" a="1"/>
  <c r="CL142" i="102" a="1"/>
  <c r="Z32" i="102" a="1"/>
  <c r="AX221" i="102" a="1"/>
  <c r="BF160" i="102" a="1"/>
  <c r="BN177" i="102" a="1"/>
  <c r="M27" i="103" a="1"/>
  <c r="K42" i="103" a="1"/>
  <c r="L84" i="103" a="1"/>
  <c r="BN84" i="102" a="1"/>
  <c r="CL98" i="102" a="1"/>
  <c r="Z38" i="102" a="1"/>
  <c r="BF13" i="102" a="1"/>
  <c r="BN111" i="102" a="1"/>
  <c r="CD180" i="102" a="1"/>
  <c r="Z62" i="102" a="1"/>
  <c r="AP77" i="102" a="1"/>
  <c r="BV155" i="102" a="1"/>
  <c r="CL148" i="102" a="1"/>
  <c r="AH146" i="102" a="1"/>
  <c r="AP228" i="102" a="1"/>
  <c r="AX200" i="102" a="1"/>
  <c r="N109" i="102" a="1"/>
  <c r="K15" i="103" a="1"/>
  <c r="M23" i="103" a="1"/>
  <c r="E76" i="103" a="1"/>
  <c r="BV24" i="102" a="1"/>
  <c r="J65" i="102" a="1"/>
  <c r="Z66" i="102" a="1"/>
  <c r="AP83" i="102" a="1"/>
  <c r="BV136" i="102" a="1"/>
  <c r="CD153" i="102" a="1"/>
  <c r="J8" i="102" a="1"/>
  <c r="AX71" i="102" a="1"/>
  <c r="BV200" i="102" a="1"/>
  <c r="Z120" i="102" a="1"/>
  <c r="AH109" i="102" a="1"/>
  <c r="AP128" i="102" a="1"/>
  <c r="AP115" i="102" a="1"/>
  <c r="AX106" i="102" a="1"/>
  <c r="M13" i="103" a="1"/>
  <c r="M74" i="103" a="1"/>
  <c r="G49" i="103" a="1"/>
  <c r="AP30" i="102" a="1"/>
  <c r="BV218" i="102" a="1"/>
  <c r="CL174" i="102" a="1"/>
  <c r="J50" i="102" a="1"/>
  <c r="AX43" i="102" a="1"/>
  <c r="BV41" i="102" a="1"/>
  <c r="CD229" i="102" a="1"/>
  <c r="J21" i="102" a="1"/>
  <c r="AX67" i="102" a="1"/>
  <c r="BV182" i="102" a="1"/>
  <c r="R169" i="102" a="1"/>
  <c r="Z195" i="102" a="1"/>
  <c r="AH104" i="102" a="1"/>
  <c r="H62" i="103" a="1"/>
  <c r="J28" i="103" a="1"/>
  <c r="K36" i="103" a="1"/>
  <c r="CD211" i="102" a="1"/>
  <c r="AP51" i="102" a="1"/>
  <c r="BN27" i="102" a="1"/>
  <c r="BV66" i="102" a="1"/>
  <c r="CL200" i="102" a="1"/>
  <c r="Z53" i="102" a="1"/>
  <c r="BF83" i="102" a="1"/>
  <c r="BN229" i="102" a="1"/>
  <c r="CL204" i="102" a="1"/>
  <c r="AP147" i="102" a="1"/>
  <c r="AX192" i="102" a="1"/>
  <c r="BF142" i="102" a="1"/>
  <c r="AP135" i="102" a="1"/>
  <c r="BN174" i="102" a="1"/>
  <c r="J150" i="102" a="1"/>
  <c r="BN155" i="102" a="1"/>
  <c r="J153" i="102" a="1"/>
  <c r="AA106" i="60" a="1"/>
  <c r="AB29" i="69" a="1"/>
  <c r="Z117" i="102" a="1"/>
  <c r="J132" i="102" a="1"/>
  <c r="J206" i="102" a="1"/>
  <c r="J195" i="102" a="1"/>
  <c r="J203" i="102" a="1"/>
  <c r="AS63" i="69" a="1"/>
  <c r="R191" i="102" a="1"/>
  <c r="AD78" i="102" a="1"/>
  <c r="F55" i="103" a="1"/>
  <c r="K198" i="102" a="1"/>
  <c r="AD206" i="102" a="1"/>
  <c r="F39" i="103" a="1"/>
  <c r="AD168" i="102" a="1"/>
  <c r="E72" i="103" a="1"/>
  <c r="AA209" i="102" a="1"/>
  <c r="G50" i="103" a="1"/>
  <c r="AA120" i="102" a="1"/>
  <c r="H56" i="103" a="1"/>
  <c r="CD223" i="102" a="1"/>
  <c r="AH196" i="102" a="1"/>
  <c r="F80" i="103" a="1"/>
  <c r="AX24" i="102" a="1"/>
  <c r="AH64" i="102" a="1"/>
  <c r="AH22" i="102" a="1"/>
  <c r="R55" i="102" a="1"/>
  <c r="AH205" i="102" a="1"/>
  <c r="AH143" i="102" a="1"/>
  <c r="N187" i="102" a="1"/>
  <c r="J47" i="103" a="1"/>
  <c r="BV188" i="102" a="1"/>
  <c r="BV219" i="102" a="1"/>
  <c r="Z79" i="102" a="1"/>
  <c r="R10" i="102" a="1"/>
  <c r="AP16" i="102" a="1"/>
  <c r="BF141" i="102" a="1"/>
  <c r="J109" i="102" a="1"/>
  <c r="J231" i="102" a="1"/>
  <c r="I83" i="103" a="1"/>
  <c r="G25" i="103" a="1"/>
  <c r="L76" i="103" a="1"/>
  <c r="L55" i="103" a="1"/>
  <c r="J82" i="102" a="1"/>
  <c r="AP42" i="102" a="1"/>
  <c r="BV28" i="102" a="1"/>
  <c r="BV226" i="102" a="1"/>
  <c r="CL160" i="102" a="1"/>
  <c r="AH58" i="102" a="1"/>
  <c r="BF37" i="102" a="1"/>
  <c r="CD183" i="102" a="1"/>
  <c r="J39" i="102" a="1"/>
  <c r="AP124" i="102" a="1"/>
  <c r="AX159" i="102" a="1"/>
  <c r="BF222" i="102" a="1"/>
  <c r="E69" i="103" a="1"/>
  <c r="M56" i="103" a="1"/>
  <c r="K17" i="103" a="1"/>
  <c r="BF69" i="102" a="1"/>
  <c r="CD132" i="102" a="1"/>
  <c r="J7" i="102" a="1"/>
  <c r="AP43" i="102" a="1"/>
  <c r="BN14" i="102" a="1"/>
  <c r="BV151" i="102" a="1"/>
  <c r="R12" i="102" a="1"/>
  <c r="Z73" i="102" a="1"/>
  <c r="BV35" i="102" a="1"/>
  <c r="CD121" i="102" a="1"/>
  <c r="Z181" i="102" a="1"/>
  <c r="AH169" i="102" a="1"/>
  <c r="AP202" i="102" a="1"/>
  <c r="G51" i="103" a="1"/>
  <c r="M29" i="103" a="1"/>
  <c r="F38" i="103" a="1"/>
  <c r="F83" i="103" a="1"/>
  <c r="BN36" i="102" a="1"/>
  <c r="CD140" i="102" a="1"/>
  <c r="R76" i="102" a="1"/>
  <c r="AH23" i="102" a="1"/>
  <c r="BV70" i="102" a="1"/>
  <c r="BV210" i="102" a="1"/>
  <c r="CL170" i="102" a="1"/>
  <c r="AP38" i="102" a="1"/>
  <c r="BV75" i="102" a="1"/>
  <c r="R219" i="102" a="1"/>
  <c r="Z221" i="102" a="1"/>
  <c r="AH180" i="102" a="1"/>
  <c r="AH153" i="102" a="1"/>
  <c r="AP186" i="102" a="1"/>
  <c r="F6" i="103" a="1"/>
  <c r="E82" i="103" a="1"/>
  <c r="K6" i="103" a="1"/>
  <c r="Z46" i="102" a="1"/>
  <c r="BV36" i="102" a="1"/>
  <c r="CD122" i="102" a="1"/>
  <c r="CL217" i="102" a="1"/>
  <c r="AP10" i="102" a="1"/>
  <c r="BN25" i="102" a="1"/>
  <c r="BV149" i="102" a="1"/>
  <c r="CL159" i="102" a="1"/>
  <c r="AP14" i="102" a="1"/>
  <c r="BN98" i="102" a="1"/>
  <c r="R123" i="102" a="1"/>
  <c r="R130" i="102" a="1"/>
  <c r="N225" i="102" a="1"/>
  <c r="G71" i="103" a="1"/>
  <c r="L42" i="103" a="1"/>
  <c r="M50" i="103" a="1"/>
  <c r="BV112" i="102" a="1"/>
  <c r="AH43" i="102" a="1"/>
  <c r="AX56" i="102" a="1"/>
  <c r="BN45" i="102" a="1"/>
  <c r="CD176" i="102" a="1"/>
  <c r="J78" i="102" a="1"/>
  <c r="AP49" i="102" a="1"/>
  <c r="BV77" i="102" a="1"/>
  <c r="CD191" i="102" a="1"/>
  <c r="AH195" i="102" a="1"/>
  <c r="AP98" i="102" a="1"/>
  <c r="AX205" i="102" a="1"/>
  <c r="Z206" i="102" a="1"/>
  <c r="BF154" i="102" a="1"/>
  <c r="BN136" i="102" a="1"/>
  <c r="BF177" i="102" a="1"/>
  <c r="BF172" i="102" a="1"/>
  <c r="AA75" i="60" a="1"/>
  <c r="AB44" i="69" a="1"/>
  <c r="R132" i="102" a="1"/>
  <c r="BF197" i="102" a="1"/>
  <c r="BN144" i="102" a="1"/>
  <c r="BN199" i="102" a="1"/>
  <c r="Z52" i="60" a="1"/>
  <c r="AS41" i="69" a="1"/>
  <c r="BN107" i="102" a="1"/>
  <c r="V36" i="102" a="1"/>
  <c r="BB202" i="102" a="1"/>
  <c r="N186" i="102" a="1"/>
  <c r="AD142" i="102" a="1"/>
  <c r="H53" i="103" a="1"/>
  <c r="AD104" i="102" a="1"/>
  <c r="F79" i="103" a="1"/>
  <c r="AA145" i="102" a="1"/>
  <c r="AY124" i="102" a="1"/>
  <c r="AD160" i="102" a="1"/>
  <c r="F20" i="103" a="1"/>
  <c r="BV130" i="102" a="1"/>
  <c r="BF152" i="102" a="1"/>
  <c r="H9" i="103" a="1"/>
  <c r="AH81" i="102" a="1"/>
  <c r="Z29" i="102" a="1"/>
  <c r="CL201" i="102" a="1"/>
  <c r="J54" i="102" a="1"/>
  <c r="Z176" i="102" a="1"/>
  <c r="R139" i="102" a="1"/>
  <c r="J8" i="103" a="1"/>
  <c r="I14" i="103" a="1"/>
  <c r="BN223" i="102" a="1"/>
  <c r="BF20" i="102" a="1"/>
  <c r="CL175" i="102" a="1"/>
  <c r="J12" i="102" a="1"/>
  <c r="Z65" i="102" a="1"/>
  <c r="AX179" i="102" a="1"/>
  <c r="BF195" i="102" a="1"/>
  <c r="BN212" i="102" a="1"/>
  <c r="M16" i="103" a="1"/>
  <c r="I39" i="103" a="1"/>
  <c r="M83" i="103" a="1"/>
  <c r="BN74" i="102" a="1"/>
  <c r="CL154" i="102" a="1"/>
  <c r="Z52" i="102" a="1"/>
  <c r="BF49" i="102" a="1"/>
  <c r="BN146" i="102" a="1"/>
  <c r="CD141" i="102" a="1"/>
  <c r="Z76" i="102" a="1"/>
  <c r="AP67" i="102" a="1"/>
  <c r="BV222" i="102" a="1"/>
  <c r="CL93" i="102" a="1"/>
  <c r="AP104" i="102" a="1"/>
  <c r="AP131" i="102" a="1"/>
  <c r="AX222" i="102" a="1"/>
  <c r="J48" i="103" a="1"/>
  <c r="E66" i="103" a="1"/>
  <c r="M31" i="103" a="1"/>
  <c r="AX18" i="102" a="1"/>
  <c r="BV227" i="102" a="1"/>
  <c r="CL212" i="102" a="1"/>
  <c r="R57" i="102" a="1"/>
  <c r="AX82" i="102" a="1"/>
  <c r="BV58" i="102" a="1"/>
  <c r="CL167" i="102" a="1"/>
  <c r="R11" i="102" a="1"/>
  <c r="BF75" i="102" a="1"/>
  <c r="BV178" i="102" a="1"/>
  <c r="R226" i="102" a="1"/>
  <c r="Z111" i="102" a="1"/>
  <c r="AH225" i="102" a="1"/>
  <c r="G84" i="103" a="1"/>
  <c r="F44" i="103" a="1"/>
  <c r="H52" i="103" a="1"/>
  <c r="G16" i="103" a="1"/>
  <c r="AX30" i="102" a="1"/>
  <c r="BV127" i="102" a="1"/>
  <c r="J44" i="102" a="1"/>
  <c r="R28" i="102" a="1"/>
  <c r="BF14" i="102" a="1"/>
  <c r="BN220" i="102" a="1"/>
  <c r="CD164" i="102" a="1"/>
  <c r="Z54" i="102" a="1"/>
  <c r="BF26" i="102" a="1"/>
  <c r="J123" i="102" a="1"/>
  <c r="R218" i="102" a="1"/>
  <c r="Z103" i="102" a="1"/>
  <c r="Z201" i="102" a="1"/>
  <c r="AH218" i="102" a="1"/>
  <c r="J34" i="103" a="1"/>
  <c r="K12" i="103" a="1"/>
  <c r="M20" i="103" a="1"/>
  <c r="R25" i="102" a="1"/>
  <c r="BN44" i="102" a="1"/>
  <c r="BV96" i="102" a="1"/>
  <c r="CD157" i="102" a="1"/>
  <c r="Z70" i="102" a="1"/>
  <c r="AX37" i="102" a="1"/>
  <c r="BV110" i="102" a="1"/>
  <c r="CD133" i="102" a="1"/>
  <c r="Z9" i="102" a="1"/>
  <c r="BF185" i="102" a="1"/>
  <c r="J155" i="102" a="1"/>
  <c r="J173" i="102" a="1"/>
  <c r="K126" i="102" a="1"/>
  <c r="H78" i="103" a="1"/>
  <c r="E57" i="103" a="1"/>
  <c r="J63" i="103" a="1"/>
  <c r="BN143" i="102" a="1"/>
  <c r="R46" i="102" a="1"/>
  <c r="AH74" i="102" a="1"/>
  <c r="AX42" i="102" a="1"/>
  <c r="BV195" i="102" a="1"/>
  <c r="CL168" i="102" a="1"/>
  <c r="Z83" i="102" a="1"/>
  <c r="BF74" i="102" a="1"/>
  <c r="BV204" i="102" a="1"/>
  <c r="Z127" i="102" a="1"/>
  <c r="AP151" i="102" a="1"/>
  <c r="AP211" i="102" a="1"/>
  <c r="J197" i="102" a="1"/>
  <c r="AX103" i="102" a="1"/>
  <c r="BF106" i="102" a="1"/>
  <c r="AX167" i="102" a="1"/>
  <c r="AX146" i="102" a="1"/>
  <c r="AA77" i="60" a="1"/>
  <c r="AB41" i="69" a="1"/>
  <c r="BN161" i="102" a="1"/>
  <c r="BF216" i="102" a="1"/>
  <c r="BF147" i="102" a="1"/>
  <c r="BF174" i="102" a="1"/>
  <c r="Z13" i="60" a="1"/>
  <c r="AB31" i="69" a="1"/>
  <c r="AX119" i="102" a="1"/>
  <c r="J135" i="102" a="1"/>
  <c r="R95" i="102" a="1"/>
  <c r="AA40" i="102" a="1"/>
  <c r="AQ176" i="102" a="1"/>
  <c r="M52" i="103" a="1"/>
  <c r="AD150" i="102" a="1"/>
  <c r="AY153" i="102" a="1"/>
  <c r="AA126" i="102" a="1"/>
  <c r="BB200" i="102" a="1"/>
  <c r="S191" i="102" a="1"/>
  <c r="AY126" i="102" a="1"/>
  <c r="V142" i="102" a="1"/>
  <c r="E49" i="103" a="1"/>
  <c r="AP13" i="102" a="1"/>
  <c r="AX172" i="102" a="1"/>
  <c r="J23" i="103" a="1"/>
  <c r="BV164" i="102" a="1"/>
  <c r="CD150" i="102" a="1"/>
  <c r="BN165" i="102" a="1"/>
  <c r="BN82" i="102" a="1"/>
  <c r="R124" i="102" a="1"/>
  <c r="BF205" i="102" a="1"/>
  <c r="M62" i="103" a="1"/>
  <c r="K28" i="103" a="1"/>
  <c r="AX33" i="102" a="1"/>
  <c r="Z35" i="102" a="1"/>
  <c r="CL114" i="102" a="1"/>
  <c r="BV189" i="102" a="1"/>
  <c r="J35" i="102" a="1"/>
  <c r="AX107" i="102" a="1"/>
  <c r="AX210" i="102" a="1"/>
  <c r="BF228" i="102" a="1"/>
  <c r="F51" i="103" a="1"/>
  <c r="K53" i="103" a="1"/>
  <c r="F16" i="103" a="1"/>
  <c r="BF46" i="102" a="1"/>
  <c r="CD218" i="102" a="1"/>
  <c r="R8" i="102" a="1"/>
  <c r="AP65" i="102" a="1"/>
  <c r="BN62" i="102" a="1"/>
  <c r="BV125" i="102" a="1"/>
  <c r="R47" i="102" a="1"/>
  <c r="Z71" i="102" a="1"/>
  <c r="BV54" i="102" a="1"/>
  <c r="CD156" i="102" a="1"/>
  <c r="AH200" i="102" a="1"/>
  <c r="AH204" i="102" a="1"/>
  <c r="AP189" i="102" a="1"/>
  <c r="J83" i="103" a="1"/>
  <c r="F73" i="103" a="1"/>
  <c r="F46" i="103" a="1"/>
  <c r="Z34" i="102" a="1"/>
  <c r="BN227" i="102" a="1"/>
  <c r="CD195" i="102" a="1"/>
  <c r="CL165" i="102" a="1"/>
  <c r="AP54" i="102" a="1"/>
  <c r="BN11" i="102" a="1"/>
  <c r="CD199" i="102" a="1"/>
  <c r="J66" i="102" a="1"/>
  <c r="AP78" i="102" a="1"/>
  <c r="BV108" i="102" a="1"/>
  <c r="R127" i="102" a="1"/>
  <c r="Z168" i="102" a="1"/>
  <c r="Z183" i="102" a="1"/>
  <c r="F21" i="103" a="1"/>
  <c r="H58" i="103" a="1"/>
  <c r="H64" i="103" a="1"/>
  <c r="I30" i="103" a="1"/>
  <c r="AP17" i="102" a="1"/>
  <c r="BV74" i="102" a="1"/>
  <c r="CL113" i="102" a="1"/>
  <c r="J48" i="102" a="1"/>
  <c r="AP57" i="102" a="1"/>
  <c r="BN54" i="102" a="1"/>
  <c r="BV118" i="102" a="1"/>
  <c r="R45" i="102" a="1"/>
  <c r="AP81" i="102" a="1"/>
  <c r="BN219" i="102" a="1"/>
  <c r="J177" i="102" a="1"/>
  <c r="R122" i="102" a="1"/>
  <c r="Z136" i="102" a="1"/>
  <c r="Z105" i="102" a="1"/>
  <c r="I61" i="103" a="1"/>
  <c r="M26" i="103" a="1"/>
  <c r="F35" i="103" a="1"/>
  <c r="CL173" i="102" a="1"/>
  <c r="BF40" i="102" a="1"/>
  <c r="BN121" i="102" a="1"/>
  <c r="BV150" i="102" a="1"/>
  <c r="R15" i="102" a="1"/>
  <c r="AH20" i="102" a="1"/>
  <c r="BV61" i="102" a="1"/>
  <c r="CD219" i="102" a="1"/>
  <c r="R31" i="102" a="1"/>
  <c r="BF168" i="102" a="1"/>
  <c r="BF210" i="102" a="1"/>
  <c r="BN167" i="102" a="1"/>
  <c r="K128" i="102" a="1"/>
  <c r="G6" i="103" a="1"/>
  <c r="L12" i="103" a="1"/>
  <c r="K70" i="103" a="1"/>
  <c r="BV53" i="102" a="1"/>
  <c r="CL127" i="102" a="1"/>
  <c r="Z59" i="102" a="1"/>
  <c r="AP45" i="102" a="1"/>
  <c r="BV158" i="102" a="1"/>
  <c r="CD221" i="102" a="1"/>
  <c r="J64" i="102" a="1"/>
  <c r="AX32" i="102" a="1"/>
  <c r="BN133" i="102" a="1"/>
  <c r="Z132" i="102" a="1"/>
  <c r="AH206" i="102" a="1"/>
  <c r="AP158" i="102" a="1"/>
  <c r="BN187" i="102" a="1"/>
  <c r="AP230" i="102" a="1"/>
  <c r="AX136" i="102" a="1"/>
  <c r="AP171" i="102" a="1"/>
  <c r="AX219" i="102" a="1"/>
  <c r="AA121" i="60" a="1"/>
  <c r="AB48" i="69" a="1"/>
  <c r="AX185" i="102" a="1"/>
  <c r="AX110" i="102" a="1"/>
  <c r="AX218" i="102" a="1"/>
  <c r="AX174" i="102" a="1"/>
  <c r="Z26" i="60" a="1"/>
  <c r="AB54" i="69" a="1"/>
  <c r="AH163" i="102" a="1"/>
  <c r="BN94" i="102" a="1"/>
  <c r="J165" i="102" a="1"/>
  <c r="S67" i="102" a="1"/>
  <c r="AT165" i="102" a="1"/>
  <c r="L63" i="103" a="1"/>
  <c r="AA98" i="102" a="1"/>
  <c r="AY211" i="102" a="1"/>
  <c r="AA143" i="102" a="1"/>
  <c r="BB136" i="102" a="1"/>
  <c r="S127" i="102" a="1"/>
  <c r="BB201" i="102" a="1"/>
  <c r="V219" i="102" a="1"/>
  <c r="I62" i="103" a="1"/>
  <c r="AH13" i="102" a="1"/>
  <c r="AP100" i="102" a="1"/>
  <c r="H36" i="103" a="1"/>
  <c r="BN147" i="102" a="1"/>
  <c r="BN211" i="102" a="1"/>
  <c r="BN50" i="102" a="1"/>
  <c r="BF54" i="102" a="1"/>
  <c r="BF150" i="102" a="1"/>
  <c r="AH214" i="102" a="1"/>
  <c r="E48" i="103" a="1"/>
  <c r="M42" i="103" a="1"/>
  <c r="Z55" i="102" a="1"/>
  <c r="J10" i="102" a="1"/>
  <c r="BV193" i="102" a="1"/>
  <c r="BN46" i="102" a="1"/>
  <c r="CL208" i="102" a="1"/>
  <c r="AP148" i="102" a="1"/>
  <c r="AP143" i="102" a="1"/>
  <c r="AX180" i="102" a="1"/>
  <c r="M35" i="103" a="1"/>
  <c r="F65" i="103" a="1"/>
  <c r="H30" i="103" a="1"/>
  <c r="AX45" i="102" a="1"/>
  <c r="BV201" i="102" a="1"/>
  <c r="CL157" i="102" a="1"/>
  <c r="Z49" i="102" a="1"/>
  <c r="BF48" i="102" a="1"/>
  <c r="BN150" i="102" a="1"/>
  <c r="CL205" i="102" a="1"/>
  <c r="R79" i="102" a="1"/>
  <c r="BF25" i="102" a="1"/>
  <c r="CD152" i="102" a="1"/>
  <c r="Z107" i="102" a="1"/>
  <c r="Z146" i="102" a="1"/>
  <c r="AH119" i="102" a="1"/>
  <c r="J56" i="103" a="1"/>
  <c r="G80" i="103" a="1"/>
  <c r="H60" i="103" a="1"/>
  <c r="R32" i="102" a="1"/>
  <c r="BN73" i="102" a="1"/>
  <c r="BV207" i="102" a="1"/>
  <c r="CD124" i="102" a="1"/>
  <c r="Z58" i="102" a="1"/>
  <c r="AX39" i="102" a="1"/>
  <c r="BV196" i="102" a="1"/>
  <c r="CL203" i="102" a="1"/>
  <c r="Z25" i="102" a="1"/>
  <c r="BN139" i="102" a="1"/>
  <c r="J112" i="102" a="1"/>
  <c r="R101" i="102" a="1"/>
  <c r="R97" i="102" a="1"/>
  <c r="F62" i="103" a="1"/>
  <c r="L15" i="103" a="1"/>
  <c r="I71" i="103" a="1"/>
  <c r="K44" i="103" a="1"/>
  <c r="Z17" i="102" a="1"/>
  <c r="BN31" i="102" a="1"/>
  <c r="CD116" i="102" a="1"/>
  <c r="CL150" i="102" a="1"/>
  <c r="Z14" i="102" a="1"/>
  <c r="BF7" i="102" a="1"/>
  <c r="BN124" i="102" a="1"/>
  <c r="CL124" i="102" a="1"/>
  <c r="AH46" i="102" a="1"/>
  <c r="BF203" i="102" a="1"/>
  <c r="BN206" i="102" a="1"/>
  <c r="J118" i="102" a="1"/>
  <c r="R105" i="102" a="1"/>
  <c r="N191" i="102" a="1"/>
  <c r="H70" i="103" a="1"/>
  <c r="F41" i="103" a="1"/>
  <c r="H49" i="103" a="1"/>
  <c r="CD201" i="102" a="1"/>
  <c r="AP73" i="102" a="1"/>
  <c r="BN51" i="102" a="1"/>
  <c r="BN166" i="102" a="1"/>
  <c r="CL183" i="102" a="1"/>
  <c r="AA14" i="102" a="1"/>
  <c r="AL114" i="102" a="1"/>
  <c r="BB143" i="102" a="1"/>
  <c r="S179" i="102" a="1"/>
  <c r="BB230" i="102" a="1"/>
  <c r="V171" i="102" a="1"/>
  <c r="BB148" i="102" a="1"/>
  <c r="S148" i="102" a="1"/>
  <c r="AQ204" i="102" a="1"/>
  <c r="V160" i="102" a="1"/>
  <c r="H11" i="103" a="1"/>
  <c r="R60" i="102" a="1"/>
  <c r="BF99" i="102" a="1"/>
  <c r="I70" i="103" a="1"/>
  <c r="BN48" i="102" a="1"/>
  <c r="AH53" i="102" a="1"/>
  <c r="CL229" i="102" a="1"/>
  <c r="AX53" i="102" a="1"/>
  <c r="AX105" i="102" a="1"/>
  <c r="Z121" i="102" a="1"/>
  <c r="H34" i="103" a="1"/>
  <c r="G27" i="103" a="1"/>
  <c r="CD142" i="102" a="1"/>
  <c r="BV6" i="102" a="1"/>
  <c r="BV22" i="102" a="1"/>
  <c r="BF77" i="102" a="1"/>
  <c r="CD117" i="102" a="1"/>
  <c r="AH126" i="102" a="1"/>
  <c r="AH165" i="102" a="1"/>
  <c r="AP166" i="102" a="1"/>
  <c r="H77" i="103" a="1"/>
  <c r="G72" i="103" a="1"/>
  <c r="J44" i="103" a="1"/>
  <c r="AH56" i="102" a="1"/>
  <c r="BN217" i="102" a="1"/>
  <c r="CD185" i="102" a="1"/>
  <c r="J46" i="102" a="1"/>
  <c r="AP44" i="102" a="1"/>
  <c r="BN37" i="102" a="1"/>
  <c r="CD170" i="102" a="1"/>
  <c r="J36" i="102" a="1"/>
  <c r="AP68" i="102" a="1"/>
  <c r="BV187" i="102" a="1"/>
  <c r="R98" i="102" a="1"/>
  <c r="Z216" i="102" a="1"/>
  <c r="Z205" i="102" a="1"/>
  <c r="G28" i="103" a="1"/>
  <c r="J9" i="103" a="1"/>
  <c r="L17" i="103" a="1"/>
  <c r="CL108" i="102" a="1"/>
  <c r="BF57" i="102" a="1"/>
  <c r="BN162" i="102" a="1"/>
  <c r="BV146" i="102" a="1"/>
  <c r="R21" i="102" a="1"/>
  <c r="AH57" i="102" a="1"/>
  <c r="BV62" i="102" a="1"/>
  <c r="CD209" i="102" a="1"/>
  <c r="R63" i="102" a="1"/>
  <c r="BF123" i="102" a="1"/>
  <c r="BN193" i="102" a="1"/>
  <c r="J136" i="102" a="1"/>
  <c r="J212" i="102" a="1"/>
  <c r="G43" i="103" a="1"/>
  <c r="E30" i="103" a="1"/>
  <c r="J78" i="103" a="1"/>
  <c r="M58" i="103" a="1"/>
  <c r="R72" i="102" a="1"/>
  <c r="AX50" i="102" a="1"/>
  <c r="BV116" i="102" a="1"/>
  <c r="CD179" i="102" a="1"/>
  <c r="J6" i="102" a="1"/>
  <c r="AP36" i="102" a="1"/>
  <c r="BN52" i="102" a="1"/>
  <c r="CD162" i="102" a="1"/>
  <c r="R43" i="102" a="1"/>
  <c r="AX116" i="102" a="1"/>
  <c r="BF215" i="102" a="1"/>
  <c r="BF223" i="102" a="1"/>
  <c r="AQ163" i="102" a="1"/>
  <c r="AD141" i="102" a="1"/>
  <c r="AY100" i="102" a="1"/>
  <c r="V131" i="102" a="1"/>
  <c r="AT231" i="102" a="1"/>
  <c r="V97" i="102" a="1"/>
  <c r="AQ179" i="102" a="1"/>
  <c r="V151" i="102" a="1"/>
  <c r="AT162" i="102" a="1"/>
  <c r="K216" i="102" a="1"/>
  <c r="BV20" i="102" a="1"/>
  <c r="AX57" i="102" a="1"/>
  <c r="AP188" i="102" a="1"/>
  <c r="F60" i="103" a="1"/>
  <c r="BV197" i="102" a="1"/>
  <c r="BF50" i="102" a="1"/>
  <c r="CD225" i="102" a="1"/>
  <c r="CD144" i="102" a="1"/>
  <c r="R138" i="102" a="1"/>
  <c r="AX220" i="102" a="1"/>
  <c r="L48" i="103" a="1"/>
  <c r="I80" i="103" a="1"/>
  <c r="R38" i="102" a="1"/>
  <c r="AP74" i="102" a="1"/>
  <c r="R48" i="102" a="1"/>
  <c r="R52" i="102" a="1"/>
  <c r="BV132" i="102" a="1"/>
  <c r="R183" i="102" a="1"/>
  <c r="Z222" i="102" a="1"/>
  <c r="Z99" i="102" a="1"/>
  <c r="M21" i="103" a="1"/>
  <c r="E8" i="103" a="1"/>
  <c r="J14" i="103" a="1"/>
  <c r="CL223" i="102" a="1"/>
  <c r="BF18" i="102" a="1"/>
  <c r="BV115" i="102" a="1"/>
  <c r="CD93" i="102" a="1"/>
  <c r="R56" i="102" a="1"/>
  <c r="AH44" i="102" a="1"/>
  <c r="BV79" i="102" a="1"/>
  <c r="CD103" i="102" a="1"/>
  <c r="R80" i="102" a="1"/>
  <c r="BF161" i="102" a="1"/>
  <c r="BN228" i="102" a="1"/>
  <c r="J111" i="102" a="1"/>
  <c r="N185" i="102" a="1"/>
  <c r="J68" i="103" a="1"/>
  <c r="E38" i="103" a="1"/>
  <c r="G46" i="103" a="1"/>
  <c r="BV117" i="102" a="1"/>
  <c r="AH38" i="102" a="1"/>
  <c r="BF12" i="102" a="1"/>
  <c r="BN58" i="102" a="1"/>
  <c r="CD194" i="102" a="1"/>
  <c r="J13" i="102" a="1"/>
  <c r="AX61" i="102" a="1"/>
  <c r="BV31" i="102" a="1"/>
  <c r="CL132" i="102" a="1"/>
  <c r="AH181" i="102" a="1"/>
  <c r="AX187" i="102" a="1"/>
  <c r="AX149" i="102" a="1"/>
  <c r="BF179" i="102" a="1"/>
  <c r="L70" i="103" a="1"/>
  <c r="I58" i="103" a="1"/>
  <c r="G19" i="103" a="1"/>
  <c r="BN38" i="102" a="1"/>
  <c r="CL216" i="102" a="1"/>
  <c r="Z64" i="102" a="1"/>
  <c r="BF24" i="102" a="1"/>
  <c r="BN105" i="102" a="1"/>
  <c r="CD145" i="102" a="1"/>
  <c r="Z43" i="102" a="1"/>
  <c r="AH63" i="102" a="1"/>
  <c r="BV123" i="102" a="1"/>
  <c r="CL171" i="102" a="1"/>
  <c r="AH159" i="102" a="1"/>
  <c r="AP113" i="102" a="1"/>
  <c r="AX118" i="102" a="1"/>
  <c r="AX223" i="102" a="1"/>
  <c r="N96" i="102" a="1"/>
  <c r="G17" i="103" a="1"/>
  <c r="I25" i="103" a="1"/>
  <c r="M76" i="103" a="1"/>
  <c r="BV13" i="102" a="1"/>
  <c r="CL181" i="102" a="1"/>
  <c r="Z78" i="102" a="1"/>
  <c r="AP61" i="102" a="1"/>
  <c r="BV148" i="102" a="1"/>
  <c r="CD163" i="102" a="1"/>
  <c r="J14" i="102" a="1"/>
  <c r="AX60" i="102" a="1"/>
  <c r="BV126" i="102" a="1"/>
  <c r="Z106" i="102" a="1"/>
  <c r="AH135" i="102" a="1"/>
  <c r="AP119" i="102" a="1"/>
  <c r="M19" i="103" a="1"/>
  <c r="I8" i="103" a="1"/>
  <c r="F66" i="103" a="1"/>
  <c r="K33" i="103" a="1"/>
  <c r="Z8" i="102" a="1"/>
  <c r="BN26" i="102" a="1"/>
  <c r="BV172" i="102" a="1"/>
  <c r="CL196" i="102" a="1"/>
  <c r="Z28" i="102" a="1"/>
  <c r="AX79" i="102" a="1"/>
  <c r="BV50" i="102" a="1"/>
  <c r="CL189" i="102" a="1"/>
  <c r="AH15" i="102" a="1"/>
  <c r="BF136" i="102" a="1"/>
  <c r="BN110" i="102" a="1"/>
  <c r="J133" i="102" a="1"/>
  <c r="Z228" i="102" a="1"/>
  <c r="J142" i="102" a="1"/>
  <c r="J191" i="102" a="1"/>
  <c r="J202" i="102" a="1"/>
  <c r="J184" i="102" a="1"/>
  <c r="AS44" i="69" a="1"/>
  <c r="BN176" i="102" a="1"/>
  <c r="R128" i="102" a="1"/>
  <c r="R121" i="102" a="1"/>
  <c r="R192" i="102" a="1"/>
  <c r="R185" i="102" a="1"/>
  <c r="AA115" i="60" a="1"/>
  <c r="AB33" i="69" a="1"/>
  <c r="AX147" i="102" a="1"/>
  <c r="S209" i="102" a="1"/>
  <c r="BF51" i="102" a="1"/>
  <c r="BV170" i="102" a="1"/>
  <c r="BN20" i="102" a="1"/>
  <c r="AH19" i="102" a="1"/>
  <c r="E60" i="103" a="1"/>
  <c r="BN22" i="102" a="1"/>
  <c r="BN10" i="102" a="1"/>
  <c r="BF225" i="102" a="1"/>
  <c r="G41" i="103" a="1"/>
  <c r="BV57" i="102" a="1"/>
  <c r="CD139" i="102" a="1"/>
  <c r="Z20" i="102" a="1"/>
  <c r="AH110" i="102" a="1"/>
  <c r="Z124" i="102" a="1"/>
  <c r="AS55" i="69" a="1"/>
  <c r="BF162" i="102" a="1"/>
  <c r="AS31" i="69" a="1"/>
  <c r="BF97" i="102" a="1"/>
  <c r="BN170" i="102" a="1"/>
  <c r="BN164" i="102" a="1"/>
  <c r="Z45" i="60" a="1"/>
  <c r="AS49" i="69" a="1"/>
  <c r="AP216" i="102" a="1"/>
  <c r="Z190" i="102" a="1"/>
  <c r="Z151" i="102" a="1"/>
  <c r="Z126" i="102" a="1"/>
  <c r="Z131" i="102" a="1"/>
  <c r="AS24" i="69" a="1"/>
  <c r="AH155" i="102" a="1"/>
  <c r="BF204" i="102" a="1"/>
  <c r="BN215" i="102" a="1"/>
  <c r="BF201" i="102" a="1"/>
  <c r="BN209" i="102" a="1"/>
  <c r="AA93" i="60" a="1"/>
  <c r="AB42" i="69" a="1"/>
  <c r="J124" i="102" a="1"/>
  <c r="BF93" i="102" a="1"/>
  <c r="BN115" i="102" a="1"/>
  <c r="BF175" i="102" a="1"/>
  <c r="Z20" i="60" a="1"/>
  <c r="AS27" i="69" a="1"/>
  <c r="BF170" i="102" a="1"/>
  <c r="J209" i="102" a="1"/>
  <c r="R200" i="102" a="1"/>
  <c r="J229" i="102" a="1"/>
  <c r="R131" i="102" a="1"/>
  <c r="AA84" i="60" a="1"/>
  <c r="AP106" i="102" a="1"/>
  <c r="Z163" i="102" a="1"/>
  <c r="Z213" i="102" a="1"/>
  <c r="Z227" i="102" a="1"/>
  <c r="AH222" i="102" a="1"/>
  <c r="AS39" i="69" a="1"/>
  <c r="AX206" i="102" a="1"/>
  <c r="AS42" i="69" a="1"/>
  <c r="BF192" i="102" a="1"/>
  <c r="J198" i="102" a="1"/>
  <c r="J210" i="102" a="1"/>
  <c r="AS36" i="69" a="1"/>
  <c r="AH142" i="102" a="1"/>
  <c r="AX168" i="102" a="1"/>
  <c r="BN221" i="102" a="1"/>
  <c r="BF110" i="102" a="1"/>
  <c r="Z27" i="60" a="1"/>
  <c r="AX203" i="102" a="1"/>
  <c r="R190" i="102" a="1"/>
  <c r="Z8" i="60" a="1"/>
  <c r="AX140" i="102" a="1"/>
  <c r="AQ140" i="102" a="1"/>
  <c r="Z50" i="102" a="1"/>
  <c r="CL104" i="102" a="1"/>
  <c r="BV177" i="102" a="1"/>
  <c r="BF56" i="102" a="1"/>
  <c r="H55" i="103" a="1"/>
  <c r="BF11" i="102" a="1"/>
  <c r="BN194" i="102" a="1"/>
  <c r="AX163" i="102" a="1"/>
  <c r="I55" i="103" a="1"/>
  <c r="R36" i="102" a="1"/>
  <c r="AP26" i="102" a="1"/>
  <c r="BN79" i="102" a="1"/>
  <c r="Z101" i="102" a="1"/>
  <c r="R133" i="102" a="1"/>
  <c r="AB45" i="69" a="1"/>
  <c r="Z230" i="102" a="1"/>
  <c r="AB64" i="69" a="1"/>
  <c r="AX184" i="102" a="1"/>
  <c r="BF112" i="102" a="1"/>
  <c r="BF219" i="102" a="1"/>
  <c r="Z21" i="60" a="1"/>
  <c r="AS33" i="69" a="1"/>
  <c r="AH96" i="102" a="1"/>
  <c r="R152" i="102" a="1"/>
  <c r="R112" i="102" a="1"/>
  <c r="R104" i="102" a="1"/>
  <c r="R129" i="102" a="1"/>
  <c r="AS26" i="69" a="1"/>
  <c r="R177" i="102" a="1"/>
  <c r="BF119" i="102" a="1"/>
  <c r="BF173" i="102" a="1"/>
  <c r="AX101" i="102" a="1"/>
  <c r="BF122" i="102" a="1"/>
  <c r="AA80" i="60" a="1"/>
  <c r="AB35" i="69" a="1"/>
  <c r="BF198" i="102" a="1"/>
  <c r="AX198" i="102" a="1"/>
  <c r="BF127" i="102" a="1"/>
  <c r="AX195" i="102" a="1"/>
  <c r="Z33" i="60" a="1"/>
  <c r="AS30" i="69" a="1"/>
  <c r="AP212" i="102" a="1"/>
  <c r="BN160" i="102" a="1"/>
  <c r="J154" i="102" a="1"/>
  <c r="BN109" i="102" a="1"/>
  <c r="J96" i="102" a="1"/>
  <c r="AA123" i="60" a="1"/>
  <c r="AH208" i="102" a="1"/>
  <c r="R211" i="102" a="1"/>
  <c r="Z152" i="102" a="1"/>
  <c r="R157" i="102" a="1"/>
  <c r="Z158" i="102" a="1"/>
  <c r="AS65" i="69" a="1"/>
  <c r="AS43" i="69" a="1"/>
  <c r="AX112" i="102" a="1"/>
  <c r="AX121" i="102" a="1"/>
  <c r="Z53" i="60" a="1"/>
  <c r="Z179" i="102" a="1"/>
  <c r="BF163" i="102" a="1"/>
  <c r="BN145" i="102" a="1"/>
  <c r="BN113" i="102" a="1"/>
  <c r="Z109" i="102" a="1"/>
  <c r="R120" i="102" a="1"/>
  <c r="J188" i="102" a="1"/>
  <c r="Z98" i="102" a="1"/>
  <c r="AB23" i="69" a="1"/>
  <c r="AP111" i="102" a="1"/>
  <c r="AS59" i="69" a="1"/>
  <c r="AP141" i="102" a="1"/>
  <c r="R111" i="102" a="1"/>
  <c r="AH219" i="102" a="1"/>
  <c r="V103" i="102" a="1"/>
  <c r="AH83" i="102" a="1"/>
  <c r="Z82" i="102" a="1"/>
  <c r="J47" i="102" a="1"/>
  <c r="CD106" i="102" a="1"/>
  <c r="G11" i="103" a="1"/>
  <c r="BN224" i="102" a="1"/>
  <c r="CL226" i="102" a="1"/>
  <c r="AP108" i="102" a="1"/>
  <c r="L9" i="103" a="1"/>
  <c r="BV122" i="102" a="1"/>
  <c r="BV214" i="102" a="1"/>
  <c r="BF29" i="102" a="1"/>
  <c r="R99" i="102" a="1"/>
  <c r="AX224" i="102" a="1"/>
  <c r="AB37" i="69" a="1"/>
  <c r="AP95" i="102" a="1"/>
  <c r="AB67" i="69" a="1"/>
  <c r="AP196" i="102" a="1"/>
  <c r="AX228" i="102" a="1"/>
  <c r="AX216" i="102" a="1"/>
  <c r="Z35" i="60" a="1"/>
  <c r="AS32" i="69" a="1"/>
  <c r="R172" i="102" a="1"/>
  <c r="J143" i="102" a="1"/>
  <c r="J183" i="102" a="1"/>
  <c r="J99" i="102" a="1"/>
  <c r="J176" i="102" a="1"/>
  <c r="AS37" i="69" a="1"/>
  <c r="J147" i="102" a="1"/>
  <c r="AP213" i="102" a="1"/>
  <c r="AX144" i="102" a="1"/>
  <c r="AP175" i="102" a="1"/>
  <c r="AX212" i="102" a="1"/>
  <c r="AA102" i="60" a="1"/>
  <c r="AP118" i="102" a="1"/>
  <c r="AA95" i="60" a="1"/>
  <c r="BN141" i="102" a="1"/>
  <c r="AA117" i="60" a="1"/>
  <c r="BF157" i="102" a="1"/>
  <c r="Z38" i="60" a="1"/>
  <c r="AS17" i="69" a="1"/>
  <c r="Z41" i="60" a="1"/>
  <c r="J25" i="103" a="1"/>
  <c r="CD102" i="102" a="1"/>
  <c r="BN222" i="102" a="1"/>
  <c r="AX204" i="102" a="1"/>
  <c r="J20" i="102" a="1"/>
  <c r="L20" i="103" a="1"/>
  <c r="CD134" i="102" a="1"/>
  <c r="CL117" i="102" a="1"/>
  <c r="R167" i="102" a="1"/>
  <c r="G8" i="103" a="1"/>
  <c r="R64" i="102" a="1"/>
  <c r="BN208" i="102" a="1"/>
  <c r="AP11" i="102" a="1"/>
  <c r="AP149" i="102" a="1"/>
  <c r="R195" i="102" a="1"/>
  <c r="AB32" i="69" a="1"/>
  <c r="AH131" i="102" a="1"/>
  <c r="AB50" i="69" a="1"/>
  <c r="AH183" i="102" a="1"/>
  <c r="AP201" i="102" a="1"/>
  <c r="AP190" i="102" a="1"/>
  <c r="Z39" i="60" a="1"/>
  <c r="AB25" i="69" a="1"/>
  <c r="J138" i="102" a="1"/>
  <c r="BF102" i="102" a="1"/>
  <c r="BN225" i="102" a="1"/>
  <c r="BN129" i="102" a="1"/>
  <c r="Z4" i="60" a="1"/>
  <c r="AS20" i="69" a="1"/>
  <c r="BF109" i="102" a="1"/>
  <c r="AH133" i="102" a="1"/>
  <c r="AP157" i="102" a="1"/>
  <c r="AH95" i="102" a="1"/>
  <c r="AP220" i="102" a="1"/>
  <c r="AA105" i="60" a="1"/>
  <c r="AO67" i="69" a="1"/>
  <c r="AP222" i="102" a="1"/>
  <c r="AP164" i="102" a="1"/>
  <c r="AP167" i="102" a="1"/>
  <c r="AP132" i="102" a="1"/>
  <c r="Z22" i="60" a="1"/>
  <c r="AS62" i="69" a="1"/>
  <c r="R171" i="102" a="1"/>
  <c r="AX127" i="102" a="1"/>
  <c r="BF190" i="102" a="1"/>
  <c r="AX182" i="102" a="1"/>
  <c r="BF98" i="102" a="1"/>
  <c r="AA85" i="60" a="1"/>
  <c r="R222" i="102" a="1"/>
  <c r="BN100" i="102" a="1"/>
  <c r="J137" i="102" a="1"/>
  <c r="J93" i="102" a="1"/>
  <c r="Z36" i="60" a="1"/>
  <c r="AS51" i="69" a="1"/>
  <c r="AA83" i="60" a="1"/>
  <c r="AH174" i="102" a="1"/>
  <c r="AH113" i="102" a="1"/>
  <c r="Z9" i="60" a="1"/>
  <c r="AP215" i="102" a="1"/>
  <c r="BF188" i="102" a="1"/>
  <c r="AP191" i="102" a="1"/>
  <c r="H5" i="67" a="1"/>
  <c r="AH197" i="102" a="1"/>
  <c r="AH120" i="102" a="1"/>
  <c r="BN56" i="102" a="1"/>
  <c r="Z134" i="102" a="1"/>
  <c r="J106" i="102" a="1"/>
  <c r="BF113" i="102" a="1"/>
  <c r="AP192" i="102" a="1"/>
  <c r="K62" i="103" a="1"/>
  <c r="BV169" i="102" a="1"/>
  <c r="BV98" i="102" a="1"/>
  <c r="AX155" i="102" a="1"/>
  <c r="L77" i="103" a="1"/>
  <c r="CL172" i="102" a="1"/>
  <c r="BN6" i="102" a="1"/>
  <c r="CL103" i="102" a="1"/>
  <c r="J130" i="102" a="1"/>
  <c r="AH221" i="102" a="1"/>
  <c r="AB60" i="69" a="1"/>
  <c r="Z112" i="102" a="1"/>
  <c r="AB62" i="69" a="1"/>
  <c r="J163" i="102" a="1"/>
  <c r="AH141" i="102" a="1"/>
  <c r="AH186" i="102" a="1"/>
  <c r="Z51" i="60" a="1"/>
  <c r="AB20" i="69" a="1"/>
  <c r="BF178" i="102" a="1"/>
  <c r="AX117" i="102" a="1"/>
  <c r="BF138" i="102" a="1"/>
  <c r="AX181" i="102" a="1"/>
  <c r="Z31" i="60" a="1"/>
  <c r="AS23" i="69" a="1"/>
  <c r="AX126" i="102" a="1"/>
  <c r="Z114" i="102" a="1"/>
  <c r="AH193" i="102" a="1"/>
  <c r="AH203" i="102" a="1"/>
  <c r="AH115" i="102" a="1"/>
  <c r="AB34" i="69" a="1"/>
  <c r="AX148" i="102" a="1"/>
  <c r="R215" i="102" a="1"/>
  <c r="AX176" i="102" a="1"/>
  <c r="AH171" i="102" a="1"/>
  <c r="R125" i="102" a="1"/>
  <c r="BF134" i="102" a="1"/>
  <c r="AX125" i="102" a="1"/>
  <c r="L69" i="103" a="1"/>
  <c r="CD110" i="102" a="1"/>
  <c r="CL152" i="102" a="1"/>
  <c r="N160" i="102" a="1"/>
  <c r="M84" i="103" a="1"/>
  <c r="CD210" i="102" a="1"/>
  <c r="R42" i="102" a="1"/>
  <c r="BF211" i="102" a="1"/>
  <c r="AX133" i="102" a="1"/>
  <c r="Z192" i="102" a="1"/>
  <c r="Z94" i="102" a="1"/>
  <c r="BF139" i="102" a="1"/>
  <c r="AB18" i="69" a="1"/>
  <c r="BF217" i="102" a="1"/>
  <c r="Z231" i="102" a="1"/>
  <c r="Z157" i="102" a="1"/>
  <c r="Z19" i="60" a="1"/>
  <c r="AB21" i="69" a="1"/>
  <c r="AX160" i="102" a="1"/>
  <c r="AX145" i="102" a="1"/>
  <c r="AX193" i="102" a="1"/>
  <c r="AX115" i="102" a="1"/>
  <c r="Z29" i="60" a="1"/>
  <c r="AS29" i="69" a="1"/>
  <c r="AP126" i="102" a="1"/>
  <c r="Z100" i="102" a="1"/>
  <c r="Z129" i="102" a="1"/>
  <c r="R162" i="102" a="1"/>
  <c r="Z96" i="102" a="1"/>
  <c r="AS22" i="69" a="1"/>
  <c r="J193" i="102" a="1"/>
  <c r="Z149" i="102" a="1"/>
  <c r="Z212" i="102" a="1"/>
  <c r="Z133" i="102" a="1"/>
  <c r="Z116" i="102" a="1"/>
  <c r="Z32" i="60" a="1"/>
  <c r="AB19" i="69" a="1"/>
  <c r="BF171" i="102" a="1"/>
  <c r="AH137" i="102" a="1"/>
  <c r="AP206" i="102" a="1"/>
  <c r="AH211" i="102" a="1"/>
  <c r="AP198" i="102" a="1"/>
  <c r="AA88" i="60" a="1"/>
  <c r="BF206" i="102" a="1"/>
  <c r="AX173" i="102" a="1"/>
  <c r="AX111" i="102" a="1"/>
  <c r="AX122" i="102" a="1"/>
  <c r="Z48" i="60" a="1"/>
  <c r="AB38" i="69" a="1"/>
  <c r="Z210" i="102" a="1"/>
  <c r="J213" i="102" a="1"/>
  <c r="R170" i="102" a="1"/>
  <c r="R141" i="102" a="1"/>
  <c r="R216" i="102" a="1"/>
  <c r="BF153" i="102" a="1"/>
  <c r="J190" i="102" a="1"/>
  <c r="J172" i="102" a="1"/>
  <c r="R199" i="102" a="1"/>
  <c r="Z3" i="60" a="1"/>
  <c r="AP195" i="102" a="1"/>
  <c r="Z185" i="102" a="1"/>
  <c r="Z143" i="102" a="1"/>
  <c r="AH151" i="102" a="1"/>
  <c r="AA90" i="60" a="1"/>
  <c r="AP197" i="102" a="1"/>
  <c r="AH202" i="102" a="1"/>
  <c r="R154" i="102" a="1"/>
  <c r="Z204" i="102" a="1"/>
  <c r="J77" i="103" a="1"/>
  <c r="AH93" i="102" a="1"/>
  <c r="R202" i="102" a="1"/>
  <c r="BN202" i="102" a="1"/>
  <c r="AX229" i="102" a="1"/>
  <c r="BN61" i="102" a="1"/>
  <c r="Z19" i="102" a="1"/>
  <c r="AP159" i="102" a="1"/>
  <c r="M22" i="103" a="1"/>
  <c r="I19" i="103" a="1"/>
  <c r="AX81" i="102" a="1"/>
  <c r="BN210" i="102" a="1"/>
  <c r="R175" i="102" a="1"/>
  <c r="AP177" i="102" a="1"/>
  <c r="R228" i="102" a="1"/>
  <c r="Z118" i="102" a="1"/>
  <c r="Z218" i="102" a="1"/>
  <c r="AS60" i="69" a="1"/>
  <c r="BF124" i="102" a="1"/>
  <c r="R148" i="102" a="1"/>
  <c r="R214" i="102" a="1"/>
  <c r="AA74" i="60" a="1"/>
  <c r="AB61" i="69" a="1"/>
  <c r="AP150" i="102" a="1"/>
  <c r="AP161" i="102" a="1"/>
  <c r="AP214" i="102" a="1"/>
  <c r="AP183" i="102" a="1"/>
  <c r="Z6" i="60" a="1"/>
  <c r="AS46" i="69" a="1"/>
  <c r="AS38" i="69" a="1"/>
  <c r="R206" i="102" a="1"/>
  <c r="AB66" i="69" a="1"/>
  <c r="AH216" i="102" a="1"/>
  <c r="AS25" i="69" a="1"/>
  <c r="J9" i="102" a="1"/>
  <c r="M43" i="103" a="1"/>
  <c r="K56" i="103" a="1"/>
  <c r="F31" i="103" a="1"/>
  <c r="BF144" i="102" a="1"/>
  <c r="BV121" i="102" a="1"/>
  <c r="J23" i="102" a="1"/>
  <c r="AH185" i="102" a="1"/>
  <c r="L19" i="103" a="1"/>
  <c r="BN34" i="102" a="1"/>
  <c r="CD196" i="102" a="1"/>
  <c r="CL106" i="102" a="1"/>
  <c r="J139" i="102" a="1"/>
  <c r="AH164" i="102" a="1"/>
  <c r="AX132" i="102" a="1"/>
  <c r="AP203" i="102" a="1"/>
  <c r="AP225" i="102" a="1"/>
  <c r="R114" i="102" a="1"/>
  <c r="AX99" i="102" a="1"/>
  <c r="J214" i="102" a="1"/>
  <c r="J222" i="102" a="1"/>
  <c r="AA100" i="60" a="1"/>
  <c r="AB46" i="69" a="1"/>
  <c r="AH103" i="102" a="1"/>
  <c r="AH122" i="102" a="1"/>
  <c r="AH167" i="102" a="1"/>
  <c r="AH212" i="102" a="1"/>
  <c r="Z47" i="60" a="1"/>
  <c r="AB27" i="69" a="1"/>
  <c r="R166" i="102" a="1"/>
  <c r="J168" i="102" a="1"/>
  <c r="J145" i="102" a="1"/>
  <c r="J166" i="102" a="1"/>
  <c r="J230" i="102" a="1"/>
  <c r="AS19" i="69" a="1"/>
  <c r="AP162" i="102" a="1"/>
  <c r="J146" i="102" a="1"/>
  <c r="J179" i="102" a="1"/>
  <c r="J159" i="102" a="1"/>
  <c r="J167" i="102" a="1"/>
  <c r="AA86" i="60" a="1"/>
  <c r="AB30" i="69" a="1"/>
  <c r="AH118" i="102" a="1"/>
  <c r="R223" i="102" a="1"/>
  <c r="Z203" i="102" a="1"/>
  <c r="R134" i="102" a="1"/>
  <c r="Z193" i="102" a="1"/>
  <c r="AS57" i="69" a="1"/>
  <c r="AP93" i="102" a="1"/>
  <c r="AH111" i="102" a="1"/>
  <c r="AH156" i="102" a="1"/>
  <c r="AH162" i="102" a="1"/>
  <c r="Z10" i="60" a="1"/>
  <c r="D33" i="58" a="1"/>
  <c r="BV147" i="102" a="1"/>
  <c r="R135" i="102" a="1"/>
  <c r="AP217" i="102" a="1"/>
  <c r="J61" i="102" a="1"/>
  <c r="H79" i="103" a="1"/>
  <c r="L23" i="103" a="1"/>
  <c r="G44" i="103" a="1"/>
  <c r="J127" i="102" a="1"/>
  <c r="BN178" i="102" a="1"/>
  <c r="CL126" i="102" a="1"/>
  <c r="Z162" i="102" a="1"/>
  <c r="H45" i="103" a="1"/>
  <c r="J49" i="102" a="1"/>
  <c r="Z44" i="102" a="1"/>
  <c r="CD94" i="102" a="1"/>
  <c r="BF130" i="102" a="1"/>
  <c r="BF95" i="102" a="1"/>
  <c r="R220" i="102" a="1"/>
  <c r="AP133" i="102" a="1"/>
  <c r="AH166" i="102" a="1"/>
  <c r="J126" i="102" a="1"/>
  <c r="AP231" i="102" a="1"/>
  <c r="BN200" i="102" a="1"/>
  <c r="BN128" i="102" a="1"/>
  <c r="AA110" i="60" a="1"/>
  <c r="R110" i="102" a="1"/>
  <c r="Z145" i="102" a="1"/>
  <c r="Z208" i="102" a="1"/>
  <c r="Z209" i="102" a="1"/>
  <c r="Z135" i="102" a="1"/>
  <c r="Z16" i="60" a="1"/>
  <c r="AB22" i="69" a="1"/>
  <c r="J144" i="102" a="1"/>
  <c r="BF208" i="102" a="1"/>
  <c r="BN158" i="102" a="1"/>
  <c r="BF146" i="102" a="1"/>
  <c r="Z12" i="60" a="1"/>
  <c r="AS53" i="69" a="1"/>
  <c r="Z130" i="102" a="1"/>
  <c r="BF137" i="102" a="1"/>
  <c r="BN180" i="102" a="1"/>
  <c r="BF227" i="102" a="1"/>
  <c r="BN95" i="102" a="1"/>
  <c r="AA78" i="60" a="1"/>
  <c r="AB28" i="69" a="1"/>
  <c r="Z224" i="102" a="1"/>
  <c r="J205" i="102" a="1"/>
  <c r="R168" i="102" a="1"/>
  <c r="R115" i="102" a="1"/>
  <c r="R187" i="102" a="1"/>
  <c r="AS34" i="69" a="1"/>
  <c r="Z229" i="102" a="1"/>
  <c r="AH136" i="102" a="1"/>
  <c r="Z169" i="102" a="1"/>
  <c r="Z223" i="102" a="1"/>
  <c r="Z49" i="60" a="1"/>
  <c r="AA67" i="69" a="1"/>
  <c r="AP37" i="102" a="1"/>
  <c r="AP224" i="102" a="1"/>
  <c r="R119" i="102" a="1"/>
  <c r="AA79" i="60" a="1"/>
  <c r="V61" i="102" a="1"/>
  <c r="CL225" i="102" a="1"/>
  <c r="L58" i="103" a="1"/>
  <c r="E32" i="103" a="1"/>
  <c r="K11" i="103" a="1"/>
  <c r="BF118" i="102" a="1"/>
  <c r="CL107" i="102" a="1"/>
  <c r="Z45" i="102" a="1"/>
  <c r="BN216" i="102" a="1"/>
  <c r="K7" i="103" a="1"/>
  <c r="BF76" i="102" a="1"/>
  <c r="R16" i="102" a="1"/>
  <c r="BV109" i="102" a="1"/>
  <c r="AH170" i="102" a="1"/>
  <c r="R217" i="102" a="1"/>
  <c r="AP102" i="102" a="1"/>
  <c r="AH207" i="102" a="1"/>
  <c r="Z214" i="102" a="1"/>
  <c r="BF213" i="102" a="1"/>
  <c r="Z150" i="102" a="1"/>
  <c r="BF200" i="102" a="1"/>
  <c r="BF131" i="102" a="1"/>
  <c r="AA101" i="60" a="1"/>
  <c r="BN126" i="102" a="1"/>
  <c r="R231" i="102" a="1"/>
  <c r="R173" i="102" a="1"/>
  <c r="R145" i="102" a="1"/>
  <c r="R96" i="102" a="1"/>
  <c r="Z43" i="60" a="1"/>
  <c r="AB43" i="69" a="1"/>
  <c r="BF207" i="102" a="1"/>
  <c r="AX207" i="102" a="1"/>
  <c r="BF167" i="102" a="1"/>
  <c r="AX153" i="102" a="1"/>
  <c r="Z40" i="60" a="1"/>
  <c r="AS21" i="69" a="1"/>
  <c r="R116" i="102" a="1"/>
  <c r="AX178" i="102" a="1"/>
  <c r="BF196" i="102" a="1"/>
  <c r="AX191" i="102" a="1"/>
  <c r="BF151" i="102" a="1"/>
  <c r="AA82" i="60" a="1"/>
  <c r="AB56" i="69" a="1"/>
  <c r="R106" i="102" a="1"/>
  <c r="BN135" i="102" a="1"/>
  <c r="J157" i="102" a="1"/>
  <c r="J104" i="102" a="1"/>
  <c r="J98" i="102" a="1"/>
  <c r="J119" i="102" a="1"/>
  <c r="R149" i="102" a="1"/>
  <c r="R178" i="102" a="1"/>
  <c r="R213" i="102" a="1"/>
  <c r="R117" i="102" a="1"/>
  <c r="AA109" i="60" a="1"/>
  <c r="AR67" i="69" a="1"/>
  <c r="R143" i="102" a="1"/>
  <c r="AP207" i="102" a="1"/>
  <c r="AA120" i="60" a="1"/>
  <c r="AP226" i="102" a="1"/>
  <c r="Z144" i="102" a="1"/>
  <c r="BF226" i="102" a="1"/>
  <c r="V184" i="102" a="1"/>
  <c r="CD173" i="102" a="1"/>
  <c r="AP112" i="102" a="1"/>
  <c r="AA99" i="60" a="1"/>
  <c r="AP142" i="102" a="1"/>
  <c r="Z175" i="102" a="1"/>
  <c r="AP145" i="102" a="1"/>
  <c r="AL127" i="102" a="1"/>
  <c r="J60" i="102" a="1"/>
  <c r="R75" i="102" a="1"/>
  <c r="CD146" i="102" a="1"/>
  <c r="BV82" i="102" a="1"/>
  <c r="BN104" i="102" a="1"/>
  <c r="AH7" i="102" a="1"/>
  <c r="BF33" i="102" a="1"/>
  <c r="AH150" i="102" a="1"/>
  <c r="I20" i="103" a="1"/>
  <c r="AX21" i="102" a="1"/>
  <c r="J83" i="102" a="1"/>
  <c r="AH49" i="102" a="1"/>
  <c r="J169" i="102" a="1"/>
  <c r="AH112" i="102" a="1"/>
  <c r="AH107" i="102" a="1"/>
  <c r="Z189" i="102" a="1"/>
  <c r="BF105" i="102" a="1"/>
  <c r="R194" i="102" a="1"/>
  <c r="R150" i="102" a="1"/>
  <c r="AX156" i="102" a="1"/>
  <c r="AX208" i="102" a="1"/>
  <c r="AA76" i="60" a="1"/>
  <c r="AX225" i="102" a="1"/>
  <c r="J141" i="102" a="1"/>
  <c r="J194" i="102" a="1"/>
  <c r="J158" i="102" a="1"/>
  <c r="J199" i="102" a="1"/>
  <c r="AA111" i="60" a="1"/>
  <c r="AB39" i="69" a="1"/>
  <c r="AX164" i="102" a="1"/>
  <c r="AX96" i="102" a="1"/>
  <c r="AX113" i="102" a="1"/>
  <c r="AP140" i="102" a="1"/>
  <c r="Z37" i="60" a="1"/>
  <c r="AS45" i="69" a="1"/>
  <c r="J152" i="102" a="1"/>
  <c r="AP146" i="102" a="1"/>
  <c r="AX138" i="102" a="1"/>
  <c r="AP163" i="102" a="1"/>
  <c r="AX177" i="102" a="1"/>
  <c r="AA114" i="60" a="1"/>
  <c r="AS35" i="69" a="1"/>
  <c r="J149" i="102" a="1"/>
  <c r="BF193" i="102" a="1"/>
  <c r="BF101" i="102" a="1"/>
  <c r="BF166" i="102" a="1"/>
  <c r="Z28" i="60" a="1"/>
  <c r="BF199" i="102" a="1"/>
  <c r="J228" i="102" a="1"/>
  <c r="R159" i="102" a="1"/>
  <c r="J187" i="102" a="1"/>
  <c r="AA87" i="60" a="1"/>
  <c r="Z178" i="102" a="1"/>
  <c r="AP208" i="102" a="1"/>
  <c r="BN120" i="102" a="1"/>
  <c r="AA81" i="60" a="1"/>
  <c r="CL115" i="102" a="1"/>
  <c r="AA118" i="60" a="1"/>
  <c r="BN151" i="102" a="1"/>
  <c r="BB220" i="102" a="1"/>
  <c r="Z97" i="102" a="1"/>
  <c r="BN71" i="102" a="1"/>
  <c r="AX70" i="102" a="1"/>
  <c r="CL188" i="102" a="1"/>
  <c r="N153" i="102" a="1"/>
  <c r="R37" i="102" a="1"/>
  <c r="AP76" i="102" a="1"/>
  <c r="AX217" i="102" a="1"/>
  <c r="K34" i="103" a="1"/>
  <c r="AP69" i="102" a="1"/>
  <c r="BV47" i="102" a="1"/>
  <c r="CD172" i="102" a="1"/>
  <c r="Z177" i="102" a="1"/>
  <c r="Z128" i="102" a="1"/>
  <c r="R197" i="102" a="1"/>
  <c r="BF183" i="102" a="1"/>
  <c r="Z188" i="102" a="1"/>
  <c r="J178" i="102" a="1"/>
  <c r="BF191" i="102" a="1"/>
  <c r="AP152" i="102" a="1"/>
  <c r="AP181" i="102" a="1"/>
  <c r="AA104" i="60" a="1"/>
  <c r="AH128" i="102" a="1"/>
  <c r="BF117" i="102" a="1"/>
  <c r="BN205" i="102" a="1"/>
  <c r="BF181" i="102" a="1"/>
  <c r="BN154" i="102" a="1"/>
  <c r="AA119" i="60" a="1"/>
  <c r="AB63" i="69" a="1"/>
  <c r="AP173" i="102" a="1"/>
  <c r="AP187" i="102" a="1"/>
  <c r="AP180" i="102" a="1"/>
  <c r="AP109" i="102" a="1"/>
  <c r="Z14" i="60" a="1"/>
  <c r="AS50" i="69" a="1"/>
  <c r="BF209" i="102" a="1"/>
  <c r="AH172" i="102" a="1"/>
  <c r="AP170" i="102" a="1"/>
  <c r="AH201" i="102" a="1"/>
  <c r="AP185" i="102" a="1"/>
  <c r="AA92" i="60" a="1"/>
  <c r="AS64" i="69" a="1"/>
  <c r="BF212" i="102" a="1"/>
  <c r="AX131" i="102" a="1"/>
  <c r="AX162" i="102" a="1"/>
  <c r="AX128" i="102" a="1"/>
  <c r="Z34" i="60" a="1"/>
  <c r="AP97" i="102" a="1"/>
  <c r="BN186" i="102" a="1"/>
  <c r="J160" i="102" a="1"/>
  <c r="BN119" i="102" a="1"/>
  <c r="J171" i="102" a="1"/>
  <c r="AA94" i="60" a="1"/>
  <c r="AH177" i="102" a="1"/>
  <c r="Z220" i="102" a="1"/>
  <c r="AH158" i="102" a="1"/>
  <c r="AH125" i="102" a="1"/>
  <c r="AX102" i="102" a="1"/>
  <c r="AX171" i="102" a="1"/>
  <c r="Z15" i="60" a="1"/>
  <c r="BF218" i="102" a="1"/>
  <c r="K55" i="103" a="1"/>
  <c r="J196" i="102" a="1"/>
  <c r="J59" i="102" a="1"/>
  <c r="R156" i="102" a="1"/>
  <c r="Z167" i="102" a="1"/>
  <c r="BF224" i="102" a="1"/>
  <c r="J175" i="102" a="1"/>
  <c r="R203" i="102" a="1"/>
  <c r="AX190" i="102" a="1"/>
  <c r="S224" i="102" a="1"/>
  <c r="BF129" i="102" a="1"/>
  <c r="BV101" i="102" a="1"/>
  <c r="BN70" i="102" a="1"/>
  <c r="AP72" i="102" a="1"/>
  <c r="N99" i="102" a="1"/>
  <c r="Z23" i="102" a="1"/>
  <c r="Z33" i="102" a="1"/>
  <c r="AP165" i="102" a="1"/>
  <c r="M48" i="103" a="1"/>
  <c r="CD226" i="102" a="1"/>
  <c r="Z51" i="102" a="1"/>
  <c r="AH50" i="102" a="1"/>
  <c r="R155" i="102" a="1"/>
  <c r="R208" i="102" a="1"/>
  <c r="Z25" i="60" a="1"/>
  <c r="Z154" i="102" a="1"/>
  <c r="Z23" i="60" a="1"/>
  <c r="AX227" i="102" a="1"/>
  <c r="AX169" i="102" a="1"/>
  <c r="AH132" i="102" a="1"/>
  <c r="AH140" i="102" a="1"/>
  <c r="AS18" i="69" a="1"/>
  <c r="R227" i="102" a="1"/>
  <c r="BF143" i="102" a="1"/>
  <c r="BF182" i="102" a="1"/>
  <c r="BF111" i="102" a="1"/>
  <c r="BF96" i="102" a="1"/>
  <c r="AA122" i="60" a="1"/>
  <c r="AB65" i="69" a="1"/>
  <c r="AH209" i="102" a="1"/>
  <c r="AH148" i="102" a="1"/>
  <c r="AH123" i="102" a="1"/>
  <c r="Z24" i="60" a="1"/>
  <c r="AB24" i="69" a="1"/>
  <c r="AS54" i="69" a="1"/>
  <c r="BF128" i="102" a="1"/>
  <c r="BV230" i="102" a="1"/>
  <c r="Z50" i="60" a="1"/>
  <c r="AB53" i="69" a="1"/>
  <c r="BB166" i="102" a="1"/>
  <c r="I76" i="103" a="1"/>
  <c r="CL136" i="102" a="1"/>
  <c r="BN181" i="102" a="1"/>
  <c r="BV59" i="102" a="1"/>
  <c r="G83" i="103" a="1"/>
  <c r="AX51" i="102" a="1"/>
  <c r="AH36" i="102" a="1"/>
  <c r="AP107" i="102" a="1"/>
  <c r="H47" i="103" a="1"/>
  <c r="BN32" i="102" a="1"/>
  <c r="BV56" i="102" a="1"/>
  <c r="Z77" i="102" a="1"/>
  <c r="J192" i="102" a="1"/>
  <c r="AX183" i="102" a="1"/>
  <c r="AA112" i="60" a="1"/>
  <c r="AP144" i="102" a="1"/>
  <c r="Z11" i="60" a="1"/>
  <c r="AP137" i="102" a="1"/>
  <c r="AP134" i="102" a="1"/>
  <c r="Z196" i="102" a="1"/>
  <c r="Z153" i="102" a="1"/>
  <c r="AS61" i="69" a="1"/>
  <c r="J116" i="102" a="1"/>
  <c r="AX188" i="102" a="1"/>
  <c r="AX211" i="102" a="1"/>
  <c r="AP210" i="102" a="1"/>
  <c r="AX202" i="102" a="1"/>
  <c r="AA97" i="60" a="1"/>
  <c r="J174" i="102" a="1"/>
  <c r="Z110" i="102" a="1"/>
  <c r="Z93" i="102" a="1"/>
  <c r="Z174" i="102" a="1"/>
  <c r="Z113" i="102" a="1"/>
  <c r="Z7" i="60" a="1"/>
  <c r="AB47" i="69" a="1"/>
  <c r="AH127" i="102" a="1"/>
  <c r="R229" i="102" a="1"/>
  <c r="Z104" i="102" a="1"/>
  <c r="R140" i="102" a="1"/>
  <c r="Z215" i="102" a="1"/>
  <c r="AS66" i="69" a="1"/>
  <c r="AB55" i="69" a="1"/>
  <c r="AP200" i="102" a="1"/>
  <c r="AH213" i="102" a="1"/>
  <c r="AH117" i="102" a="1"/>
  <c r="AP123" i="102" a="1"/>
  <c r="Z30" i="60" a="1"/>
  <c r="R109" i="102" a="1"/>
  <c r="AX93" i="102" a="1"/>
  <c r="BF104" i="102" a="1"/>
  <c r="AX157" i="102" a="1"/>
  <c r="BF116" i="102" a="1"/>
  <c r="AA113" i="60" a="1"/>
  <c r="AH28" i="102" a="1"/>
  <c r="I77" i="103" a="1"/>
  <c r="M82" i="103" a="1"/>
  <c r="AX83" i="102" a="1"/>
  <c r="AH227" i="102" a="1"/>
  <c r="R176" i="102" a="1"/>
  <c r="BF220" i="102" a="1"/>
  <c r="J201" i="102" a="1"/>
  <c r="Z197" i="102" a="1"/>
  <c r="BB227" i="102" a="1"/>
  <c r="BN197" i="102" a="1"/>
  <c r="BF19" i="102" a="1"/>
  <c r="Z22" i="102" a="1"/>
  <c r="CL145" i="102" a="1"/>
  <c r="J84" i="103" a="1"/>
  <c r="AX73" i="102" a="1"/>
  <c r="BV40" i="102" a="1"/>
  <c r="AP139" i="102" a="1"/>
  <c r="E27" i="103" a="1"/>
  <c r="BV157" i="102" a="1"/>
  <c r="AP27" i="102" a="1"/>
  <c r="BN159" i="102" a="1"/>
  <c r="J227" i="102" a="1"/>
  <c r="AH191" i="102" a="1"/>
  <c r="AS47" i="69" a="1"/>
  <c r="Z159" i="102" a="1"/>
  <c r="AA98" i="60" a="1"/>
  <c r="R186" i="102" a="1"/>
  <c r="J225" i="102" a="1"/>
  <c r="J170" i="102" a="1"/>
  <c r="J180" i="102" a="1"/>
  <c r="AS67" i="69" a="1"/>
  <c r="AX189" i="102" a="1"/>
  <c r="AH139" i="102" a="1"/>
  <c r="AH228" i="102" a="1"/>
  <c r="AH97" i="102" a="1"/>
  <c r="AH105" i="102" a="1"/>
  <c r="AA91" i="60" a="1"/>
  <c r="AP229" i="102" a="1"/>
  <c r="J121" i="102" a="1"/>
  <c r="J186" i="102" a="1"/>
  <c r="J148" i="102" a="1"/>
  <c r="J161" i="102" a="1"/>
  <c r="AA73" i="60" a="1"/>
  <c r="AB57" i="69" a="1"/>
  <c r="R189" i="102" a="1"/>
  <c r="BN125" i="102" a="1"/>
  <c r="J151" i="102" a="1"/>
  <c r="J156" i="102" a="1"/>
  <c r="J164" i="102" a="1"/>
  <c r="AS40" i="69" a="1"/>
  <c r="J113" i="102" a="1"/>
  <c r="Z187" i="102" a="1"/>
  <c r="Z139" i="102" a="1"/>
  <c r="Z102" i="102" a="1"/>
  <c r="Z200" i="102" a="1"/>
  <c r="Z17" i="60" a="1"/>
  <c r="BF120" i="102" a="1"/>
  <c r="AH147" i="102" a="1"/>
  <c r="AH178" i="102" a="1"/>
  <c r="AH176" i="102" a="1"/>
  <c r="AP221" i="102" a="1"/>
  <c r="AA96" i="60" a="1"/>
  <c r="AP114" i="102" a="1"/>
  <c r="AS48" i="69" a="1"/>
  <c r="G12" i="104" l="1"/>
  <c r="G11" i="104"/>
  <c r="J46" i="105"/>
  <c r="J78" i="105"/>
  <c r="J51" i="105"/>
  <c r="J63" i="105"/>
  <c r="J11" i="105"/>
  <c r="J72" i="105"/>
  <c r="J21" i="105"/>
  <c r="J64" i="105"/>
  <c r="J30" i="105"/>
  <c r="J53" i="105"/>
  <c r="J76" i="105"/>
  <c r="J26" i="105"/>
  <c r="J65" i="105"/>
  <c r="J13" i="105"/>
  <c r="J47" i="105"/>
  <c r="J19" i="105"/>
  <c r="J79" i="105"/>
  <c r="J15" i="105"/>
  <c r="J16" i="105"/>
  <c r="J20" i="105"/>
  <c r="J69" i="105"/>
  <c r="J50" i="105"/>
  <c r="J25" i="105"/>
  <c r="J29" i="105"/>
  <c r="J74" i="105"/>
  <c r="J43" i="105"/>
  <c r="J61" i="105"/>
  <c r="J34" i="105"/>
  <c r="J80" i="105"/>
  <c r="J23" i="105"/>
  <c r="J73" i="105"/>
  <c r="J52" i="105"/>
  <c r="J27" i="105"/>
  <c r="J81" i="105"/>
  <c r="J17" i="105"/>
  <c r="J24" i="105"/>
  <c r="J28" i="105"/>
  <c r="J54" i="105"/>
  <c r="J58" i="105"/>
  <c r="J38" i="105"/>
  <c r="J33" i="105"/>
  <c r="J37" i="105"/>
  <c r="J82" i="105"/>
  <c r="J14" i="105"/>
  <c r="J59" i="105"/>
  <c r="J42" i="105"/>
  <c r="J31" i="105"/>
  <c r="J48" i="105"/>
  <c r="J35" i="105"/>
  <c r="J49" i="105"/>
  <c r="J32" i="105"/>
  <c r="J36" i="105"/>
  <c r="J62" i="105"/>
  <c r="J18" i="105"/>
  <c r="J66" i="105"/>
  <c r="J41" i="105"/>
  <c r="J70" i="105"/>
  <c r="J44" i="105"/>
  <c r="J55" i="105"/>
  <c r="J67" i="105"/>
  <c r="J60" i="105"/>
  <c r="J39" i="105"/>
  <c r="J56" i="105"/>
  <c r="J12" i="105"/>
  <c r="J45" i="105"/>
  <c r="J71" i="105"/>
  <c r="J57" i="105"/>
  <c r="J40" i="105"/>
  <c r="J68" i="105"/>
  <c r="J75" i="105"/>
  <c r="J22" i="105"/>
  <c r="J77" i="105"/>
  <c r="AB38" i="69"/>
  <c r="AS59" i="69"/>
  <c r="AS51" i="69"/>
  <c r="AS36" i="69"/>
  <c r="AS65" i="69"/>
  <c r="AS39" i="69"/>
  <c r="AA96" i="60"/>
  <c r="AA79" i="60"/>
  <c r="AA113" i="60"/>
  <c r="AA81" i="60"/>
  <c r="AA94" i="60"/>
  <c r="AA87" i="60"/>
  <c r="AA109" i="60"/>
  <c r="Z49" i="60"/>
  <c r="Z10" i="60"/>
  <c r="Z38" i="60"/>
  <c r="Z48" i="60"/>
  <c r="Z27" i="60"/>
  <c r="Z36" i="60"/>
  <c r="J188" i="102"/>
  <c r="Z158" i="102"/>
  <c r="AH222" i="102"/>
  <c r="AP221" i="102"/>
  <c r="AX140" i="102"/>
  <c r="BF116" i="102"/>
  <c r="BF226" i="102"/>
  <c r="J171" i="102"/>
  <c r="R143" i="102"/>
  <c r="R117" i="102"/>
  <c r="Z223" i="102"/>
  <c r="AH162" i="102"/>
  <c r="AP141" i="102"/>
  <c r="AX122" i="102"/>
  <c r="BF157" i="102"/>
  <c r="J93" i="102"/>
  <c r="J210" i="102"/>
  <c r="R157" i="102"/>
  <c r="Z227" i="102"/>
  <c r="AH176" i="102"/>
  <c r="AP145" i="102"/>
  <c r="AX157" i="102"/>
  <c r="BF218" i="102"/>
  <c r="BN119" i="102"/>
  <c r="J187" i="102"/>
  <c r="R213" i="102"/>
  <c r="Z169" i="102"/>
  <c r="AH156" i="102"/>
  <c r="AP197" i="102"/>
  <c r="AX111" i="102"/>
  <c r="BF188" i="102"/>
  <c r="J137" i="102"/>
  <c r="R120" i="102"/>
  <c r="Z152" i="102"/>
  <c r="Z213" i="102"/>
  <c r="AH178" i="102"/>
  <c r="AX190" i="102"/>
  <c r="BF104" i="102"/>
  <c r="BN120" i="102"/>
  <c r="J160" i="102"/>
  <c r="R159" i="102"/>
  <c r="R178" i="102"/>
  <c r="AH136" i="102"/>
  <c r="AH111" i="102"/>
  <c r="AP191" i="102"/>
  <c r="AX173" i="102"/>
  <c r="BF110" i="102"/>
  <c r="BN100" i="102"/>
  <c r="J198" i="102"/>
  <c r="R211" i="102"/>
  <c r="Z163" i="102"/>
  <c r="AH147" i="102"/>
  <c r="AP217" i="102"/>
  <c r="AX93" i="102"/>
  <c r="BF128" i="102"/>
  <c r="BN186" i="102"/>
  <c r="J228" i="102"/>
  <c r="R149" i="102"/>
  <c r="Z229" i="102"/>
  <c r="AP93" i="102"/>
  <c r="AX203" i="102"/>
  <c r="BF206" i="102"/>
  <c r="BN221" i="102"/>
  <c r="R222" i="102"/>
  <c r="Z109" i="102"/>
  <c r="AH208" i="102"/>
  <c r="AP106" i="102"/>
  <c r="BF120" i="102"/>
  <c r="BN151" i="102"/>
  <c r="R109" i="102"/>
  <c r="Z144" i="102"/>
  <c r="AP97" i="102"/>
  <c r="BF199" i="102"/>
  <c r="J119" i="102"/>
  <c r="AS34" i="69"/>
  <c r="AS57" i="69"/>
  <c r="AA90" i="60"/>
  <c r="AA88" i="60"/>
  <c r="AA117" i="60"/>
  <c r="AA85" i="60"/>
  <c r="AA95" i="60"/>
  <c r="AA123" i="60"/>
  <c r="AA84" i="60"/>
  <c r="Z17" i="60"/>
  <c r="Z41" i="60"/>
  <c r="Z30" i="60"/>
  <c r="Z15" i="60"/>
  <c r="Z34" i="60"/>
  <c r="Z28" i="60"/>
  <c r="J98" i="102"/>
  <c r="R187" i="102"/>
  <c r="Z193" i="102"/>
  <c r="AH151" i="102"/>
  <c r="AP198" i="102"/>
  <c r="AX168" i="102"/>
  <c r="BF98" i="102"/>
  <c r="BN113" i="102"/>
  <c r="J96" i="102"/>
  <c r="R131" i="102"/>
  <c r="Z200" i="102"/>
  <c r="Z197" i="102"/>
  <c r="AP123" i="102"/>
  <c r="AP208" i="102"/>
  <c r="AX128" i="102"/>
  <c r="BF166" i="102"/>
  <c r="J104" i="102"/>
  <c r="R115" i="102"/>
  <c r="R134" i="102"/>
  <c r="Z143" i="102"/>
  <c r="AH211" i="102"/>
  <c r="AP215" i="102"/>
  <c r="AX182" i="102"/>
  <c r="BF192" i="102"/>
  <c r="BN109" i="102"/>
  <c r="J229" i="102"/>
  <c r="Z102" i="102"/>
  <c r="Z204" i="102"/>
  <c r="AH117" i="102"/>
  <c r="AX171" i="102"/>
  <c r="AX162" i="102"/>
  <c r="BF101" i="102"/>
  <c r="J157" i="102"/>
  <c r="R168" i="102"/>
  <c r="Z203" i="102"/>
  <c r="AH216" i="102"/>
  <c r="AP206" i="102"/>
  <c r="AX148" i="102"/>
  <c r="BF190" i="102"/>
  <c r="BN145" i="102"/>
  <c r="J154" i="102"/>
  <c r="R200" i="102"/>
  <c r="Z139" i="102"/>
  <c r="AH219" i="102"/>
  <c r="AH213" i="102"/>
  <c r="AP226" i="102"/>
  <c r="AX131" i="102"/>
  <c r="BF193" i="102"/>
  <c r="BN135" i="102"/>
  <c r="J205" i="102"/>
  <c r="R223" i="102"/>
  <c r="Z185" i="102"/>
  <c r="AH137" i="102"/>
  <c r="AP111" i="102"/>
  <c r="AX127" i="102"/>
  <c r="BF163" i="102"/>
  <c r="BN160" i="102"/>
  <c r="J209" i="102"/>
  <c r="Z187" i="102"/>
  <c r="AH120" i="102"/>
  <c r="AP200" i="102"/>
  <c r="AX102" i="102"/>
  <c r="BF212" i="102"/>
  <c r="J149" i="102"/>
  <c r="R106" i="102"/>
  <c r="Z224" i="102"/>
  <c r="AH118" i="102"/>
  <c r="AP195" i="102"/>
  <c r="BF171" i="102"/>
  <c r="BN141" i="102"/>
  <c r="R171" i="102"/>
  <c r="Z179" i="102"/>
  <c r="AP212" i="102"/>
  <c r="BF170" i="102"/>
  <c r="J113" i="102"/>
  <c r="AS48" i="69"/>
  <c r="AB55" i="69"/>
  <c r="AS54" i="69"/>
  <c r="AS64" i="69"/>
  <c r="AS35" i="69"/>
  <c r="AB56" i="69"/>
  <c r="AB28" i="69"/>
  <c r="AB30" i="69"/>
  <c r="AB66" i="69"/>
  <c r="AB19" i="69"/>
  <c r="AB23" i="69"/>
  <c r="AS62" i="69"/>
  <c r="AS42" i="69"/>
  <c r="AS30" i="69"/>
  <c r="AS27" i="69"/>
  <c r="AS40" i="69"/>
  <c r="AS25" i="69"/>
  <c r="AS66" i="69"/>
  <c r="AA120" i="60"/>
  <c r="AA92" i="60"/>
  <c r="AA114" i="60"/>
  <c r="AA82" i="60"/>
  <c r="AA78" i="60"/>
  <c r="AA86" i="60"/>
  <c r="Z3" i="60"/>
  <c r="Z32" i="60"/>
  <c r="Z9" i="60"/>
  <c r="Z22" i="60"/>
  <c r="Z53" i="60"/>
  <c r="Z33" i="60"/>
  <c r="Z20" i="60"/>
  <c r="J164" i="102"/>
  <c r="R203" i="102"/>
  <c r="Z215" i="102"/>
  <c r="AH125" i="102"/>
  <c r="AP185" i="102"/>
  <c r="AX177" i="102"/>
  <c r="BF151" i="102"/>
  <c r="BN95" i="102"/>
  <c r="J167" i="102"/>
  <c r="R199" i="102"/>
  <c r="Z116" i="102"/>
  <c r="AH142" i="102"/>
  <c r="AP132" i="102"/>
  <c r="AP118" i="102"/>
  <c r="AX195" i="102"/>
  <c r="BF175" i="102"/>
  <c r="J156" i="102"/>
  <c r="R119" i="102"/>
  <c r="R140" i="102"/>
  <c r="Z178" i="102"/>
  <c r="AH201" i="102"/>
  <c r="AP163" i="102"/>
  <c r="AX191" i="102"/>
  <c r="BF227" i="102"/>
  <c r="J159" i="102"/>
  <c r="J172" i="102"/>
  <c r="Z133" i="102"/>
  <c r="Z98" i="102"/>
  <c r="AP167" i="102"/>
  <c r="AX121" i="102"/>
  <c r="BF127" i="102"/>
  <c r="BN115" i="102"/>
  <c r="J151" i="102"/>
  <c r="R215" i="102"/>
  <c r="Z104" i="102"/>
  <c r="AH158" i="102"/>
  <c r="AP170" i="102"/>
  <c r="AX138" i="102"/>
  <c r="BF196" i="102"/>
  <c r="BN180" i="102"/>
  <c r="J179" i="102"/>
  <c r="R206" i="102"/>
  <c r="Z212" i="102"/>
  <c r="AH113" i="102"/>
  <c r="AP164" i="102"/>
  <c r="AX112" i="102"/>
  <c r="AX198" i="102"/>
  <c r="BF93" i="102"/>
  <c r="BN125" i="102"/>
  <c r="J201" i="102"/>
  <c r="R229" i="102"/>
  <c r="Z220" i="102"/>
  <c r="AH172" i="102"/>
  <c r="AP146" i="102"/>
  <c r="AX178" i="102"/>
  <c r="BF137" i="102"/>
  <c r="J146" i="102"/>
  <c r="J190" i="102"/>
  <c r="Z149" i="102"/>
  <c r="AH174" i="102"/>
  <c r="AP222" i="102"/>
  <c r="AX206" i="102"/>
  <c r="BF198" i="102"/>
  <c r="J124" i="102"/>
  <c r="R189" i="102"/>
  <c r="Z175" i="102"/>
  <c r="AH127" i="102"/>
  <c r="AP207" i="102"/>
  <c r="BF209" i="102"/>
  <c r="J152" i="102"/>
  <c r="R116" i="102"/>
  <c r="Z130" i="102"/>
  <c r="AP162" i="102"/>
  <c r="BF153" i="102"/>
  <c r="J193" i="102"/>
  <c r="AB34" i="69"/>
  <c r="AO67" i="69"/>
  <c r="AS43" i="69"/>
  <c r="AB35" i="69"/>
  <c r="AB42" i="69"/>
  <c r="AB57" i="69"/>
  <c r="AB53" i="69"/>
  <c r="AB47" i="69"/>
  <c r="AB24" i="69"/>
  <c r="AS50" i="69"/>
  <c r="AS45" i="69"/>
  <c r="AS21" i="69"/>
  <c r="AS53" i="69"/>
  <c r="AS19" i="69"/>
  <c r="AS38" i="69"/>
  <c r="AS22" i="69"/>
  <c r="AA83" i="60"/>
  <c r="AA105" i="60"/>
  <c r="AA102" i="60"/>
  <c r="AA80" i="60"/>
  <c r="AA93" i="60"/>
  <c r="AA73" i="60"/>
  <c r="Z8" i="60"/>
  <c r="Z7" i="60"/>
  <c r="Z24" i="60"/>
  <c r="Z14" i="60"/>
  <c r="Z37" i="60"/>
  <c r="Z40" i="60"/>
  <c r="Z12" i="60"/>
  <c r="J230" i="102"/>
  <c r="R216" i="102"/>
  <c r="Z96" i="102"/>
  <c r="AH115" i="102"/>
  <c r="AP220" i="102"/>
  <c r="AX212" i="102"/>
  <c r="BF122" i="102"/>
  <c r="BN209" i="102"/>
  <c r="J161" i="102"/>
  <c r="R154" i="102"/>
  <c r="Z113" i="102"/>
  <c r="AH177" i="102"/>
  <c r="AP109" i="102"/>
  <c r="AP140" i="102"/>
  <c r="AX153" i="102"/>
  <c r="BF146" i="102"/>
  <c r="J166" i="102"/>
  <c r="R141" i="102"/>
  <c r="R162" i="102"/>
  <c r="AH203" i="102"/>
  <c r="AH95" i="102"/>
  <c r="AP175" i="102"/>
  <c r="AX101" i="102"/>
  <c r="BF201" i="102"/>
  <c r="J148" i="102"/>
  <c r="R111" i="102"/>
  <c r="Z174" i="102"/>
  <c r="AH123" i="102"/>
  <c r="AP180" i="102"/>
  <c r="AX113" i="102"/>
  <c r="BF167" i="102"/>
  <c r="BN158" i="102"/>
  <c r="J145" i="102"/>
  <c r="R170" i="102"/>
  <c r="Z129" i="102"/>
  <c r="AH193" i="102"/>
  <c r="AP157" i="102"/>
  <c r="AX144" i="102"/>
  <c r="BF173" i="102"/>
  <c r="BN215" i="102"/>
  <c r="J186" i="102"/>
  <c r="R135" i="102"/>
  <c r="Z93" i="102"/>
  <c r="AH148" i="102"/>
  <c r="AP187" i="102"/>
  <c r="AX96" i="102"/>
  <c r="AX207" i="102"/>
  <c r="BF208" i="102"/>
  <c r="J168" i="102"/>
  <c r="J213" i="102"/>
  <c r="Z100" i="102"/>
  <c r="Z114" i="102"/>
  <c r="AH133" i="102"/>
  <c r="AP213" i="102"/>
  <c r="BF119" i="102"/>
  <c r="BF204" i="102"/>
  <c r="J121" i="102"/>
  <c r="J175" i="102"/>
  <c r="Z110" i="102"/>
  <c r="AH209" i="102"/>
  <c r="AP173" i="102"/>
  <c r="AX164" i="102"/>
  <c r="BF207" i="102"/>
  <c r="J144" i="102"/>
  <c r="R166" i="102"/>
  <c r="Z210" i="102"/>
  <c r="AP126" i="102"/>
  <c r="AX126" i="102"/>
  <c r="BF109" i="102"/>
  <c r="J147" i="102"/>
  <c r="R177" i="102"/>
  <c r="AH155" i="102"/>
  <c r="AP229" i="102"/>
  <c r="BF220" i="102"/>
  <c r="J174" i="102"/>
  <c r="AB65" i="69"/>
  <c r="AB63" i="69"/>
  <c r="AB39" i="69"/>
  <c r="AB43" i="69"/>
  <c r="AB22" i="69"/>
  <c r="AB27" i="69"/>
  <c r="AS46" i="69"/>
  <c r="AS29" i="69"/>
  <c r="AS23" i="69"/>
  <c r="AS20" i="69"/>
  <c r="AS37" i="69"/>
  <c r="AS26" i="69"/>
  <c r="AS24" i="69"/>
  <c r="AA91" i="60"/>
  <c r="AA118" i="60"/>
  <c r="AA97" i="60"/>
  <c r="AA122" i="60"/>
  <c r="AA119" i="60"/>
  <c r="AA111" i="60"/>
  <c r="Z43" i="60"/>
  <c r="Z16" i="60"/>
  <c r="Z47" i="60"/>
  <c r="Z6" i="60"/>
  <c r="Z29" i="60"/>
  <c r="Z31" i="60"/>
  <c r="Z4" i="60"/>
  <c r="J176" i="102"/>
  <c r="R129" i="102"/>
  <c r="Z131" i="102"/>
  <c r="AH105" i="102"/>
  <c r="AP114" i="102"/>
  <c r="AX202" i="102"/>
  <c r="BF96" i="102"/>
  <c r="BN154" i="102"/>
  <c r="J199" i="102"/>
  <c r="R96" i="102"/>
  <c r="Z135" i="102"/>
  <c r="AH212" i="102"/>
  <c r="AP183" i="102"/>
  <c r="AX115" i="102"/>
  <c r="AX181" i="102"/>
  <c r="BN129" i="102"/>
  <c r="J99" i="102"/>
  <c r="R104" i="102"/>
  <c r="Z126" i="102"/>
  <c r="AH97" i="102"/>
  <c r="AH197" i="102"/>
  <c r="AP210" i="102"/>
  <c r="BF111" i="102"/>
  <c r="BF181" i="102"/>
  <c r="J158" i="102"/>
  <c r="R145" i="102"/>
  <c r="Z209" i="102"/>
  <c r="AH167" i="102"/>
  <c r="AP214" i="102"/>
  <c r="AX193" i="102"/>
  <c r="BF138" i="102"/>
  <c r="BN225" i="102"/>
  <c r="J183" i="102"/>
  <c r="R112" i="102"/>
  <c r="Z151" i="102"/>
  <c r="AH228" i="102"/>
  <c r="AP224" i="102"/>
  <c r="AX211" i="102"/>
  <c r="BF182" i="102"/>
  <c r="BN205" i="102"/>
  <c r="J194" i="102"/>
  <c r="R173" i="102"/>
  <c r="Z208" i="102"/>
  <c r="AH122" i="102"/>
  <c r="AP161" i="102"/>
  <c r="AX145" i="102"/>
  <c r="AX117" i="102"/>
  <c r="BF102" i="102"/>
  <c r="J143" i="102"/>
  <c r="R152" i="102"/>
  <c r="Z190" i="102"/>
  <c r="AH139" i="102"/>
  <c r="AP142" i="102"/>
  <c r="AX188" i="102"/>
  <c r="BF143" i="102"/>
  <c r="BF117" i="102"/>
  <c r="J141" i="102"/>
  <c r="R231" i="102"/>
  <c r="Z145" i="102"/>
  <c r="AH103" i="102"/>
  <c r="AP150" i="102"/>
  <c r="AX160" i="102"/>
  <c r="BF178" i="102"/>
  <c r="J138" i="102"/>
  <c r="R172" i="102"/>
  <c r="AH96" i="102"/>
  <c r="AP216" i="102"/>
  <c r="AX189" i="102"/>
  <c r="BF224" i="102"/>
  <c r="J116" i="102"/>
  <c r="R227" i="102"/>
  <c r="AH128" i="102"/>
  <c r="AX225" i="102"/>
  <c r="BN126" i="102"/>
  <c r="R110" i="102"/>
  <c r="AB46" i="69"/>
  <c r="AB61" i="69"/>
  <c r="AB21" i="69"/>
  <c r="AB20" i="69"/>
  <c r="AB25" i="69"/>
  <c r="AS32" i="69"/>
  <c r="AS33" i="69"/>
  <c r="AS49" i="69"/>
  <c r="AS67" i="69"/>
  <c r="AS17" i="69"/>
  <c r="AS61" i="69"/>
  <c r="AS18" i="69"/>
  <c r="AA104" i="60"/>
  <c r="AA76" i="60"/>
  <c r="AA101" i="60"/>
  <c r="AA110" i="60"/>
  <c r="AA100" i="60"/>
  <c r="AA74" i="60"/>
  <c r="Z19" i="60"/>
  <c r="Z51" i="60"/>
  <c r="Z39" i="60"/>
  <c r="Z35" i="60"/>
  <c r="Z21" i="60"/>
  <c r="Z45" i="60"/>
  <c r="J180" i="102"/>
  <c r="R176" i="102"/>
  <c r="Z153" i="102"/>
  <c r="AH140" i="102"/>
  <c r="AP181" i="102"/>
  <c r="AX208" i="102"/>
  <c r="BF131" i="102"/>
  <c r="BN128" i="102"/>
  <c r="J222" i="102"/>
  <c r="R214" i="102"/>
  <c r="Z157" i="102"/>
  <c r="AH186" i="102"/>
  <c r="AP190" i="102"/>
  <c r="AX216" i="102"/>
  <c r="BF219" i="102"/>
  <c r="BN164" i="102"/>
  <c r="J170" i="102"/>
  <c r="R190" i="102"/>
  <c r="Z196" i="102"/>
  <c r="AH132" i="102"/>
  <c r="AP152" i="102"/>
  <c r="AX156" i="102"/>
  <c r="BF200" i="102"/>
  <c r="BN200" i="102"/>
  <c r="J214" i="102"/>
  <c r="R148" i="102"/>
  <c r="Z231" i="102"/>
  <c r="AH141" i="102"/>
  <c r="AP201" i="102"/>
  <c r="AX228" i="102"/>
  <c r="BF112" i="102"/>
  <c r="BN170" i="102"/>
  <c r="J225" i="102"/>
  <c r="R230" i="102"/>
  <c r="Z173" i="102"/>
  <c r="AH202" i="102"/>
  <c r="AP134" i="102"/>
  <c r="AX169" i="102"/>
  <c r="BF191" i="102"/>
  <c r="J165" i="102"/>
  <c r="R95" i="102"/>
  <c r="R150" i="102"/>
  <c r="Z150" i="102"/>
  <c r="AH192" i="102"/>
  <c r="AP231" i="102"/>
  <c r="AX99" i="102"/>
  <c r="BF124" i="102"/>
  <c r="BF217" i="102"/>
  <c r="J163" i="102"/>
  <c r="R161" i="102"/>
  <c r="Z225" i="102"/>
  <c r="AH183" i="102"/>
  <c r="AP196" i="102"/>
  <c r="AX184" i="102"/>
  <c r="BF97" i="102"/>
  <c r="BN94" i="102"/>
  <c r="J135" i="102"/>
  <c r="R186" i="102"/>
  <c r="Z167" i="102"/>
  <c r="AH198" i="102"/>
  <c r="AP137" i="102"/>
  <c r="AX227" i="102"/>
  <c r="BN99" i="102"/>
  <c r="J178" i="102"/>
  <c r="R194" i="102"/>
  <c r="AH94" i="102"/>
  <c r="AP117" i="102"/>
  <c r="AX147" i="102"/>
  <c r="BF213" i="102"/>
  <c r="J126" i="102"/>
  <c r="R114" i="102"/>
  <c r="AH163" i="102"/>
  <c r="AX119" i="102"/>
  <c r="BN107" i="102"/>
  <c r="R191" i="102"/>
  <c r="AB58" i="69"/>
  <c r="AS60" i="69"/>
  <c r="AB18" i="69"/>
  <c r="AB49" i="69"/>
  <c r="AB17" i="69"/>
  <c r="AB62" i="69"/>
  <c r="AB52" i="69"/>
  <c r="AB59" i="69"/>
  <c r="AB33" i="69"/>
  <c r="AB50" i="69"/>
  <c r="AB67" i="69"/>
  <c r="AB64" i="69"/>
  <c r="AB54" i="69"/>
  <c r="AB31" i="69"/>
  <c r="AS41" i="69"/>
  <c r="AS63" i="69"/>
  <c r="AS58" i="69"/>
  <c r="AS31" i="69"/>
  <c r="AS28" i="69"/>
  <c r="AA108" i="60"/>
  <c r="AA89" i="60"/>
  <c r="AA98" i="60"/>
  <c r="AA107" i="60"/>
  <c r="AA103" i="60"/>
  <c r="AA115" i="60"/>
  <c r="Z50" i="60"/>
  <c r="Z11" i="60"/>
  <c r="Z23" i="60"/>
  <c r="Z26" i="60"/>
  <c r="Z13" i="60"/>
  <c r="Z52" i="60"/>
  <c r="J203" i="102"/>
  <c r="R179" i="102"/>
  <c r="Z188" i="102"/>
  <c r="AH101" i="102"/>
  <c r="AX120" i="102"/>
  <c r="AX95" i="102"/>
  <c r="BF105" i="102"/>
  <c r="J101" i="102"/>
  <c r="J207" i="102"/>
  <c r="R185" i="102"/>
  <c r="Z214" i="102"/>
  <c r="AH166" i="102"/>
  <c r="AP225" i="102"/>
  <c r="AX174" i="102"/>
  <c r="BF174" i="102"/>
  <c r="BN199" i="102"/>
  <c r="J195" i="102"/>
  <c r="R225" i="102"/>
  <c r="Z218" i="102"/>
  <c r="AH106" i="102"/>
  <c r="AP136" i="102"/>
  <c r="AX94" i="102"/>
  <c r="BF139" i="102"/>
  <c r="BN106" i="102"/>
  <c r="J221" i="102"/>
  <c r="R192" i="102"/>
  <c r="Z112" i="102"/>
  <c r="AH131" i="102"/>
  <c r="AP95" i="102"/>
  <c r="AX218" i="102"/>
  <c r="BF147" i="102"/>
  <c r="BN144" i="102"/>
  <c r="J206" i="102"/>
  <c r="R201" i="102"/>
  <c r="Z230" i="102"/>
  <c r="AH182" i="102"/>
  <c r="AP156" i="102"/>
  <c r="AX197" i="102"/>
  <c r="BF162" i="102"/>
  <c r="J140" i="102"/>
  <c r="R126" i="102"/>
  <c r="R121" i="102"/>
  <c r="Z159" i="102"/>
  <c r="AH227" i="102"/>
  <c r="AP144" i="102"/>
  <c r="AX110" i="102"/>
  <c r="BF216" i="102"/>
  <c r="BF197" i="102"/>
  <c r="J132" i="102"/>
  <c r="R164" i="102"/>
  <c r="Z154" i="102"/>
  <c r="AH157" i="102"/>
  <c r="AP99" i="102"/>
  <c r="AX209" i="102"/>
  <c r="BF183" i="102"/>
  <c r="BN184" i="102"/>
  <c r="J129" i="102"/>
  <c r="R128" i="102"/>
  <c r="Z189" i="102"/>
  <c r="AH207" i="102"/>
  <c r="AP133" i="102"/>
  <c r="AX185" i="102"/>
  <c r="BN161" i="102"/>
  <c r="R132" i="102"/>
  <c r="Z117" i="102"/>
  <c r="AH129" i="102"/>
  <c r="AP203" i="102"/>
  <c r="AX214" i="102"/>
  <c r="BN168" i="102"/>
  <c r="J189" i="102"/>
  <c r="Z118" i="102"/>
  <c r="AH149" i="102"/>
  <c r="AX143" i="102"/>
  <c r="BN176" i="102"/>
  <c r="Z94" i="102"/>
  <c r="AB60" i="69"/>
  <c r="AB32" i="69"/>
  <c r="AB48" i="69"/>
  <c r="AB41" i="69"/>
  <c r="AB44" i="69"/>
  <c r="AB29" i="69"/>
  <c r="AB36" i="69"/>
  <c r="AB37" i="69"/>
  <c r="AB40" i="69"/>
  <c r="AB26" i="69"/>
  <c r="AB51" i="69"/>
  <c r="AB45" i="69"/>
  <c r="AS56" i="69"/>
  <c r="AS52" i="69"/>
  <c r="AS44" i="69"/>
  <c r="AS55" i="69"/>
  <c r="AS47" i="69"/>
  <c r="AA99" i="60"/>
  <c r="AA121" i="60"/>
  <c r="AA77" i="60"/>
  <c r="AA75" i="60"/>
  <c r="AA106" i="60"/>
  <c r="AA116" i="60"/>
  <c r="AA112" i="60"/>
  <c r="Z18" i="60"/>
  <c r="Z42" i="60"/>
  <c r="Z46" i="60"/>
  <c r="Z25" i="60"/>
  <c r="Z5" i="60"/>
  <c r="Z44" i="60"/>
  <c r="J184" i="102"/>
  <c r="R197" i="102"/>
  <c r="AH107" i="102"/>
  <c r="AP102" i="102"/>
  <c r="AX219" i="102"/>
  <c r="AX146" i="102"/>
  <c r="BF172" i="102"/>
  <c r="J153" i="102"/>
  <c r="R93" i="102"/>
  <c r="R220" i="102"/>
  <c r="Z108" i="102"/>
  <c r="AH175" i="102"/>
  <c r="AP154" i="102"/>
  <c r="AX132" i="102"/>
  <c r="BF180" i="102"/>
  <c r="BN189" i="102"/>
  <c r="J202" i="102"/>
  <c r="R228" i="102"/>
  <c r="Z192" i="102"/>
  <c r="AH221" i="102"/>
  <c r="AP171" i="102"/>
  <c r="AX167" i="102"/>
  <c r="BF177" i="102"/>
  <c r="BN155" i="102"/>
  <c r="J185" i="102"/>
  <c r="R195" i="102"/>
  <c r="Z147" i="102"/>
  <c r="AH121" i="102"/>
  <c r="AP130" i="102"/>
  <c r="AX224" i="102"/>
  <c r="BF121" i="102"/>
  <c r="J162" i="102"/>
  <c r="J191" i="102"/>
  <c r="R133" i="102"/>
  <c r="Z124" i="102"/>
  <c r="AH191" i="102"/>
  <c r="AX136" i="102"/>
  <c r="BF106" i="102"/>
  <c r="BN136" i="102"/>
  <c r="J150" i="102"/>
  <c r="R142" i="102"/>
  <c r="R156" i="102"/>
  <c r="Z194" i="102"/>
  <c r="AH217" i="102"/>
  <c r="AP179" i="102"/>
  <c r="AX183" i="102"/>
  <c r="BF155" i="102"/>
  <c r="BN171" i="102"/>
  <c r="J142" i="102"/>
  <c r="R208" i="102"/>
  <c r="Z128" i="102"/>
  <c r="AH112" i="102"/>
  <c r="AP230" i="102"/>
  <c r="AX103" i="102"/>
  <c r="BF154" i="102"/>
  <c r="BN174" i="102"/>
  <c r="J224" i="102"/>
  <c r="R217" i="102"/>
  <c r="Z140" i="102"/>
  <c r="AH194" i="102"/>
  <c r="AX123" i="102"/>
  <c r="BF95" i="102"/>
  <c r="BN196" i="102"/>
  <c r="R100" i="102"/>
  <c r="Z228" i="102"/>
  <c r="AH164" i="102"/>
  <c r="AP177" i="102"/>
  <c r="AX133" i="102"/>
  <c r="BN187" i="102"/>
  <c r="J197" i="102"/>
  <c r="Z206" i="102"/>
  <c r="AP135" i="102"/>
  <c r="AX194" i="102"/>
  <c r="J130" i="102"/>
  <c r="Z138" i="102"/>
  <c r="AH102" i="102"/>
  <c r="AH223" i="102"/>
  <c r="AP149" i="102"/>
  <c r="AX201" i="102"/>
  <c r="BF214" i="102"/>
  <c r="J133" i="102"/>
  <c r="R99" i="102"/>
  <c r="Z101" i="102"/>
  <c r="AH110" i="102"/>
  <c r="AP158" i="102"/>
  <c r="AP211" i="102"/>
  <c r="AX205" i="102"/>
  <c r="BF142" i="102"/>
  <c r="BN132" i="102"/>
  <c r="J227" i="102"/>
  <c r="R108" i="102"/>
  <c r="Z160" i="102"/>
  <c r="AH189" i="102"/>
  <c r="AP112" i="102"/>
  <c r="AX139" i="102"/>
  <c r="BF107" i="102"/>
  <c r="BN110" i="102"/>
  <c r="J192" i="102"/>
  <c r="R155" i="102"/>
  <c r="Z177" i="102"/>
  <c r="AH206" i="102"/>
  <c r="AP151" i="102"/>
  <c r="AP98" i="102"/>
  <c r="AX192" i="102"/>
  <c r="BF156" i="102"/>
  <c r="J169" i="102"/>
  <c r="J223" i="102"/>
  <c r="R198" i="102"/>
  <c r="Z141" i="102"/>
  <c r="AH170" i="102"/>
  <c r="AP209" i="102"/>
  <c r="AX104" i="102"/>
  <c r="BF136" i="102"/>
  <c r="BF130" i="102"/>
  <c r="J139" i="102"/>
  <c r="R175" i="102"/>
  <c r="Z132" i="102"/>
  <c r="Z127" i="102"/>
  <c r="AH195" i="102"/>
  <c r="AP147" i="102"/>
  <c r="AX226" i="102"/>
  <c r="BF211" i="102"/>
  <c r="BN188" i="102"/>
  <c r="BV173" i="102"/>
  <c r="CD193" i="102"/>
  <c r="CL103" i="102"/>
  <c r="CL197" i="102"/>
  <c r="R27" i="102"/>
  <c r="AH15" i="102"/>
  <c r="AP11" i="102"/>
  <c r="BF29" i="102"/>
  <c r="BN79" i="102"/>
  <c r="BN133" i="102"/>
  <c r="BV204" i="102"/>
  <c r="CD191" i="102"/>
  <c r="CL204" i="102"/>
  <c r="R6" i="102"/>
  <c r="Z20" i="102"/>
  <c r="AP29" i="102"/>
  <c r="AX72" i="102"/>
  <c r="BN35" i="102"/>
  <c r="BN159" i="102"/>
  <c r="BV137" i="102"/>
  <c r="CD217" i="102"/>
  <c r="CL189" i="102"/>
  <c r="J59" i="102"/>
  <c r="Z77" i="102"/>
  <c r="AH50" i="102"/>
  <c r="AX32" i="102"/>
  <c r="BF74" i="102"/>
  <c r="BV77" i="102"/>
  <c r="BN229" i="102"/>
  <c r="BV194" i="102"/>
  <c r="CD172" i="102"/>
  <c r="CL118" i="102"/>
  <c r="J27" i="102"/>
  <c r="Z13" i="102"/>
  <c r="AH49" i="102"/>
  <c r="AX69" i="102"/>
  <c r="BN12" i="102"/>
  <c r="BV50" i="102"/>
  <c r="BV109" i="102"/>
  <c r="CD94" i="102"/>
  <c r="CL106" i="102"/>
  <c r="J64" i="102"/>
  <c r="Z83" i="102"/>
  <c r="AP49" i="102"/>
  <c r="BF83" i="102"/>
  <c r="BV12" i="102"/>
  <c r="BN210" i="102"/>
  <c r="BV140" i="102"/>
  <c r="CD178" i="102"/>
  <c r="CL162" i="102"/>
  <c r="R42" i="102"/>
  <c r="AH72" i="102"/>
  <c r="AP64" i="102"/>
  <c r="AX79" i="102"/>
  <c r="BN6" i="102"/>
  <c r="BN208" i="102"/>
  <c r="BV214" i="102"/>
  <c r="CD221" i="102"/>
  <c r="CL168" i="102"/>
  <c r="J78" i="102"/>
  <c r="Z53" i="102"/>
  <c r="AH48" i="102"/>
  <c r="AP26" i="102"/>
  <c r="BF42" i="102"/>
  <c r="BV19" i="102"/>
  <c r="BV104" i="102"/>
  <c r="CD139" i="102"/>
  <c r="CL116" i="102"/>
  <c r="CL149" i="102"/>
  <c r="Z28" i="102"/>
  <c r="AP27" i="102"/>
  <c r="AX83" i="102"/>
  <c r="BV56" i="102"/>
  <c r="BV158" i="102"/>
  <c r="BV195" i="102"/>
  <c r="CD176" i="102"/>
  <c r="CL200" i="102"/>
  <c r="J25" i="102"/>
  <c r="Z51" i="102"/>
  <c r="AH66" i="102"/>
  <c r="AX48" i="102"/>
  <c r="BF31" i="102"/>
  <c r="BV47" i="102"/>
  <c r="BV106" i="102"/>
  <c r="CD135" i="102"/>
  <c r="CL196" i="102"/>
  <c r="J83" i="102"/>
  <c r="R16" i="102"/>
  <c r="Z44" i="102"/>
  <c r="AP45" i="102"/>
  <c r="AX42" i="102"/>
  <c r="BN45" i="102"/>
  <c r="BV66" i="102"/>
  <c r="BV141" i="102"/>
  <c r="CD196" i="102"/>
  <c r="CL211" i="102"/>
  <c r="J45" i="102"/>
  <c r="AH39" i="102"/>
  <c r="AX81" i="102"/>
  <c r="BV8" i="102"/>
  <c r="BN207" i="102"/>
  <c r="BV172" i="102"/>
  <c r="CD210" i="102"/>
  <c r="CL172" i="102"/>
  <c r="R64" i="102"/>
  <c r="Z59" i="102"/>
  <c r="AH74" i="102"/>
  <c r="AX56" i="102"/>
  <c r="BN27" i="102"/>
  <c r="BN131" i="102"/>
  <c r="BV122" i="102"/>
  <c r="CD151" i="102"/>
  <c r="CL190" i="102"/>
  <c r="J76" i="102"/>
  <c r="R36" i="102"/>
  <c r="AH60" i="102"/>
  <c r="AX44" i="102"/>
  <c r="BN26" i="102"/>
  <c r="BV57" i="102"/>
  <c r="BV157" i="102"/>
  <c r="CD173" i="102"/>
  <c r="CL127" i="102"/>
  <c r="R46" i="102"/>
  <c r="AH43" i="102"/>
  <c r="AP51" i="102"/>
  <c r="BF15" i="102"/>
  <c r="BN32" i="102"/>
  <c r="BV17" i="102"/>
  <c r="BV103" i="102"/>
  <c r="CD203" i="102"/>
  <c r="CD226" i="102"/>
  <c r="CL147" i="102"/>
  <c r="R14" i="102"/>
  <c r="Z8" i="102"/>
  <c r="AP69" i="102"/>
  <c r="AX21" i="102"/>
  <c r="BF76" i="102"/>
  <c r="BV53" i="102"/>
  <c r="BN143" i="102"/>
  <c r="BV112" i="102"/>
  <c r="CD211" i="102"/>
  <c r="CL228" i="102"/>
  <c r="J49" i="102"/>
  <c r="Z72" i="102"/>
  <c r="AH42" i="102"/>
  <c r="AX63" i="102"/>
  <c r="BN34" i="102"/>
  <c r="BV65" i="102"/>
  <c r="M47" i="103"/>
  <c r="K33" i="103"/>
  <c r="I19" i="103"/>
  <c r="M84" i="103"/>
  <c r="L77" i="103"/>
  <c r="K70" i="103"/>
  <c r="J63" i="103"/>
  <c r="M50" i="103"/>
  <c r="K36" i="103"/>
  <c r="I22" i="103"/>
  <c r="G8" i="103"/>
  <c r="I52" i="103"/>
  <c r="G38" i="103"/>
  <c r="E24" i="103"/>
  <c r="L9" i="103"/>
  <c r="H80" i="103"/>
  <c r="G73" i="103"/>
  <c r="F66" i="103"/>
  <c r="I55" i="103"/>
  <c r="G41" i="103"/>
  <c r="E27" i="103"/>
  <c r="L12" i="103"/>
  <c r="E57" i="103"/>
  <c r="L42" i="103"/>
  <c r="J28" i="103"/>
  <c r="H14" i="103"/>
  <c r="M82" i="103"/>
  <c r="L75" i="103"/>
  <c r="K68" i="103"/>
  <c r="J61" i="103"/>
  <c r="H47" i="103"/>
  <c r="F33" i="103"/>
  <c r="M18" i="103"/>
  <c r="I8" i="103"/>
  <c r="M48" i="103"/>
  <c r="K34" i="103"/>
  <c r="I20" i="103"/>
  <c r="G6" i="103"/>
  <c r="H78" i="103"/>
  <c r="G71" i="103"/>
  <c r="H62" i="103"/>
  <c r="F36" i="103"/>
  <c r="K7" i="103"/>
  <c r="I15" i="103"/>
  <c r="F63" i="103"/>
  <c r="I7" i="103"/>
  <c r="H45" i="103"/>
  <c r="H66" i="103"/>
  <c r="G69" i="103"/>
  <c r="M19" i="103"/>
  <c r="L19" i="103"/>
  <c r="M22" i="103"/>
  <c r="N160" i="102"/>
  <c r="K128" i="102"/>
  <c r="K126" i="102"/>
  <c r="N225" i="102"/>
  <c r="AH104" i="102"/>
  <c r="AH210" i="102"/>
  <c r="AX155" i="102"/>
  <c r="AX114" i="102"/>
  <c r="BF140" i="102"/>
  <c r="J108" i="102"/>
  <c r="R167" i="102"/>
  <c r="Z142" i="102"/>
  <c r="AH145" i="102"/>
  <c r="AP119" i="102"/>
  <c r="AP108" i="102"/>
  <c r="AX163" i="102"/>
  <c r="BF225" i="102"/>
  <c r="BN167" i="102"/>
  <c r="J173" i="102"/>
  <c r="R130" i="102"/>
  <c r="Z195" i="102"/>
  <c r="AH144" i="102"/>
  <c r="AP139" i="102"/>
  <c r="AX135" i="102"/>
  <c r="BF145" i="102"/>
  <c r="BN123" i="102"/>
  <c r="J196" i="102"/>
  <c r="R113" i="102"/>
  <c r="Z199" i="102"/>
  <c r="AH135" i="102"/>
  <c r="AP107" i="102"/>
  <c r="AP165" i="102"/>
  <c r="AX217" i="102"/>
  <c r="BF210" i="102"/>
  <c r="J155" i="102"/>
  <c r="R123" i="102"/>
  <c r="R169" i="102"/>
  <c r="Z198" i="102"/>
  <c r="AH150" i="102"/>
  <c r="AP138" i="102"/>
  <c r="AX158" i="102"/>
  <c r="BF94" i="102"/>
  <c r="BN216" i="102"/>
  <c r="J115" i="102"/>
  <c r="R207" i="102"/>
  <c r="Z106" i="102"/>
  <c r="Z162" i="102"/>
  <c r="AH185" i="102"/>
  <c r="AP159" i="102"/>
  <c r="BF168" i="102"/>
  <c r="BF185" i="102"/>
  <c r="BN98" i="102"/>
  <c r="BV182" i="102"/>
  <c r="CD228" i="102"/>
  <c r="CL152" i="102"/>
  <c r="J74" i="102"/>
  <c r="R77" i="102"/>
  <c r="AH69" i="102"/>
  <c r="AP59" i="102"/>
  <c r="BF65" i="102"/>
  <c r="BV37" i="102"/>
  <c r="BV126" i="102"/>
  <c r="BV98" i="102"/>
  <c r="CL117" i="102"/>
  <c r="CL226" i="102"/>
  <c r="R31" i="102"/>
  <c r="Z9" i="102"/>
  <c r="AP14" i="102"/>
  <c r="AX67" i="102"/>
  <c r="BN41" i="102"/>
  <c r="BN194" i="102"/>
  <c r="BV133" i="102"/>
  <c r="CD111" i="102"/>
  <c r="CL198" i="102"/>
  <c r="J41" i="102"/>
  <c r="Z80" i="102"/>
  <c r="AP32" i="102"/>
  <c r="AX60" i="102"/>
  <c r="BN10" i="102"/>
  <c r="BV40" i="102"/>
  <c r="BV147" i="102"/>
  <c r="CD219" i="102"/>
  <c r="CD133" i="102"/>
  <c r="CL159" i="102"/>
  <c r="J21" i="102"/>
  <c r="Z12" i="102"/>
  <c r="AH36" i="102"/>
  <c r="AX31" i="102"/>
  <c r="BN29" i="102"/>
  <c r="BN134" i="102"/>
  <c r="BV224" i="102"/>
  <c r="CD129" i="102"/>
  <c r="CL177" i="102"/>
  <c r="J14" i="102"/>
  <c r="Z33" i="102"/>
  <c r="AP76" i="102"/>
  <c r="BF33" i="102"/>
  <c r="BV61" i="102"/>
  <c r="BV110" i="102"/>
  <c r="BV149" i="102"/>
  <c r="CD229" i="102"/>
  <c r="J33" i="102"/>
  <c r="Z45" i="102"/>
  <c r="AH12" i="102"/>
  <c r="AP46" i="102"/>
  <c r="AX74" i="102"/>
  <c r="BN77" i="102"/>
  <c r="BN230" i="102"/>
  <c r="BV175" i="102"/>
  <c r="CD163" i="102"/>
  <c r="CL126" i="102"/>
  <c r="J23" i="102"/>
  <c r="Z19" i="102"/>
  <c r="AH20" i="102"/>
  <c r="AX37" i="102"/>
  <c r="BN25" i="102"/>
  <c r="BV41" i="102"/>
  <c r="BV203" i="102"/>
  <c r="CD110" i="102"/>
  <c r="CL209" i="102"/>
  <c r="J56" i="102"/>
  <c r="Z10" i="102"/>
  <c r="AP35" i="102"/>
  <c r="BF64" i="102"/>
  <c r="BV51" i="102"/>
  <c r="BV148" i="102"/>
  <c r="BV169" i="102"/>
  <c r="CD134" i="102"/>
  <c r="CL183" i="102"/>
  <c r="R15" i="102"/>
  <c r="Z70" i="102"/>
  <c r="AP10" i="102"/>
  <c r="AX43" i="102"/>
  <c r="BN23" i="102"/>
  <c r="BN224" i="102"/>
  <c r="BV221" i="102"/>
  <c r="CD96" i="102"/>
  <c r="CL141" i="102"/>
  <c r="J77" i="102"/>
  <c r="R59" i="102"/>
  <c r="Z18" i="102"/>
  <c r="AP61" i="102"/>
  <c r="BF11" i="102"/>
  <c r="BN22" i="102"/>
  <c r="BN166" i="102"/>
  <c r="BV150" i="102"/>
  <c r="CD157" i="102"/>
  <c r="CL217" i="102"/>
  <c r="J50" i="102"/>
  <c r="AP56" i="102"/>
  <c r="AX73" i="102"/>
  <c r="BV11" i="102"/>
  <c r="BN101" i="102"/>
  <c r="BV181" i="102"/>
  <c r="CL139" i="102"/>
  <c r="CL194" i="102"/>
  <c r="R70" i="102"/>
  <c r="Z78" i="102"/>
  <c r="AP37" i="102"/>
  <c r="AX51" i="102"/>
  <c r="BN51" i="102"/>
  <c r="BN121" i="102"/>
  <c r="BV96" i="102"/>
  <c r="CD122" i="102"/>
  <c r="CL174" i="102"/>
  <c r="J62" i="102"/>
  <c r="Z23" i="102"/>
  <c r="AH34" i="102"/>
  <c r="AX55" i="102"/>
  <c r="BN16" i="102"/>
  <c r="BV76" i="102"/>
  <c r="BV166" i="102"/>
  <c r="CD105" i="102"/>
  <c r="CL181" i="102"/>
  <c r="R37" i="102"/>
  <c r="AH7" i="102"/>
  <c r="AP73" i="102"/>
  <c r="BF40" i="102"/>
  <c r="BN44" i="102"/>
  <c r="BV36" i="102"/>
  <c r="BV218" i="102"/>
  <c r="CD99" i="102"/>
  <c r="CL107" i="102"/>
  <c r="CL153" i="102"/>
  <c r="R30" i="102"/>
  <c r="Z67" i="102"/>
  <c r="AP6" i="102"/>
  <c r="AX41" i="102"/>
  <c r="BF47" i="102"/>
  <c r="BV13" i="102"/>
  <c r="BN178" i="102"/>
  <c r="BV121" i="102"/>
  <c r="CD201" i="102"/>
  <c r="CL173" i="102"/>
  <c r="R25" i="102"/>
  <c r="Z46" i="102"/>
  <c r="AP30" i="102"/>
  <c r="AX58" i="102"/>
  <c r="BN61" i="102"/>
  <c r="BV84" i="102"/>
  <c r="J60" i="103"/>
  <c r="H46" i="103"/>
  <c r="F32" i="103"/>
  <c r="M17" i="103"/>
  <c r="E84" i="103"/>
  <c r="M76" i="103"/>
  <c r="L69" i="103"/>
  <c r="K62" i="103"/>
  <c r="H49" i="103"/>
  <c r="F35" i="103"/>
  <c r="M20" i="103"/>
  <c r="K6" i="103"/>
  <c r="G49" i="103"/>
  <c r="E35" i="103"/>
  <c r="L20" i="103"/>
  <c r="J6" i="103"/>
  <c r="I79" i="103"/>
  <c r="H72" i="103"/>
  <c r="G65" i="103"/>
  <c r="M53" i="103"/>
  <c r="K39" i="103"/>
  <c r="I25" i="103"/>
  <c r="G11" i="103"/>
  <c r="H55" i="103"/>
  <c r="F41" i="103"/>
  <c r="M26" i="103"/>
  <c r="K12" i="103"/>
  <c r="E82" i="103"/>
  <c r="M74" i="103"/>
  <c r="L67" i="103"/>
  <c r="E60" i="103"/>
  <c r="L45" i="103"/>
  <c r="J31" i="103"/>
  <c r="H17" i="103"/>
  <c r="M59" i="103"/>
  <c r="K45" i="103"/>
  <c r="I31" i="103"/>
  <c r="G17" i="103"/>
  <c r="J84" i="103"/>
  <c r="I77" i="103"/>
  <c r="H70" i="103"/>
  <c r="I61" i="103"/>
  <c r="J34" i="103"/>
  <c r="F6" i="103"/>
  <c r="M13" i="103"/>
  <c r="G62" i="103"/>
  <c r="G83" i="103"/>
  <c r="F42" i="103"/>
  <c r="J64" i="103"/>
  <c r="H68" i="103"/>
  <c r="H18" i="103"/>
  <c r="G18" i="103"/>
  <c r="K8" i="103"/>
  <c r="N96" i="102"/>
  <c r="N99" i="102"/>
  <c r="N153" i="102"/>
  <c r="N191" i="102"/>
  <c r="Z105" i="102"/>
  <c r="AH218" i="102"/>
  <c r="AP186" i="102"/>
  <c r="AX106" i="102"/>
  <c r="AX213" i="102"/>
  <c r="BN104" i="102"/>
  <c r="J134" i="102"/>
  <c r="R151" i="102"/>
  <c r="Z184" i="102"/>
  <c r="AH114" i="102"/>
  <c r="AH229" i="102"/>
  <c r="AP160" i="102"/>
  <c r="AX223" i="102"/>
  <c r="BF118" i="102"/>
  <c r="J127" i="102"/>
  <c r="R105" i="102"/>
  <c r="Z136" i="102"/>
  <c r="Z201" i="102"/>
  <c r="AH153" i="102"/>
  <c r="AP115" i="102"/>
  <c r="AX109" i="102"/>
  <c r="BF144" i="102"/>
  <c r="BN190" i="102"/>
  <c r="J208" i="102"/>
  <c r="R184" i="102"/>
  <c r="Z161" i="102"/>
  <c r="AH190" i="102"/>
  <c r="AP94" i="102"/>
  <c r="AX118" i="102"/>
  <c r="AX229" i="102"/>
  <c r="BF223" i="102"/>
  <c r="J118" i="102"/>
  <c r="R122" i="102"/>
  <c r="Z103" i="102"/>
  <c r="AH180" i="102"/>
  <c r="AP128" i="102"/>
  <c r="AP223" i="102"/>
  <c r="AX230" i="102"/>
  <c r="BF125" i="102"/>
  <c r="BN157" i="102"/>
  <c r="J181" i="102"/>
  <c r="Z165" i="102"/>
  <c r="Z217" i="102"/>
  <c r="AH179" i="102"/>
  <c r="AP113" i="102"/>
  <c r="AX125" i="102"/>
  <c r="BF215" i="102"/>
  <c r="BN206" i="102"/>
  <c r="J177" i="102"/>
  <c r="R218" i="102"/>
  <c r="Z221" i="102"/>
  <c r="AH109" i="102"/>
  <c r="AP120" i="102"/>
  <c r="AX98" i="102"/>
  <c r="AX130" i="102"/>
  <c r="BN152" i="102"/>
  <c r="J102" i="102"/>
  <c r="R158" i="102"/>
  <c r="R204" i="102"/>
  <c r="Z207" i="102"/>
  <c r="AH159" i="102"/>
  <c r="AP192" i="102"/>
  <c r="AX116" i="102"/>
  <c r="BF203" i="102"/>
  <c r="BN219" i="102"/>
  <c r="J123" i="102"/>
  <c r="R219" i="102"/>
  <c r="Z120" i="102"/>
  <c r="AH168" i="102"/>
  <c r="AH220" i="102"/>
  <c r="AP194" i="102"/>
  <c r="BF132" i="102"/>
  <c r="BF165" i="102"/>
  <c r="BN213" i="102"/>
  <c r="BV143" i="102"/>
  <c r="CD189" i="102"/>
  <c r="CL171" i="102"/>
  <c r="J20" i="102"/>
  <c r="R43" i="102"/>
  <c r="AH46" i="102"/>
  <c r="AP81" i="102"/>
  <c r="BF26" i="102"/>
  <c r="BV75" i="102"/>
  <c r="BV200" i="102"/>
  <c r="BV213" i="102"/>
  <c r="CL158" i="102"/>
  <c r="J40" i="102"/>
  <c r="R71" i="102"/>
  <c r="Z75" i="102"/>
  <c r="AP24" i="102"/>
  <c r="BF35" i="102"/>
  <c r="BN39" i="102"/>
  <c r="BV123" i="102"/>
  <c r="CD106" i="102"/>
  <c r="CD162" i="102"/>
  <c r="CL124" i="102"/>
  <c r="R45" i="102"/>
  <c r="Z54" i="102"/>
  <c r="AP38" i="102"/>
  <c r="AX71" i="102"/>
  <c r="BN72" i="102"/>
  <c r="BV73" i="102"/>
  <c r="BV142" i="102"/>
  <c r="CD174" i="102"/>
  <c r="CL161" i="102"/>
  <c r="CL213" i="102"/>
  <c r="J26" i="102"/>
  <c r="Z40" i="102"/>
  <c r="AH63" i="102"/>
  <c r="BF56" i="102"/>
  <c r="BN52" i="102"/>
  <c r="BN124" i="102"/>
  <c r="BV118" i="102"/>
  <c r="CD164" i="102"/>
  <c r="CL170" i="102"/>
  <c r="J8" i="102"/>
  <c r="AH80" i="102"/>
  <c r="AP47" i="102"/>
  <c r="BF63" i="102"/>
  <c r="BV43" i="102"/>
  <c r="BV107" i="102"/>
  <c r="CD200" i="102"/>
  <c r="CL123" i="102"/>
  <c r="R53" i="102"/>
  <c r="Z43" i="102"/>
  <c r="AH19" i="102"/>
  <c r="AP36" i="102"/>
  <c r="BF7" i="102"/>
  <c r="BN54" i="102"/>
  <c r="BN220" i="102"/>
  <c r="BV210" i="102"/>
  <c r="CD153" i="102"/>
  <c r="CL180" i="102"/>
  <c r="J19" i="102"/>
  <c r="Z48" i="102"/>
  <c r="AH62" i="102"/>
  <c r="AX11" i="102"/>
  <c r="BN18" i="102"/>
  <c r="BV60" i="102"/>
  <c r="BV113" i="102"/>
  <c r="CD145" i="102"/>
  <c r="CL145" i="102"/>
  <c r="J6" i="102"/>
  <c r="Z14" i="102"/>
  <c r="AP57" i="102"/>
  <c r="BF14" i="102"/>
  <c r="BV70" i="102"/>
  <c r="BV136" i="102"/>
  <c r="BV156" i="102"/>
  <c r="CD143" i="102"/>
  <c r="CL221" i="102"/>
  <c r="R18" i="102"/>
  <c r="Z84" i="102"/>
  <c r="AP41" i="102"/>
  <c r="AX76" i="102"/>
  <c r="BN7" i="102"/>
  <c r="BN105" i="102"/>
  <c r="BV230" i="102"/>
  <c r="CD179" i="102"/>
  <c r="CL150" i="102"/>
  <c r="J48" i="102"/>
  <c r="R28" i="102"/>
  <c r="AH23" i="102"/>
  <c r="AP83" i="102"/>
  <c r="BF16" i="102"/>
  <c r="BN68" i="102"/>
  <c r="BN156" i="102"/>
  <c r="BV111" i="102"/>
  <c r="CD230" i="102"/>
  <c r="CL111" i="102"/>
  <c r="R23" i="102"/>
  <c r="AP33" i="102"/>
  <c r="BF24" i="102"/>
  <c r="BV59" i="102"/>
  <c r="BV116" i="102"/>
  <c r="CD116" i="102"/>
  <c r="CL113" i="102"/>
  <c r="J44" i="102"/>
  <c r="R76" i="102"/>
  <c r="Z66" i="102"/>
  <c r="AP9" i="102"/>
  <c r="AX84" i="102"/>
  <c r="BN15" i="102"/>
  <c r="BN127" i="102"/>
  <c r="BV105" i="102"/>
  <c r="CD112" i="102"/>
  <c r="CL219" i="102"/>
  <c r="J75" i="102"/>
  <c r="Z64" i="102"/>
  <c r="AP72" i="102"/>
  <c r="AX50" i="102"/>
  <c r="BN31" i="102"/>
  <c r="BV74" i="102"/>
  <c r="BV127" i="102"/>
  <c r="CD140" i="102"/>
  <c r="J65" i="102"/>
  <c r="R65" i="102"/>
  <c r="AH61" i="102"/>
  <c r="AP71" i="102"/>
  <c r="BF21" i="102"/>
  <c r="BN67" i="102"/>
  <c r="BV34" i="102"/>
  <c r="BV192" i="102"/>
  <c r="CD97" i="102"/>
  <c r="CL216" i="102"/>
  <c r="CL188" i="102"/>
  <c r="R72" i="102"/>
  <c r="Z17" i="102"/>
  <c r="AP17" i="102"/>
  <c r="AX30" i="102"/>
  <c r="BN36" i="102"/>
  <c r="BV24" i="102"/>
  <c r="BV99" i="102"/>
  <c r="BV223" i="102"/>
  <c r="CD95" i="102"/>
  <c r="CL182" i="102"/>
  <c r="R69" i="102"/>
  <c r="Z60" i="102"/>
  <c r="AP50" i="102"/>
  <c r="BF10" i="102"/>
  <c r="BN38" i="102"/>
  <c r="BV82" i="102"/>
  <c r="M58" i="103"/>
  <c r="K44" i="103"/>
  <c r="I30" i="103"/>
  <c r="G16" i="103"/>
  <c r="F83" i="103"/>
  <c r="E76" i="103"/>
  <c r="M68" i="103"/>
  <c r="L61" i="103"/>
  <c r="L47" i="103"/>
  <c r="J33" i="103"/>
  <c r="H19" i="103"/>
  <c r="E10" i="103"/>
  <c r="K47" i="103"/>
  <c r="I33" i="103"/>
  <c r="G19" i="103"/>
  <c r="K11" i="103"/>
  <c r="J78" i="103"/>
  <c r="I71" i="103"/>
  <c r="H64" i="103"/>
  <c r="H52" i="103"/>
  <c r="F38" i="103"/>
  <c r="M23" i="103"/>
  <c r="K9" i="103"/>
  <c r="L53" i="103"/>
  <c r="J39" i="103"/>
  <c r="H25" i="103"/>
  <c r="F11" i="103"/>
  <c r="F81" i="103"/>
  <c r="E74" i="103"/>
  <c r="M66" i="103"/>
  <c r="I58" i="103"/>
  <c r="G44" i="103"/>
  <c r="E30" i="103"/>
  <c r="L15" i="103"/>
  <c r="H58" i="103"/>
  <c r="F44" i="103"/>
  <c r="M29" i="103"/>
  <c r="K15" i="103"/>
  <c r="K83" i="103"/>
  <c r="J76" i="103"/>
  <c r="I69" i="103"/>
  <c r="G58" i="103"/>
  <c r="L29" i="103"/>
  <c r="F58" i="103"/>
  <c r="I84" i="103"/>
  <c r="F50" i="103"/>
  <c r="L70" i="103"/>
  <c r="F31" i="103"/>
  <c r="G43" i="103"/>
  <c r="F62" i="103"/>
  <c r="F21" i="103"/>
  <c r="G84" i="103"/>
  <c r="G51" i="103"/>
  <c r="N109" i="102"/>
  <c r="K109" i="102"/>
  <c r="N115" i="102"/>
  <c r="N188" i="102"/>
  <c r="Z123" i="102"/>
  <c r="Z95" i="102"/>
  <c r="AH188" i="102"/>
  <c r="AP127" i="102"/>
  <c r="AX134" i="102"/>
  <c r="BF179" i="102"/>
  <c r="BN202" i="102"/>
  <c r="J212" i="102"/>
  <c r="R97" i="102"/>
  <c r="Z183" i="102"/>
  <c r="AH225" i="102"/>
  <c r="AP202" i="102"/>
  <c r="AX200" i="102"/>
  <c r="BF148" i="102"/>
  <c r="BF194" i="102"/>
  <c r="J128" i="102"/>
  <c r="R205" i="102"/>
  <c r="Z125" i="102"/>
  <c r="AH154" i="102"/>
  <c r="AP168" i="102"/>
  <c r="AX108" i="102"/>
  <c r="AX149" i="102"/>
  <c r="BF134" i="102"/>
  <c r="J136" i="102"/>
  <c r="R101" i="102"/>
  <c r="Z168" i="102"/>
  <c r="Z111" i="102"/>
  <c r="AH169" i="102"/>
  <c r="AP228" i="102"/>
  <c r="AX150" i="102"/>
  <c r="BF186" i="102"/>
  <c r="BN218" i="102"/>
  <c r="J219" i="102"/>
  <c r="R160" i="102"/>
  <c r="Z115" i="102"/>
  <c r="AH99" i="102"/>
  <c r="AP218" i="102"/>
  <c r="AX187" i="102"/>
  <c r="BF113" i="102"/>
  <c r="BN193" i="102"/>
  <c r="J112" i="102"/>
  <c r="R127" i="102"/>
  <c r="R226" i="102"/>
  <c r="Z181" i="102"/>
  <c r="AH146" i="102"/>
  <c r="AP227" i="102"/>
  <c r="AX231" i="102"/>
  <c r="BF158" i="102"/>
  <c r="BN148" i="102"/>
  <c r="J94" i="102"/>
  <c r="R209" i="102"/>
  <c r="Z171" i="102"/>
  <c r="AH187" i="102"/>
  <c r="AH181" i="102"/>
  <c r="AX204" i="102"/>
  <c r="BF123" i="102"/>
  <c r="BN139" i="102"/>
  <c r="BV108" i="102"/>
  <c r="BV178" i="102"/>
  <c r="CD121" i="102"/>
  <c r="CL148" i="102"/>
  <c r="J57" i="102"/>
  <c r="R73" i="102"/>
  <c r="AH41" i="102"/>
  <c r="AP79" i="102"/>
  <c r="BN43" i="102"/>
  <c r="BV25" i="102"/>
  <c r="BV119" i="102"/>
  <c r="CD113" i="102"/>
  <c r="CL132" i="102"/>
  <c r="J47" i="102"/>
  <c r="R63" i="102"/>
  <c r="Z25" i="102"/>
  <c r="AP78" i="102"/>
  <c r="BF75" i="102"/>
  <c r="BV35" i="102"/>
  <c r="BV155" i="102"/>
  <c r="CD101" i="102"/>
  <c r="CD213" i="102"/>
  <c r="CL146" i="102"/>
  <c r="R40" i="102"/>
  <c r="Z68" i="102"/>
  <c r="AP58" i="102"/>
  <c r="AX66" i="102"/>
  <c r="BN75" i="102"/>
  <c r="BV31" i="102"/>
  <c r="BV177" i="102"/>
  <c r="CD209" i="102"/>
  <c r="CL203" i="102"/>
  <c r="J66" i="102"/>
  <c r="R11" i="102"/>
  <c r="Z73" i="102"/>
  <c r="AP77" i="102"/>
  <c r="BF8" i="102"/>
  <c r="BN42" i="102"/>
  <c r="BN149" i="102"/>
  <c r="BV220" i="102"/>
  <c r="CD125" i="102"/>
  <c r="CL144" i="102"/>
  <c r="R13" i="102"/>
  <c r="AH18" i="102"/>
  <c r="AX61" i="102"/>
  <c r="BN20" i="102"/>
  <c r="BV62" i="102"/>
  <c r="BV196" i="102"/>
  <c r="CD199" i="102"/>
  <c r="CL167" i="102"/>
  <c r="R12" i="102"/>
  <c r="Z62" i="102"/>
  <c r="AH84" i="102"/>
  <c r="AP66" i="102"/>
  <c r="BF43" i="102"/>
  <c r="BV16" i="102"/>
  <c r="BN130" i="102"/>
  <c r="CD168" i="102"/>
  <c r="CD188" i="102"/>
  <c r="CL125" i="102"/>
  <c r="J13" i="102"/>
  <c r="Z22" i="102"/>
  <c r="AH57" i="102"/>
  <c r="AX39" i="102"/>
  <c r="BN11" i="102"/>
  <c r="BV58" i="102"/>
  <c r="BV151" i="102"/>
  <c r="CD180" i="102"/>
  <c r="CL186" i="102"/>
  <c r="J53" i="102"/>
  <c r="Z41" i="102"/>
  <c r="AP84" i="102"/>
  <c r="BF41" i="102"/>
  <c r="BV18" i="102"/>
  <c r="BV168" i="102"/>
  <c r="BV165" i="102"/>
  <c r="CD194" i="102"/>
  <c r="CL115" i="102"/>
  <c r="R21" i="102"/>
  <c r="Z58" i="102"/>
  <c r="AP54" i="102"/>
  <c r="AX82" i="102"/>
  <c r="BN14" i="102"/>
  <c r="BN111" i="102"/>
  <c r="BV191" i="102"/>
  <c r="CD169" i="102"/>
  <c r="CL191" i="102"/>
  <c r="J15" i="102"/>
  <c r="Z27" i="102"/>
  <c r="AH70" i="102"/>
  <c r="AP34" i="102"/>
  <c r="BF53" i="102"/>
  <c r="BN58" i="102"/>
  <c r="BN181" i="102"/>
  <c r="BV146" i="102"/>
  <c r="CD124" i="102"/>
  <c r="CL165" i="102"/>
  <c r="R57" i="102"/>
  <c r="AP43" i="102"/>
  <c r="BF13" i="102"/>
  <c r="BV78" i="102"/>
  <c r="BV228" i="102"/>
  <c r="CD231" i="102"/>
  <c r="CL100" i="102"/>
  <c r="J81" i="102"/>
  <c r="R58" i="102"/>
  <c r="AH32" i="102"/>
  <c r="AP62" i="102"/>
  <c r="BF12" i="102"/>
  <c r="BN70" i="102"/>
  <c r="BN162" i="102"/>
  <c r="BV207" i="102"/>
  <c r="CD195" i="102"/>
  <c r="CL212" i="102"/>
  <c r="J7" i="102"/>
  <c r="Z38" i="102"/>
  <c r="AP22" i="102"/>
  <c r="BF9" i="102"/>
  <c r="BN53" i="102"/>
  <c r="BN182" i="102"/>
  <c r="BV162" i="102"/>
  <c r="CL122" i="102"/>
  <c r="J30" i="102"/>
  <c r="Z24" i="102"/>
  <c r="AH38" i="102"/>
  <c r="AX70" i="102"/>
  <c r="BF57" i="102"/>
  <c r="BN73" i="102"/>
  <c r="BN227" i="102"/>
  <c r="BV227" i="102"/>
  <c r="CD132" i="102"/>
  <c r="CL98" i="102"/>
  <c r="CL210" i="102"/>
  <c r="R78" i="102"/>
  <c r="Z74" i="102"/>
  <c r="AP70" i="102"/>
  <c r="AX34" i="102"/>
  <c r="BN24" i="102"/>
  <c r="BV27" i="102"/>
  <c r="BV216" i="102"/>
  <c r="BV117" i="102"/>
  <c r="CD146" i="102"/>
  <c r="CL108" i="102"/>
  <c r="R32" i="102"/>
  <c r="Z34" i="102"/>
  <c r="AX18" i="102"/>
  <c r="BF69" i="102"/>
  <c r="BN84" i="102"/>
  <c r="H57" i="103"/>
  <c r="F43" i="103"/>
  <c r="M28" i="103"/>
  <c r="K14" i="103"/>
  <c r="G82" i="103"/>
  <c r="F75" i="103"/>
  <c r="E68" i="103"/>
  <c r="I60" i="103"/>
  <c r="G46" i="103"/>
  <c r="E32" i="103"/>
  <c r="L17" i="103"/>
  <c r="H60" i="103"/>
  <c r="F46" i="103"/>
  <c r="M31" i="103"/>
  <c r="K17" i="103"/>
  <c r="L84" i="103"/>
  <c r="K77" i="103"/>
  <c r="J70" i="103"/>
  <c r="I63" i="103"/>
  <c r="L50" i="103"/>
  <c r="J36" i="103"/>
  <c r="H22" i="103"/>
  <c r="F8" i="103"/>
  <c r="G52" i="103"/>
  <c r="E38" i="103"/>
  <c r="L23" i="103"/>
  <c r="J9" i="103"/>
  <c r="G80" i="103"/>
  <c r="F73" i="103"/>
  <c r="E66" i="103"/>
  <c r="M56" i="103"/>
  <c r="K42" i="103"/>
  <c r="I28" i="103"/>
  <c r="G14" i="103"/>
  <c r="L56" i="103"/>
  <c r="J42" i="103"/>
  <c r="H28" i="103"/>
  <c r="F14" i="103"/>
  <c r="L82" i="103"/>
  <c r="K75" i="103"/>
  <c r="J68" i="103"/>
  <c r="K56" i="103"/>
  <c r="G28" i="103"/>
  <c r="J56" i="103"/>
  <c r="J83" i="103"/>
  <c r="J48" i="103"/>
  <c r="E69" i="103"/>
  <c r="M27" i="103"/>
  <c r="F40" i="103"/>
  <c r="E61" i="103"/>
  <c r="M60" i="103"/>
  <c r="F77" i="103"/>
  <c r="E37" i="103"/>
  <c r="N122" i="102"/>
  <c r="K122" i="102"/>
  <c r="N118" i="102"/>
  <c r="N185" i="102"/>
  <c r="R202" i="102"/>
  <c r="Z205" i="102"/>
  <c r="AH119" i="102"/>
  <c r="AP189" i="102"/>
  <c r="AX222" i="102"/>
  <c r="BF222" i="102"/>
  <c r="BN177" i="102"/>
  <c r="J122" i="102"/>
  <c r="R182" i="102"/>
  <c r="Z182" i="102"/>
  <c r="AH224" i="102"/>
  <c r="AP219" i="102"/>
  <c r="AX152" i="102"/>
  <c r="BF100" i="102"/>
  <c r="BF229" i="102"/>
  <c r="J111" i="102"/>
  <c r="R125" i="102"/>
  <c r="Z216" i="102"/>
  <c r="Z146" i="102"/>
  <c r="AH204" i="102"/>
  <c r="AP131" i="102"/>
  <c r="AX159" i="102"/>
  <c r="BF160" i="102"/>
  <c r="J114" i="102"/>
  <c r="J200" i="102"/>
  <c r="R163" i="102"/>
  <c r="Z137" i="102"/>
  <c r="AH230" i="102"/>
  <c r="AP205" i="102"/>
  <c r="AX97" i="102"/>
  <c r="BF135" i="102"/>
  <c r="BN228" i="102"/>
  <c r="J106" i="102"/>
  <c r="R98" i="102"/>
  <c r="Z107" i="102"/>
  <c r="AH200" i="102"/>
  <c r="AP104" i="102"/>
  <c r="AP124" i="102"/>
  <c r="AX221" i="102"/>
  <c r="BF164" i="102"/>
  <c r="BN183" i="102"/>
  <c r="J211" i="102"/>
  <c r="R212" i="102"/>
  <c r="Z180" i="102"/>
  <c r="AH116" i="102"/>
  <c r="AP121" i="102"/>
  <c r="AX151" i="102"/>
  <c r="BF161" i="102"/>
  <c r="BN222" i="102"/>
  <c r="BV187" i="102"/>
  <c r="CD152" i="102"/>
  <c r="CD156" i="102"/>
  <c r="CL93" i="102"/>
  <c r="J39" i="102"/>
  <c r="Z32" i="102"/>
  <c r="AH55" i="102"/>
  <c r="AX62" i="102"/>
  <c r="BN59" i="102"/>
  <c r="BV44" i="102"/>
  <c r="BV93" i="102"/>
  <c r="CD148" i="102"/>
  <c r="CL231" i="102"/>
  <c r="J72" i="102"/>
  <c r="R80" i="102"/>
  <c r="Z82" i="102"/>
  <c r="AP68" i="102"/>
  <c r="BF25" i="102"/>
  <c r="BV54" i="102"/>
  <c r="BV222" i="102"/>
  <c r="CD183" i="102"/>
  <c r="CL142" i="102"/>
  <c r="J69" i="102"/>
  <c r="R83" i="102"/>
  <c r="Z42" i="102"/>
  <c r="AX17" i="102"/>
  <c r="BF80" i="102"/>
  <c r="BN69" i="102"/>
  <c r="BN192" i="102"/>
  <c r="BV215" i="102"/>
  <c r="CD103" i="102"/>
  <c r="CL104" i="102"/>
  <c r="J36" i="102"/>
  <c r="R79" i="102"/>
  <c r="Z71" i="102"/>
  <c r="AP67" i="102"/>
  <c r="BF37" i="102"/>
  <c r="BV29" i="102"/>
  <c r="BV184" i="102"/>
  <c r="BV114" i="102"/>
  <c r="CD198" i="102"/>
  <c r="CL179" i="102"/>
  <c r="R41" i="102"/>
  <c r="AH37" i="102"/>
  <c r="AX80" i="102"/>
  <c r="BN9" i="102"/>
  <c r="BV79" i="102"/>
  <c r="BV170" i="102"/>
  <c r="CD170" i="102"/>
  <c r="CL205" i="102"/>
  <c r="R47" i="102"/>
  <c r="Z76" i="102"/>
  <c r="AH58" i="102"/>
  <c r="AX54" i="102"/>
  <c r="BF62" i="102"/>
  <c r="BV64" i="102"/>
  <c r="BV120" i="102"/>
  <c r="CD171" i="102"/>
  <c r="CD149" i="102"/>
  <c r="CL134" i="102"/>
  <c r="J18" i="102"/>
  <c r="Z81" i="102"/>
  <c r="AH44" i="102"/>
  <c r="BF19" i="102"/>
  <c r="BN37" i="102"/>
  <c r="BN150" i="102"/>
  <c r="BV125" i="102"/>
  <c r="CD141" i="102"/>
  <c r="CL160" i="102"/>
  <c r="R9" i="102"/>
  <c r="AH25" i="102"/>
  <c r="AP55" i="102"/>
  <c r="BF71" i="102"/>
  <c r="BN195" i="102"/>
  <c r="BV174" i="102"/>
  <c r="CD115" i="102"/>
  <c r="CL121" i="102"/>
  <c r="CL230" i="102"/>
  <c r="R56" i="102"/>
  <c r="AH28" i="102"/>
  <c r="AP44" i="102"/>
  <c r="BF48" i="102"/>
  <c r="BN62" i="102"/>
  <c r="BN146" i="102"/>
  <c r="BV226" i="102"/>
  <c r="CD204" i="102"/>
  <c r="J52" i="102"/>
  <c r="J11" i="102"/>
  <c r="Z11" i="102"/>
  <c r="AH65" i="102"/>
  <c r="AX12" i="102"/>
  <c r="BF30" i="102"/>
  <c r="BV9" i="102"/>
  <c r="BV171" i="102"/>
  <c r="CD93" i="102"/>
  <c r="CL136" i="102"/>
  <c r="J46" i="102"/>
  <c r="Z49" i="102"/>
  <c r="AP65" i="102"/>
  <c r="BF49" i="102"/>
  <c r="BV28" i="102"/>
  <c r="BV202" i="102"/>
  <c r="CD202" i="102"/>
  <c r="CL199" i="102"/>
  <c r="J17" i="102"/>
  <c r="Z7" i="102"/>
  <c r="AH9" i="102"/>
  <c r="AP52" i="102"/>
  <c r="BF59" i="102"/>
  <c r="BV14" i="102"/>
  <c r="BV115" i="102"/>
  <c r="BV101" i="102"/>
  <c r="CD185" i="102"/>
  <c r="CL157" i="102"/>
  <c r="R8" i="102"/>
  <c r="Z52" i="102"/>
  <c r="AP42" i="102"/>
  <c r="BF61" i="102"/>
  <c r="BN30" i="102"/>
  <c r="BN172" i="102"/>
  <c r="CD184" i="102"/>
  <c r="CL193" i="102"/>
  <c r="J43" i="102"/>
  <c r="Z57" i="102"/>
  <c r="AH47" i="102"/>
  <c r="AX29" i="102"/>
  <c r="BF18" i="102"/>
  <c r="BN71" i="102"/>
  <c r="BN217" i="102"/>
  <c r="BV201" i="102"/>
  <c r="CD218" i="102"/>
  <c r="CL154" i="102"/>
  <c r="J82" i="102"/>
  <c r="R84" i="102"/>
  <c r="AH40" i="102"/>
  <c r="AP60" i="102"/>
  <c r="AX64" i="102"/>
  <c r="BN33" i="102"/>
  <c r="BV46" i="102"/>
  <c r="BV100" i="102"/>
  <c r="CD123" i="102"/>
  <c r="CD197" i="102"/>
  <c r="CL223" i="102"/>
  <c r="R75" i="102"/>
  <c r="AH56" i="102"/>
  <c r="AX45" i="102"/>
  <c r="BF46" i="102"/>
  <c r="BN74" i="102"/>
  <c r="L55" i="103"/>
  <c r="J41" i="103"/>
  <c r="H27" i="103"/>
  <c r="F13" i="103"/>
  <c r="H81" i="103"/>
  <c r="G74" i="103"/>
  <c r="F67" i="103"/>
  <c r="G57" i="103"/>
  <c r="E43" i="103"/>
  <c r="L28" i="103"/>
  <c r="J14" i="103"/>
  <c r="L58" i="103"/>
  <c r="J44" i="103"/>
  <c r="H30" i="103"/>
  <c r="F16" i="103"/>
  <c r="M83" i="103"/>
  <c r="L76" i="103"/>
  <c r="K69" i="103"/>
  <c r="J62" i="103"/>
  <c r="F49" i="103"/>
  <c r="M34" i="103"/>
  <c r="K20" i="103"/>
  <c r="I6" i="103"/>
  <c r="K50" i="103"/>
  <c r="I36" i="103"/>
  <c r="G22" i="103"/>
  <c r="E8" i="103"/>
  <c r="H79" i="103"/>
  <c r="G72" i="103"/>
  <c r="F65" i="103"/>
  <c r="K53" i="103"/>
  <c r="I39" i="103"/>
  <c r="G25" i="103"/>
  <c r="E11" i="103"/>
  <c r="G55" i="103"/>
  <c r="E41" i="103"/>
  <c r="L26" i="103"/>
  <c r="J12" i="103"/>
  <c r="M81" i="103"/>
  <c r="L74" i="103"/>
  <c r="L66" i="103"/>
  <c r="H50" i="103"/>
  <c r="M21" i="103"/>
  <c r="M43" i="103"/>
  <c r="H77" i="103"/>
  <c r="M35" i="103"/>
  <c r="F51" i="103"/>
  <c r="M16" i="103"/>
  <c r="I83" i="103"/>
  <c r="H48" i="103"/>
  <c r="G48" i="103"/>
  <c r="E70" i="103"/>
  <c r="L22" i="103"/>
  <c r="N135" i="102"/>
  <c r="K135" i="102"/>
  <c r="N190" i="102"/>
  <c r="N182" i="102"/>
  <c r="R144" i="102"/>
  <c r="Z99" i="102"/>
  <c r="AH93" i="102"/>
  <c r="AP166" i="102"/>
  <c r="AX180" i="102"/>
  <c r="BF228" i="102"/>
  <c r="BN212" i="102"/>
  <c r="J231" i="102"/>
  <c r="R153" i="102"/>
  <c r="Z191" i="102"/>
  <c r="AH134" i="102"/>
  <c r="AP193" i="102"/>
  <c r="AX142" i="102"/>
  <c r="BF114" i="102"/>
  <c r="BN102" i="102"/>
  <c r="J131" i="102"/>
  <c r="R193" i="102"/>
  <c r="Z222" i="102"/>
  <c r="AH171" i="102"/>
  <c r="AH165" i="102"/>
  <c r="AP143" i="102"/>
  <c r="AX210" i="102"/>
  <c r="BF195" i="102"/>
  <c r="J109" i="102"/>
  <c r="J204" i="102"/>
  <c r="R181" i="102"/>
  <c r="Z172" i="102"/>
  <c r="AH124" i="102"/>
  <c r="AP182" i="102"/>
  <c r="AX161" i="102"/>
  <c r="BF221" i="102"/>
  <c r="BN138" i="102"/>
  <c r="J107" i="102"/>
  <c r="R183" i="102"/>
  <c r="Z134" i="102"/>
  <c r="AH126" i="102"/>
  <c r="AP148" i="102"/>
  <c r="AX107" i="102"/>
  <c r="AX179" i="102"/>
  <c r="BF141" i="102"/>
  <c r="BN173" i="102"/>
  <c r="J218" i="102"/>
  <c r="R118" i="102"/>
  <c r="Z202" i="102"/>
  <c r="AH231" i="102"/>
  <c r="AP155" i="102"/>
  <c r="AX141" i="102"/>
  <c r="BF231" i="102"/>
  <c r="BN103" i="102"/>
  <c r="BV132" i="102"/>
  <c r="CD102" i="102"/>
  <c r="CD117" i="102"/>
  <c r="CL208" i="102"/>
  <c r="J35" i="102"/>
  <c r="Z65" i="102"/>
  <c r="AP16" i="102"/>
  <c r="AX23" i="102"/>
  <c r="BN64" i="102"/>
  <c r="BV42" i="102"/>
  <c r="BV208" i="102"/>
  <c r="CD109" i="102"/>
  <c r="CL128" i="102"/>
  <c r="J22" i="102"/>
  <c r="R33" i="102"/>
  <c r="AH59" i="102"/>
  <c r="AP39" i="102"/>
  <c r="BF84" i="102"/>
  <c r="BV71" i="102"/>
  <c r="BV180" i="102"/>
  <c r="CD154" i="102"/>
  <c r="CL119" i="102"/>
  <c r="J38" i="102"/>
  <c r="R52" i="102"/>
  <c r="AH83" i="102"/>
  <c r="AX78" i="102"/>
  <c r="BF77" i="102"/>
  <c r="BN46" i="102"/>
  <c r="BN214" i="102"/>
  <c r="BV189" i="102"/>
  <c r="CD205" i="102"/>
  <c r="CL164" i="102"/>
  <c r="J12" i="102"/>
  <c r="R10" i="102"/>
  <c r="AH17" i="102"/>
  <c r="AP18" i="102"/>
  <c r="BF73" i="102"/>
  <c r="BV83" i="102"/>
  <c r="BV152" i="102"/>
  <c r="BV229" i="102"/>
  <c r="CD207" i="102"/>
  <c r="CL185" i="102"/>
  <c r="R82" i="102"/>
  <c r="AP20" i="102"/>
  <c r="AX75" i="102"/>
  <c r="BN49" i="102"/>
  <c r="BN179" i="102"/>
  <c r="BV144" i="102"/>
  <c r="CD160" i="102"/>
  <c r="CL99" i="102"/>
  <c r="R48" i="102"/>
  <c r="Z50" i="102"/>
  <c r="AP15" i="102"/>
  <c r="AX46" i="102"/>
  <c r="BF52" i="102"/>
  <c r="BV22" i="102"/>
  <c r="BV193" i="102"/>
  <c r="CD190" i="102"/>
  <c r="CL114" i="102"/>
  <c r="CL175" i="102"/>
  <c r="R7" i="102"/>
  <c r="Z79" i="102"/>
  <c r="AH71" i="102"/>
  <c r="BF45" i="102"/>
  <c r="BN60" i="102"/>
  <c r="BN140" i="102"/>
  <c r="BV134" i="102"/>
  <c r="CD214" i="102"/>
  <c r="CL195" i="102"/>
  <c r="R17" i="102"/>
  <c r="AH45" i="102"/>
  <c r="AX25" i="102"/>
  <c r="BN83" i="102"/>
  <c r="BN185" i="102"/>
  <c r="BV212" i="102"/>
  <c r="CD100" i="102"/>
  <c r="CL110" i="102"/>
  <c r="CL156" i="102"/>
  <c r="R62" i="102"/>
  <c r="AH6" i="102"/>
  <c r="AP74" i="102"/>
  <c r="BF51" i="102"/>
  <c r="BV6" i="102"/>
  <c r="BV190" i="102"/>
  <c r="CD187" i="102"/>
  <c r="CD114" i="102"/>
  <c r="J79" i="102"/>
  <c r="J10" i="102"/>
  <c r="Z35" i="102"/>
  <c r="AH52" i="102"/>
  <c r="AX27" i="102"/>
  <c r="BF20" i="102"/>
  <c r="BV69" i="102"/>
  <c r="BV219" i="102"/>
  <c r="CD107" i="102"/>
  <c r="CL206" i="102"/>
  <c r="J73" i="102"/>
  <c r="Z47" i="102"/>
  <c r="AP63" i="102"/>
  <c r="BF79" i="102"/>
  <c r="BV26" i="102"/>
  <c r="BV176" i="102"/>
  <c r="CD192" i="102"/>
  <c r="CL96" i="102"/>
  <c r="J32" i="102"/>
  <c r="Z21" i="102"/>
  <c r="AH14" i="102"/>
  <c r="AP23" i="102"/>
  <c r="BF78" i="102"/>
  <c r="BV80" i="102"/>
  <c r="BV124" i="102"/>
  <c r="CD136" i="102"/>
  <c r="CD220" i="102"/>
  <c r="CL166" i="102"/>
  <c r="R38" i="102"/>
  <c r="Z26" i="102"/>
  <c r="AX19" i="102"/>
  <c r="BF38" i="102"/>
  <c r="BN76" i="102"/>
  <c r="BN197" i="102"/>
  <c r="CD142" i="102"/>
  <c r="CL218" i="102"/>
  <c r="J37" i="102"/>
  <c r="Z55" i="102"/>
  <c r="AP12" i="102"/>
  <c r="AX33" i="102"/>
  <c r="BN13" i="102"/>
  <c r="BV7" i="102"/>
  <c r="BN223" i="102"/>
  <c r="BV188" i="102"/>
  <c r="CD208" i="102"/>
  <c r="CL97" i="102"/>
  <c r="J80" i="102"/>
  <c r="R66" i="102"/>
  <c r="AH21" i="102"/>
  <c r="AP31" i="102"/>
  <c r="AX59" i="102"/>
  <c r="BN40" i="102"/>
  <c r="BV63" i="102"/>
  <c r="BV206" i="102"/>
  <c r="CD167" i="102"/>
  <c r="CL135" i="102"/>
  <c r="J63" i="102"/>
  <c r="R44" i="102"/>
  <c r="AH51" i="102"/>
  <c r="AX35" i="102"/>
  <c r="BF36" i="102"/>
  <c r="BV10" i="102"/>
  <c r="G54" i="103"/>
  <c r="E40" i="103"/>
  <c r="L25" i="103"/>
  <c r="J11" i="103"/>
  <c r="I80" i="103"/>
  <c r="H73" i="103"/>
  <c r="G66" i="103"/>
  <c r="K55" i="103"/>
  <c r="I41" i="103"/>
  <c r="G27" i="103"/>
  <c r="E13" i="103"/>
  <c r="F57" i="103"/>
  <c r="M42" i="103"/>
  <c r="K28" i="103"/>
  <c r="I14" i="103"/>
  <c r="E83" i="103"/>
  <c r="M75" i="103"/>
  <c r="L68" i="103"/>
  <c r="K61" i="103"/>
  <c r="J47" i="103"/>
  <c r="H33" i="103"/>
  <c r="F19" i="103"/>
  <c r="L14" i="103"/>
  <c r="I47" i="103"/>
  <c r="G33" i="103"/>
  <c r="E19" i="103"/>
  <c r="H16" i="103"/>
  <c r="I78" i="103"/>
  <c r="H71" i="103"/>
  <c r="G64" i="103"/>
  <c r="F52" i="103"/>
  <c r="M37" i="103"/>
  <c r="K23" i="103"/>
  <c r="I9" i="103"/>
  <c r="J53" i="103"/>
  <c r="H39" i="103"/>
  <c r="F25" i="103"/>
  <c r="M10" i="103"/>
  <c r="E81" i="103"/>
  <c r="M73" i="103"/>
  <c r="M65" i="103"/>
  <c r="L48" i="103"/>
  <c r="H20" i="103"/>
  <c r="H42" i="103"/>
  <c r="I76" i="103"/>
  <c r="H34" i="103"/>
  <c r="E48" i="103"/>
  <c r="K13" i="103"/>
  <c r="J82" i="103"/>
  <c r="L46" i="103"/>
  <c r="K46" i="103"/>
  <c r="M62" i="103"/>
  <c r="J8" i="103"/>
  <c r="N148" i="102"/>
  <c r="K164" i="102"/>
  <c r="N187" i="102"/>
  <c r="N179" i="102"/>
  <c r="Z155" i="102"/>
  <c r="AH98" i="102"/>
  <c r="AP101" i="102"/>
  <c r="AP172" i="102"/>
  <c r="AX154" i="102"/>
  <c r="BF189" i="102"/>
  <c r="BN231" i="102"/>
  <c r="R103" i="102"/>
  <c r="R137" i="102"/>
  <c r="Z166" i="102"/>
  <c r="AH138" i="102"/>
  <c r="AP105" i="102"/>
  <c r="AX199" i="102"/>
  <c r="BF126" i="102"/>
  <c r="BN116" i="102"/>
  <c r="J182" i="102"/>
  <c r="R180" i="102"/>
  <c r="Z148" i="102"/>
  <c r="AH199" i="102"/>
  <c r="AP116" i="102"/>
  <c r="AX220" i="102"/>
  <c r="BF129" i="102"/>
  <c r="BF133" i="102"/>
  <c r="J105" i="102"/>
  <c r="J216" i="102"/>
  <c r="R147" i="102"/>
  <c r="Z121" i="102"/>
  <c r="AH214" i="102"/>
  <c r="AP153" i="102"/>
  <c r="AX170" i="102"/>
  <c r="BF205" i="102"/>
  <c r="BN122" i="102"/>
  <c r="R139" i="102"/>
  <c r="R188" i="102"/>
  <c r="Z226" i="102"/>
  <c r="AH143" i="102"/>
  <c r="AP122" i="102"/>
  <c r="AX100" i="102"/>
  <c r="BF184" i="102"/>
  <c r="BN97" i="102"/>
  <c r="J100" i="102"/>
  <c r="R196" i="102"/>
  <c r="Z164" i="102"/>
  <c r="AH100" i="102"/>
  <c r="AP103" i="102"/>
  <c r="AP178" i="102"/>
  <c r="BF108" i="102"/>
  <c r="BF169" i="102"/>
  <c r="J103" i="102"/>
  <c r="R107" i="102"/>
  <c r="Z122" i="102"/>
  <c r="AH130" i="102"/>
  <c r="AH226" i="102"/>
  <c r="AP169" i="102"/>
  <c r="AX196" i="102"/>
  <c r="BF115" i="102"/>
  <c r="BN112" i="102"/>
  <c r="J215" i="102"/>
  <c r="R138" i="102"/>
  <c r="Z97" i="102"/>
  <c r="AH161" i="102"/>
  <c r="AP125" i="102"/>
  <c r="AX105" i="102"/>
  <c r="AX137" i="102"/>
  <c r="BF150" i="102"/>
  <c r="J120" i="102"/>
  <c r="J226" i="102"/>
  <c r="R124" i="102"/>
  <c r="Z176" i="102"/>
  <c r="AH205" i="102"/>
  <c r="AP129" i="102"/>
  <c r="AX166" i="102"/>
  <c r="BF202" i="102"/>
  <c r="BN93" i="102"/>
  <c r="BV161" i="102"/>
  <c r="CD131" i="102"/>
  <c r="CL129" i="102"/>
  <c r="CL102" i="102"/>
  <c r="J29" i="102"/>
  <c r="Z63" i="102"/>
  <c r="AP48" i="102"/>
  <c r="BF32" i="102"/>
  <c r="BN21" i="102"/>
  <c r="BN118" i="102"/>
  <c r="BV102" i="102"/>
  <c r="CD224" i="102"/>
  <c r="CL163" i="102"/>
  <c r="J16" i="102"/>
  <c r="R74" i="102"/>
  <c r="AH10" i="102"/>
  <c r="AX10" i="102"/>
  <c r="BF55" i="102"/>
  <c r="BN163" i="102"/>
  <c r="BV154" i="102"/>
  <c r="CD144" i="102"/>
  <c r="CL155" i="102"/>
  <c r="J60" i="102"/>
  <c r="R34" i="102"/>
  <c r="AH16" i="102"/>
  <c r="AX53" i="102"/>
  <c r="BF54" i="102"/>
  <c r="BN82" i="102"/>
  <c r="BN204" i="102"/>
  <c r="BV198" i="102"/>
  <c r="CD147" i="102"/>
  <c r="CL109" i="102"/>
  <c r="J54" i="102"/>
  <c r="R55" i="102"/>
  <c r="AH77" i="102"/>
  <c r="AX6" i="102"/>
  <c r="BF34" i="102"/>
  <c r="BV33" i="102"/>
  <c r="BV97" i="102"/>
  <c r="CD120" i="102"/>
  <c r="CL130" i="102"/>
  <c r="CL220" i="102"/>
  <c r="Z36" i="102"/>
  <c r="AP19" i="102"/>
  <c r="BF27" i="102"/>
  <c r="BN47" i="102"/>
  <c r="BN169" i="102"/>
  <c r="BV179" i="102"/>
  <c r="CD118" i="102"/>
  <c r="CL214" i="102"/>
  <c r="R54" i="102"/>
  <c r="AH8" i="102"/>
  <c r="AP53" i="102"/>
  <c r="AX40" i="102"/>
  <c r="BF23" i="102"/>
  <c r="BV81" i="102"/>
  <c r="BV231" i="102"/>
  <c r="CD225" i="102"/>
  <c r="CL225" i="102"/>
  <c r="CL229" i="102"/>
  <c r="R51" i="102"/>
  <c r="AH11" i="102"/>
  <c r="AP7" i="102"/>
  <c r="BF22" i="102"/>
  <c r="BN50" i="102"/>
  <c r="BN165" i="102"/>
  <c r="BV95" i="102"/>
  <c r="CD108" i="102"/>
  <c r="CL201" i="102"/>
  <c r="R61" i="102"/>
  <c r="AH22" i="102"/>
  <c r="AX13" i="102"/>
  <c r="BN57" i="102"/>
  <c r="BN191" i="102"/>
  <c r="BV186" i="102"/>
  <c r="CD215" i="102"/>
  <c r="CL94" i="102"/>
  <c r="CL178" i="102"/>
  <c r="R68" i="102"/>
  <c r="AH33" i="102"/>
  <c r="AX7" i="102"/>
  <c r="BF70" i="102"/>
  <c r="BV72" i="102"/>
  <c r="BV131" i="102"/>
  <c r="CD104" i="102"/>
  <c r="CD165" i="102"/>
  <c r="J84" i="102"/>
  <c r="R19" i="102"/>
  <c r="Z56" i="102"/>
  <c r="AH79" i="102"/>
  <c r="AX36" i="102"/>
  <c r="BF50" i="102"/>
  <c r="BV49" i="102"/>
  <c r="BV129" i="102"/>
  <c r="CD126" i="102"/>
  <c r="CL202" i="102"/>
  <c r="J61" i="102"/>
  <c r="AH53" i="102"/>
  <c r="AX14" i="102"/>
  <c r="BN65" i="102"/>
  <c r="BN211" i="102"/>
  <c r="BV211" i="102"/>
  <c r="CD150" i="102"/>
  <c r="CL131" i="102"/>
  <c r="R29" i="102"/>
  <c r="Z29" i="102"/>
  <c r="AH64" i="102"/>
  <c r="AP82" i="102"/>
  <c r="BF68" i="102"/>
  <c r="BV38" i="102"/>
  <c r="BV94" i="102"/>
  <c r="CD98" i="102"/>
  <c r="CD130" i="102"/>
  <c r="CL207" i="102"/>
  <c r="R24" i="102"/>
  <c r="AH78" i="102"/>
  <c r="AX28" i="102"/>
  <c r="BF28" i="102"/>
  <c r="BN66" i="102"/>
  <c r="BV145" i="102"/>
  <c r="CD177" i="102"/>
  <c r="CL192" i="102"/>
  <c r="J42" i="102"/>
  <c r="AH24" i="102"/>
  <c r="AP21" i="102"/>
  <c r="AX38" i="102"/>
  <c r="BN8" i="102"/>
  <c r="BV21" i="102"/>
  <c r="BN117" i="102"/>
  <c r="BV197" i="102"/>
  <c r="CD166" i="102"/>
  <c r="CL215" i="102"/>
  <c r="J9" i="102"/>
  <c r="Z15" i="102"/>
  <c r="AH82" i="102"/>
  <c r="AX22" i="102"/>
  <c r="BF67" i="102"/>
  <c r="BN48" i="102"/>
  <c r="BN147" i="102"/>
  <c r="BV164" i="102"/>
  <c r="CD138" i="102"/>
  <c r="CL101" i="102"/>
  <c r="J68" i="102"/>
  <c r="Z16" i="102"/>
  <c r="AH81" i="102"/>
  <c r="AX24" i="102"/>
  <c r="BF66" i="102"/>
  <c r="BV48" i="102"/>
  <c r="D59" i="62"/>
  <c r="E51" i="103"/>
  <c r="L36" i="103"/>
  <c r="J22" i="103"/>
  <c r="H8" i="103"/>
  <c r="J79" i="103"/>
  <c r="I72" i="103"/>
  <c r="H65" i="103"/>
  <c r="F54" i="103"/>
  <c r="M39" i="103"/>
  <c r="K25" i="103"/>
  <c r="I11" i="103"/>
  <c r="J55" i="103"/>
  <c r="H41" i="103"/>
  <c r="F27" i="103"/>
  <c r="M12" i="103"/>
  <c r="F82" i="103"/>
  <c r="E75" i="103"/>
  <c r="M67" i="103"/>
  <c r="G60" i="103"/>
  <c r="E46" i="103"/>
  <c r="L31" i="103"/>
  <c r="J17" i="103"/>
  <c r="F60" i="103"/>
  <c r="M45" i="103"/>
  <c r="K31" i="103"/>
  <c r="I17" i="103"/>
  <c r="K84" i="103"/>
  <c r="J77" i="103"/>
  <c r="I70" i="103"/>
  <c r="H63" i="103"/>
  <c r="J50" i="103"/>
  <c r="H36" i="103"/>
  <c r="F22" i="103"/>
  <c r="M7" i="103"/>
  <c r="E52" i="103"/>
  <c r="L37" i="103"/>
  <c r="J23" i="103"/>
  <c r="H9" i="103"/>
  <c r="F80" i="103"/>
  <c r="E73" i="103"/>
  <c r="E65" i="103"/>
  <c r="E44" i="103"/>
  <c r="J15" i="103"/>
  <c r="K29" i="103"/>
  <c r="G70" i="103"/>
  <c r="K21" i="103"/>
  <c r="J59" i="103"/>
  <c r="J80" i="103"/>
  <c r="H76" i="103"/>
  <c r="F34" i="103"/>
  <c r="E34" i="103"/>
  <c r="H51" i="103"/>
  <c r="N161" i="102"/>
  <c r="K100" i="102"/>
  <c r="K231" i="102"/>
  <c r="K178" i="102"/>
  <c r="R224" i="102"/>
  <c r="Z170" i="102"/>
  <c r="AH173" i="102"/>
  <c r="AP184" i="102"/>
  <c r="AX129" i="102"/>
  <c r="BF103" i="102"/>
  <c r="BN142" i="102"/>
  <c r="J125" i="102"/>
  <c r="J220" i="102"/>
  <c r="R165" i="102"/>
  <c r="Z156" i="102"/>
  <c r="AH108" i="102"/>
  <c r="AP188" i="102"/>
  <c r="AX176" i="102"/>
  <c r="BF99" i="102"/>
  <c r="BN96" i="102"/>
  <c r="R136" i="102"/>
  <c r="R210" i="102"/>
  <c r="AH152" i="102"/>
  <c r="AP96" i="102"/>
  <c r="AP176" i="102"/>
  <c r="AX215" i="102"/>
  <c r="BF187" i="102"/>
  <c r="BN203" i="102"/>
  <c r="J110" i="102"/>
  <c r="R102" i="102"/>
  <c r="Z186" i="102"/>
  <c r="AH215" i="102"/>
  <c r="AP100" i="102"/>
  <c r="AX172" i="102"/>
  <c r="BF152" i="102"/>
  <c r="BF149" i="102"/>
  <c r="J97" i="102"/>
  <c r="R94" i="102"/>
  <c r="Z219" i="102"/>
  <c r="AH184" i="102"/>
  <c r="AP110" i="102"/>
  <c r="AP204" i="102"/>
  <c r="AX186" i="102"/>
  <c r="BF230" i="102"/>
  <c r="J117" i="102"/>
  <c r="J217" i="102"/>
  <c r="R221" i="102"/>
  <c r="Z119" i="102"/>
  <c r="AH196" i="102"/>
  <c r="AP174" i="102"/>
  <c r="AX124" i="102"/>
  <c r="AX165" i="102"/>
  <c r="BF159" i="102"/>
  <c r="J95" i="102"/>
  <c r="R174" i="102"/>
  <c r="R146" i="102"/>
  <c r="Z211" i="102"/>
  <c r="AH160" i="102"/>
  <c r="AP199" i="102"/>
  <c r="AX175" i="102"/>
  <c r="BF176" i="102"/>
  <c r="BN198" i="102"/>
  <c r="BV199" i="102"/>
  <c r="CD158" i="102"/>
  <c r="CL138" i="102"/>
  <c r="CL143" i="102"/>
  <c r="J34" i="102"/>
  <c r="AH75" i="102"/>
  <c r="AP8" i="102"/>
  <c r="BF72" i="102"/>
  <c r="BN81" i="102"/>
  <c r="BN108" i="102"/>
  <c r="BV217" i="102"/>
  <c r="CD182" i="102"/>
  <c r="CL169" i="102"/>
  <c r="R39" i="102"/>
  <c r="Z69" i="102"/>
  <c r="AH29" i="102"/>
  <c r="AX49" i="102"/>
  <c r="BN80" i="102"/>
  <c r="BN153" i="102"/>
  <c r="BV128" i="102"/>
  <c r="CD227" i="102"/>
  <c r="CL151" i="102"/>
  <c r="J28" i="102"/>
  <c r="Z31" i="102"/>
  <c r="AH76" i="102"/>
  <c r="AX65" i="102"/>
  <c r="BF44" i="102"/>
  <c r="BV45" i="102"/>
  <c r="BN114" i="102"/>
  <c r="BV159" i="102"/>
  <c r="CD137" i="102"/>
  <c r="CL224" i="102"/>
  <c r="J31" i="102"/>
  <c r="R81" i="102"/>
  <c r="AH54" i="102"/>
  <c r="AX57" i="102"/>
  <c r="BN56" i="102"/>
  <c r="BV52" i="102"/>
  <c r="BV135" i="102"/>
  <c r="CD216" i="102"/>
  <c r="CL222" i="102"/>
  <c r="CL133" i="102"/>
  <c r="Z6" i="102"/>
  <c r="AP25" i="102"/>
  <c r="BF6" i="102"/>
  <c r="BV15" i="102"/>
  <c r="BN175" i="102"/>
  <c r="BV153" i="102"/>
  <c r="CD127" i="102"/>
  <c r="CL140" i="102"/>
  <c r="R60" i="102"/>
  <c r="AH13" i="102"/>
  <c r="AP13" i="102"/>
  <c r="AX68" i="102"/>
  <c r="BF82" i="102"/>
  <c r="BV39" i="102"/>
  <c r="BV205" i="102"/>
  <c r="CD119" i="102"/>
  <c r="CL187" i="102"/>
  <c r="J58" i="102"/>
  <c r="R20" i="102"/>
  <c r="AH26" i="102"/>
  <c r="AP75" i="102"/>
  <c r="BF81" i="102"/>
  <c r="BV23" i="102"/>
  <c r="BV139" i="102"/>
  <c r="BV130" i="102"/>
  <c r="CD223" i="102"/>
  <c r="CL95" i="102"/>
  <c r="R49" i="102"/>
  <c r="AH31" i="102"/>
  <c r="AX8" i="102"/>
  <c r="BN55" i="102"/>
  <c r="BN226" i="102"/>
  <c r="BV160" i="102"/>
  <c r="CD186" i="102"/>
  <c r="CL120" i="102"/>
  <c r="J55" i="102"/>
  <c r="R50" i="102"/>
  <c r="AH35" i="102"/>
  <c r="AX26" i="102"/>
  <c r="BF60" i="102"/>
  <c r="BV30" i="102"/>
  <c r="BV209" i="102"/>
  <c r="CD206" i="102"/>
  <c r="CL105" i="102"/>
  <c r="J70" i="102"/>
  <c r="R22" i="102"/>
  <c r="Z30" i="102"/>
  <c r="AP28" i="102"/>
  <c r="AX47" i="102"/>
  <c r="BN28" i="102"/>
  <c r="BV68" i="102"/>
  <c r="BV167" i="102"/>
  <c r="CD161" i="102"/>
  <c r="CL176" i="102"/>
  <c r="J51" i="102"/>
  <c r="AH30" i="102"/>
  <c r="AX20" i="102"/>
  <c r="BN63" i="102"/>
  <c r="BN201" i="102"/>
  <c r="BV185" i="102"/>
  <c r="CD159" i="102"/>
  <c r="CL137" i="102"/>
  <c r="R26" i="102"/>
  <c r="Z61" i="102"/>
  <c r="AH67" i="102"/>
  <c r="AX77" i="102"/>
  <c r="BF39" i="102"/>
  <c r="BV55" i="102"/>
  <c r="BV225" i="102"/>
  <c r="CD222" i="102"/>
  <c r="CD181" i="102"/>
  <c r="J71" i="102"/>
  <c r="R67" i="102"/>
  <c r="AH73" i="102"/>
  <c r="AX16" i="102"/>
  <c r="BF58" i="102"/>
  <c r="BV32" i="102"/>
  <c r="BV183" i="102"/>
  <c r="CD212" i="102"/>
  <c r="CL227" i="102"/>
  <c r="R35" i="102"/>
  <c r="AH27" i="102"/>
  <c r="AP80" i="102"/>
  <c r="AX15" i="102"/>
  <c r="BN17" i="102"/>
  <c r="BV67" i="102"/>
  <c r="BV163" i="102"/>
  <c r="CD155" i="102"/>
  <c r="CD175" i="102"/>
  <c r="CL112" i="102"/>
  <c r="J24" i="102"/>
  <c r="Z37" i="102"/>
  <c r="AP40" i="102"/>
  <c r="AX9" i="102"/>
  <c r="BF17" i="102"/>
  <c r="BN78" i="102"/>
  <c r="BN137" i="102"/>
  <c r="BV138" i="102"/>
  <c r="CD128" i="102"/>
  <c r="CL184" i="102"/>
  <c r="J67" i="102"/>
  <c r="Z39" i="102"/>
  <c r="AH68" i="102"/>
  <c r="AX52" i="102"/>
  <c r="BN19" i="102"/>
  <c r="BV20" i="102"/>
  <c r="C59" i="62"/>
  <c r="I49" i="103"/>
  <c r="G35" i="103"/>
  <c r="E21" i="103"/>
  <c r="L6" i="103"/>
  <c r="K78" i="103"/>
  <c r="J71" i="103"/>
  <c r="I64" i="103"/>
  <c r="J52" i="103"/>
  <c r="H38" i="103"/>
  <c r="F24" i="103"/>
  <c r="M9" i="103"/>
  <c r="E54" i="103"/>
  <c r="L39" i="103"/>
  <c r="J25" i="103"/>
  <c r="H11" i="103"/>
  <c r="G81" i="103"/>
  <c r="F74" i="103"/>
  <c r="E67" i="103"/>
  <c r="K58" i="103"/>
  <c r="I44" i="103"/>
  <c r="G30" i="103"/>
  <c r="E16" i="103"/>
  <c r="J58" i="103"/>
  <c r="H44" i="103"/>
  <c r="F30" i="103"/>
  <c r="M15" i="103"/>
  <c r="L83" i="103"/>
  <c r="K76" i="103"/>
  <c r="J69" i="103"/>
  <c r="I62" i="103"/>
  <c r="E49" i="103"/>
  <c r="L34" i="103"/>
  <c r="J20" i="103"/>
  <c r="H6" i="103"/>
  <c r="I50" i="103"/>
  <c r="G36" i="103"/>
  <c r="E22" i="103"/>
  <c r="L7" i="103"/>
  <c r="G79" i="103"/>
  <c r="F72" i="103"/>
  <c r="G63" i="103"/>
  <c r="I42" i="103"/>
  <c r="E14" i="103"/>
  <c r="F28" i="103"/>
  <c r="H69" i="103"/>
  <c r="F20" i="103"/>
  <c r="H56" i="103"/>
  <c r="L78" i="103"/>
  <c r="I75" i="103"/>
  <c r="J32" i="103"/>
  <c r="I32" i="103"/>
  <c r="F37" i="103"/>
  <c r="N97" i="102"/>
  <c r="K113" i="102"/>
  <c r="K228" i="102"/>
  <c r="K175" i="102"/>
  <c r="L51" i="103"/>
  <c r="J37" i="103"/>
  <c r="H23" i="103"/>
  <c r="F9" i="103"/>
  <c r="M80" i="103"/>
  <c r="L73" i="103"/>
  <c r="K66" i="103"/>
  <c r="E58" i="103"/>
  <c r="L43" i="103"/>
  <c r="J29" i="103"/>
  <c r="H15" i="103"/>
  <c r="M77" i="103"/>
  <c r="K63" i="103"/>
  <c r="H35" i="103"/>
  <c r="K51" i="103"/>
  <c r="I37" i="103"/>
  <c r="G23" i="103"/>
  <c r="E9" i="103"/>
  <c r="I73" i="103"/>
  <c r="M55" i="103"/>
  <c r="E29" i="103"/>
  <c r="M79" i="103"/>
  <c r="L72" i="103"/>
  <c r="K65" i="103"/>
  <c r="G56" i="103"/>
  <c r="E42" i="103"/>
  <c r="L27" i="103"/>
  <c r="J13" i="103"/>
  <c r="J54" i="103"/>
  <c r="H40" i="103"/>
  <c r="F26" i="103"/>
  <c r="M11" i="103"/>
  <c r="J81" i="103"/>
  <c r="I74" i="103"/>
  <c r="H67" i="103"/>
  <c r="G59" i="103"/>
  <c r="E45" i="103"/>
  <c r="L30" i="103"/>
  <c r="J16" i="103"/>
  <c r="K60" i="103"/>
  <c r="I46" i="103"/>
  <c r="G32" i="103"/>
  <c r="E18" i="103"/>
  <c r="K130" i="102"/>
  <c r="K143" i="102"/>
  <c r="K156" i="102"/>
  <c r="K169" i="102"/>
  <c r="K105" i="102"/>
  <c r="K118" i="102"/>
  <c r="K131" i="102"/>
  <c r="K101" i="102"/>
  <c r="N110" i="102"/>
  <c r="N155" i="102"/>
  <c r="N168" i="102"/>
  <c r="N104" i="102"/>
  <c r="N117" i="102"/>
  <c r="N146" i="102"/>
  <c r="N159" i="102"/>
  <c r="N95" i="102"/>
  <c r="N108" i="102"/>
  <c r="K123" i="102"/>
  <c r="K152" i="102"/>
  <c r="K224" i="102"/>
  <c r="K221" i="102"/>
  <c r="N216" i="102"/>
  <c r="N213" i="102"/>
  <c r="N210" i="102"/>
  <c r="K225" i="102"/>
  <c r="K222" i="102"/>
  <c r="K219" i="102"/>
  <c r="K216" i="102"/>
  <c r="K213" i="102"/>
  <c r="N224" i="102"/>
  <c r="N221" i="102"/>
  <c r="N218" i="102"/>
  <c r="N193" i="102"/>
  <c r="K230" i="102"/>
  <c r="V179" i="102"/>
  <c r="S162" i="102"/>
  <c r="S146" i="102"/>
  <c r="S95" i="102"/>
  <c r="S120" i="102"/>
  <c r="S153" i="102"/>
  <c r="S226" i="102"/>
  <c r="S165" i="102"/>
  <c r="V103" i="102"/>
  <c r="V160" i="102"/>
  <c r="V192" i="102"/>
  <c r="V208" i="102"/>
  <c r="S200" i="102"/>
  <c r="V137" i="102"/>
  <c r="V201" i="102"/>
  <c r="V188" i="102"/>
  <c r="V143" i="102"/>
  <c r="V207" i="102"/>
  <c r="V146" i="102"/>
  <c r="V210" i="102"/>
  <c r="V181" i="102"/>
  <c r="V104" i="102"/>
  <c r="V168" i="102"/>
  <c r="V155" i="102"/>
  <c r="V219" i="102"/>
  <c r="V142" i="102"/>
  <c r="V206" i="102"/>
  <c r="V161" i="102"/>
  <c r="V225" i="102"/>
  <c r="V148" i="102"/>
  <c r="V212" i="102"/>
  <c r="V122" i="102"/>
  <c r="V186" i="102"/>
  <c r="V125" i="102"/>
  <c r="V189" i="102"/>
  <c r="AD124" i="102"/>
  <c r="AD163" i="102"/>
  <c r="AD125" i="102"/>
  <c r="AA178" i="102"/>
  <c r="AD99" i="102"/>
  <c r="AD160" i="102"/>
  <c r="AA120" i="102"/>
  <c r="AD110" i="102"/>
  <c r="AD147" i="102"/>
  <c r="AA184" i="102"/>
  <c r="AD121" i="102"/>
  <c r="AD185" i="102"/>
  <c r="AD156" i="102"/>
  <c r="AD220" i="102"/>
  <c r="AD143" i="102"/>
  <c r="AD207" i="102"/>
  <c r="AD178" i="102"/>
  <c r="AD101" i="102"/>
  <c r="AD165" i="102"/>
  <c r="AD229" i="102"/>
  <c r="AD152" i="102"/>
  <c r="AD216" i="102"/>
  <c r="AA141" i="102"/>
  <c r="AA205" i="102"/>
  <c r="AA176" i="102"/>
  <c r="AA99" i="102"/>
  <c r="AA163" i="102"/>
  <c r="AA227" i="102"/>
  <c r="AA150" i="102"/>
  <c r="AA214" i="102"/>
  <c r="AA137" i="102"/>
  <c r="AA201" i="102"/>
  <c r="AD138" i="102"/>
  <c r="AD202" i="102"/>
  <c r="AD205" i="102"/>
  <c r="AL106" i="102"/>
  <c r="AI96" i="102"/>
  <c r="AL112" i="102"/>
  <c r="AI117" i="102"/>
  <c r="AI181" i="102"/>
  <c r="AI104" i="102"/>
  <c r="AI168" i="102"/>
  <c r="AL105" i="102"/>
  <c r="AL169" i="102"/>
  <c r="AI94" i="102"/>
  <c r="AI158" i="102"/>
  <c r="AI222" i="102"/>
  <c r="AI145" i="102"/>
  <c r="AI209" i="102"/>
  <c r="AI132" i="102"/>
  <c r="AI196" i="102"/>
  <c r="AI119" i="102"/>
  <c r="AI183" i="102"/>
  <c r="AL120" i="102"/>
  <c r="AL184" i="102"/>
  <c r="AI109" i="102"/>
  <c r="AI173" i="102"/>
  <c r="AI112" i="102"/>
  <c r="AI176" i="102"/>
  <c r="AI99" i="102"/>
  <c r="AI163" i="102"/>
  <c r="AI227" i="102"/>
  <c r="AI150" i="102"/>
  <c r="AI214" i="102"/>
  <c r="AI137" i="102"/>
  <c r="AI201" i="102"/>
  <c r="AL170" i="102"/>
  <c r="AL93" i="102"/>
  <c r="AL157" i="102"/>
  <c r="AL221" i="102"/>
  <c r="AT156" i="102"/>
  <c r="AT175" i="102"/>
  <c r="AT120" i="102"/>
  <c r="AQ178" i="102"/>
  <c r="AT118" i="102"/>
  <c r="AT129" i="102"/>
  <c r="AT160" i="102"/>
  <c r="AT104" i="102"/>
  <c r="AT143" i="102"/>
  <c r="AT147" i="102"/>
  <c r="AT211" i="102"/>
  <c r="AT214" i="102"/>
  <c r="AQ139" i="102"/>
  <c r="AQ203" i="102"/>
  <c r="AT220" i="102"/>
  <c r="AT98" i="102"/>
  <c r="AT162" i="102"/>
  <c r="AT226" i="102"/>
  <c r="AQ183" i="102"/>
  <c r="AQ138" i="102"/>
  <c r="AQ202" i="102"/>
  <c r="AT139" i="102"/>
  <c r="AT203" i="102"/>
  <c r="AT142" i="102"/>
  <c r="AT206" i="102"/>
  <c r="AT177" i="102"/>
  <c r="AT100" i="102"/>
  <c r="AT164" i="102"/>
  <c r="AT228" i="102"/>
  <c r="AT151" i="102"/>
  <c r="AT215" i="102"/>
  <c r="AQ140" i="102"/>
  <c r="AQ204" i="102"/>
  <c r="AT173" i="102"/>
  <c r="AY102" i="102"/>
  <c r="AY107" i="102"/>
  <c r="BB137" i="102"/>
  <c r="AY226" i="102"/>
  <c r="BB100" i="102"/>
  <c r="BB196" i="102"/>
  <c r="BB212" i="102"/>
  <c r="BB228" i="102"/>
  <c r="AY99" i="102"/>
  <c r="AY130" i="102"/>
  <c r="BB153" i="102"/>
  <c r="BB150" i="102"/>
  <c r="BB214" i="102"/>
  <c r="BB201" i="102"/>
  <c r="AY126" i="102"/>
  <c r="AY190" i="102"/>
  <c r="AY113" i="102"/>
  <c r="AY177" i="102"/>
  <c r="AY116" i="102"/>
  <c r="AY180" i="102"/>
  <c r="AY103" i="102"/>
  <c r="AY167" i="102"/>
  <c r="AY231" i="102"/>
  <c r="AY186" i="102"/>
  <c r="BB155" i="102"/>
  <c r="AY128" i="102"/>
  <c r="AY208" i="102"/>
  <c r="BB193" i="102"/>
  <c r="AY137" i="102"/>
  <c r="AY124" i="102"/>
  <c r="G50" i="103"/>
  <c r="E36" i="103"/>
  <c r="L21" i="103"/>
  <c r="J7" i="103"/>
  <c r="E80" i="103"/>
  <c r="M72" i="103"/>
  <c r="L65" i="103"/>
  <c r="I56" i="103"/>
  <c r="G42" i="103"/>
  <c r="E28" i="103"/>
  <c r="L13" i="103"/>
  <c r="F76" i="103"/>
  <c r="M61" i="103"/>
  <c r="J30" i="103"/>
  <c r="E50" i="103"/>
  <c r="L35" i="103"/>
  <c r="J21" i="103"/>
  <c r="H7" i="103"/>
  <c r="K71" i="103"/>
  <c r="K52" i="103"/>
  <c r="M25" i="103"/>
  <c r="E79" i="103"/>
  <c r="M71" i="103"/>
  <c r="L64" i="103"/>
  <c r="K54" i="103"/>
  <c r="I40" i="103"/>
  <c r="G26" i="103"/>
  <c r="E12" i="103"/>
  <c r="E53" i="103"/>
  <c r="L38" i="103"/>
  <c r="J24" i="103"/>
  <c r="H10" i="103"/>
  <c r="K80" i="103"/>
  <c r="J73" i="103"/>
  <c r="I66" i="103"/>
  <c r="K57" i="103"/>
  <c r="I43" i="103"/>
  <c r="G29" i="103"/>
  <c r="E15" i="103"/>
  <c r="F59" i="103"/>
  <c r="M44" i="103"/>
  <c r="K30" i="103"/>
  <c r="I16" i="103"/>
  <c r="K93" i="102"/>
  <c r="N128" i="102"/>
  <c r="N141" i="102"/>
  <c r="N154" i="102"/>
  <c r="N167" i="102"/>
  <c r="N103" i="102"/>
  <c r="N116" i="102"/>
  <c r="N129" i="102"/>
  <c r="K160" i="102"/>
  <c r="K96" i="102"/>
  <c r="K141" i="102"/>
  <c r="K154" i="102"/>
  <c r="K167" i="102"/>
  <c r="K103" i="102"/>
  <c r="K132" i="102"/>
  <c r="K145" i="102"/>
  <c r="K158" i="102"/>
  <c r="K94" i="102"/>
  <c r="N121" i="102"/>
  <c r="N150" i="102"/>
  <c r="N222" i="102"/>
  <c r="N219" i="102"/>
  <c r="K202" i="102"/>
  <c r="K199" i="102"/>
  <c r="K196" i="102"/>
  <c r="N223" i="102"/>
  <c r="N220" i="102"/>
  <c r="N217" i="102"/>
  <c r="N214" i="102"/>
  <c r="N211" i="102"/>
  <c r="K210" i="102"/>
  <c r="K207" i="102"/>
  <c r="K204" i="102"/>
  <c r="N231" i="102"/>
  <c r="N228" i="102"/>
  <c r="S210" i="102"/>
  <c r="S114" i="102"/>
  <c r="V151" i="102"/>
  <c r="S126" i="102"/>
  <c r="S133" i="102"/>
  <c r="S197" i="102"/>
  <c r="V108" i="102"/>
  <c r="V95" i="102"/>
  <c r="V115" i="102"/>
  <c r="S178" i="102"/>
  <c r="S229" i="102"/>
  <c r="S100" i="102"/>
  <c r="V214" i="102"/>
  <c r="S139" i="102"/>
  <c r="S203" i="102"/>
  <c r="S190" i="102"/>
  <c r="S145" i="102"/>
  <c r="S209" i="102"/>
  <c r="S148" i="102"/>
  <c r="S212" i="102"/>
  <c r="S183" i="102"/>
  <c r="S106" i="102"/>
  <c r="S170" i="102"/>
  <c r="S157" i="102"/>
  <c r="S221" i="102"/>
  <c r="S144" i="102"/>
  <c r="S208" i="102"/>
  <c r="S163" i="102"/>
  <c r="S227" i="102"/>
  <c r="S150" i="102"/>
  <c r="S214" i="102"/>
  <c r="S124" i="102"/>
  <c r="S188" i="102"/>
  <c r="S127" i="102"/>
  <c r="S191" i="102"/>
  <c r="AA128" i="102"/>
  <c r="AD128" i="102"/>
  <c r="AD176" i="102"/>
  <c r="AD224" i="102"/>
  <c r="AA116" i="102"/>
  <c r="AD179" i="102"/>
  <c r="AA127" i="102"/>
  <c r="AA114" i="102"/>
  <c r="AA101" i="102"/>
  <c r="AD198" i="102"/>
  <c r="AA123" i="102"/>
  <c r="AA187" i="102"/>
  <c r="AA158" i="102"/>
  <c r="AA222" i="102"/>
  <c r="AA145" i="102"/>
  <c r="AA209" i="102"/>
  <c r="AA180" i="102"/>
  <c r="AA103" i="102"/>
  <c r="AA167" i="102"/>
  <c r="AA231" i="102"/>
  <c r="AA154" i="102"/>
  <c r="AA218" i="102"/>
  <c r="AD155" i="102"/>
  <c r="AD219" i="102"/>
  <c r="AD190" i="102"/>
  <c r="AD113" i="102"/>
  <c r="AD177" i="102"/>
  <c r="AD100" i="102"/>
  <c r="AD164" i="102"/>
  <c r="AD228" i="102"/>
  <c r="AD151" i="102"/>
  <c r="AD215" i="102"/>
  <c r="AA140" i="102"/>
  <c r="AA204" i="102"/>
  <c r="AA207" i="102"/>
  <c r="AL144" i="102"/>
  <c r="AL122" i="102"/>
  <c r="AL104" i="102"/>
  <c r="AL131" i="102"/>
  <c r="AL195" i="102"/>
  <c r="AL118" i="102"/>
  <c r="AL182" i="102"/>
  <c r="AI107" i="102"/>
  <c r="AI171" i="102"/>
  <c r="AL108" i="102"/>
  <c r="AL172" i="102"/>
  <c r="AL95" i="102"/>
  <c r="AL159" i="102"/>
  <c r="AL223" i="102"/>
  <c r="AL146" i="102"/>
  <c r="AL210" i="102"/>
  <c r="AL133" i="102"/>
  <c r="AL197" i="102"/>
  <c r="AI122" i="102"/>
  <c r="AI186" i="102"/>
  <c r="AL123" i="102"/>
  <c r="AL187" i="102"/>
  <c r="AL126" i="102"/>
  <c r="AL190" i="102"/>
  <c r="AL113" i="102"/>
  <c r="AL177" i="102"/>
  <c r="AL100" i="102"/>
  <c r="AL164" i="102"/>
  <c r="AL228" i="102"/>
  <c r="AL151" i="102"/>
  <c r="AL215" i="102"/>
  <c r="AI172" i="102"/>
  <c r="AI95" i="102"/>
  <c r="AI159" i="102"/>
  <c r="AI223" i="102"/>
  <c r="AQ210" i="102"/>
  <c r="AQ94" i="102"/>
  <c r="AQ152" i="102"/>
  <c r="AT192" i="102"/>
  <c r="AQ136" i="102"/>
  <c r="AQ142" i="102"/>
  <c r="AT224" i="102"/>
  <c r="AQ117" i="102"/>
  <c r="AQ161" i="102"/>
  <c r="AQ149" i="102"/>
  <c r="AQ213" i="102"/>
  <c r="AQ216" i="102"/>
  <c r="AT153" i="102"/>
  <c r="AT217" i="102"/>
  <c r="AQ222" i="102"/>
  <c r="AQ100" i="102"/>
  <c r="AQ164" i="102"/>
  <c r="AQ228" i="102"/>
  <c r="AT197" i="102"/>
  <c r="AT152" i="102"/>
  <c r="AT216" i="102"/>
  <c r="AQ141" i="102"/>
  <c r="AQ205" i="102"/>
  <c r="AQ144" i="102"/>
  <c r="AQ208" i="102"/>
  <c r="AQ179" i="102"/>
  <c r="AQ102" i="102"/>
  <c r="AQ166" i="102"/>
  <c r="AQ230" i="102"/>
  <c r="AQ153" i="102"/>
  <c r="AQ217" i="102"/>
  <c r="AT154" i="102"/>
  <c r="AT218" i="102"/>
  <c r="AQ175" i="102"/>
  <c r="AY93" i="102"/>
  <c r="AY117" i="102"/>
  <c r="AY210" i="102"/>
  <c r="AY162" i="102"/>
  <c r="AY133" i="102"/>
  <c r="BB211" i="102"/>
  <c r="BB227" i="102"/>
  <c r="BB148" i="102"/>
  <c r="BB121" i="102"/>
  <c r="BB160" i="102"/>
  <c r="BB192" i="102"/>
  <c r="AY152" i="102"/>
  <c r="AY216" i="102"/>
  <c r="AY203" i="102"/>
  <c r="BB140" i="102"/>
  <c r="BB204" i="102"/>
  <c r="BB127" i="102"/>
  <c r="BB191" i="102"/>
  <c r="BB130" i="102"/>
  <c r="BB194" i="102"/>
  <c r="BB117" i="102"/>
  <c r="BB181" i="102"/>
  <c r="BB136" i="102"/>
  <c r="BB200" i="102"/>
  <c r="AY157" i="102"/>
  <c r="BB142" i="102"/>
  <c r="AY224" i="102"/>
  <c r="AY195" i="102"/>
  <c r="BB151" i="102"/>
  <c r="BB138" i="102"/>
  <c r="G47" i="103"/>
  <c r="E33" i="103"/>
  <c r="L18" i="103"/>
  <c r="G13" i="103"/>
  <c r="K48" i="103"/>
  <c r="I34" i="103"/>
  <c r="G20" i="103"/>
  <c r="E6" i="103"/>
  <c r="F79" i="103"/>
  <c r="E72" i="103"/>
  <c r="M64" i="103"/>
  <c r="M54" i="103"/>
  <c r="K40" i="103"/>
  <c r="I26" i="103"/>
  <c r="G12" i="103"/>
  <c r="H74" i="103"/>
  <c r="I57" i="103"/>
  <c r="I27" i="103"/>
  <c r="I48" i="103"/>
  <c r="G34" i="103"/>
  <c r="E20" i="103"/>
  <c r="F84" i="103"/>
  <c r="M69" i="103"/>
  <c r="J49" i="103"/>
  <c r="M6" i="103"/>
  <c r="F78" i="103"/>
  <c r="E71" i="103"/>
  <c r="M63" i="103"/>
  <c r="F53" i="103"/>
  <c r="M38" i="103"/>
  <c r="K24" i="103"/>
  <c r="I10" i="103"/>
  <c r="I51" i="103"/>
  <c r="G37" i="103"/>
  <c r="E23" i="103"/>
  <c r="L8" i="103"/>
  <c r="L79" i="103"/>
  <c r="K72" i="103"/>
  <c r="J65" i="103"/>
  <c r="F56" i="103"/>
  <c r="M41" i="103"/>
  <c r="K27" i="103"/>
  <c r="I13" i="103"/>
  <c r="J57" i="103"/>
  <c r="H43" i="103"/>
  <c r="F29" i="103"/>
  <c r="M14" i="103"/>
  <c r="N93" i="102"/>
  <c r="K114" i="102"/>
  <c r="K127" i="102"/>
  <c r="K140" i="102"/>
  <c r="K153" i="102"/>
  <c r="K166" i="102"/>
  <c r="K102" i="102"/>
  <c r="K115" i="102"/>
  <c r="N158" i="102"/>
  <c r="N94" i="102"/>
  <c r="N139" i="102"/>
  <c r="N152" i="102"/>
  <c r="N165" i="102"/>
  <c r="N101" i="102"/>
  <c r="N130" i="102"/>
  <c r="N143" i="102"/>
  <c r="N156" i="102"/>
  <c r="K171" i="102"/>
  <c r="K107" i="102"/>
  <c r="K136" i="102"/>
  <c r="K208" i="102"/>
  <c r="K205" i="102"/>
  <c r="N200" i="102"/>
  <c r="N197" i="102"/>
  <c r="N194" i="102"/>
  <c r="K209" i="102"/>
  <c r="K206" i="102"/>
  <c r="K203" i="102"/>
  <c r="K200" i="102"/>
  <c r="K197" i="102"/>
  <c r="N208" i="102"/>
  <c r="N205" i="102"/>
  <c r="N202" i="102"/>
  <c r="K217" i="102"/>
  <c r="K214" i="102"/>
  <c r="V96" i="102"/>
  <c r="S119" i="102"/>
  <c r="S169" i="102"/>
  <c r="S136" i="102"/>
  <c r="V139" i="102"/>
  <c r="S213" i="102"/>
  <c r="V93" i="102"/>
  <c r="V97" i="102"/>
  <c r="S121" i="102"/>
  <c r="S194" i="102"/>
  <c r="S98" i="102"/>
  <c r="V113" i="102"/>
  <c r="S216" i="102"/>
  <c r="V153" i="102"/>
  <c r="V217" i="102"/>
  <c r="V204" i="102"/>
  <c r="V159" i="102"/>
  <c r="V223" i="102"/>
  <c r="V162" i="102"/>
  <c r="V226" i="102"/>
  <c r="V197" i="102"/>
  <c r="V120" i="102"/>
  <c r="V184" i="102"/>
  <c r="V171" i="102"/>
  <c r="V94" i="102"/>
  <c r="V158" i="102"/>
  <c r="V222" i="102"/>
  <c r="V177" i="102"/>
  <c r="V100" i="102"/>
  <c r="V164" i="102"/>
  <c r="V228" i="102"/>
  <c r="V138" i="102"/>
  <c r="V202" i="102"/>
  <c r="V141" i="102"/>
  <c r="V205" i="102"/>
  <c r="AD134" i="102"/>
  <c r="AA165" i="102"/>
  <c r="AD115" i="102"/>
  <c r="AA143" i="102"/>
  <c r="AA126" i="102"/>
  <c r="AD93" i="102"/>
  <c r="AA181" i="102"/>
  <c r="AA229" i="102"/>
  <c r="AD195" i="102"/>
  <c r="AA200" i="102"/>
  <c r="AD137" i="102"/>
  <c r="AD201" i="102"/>
  <c r="AD172" i="102"/>
  <c r="AD95" i="102"/>
  <c r="AD159" i="102"/>
  <c r="AD223" i="102"/>
  <c r="AD194" i="102"/>
  <c r="AD117" i="102"/>
  <c r="AD181" i="102"/>
  <c r="AD104" i="102"/>
  <c r="AD168" i="102"/>
  <c r="AA93" i="102"/>
  <c r="AA157" i="102"/>
  <c r="AA221" i="102"/>
  <c r="AA192" i="102"/>
  <c r="AA115" i="102"/>
  <c r="AA179" i="102"/>
  <c r="AA102" i="102"/>
  <c r="AA166" i="102"/>
  <c r="AA230" i="102"/>
  <c r="AA153" i="102"/>
  <c r="AA217" i="102"/>
  <c r="AD154" i="102"/>
  <c r="AD218" i="102"/>
  <c r="AD221" i="102"/>
  <c r="AL94" i="102"/>
  <c r="AL176" i="102"/>
  <c r="AI98" i="102"/>
  <c r="AI133" i="102"/>
  <c r="AI197" i="102"/>
  <c r="AI120" i="102"/>
  <c r="AI184" i="102"/>
  <c r="AL121" i="102"/>
  <c r="AL185" i="102"/>
  <c r="AI110" i="102"/>
  <c r="AI174" i="102"/>
  <c r="AI97" i="102"/>
  <c r="AI161" i="102"/>
  <c r="AI225" i="102"/>
  <c r="AI148" i="102"/>
  <c r="AI212" i="102"/>
  <c r="AI135" i="102"/>
  <c r="AI199" i="102"/>
  <c r="AL136" i="102"/>
  <c r="AL200" i="102"/>
  <c r="AI125" i="102"/>
  <c r="AI189" i="102"/>
  <c r="AI128" i="102"/>
  <c r="AI192" i="102"/>
  <c r="AI115" i="102"/>
  <c r="AI179" i="102"/>
  <c r="AI102" i="102"/>
  <c r="AI166" i="102"/>
  <c r="AI230" i="102"/>
  <c r="AI153" i="102"/>
  <c r="AI217" i="102"/>
  <c r="AL186" i="102"/>
  <c r="AL109" i="102"/>
  <c r="AL173" i="102"/>
  <c r="AT208" i="102"/>
  <c r="AQ96" i="102"/>
  <c r="AT131" i="102"/>
  <c r="AQ177" i="102"/>
  <c r="AQ129" i="102"/>
  <c r="AT101" i="102"/>
  <c r="AT99" i="102"/>
  <c r="AT111" i="102"/>
  <c r="AQ122" i="102"/>
  <c r="AQ120" i="102"/>
  <c r="AT163" i="102"/>
  <c r="AT227" i="102"/>
  <c r="AT230" i="102"/>
  <c r="AQ155" i="102"/>
  <c r="AQ219" i="102"/>
  <c r="AT191" i="102"/>
  <c r="AT114" i="102"/>
  <c r="AT178" i="102"/>
  <c r="AQ135" i="102"/>
  <c r="AQ199" i="102"/>
  <c r="AQ154" i="102"/>
  <c r="AQ218" i="102"/>
  <c r="AT155" i="102"/>
  <c r="AT219" i="102"/>
  <c r="AT158" i="102"/>
  <c r="AT222" i="102"/>
  <c r="AT193" i="102"/>
  <c r="AT116" i="102"/>
  <c r="AT180" i="102"/>
  <c r="AT103" i="102"/>
  <c r="AT167" i="102"/>
  <c r="AT231" i="102"/>
  <c r="AQ156" i="102"/>
  <c r="AQ220" i="102"/>
  <c r="AT189" i="102"/>
  <c r="BB97" i="102"/>
  <c r="BB131" i="102"/>
  <c r="AY98" i="102"/>
  <c r="BB107" i="102"/>
  <c r="BB180" i="102"/>
  <c r="BB105" i="102"/>
  <c r="AY101" i="102"/>
  <c r="BB96" i="102"/>
  <c r="AY214" i="102"/>
  <c r="BB147" i="102"/>
  <c r="BB102" i="102"/>
  <c r="BB166" i="102"/>
  <c r="BB230" i="102"/>
  <c r="BB217" i="102"/>
  <c r="AY142" i="102"/>
  <c r="AY206" i="102"/>
  <c r="AY129" i="102"/>
  <c r="AY193" i="102"/>
  <c r="AY132" i="102"/>
  <c r="AY196" i="102"/>
  <c r="AY119" i="102"/>
  <c r="AY183" i="102"/>
  <c r="AY138" i="102"/>
  <c r="AY202" i="102"/>
  <c r="BB171" i="102"/>
  <c r="AY144" i="102"/>
  <c r="BB129" i="102"/>
  <c r="AY211" i="102"/>
  <c r="AY153" i="102"/>
  <c r="AY156" i="102"/>
  <c r="K67" i="103"/>
  <c r="L59" i="103"/>
  <c r="J45" i="103"/>
  <c r="H31" i="103"/>
  <c r="F17" i="103"/>
  <c r="H61" i="103"/>
  <c r="F47" i="103"/>
  <c r="M32" i="103"/>
  <c r="K18" i="103"/>
  <c r="J19" i="103"/>
  <c r="G78" i="103"/>
  <c r="F71" i="103"/>
  <c r="E64" i="103"/>
  <c r="H53" i="103"/>
  <c r="F39" i="103"/>
  <c r="M24" i="103"/>
  <c r="K10" i="103"/>
  <c r="J72" i="103"/>
  <c r="H54" i="103"/>
  <c r="F61" i="103"/>
  <c r="M46" i="103"/>
  <c r="K32" i="103"/>
  <c r="I18" i="103"/>
  <c r="H82" i="103"/>
  <c r="F68" i="103"/>
  <c r="L44" i="103"/>
  <c r="H84" i="103"/>
  <c r="G77" i="103"/>
  <c r="F70" i="103"/>
  <c r="E63" i="103"/>
  <c r="J51" i="103"/>
  <c r="H37" i="103"/>
  <c r="F23" i="103"/>
  <c r="M8" i="103"/>
  <c r="M49" i="103"/>
  <c r="K35" i="103"/>
  <c r="I21" i="103"/>
  <c r="G7" i="103"/>
  <c r="M78" i="103"/>
  <c r="L71" i="103"/>
  <c r="K64" i="103"/>
  <c r="I54" i="103"/>
  <c r="G40" i="103"/>
  <c r="E26" i="103"/>
  <c r="L11" i="103"/>
  <c r="E56" i="103"/>
  <c r="L41" i="103"/>
  <c r="J27" i="103"/>
  <c r="H13" i="103"/>
  <c r="N112" i="102"/>
  <c r="N125" i="102"/>
  <c r="N138" i="102"/>
  <c r="N151" i="102"/>
  <c r="N164" i="102"/>
  <c r="N100" i="102"/>
  <c r="N113" i="102"/>
  <c r="K144" i="102"/>
  <c r="N163" i="102"/>
  <c r="K125" i="102"/>
  <c r="K138" i="102"/>
  <c r="K151" i="102"/>
  <c r="K133" i="102"/>
  <c r="K116" i="102"/>
  <c r="K129" i="102"/>
  <c r="K142" i="102"/>
  <c r="N169" i="102"/>
  <c r="N105" i="102"/>
  <c r="N134" i="102"/>
  <c r="N206" i="102"/>
  <c r="N203" i="102"/>
  <c r="K186" i="102"/>
  <c r="K183" i="102"/>
  <c r="K180" i="102"/>
  <c r="N207" i="102"/>
  <c r="N204" i="102"/>
  <c r="N201" i="102"/>
  <c r="N198" i="102"/>
  <c r="N195" i="102"/>
  <c r="K194" i="102"/>
  <c r="K191" i="102"/>
  <c r="K188" i="102"/>
  <c r="N215" i="102"/>
  <c r="N212" i="102"/>
  <c r="V135" i="102"/>
  <c r="V98" i="102"/>
  <c r="V102" i="102"/>
  <c r="V163" i="102"/>
  <c r="S152" i="102"/>
  <c r="S103" i="102"/>
  <c r="S110" i="102"/>
  <c r="V107" i="102"/>
  <c r="V140" i="102"/>
  <c r="S94" i="102"/>
  <c r="V118" i="102"/>
  <c r="V131" i="102"/>
  <c r="V230" i="102"/>
  <c r="S155" i="102"/>
  <c r="S219" i="102"/>
  <c r="S206" i="102"/>
  <c r="S161" i="102"/>
  <c r="S225" i="102"/>
  <c r="S164" i="102"/>
  <c r="S228" i="102"/>
  <c r="S199" i="102"/>
  <c r="S122" i="102"/>
  <c r="S186" i="102"/>
  <c r="S173" i="102"/>
  <c r="S96" i="102"/>
  <c r="S160" i="102"/>
  <c r="S224" i="102"/>
  <c r="S179" i="102"/>
  <c r="S102" i="102"/>
  <c r="S166" i="102"/>
  <c r="S230" i="102"/>
  <c r="S140" i="102"/>
  <c r="S204" i="102"/>
  <c r="S143" i="102"/>
  <c r="S207" i="102"/>
  <c r="AA197" i="102"/>
  <c r="AD208" i="102"/>
  <c r="AA132" i="102"/>
  <c r="AA96" i="102"/>
  <c r="AA136" i="102"/>
  <c r="AD126" i="102"/>
  <c r="AD227" i="102"/>
  <c r="AA98" i="102"/>
  <c r="AD150" i="102"/>
  <c r="AD214" i="102"/>
  <c r="AA139" i="102"/>
  <c r="AA203" i="102"/>
  <c r="AA174" i="102"/>
  <c r="AA97" i="102"/>
  <c r="AA161" i="102"/>
  <c r="AA225" i="102"/>
  <c r="AA196" i="102"/>
  <c r="AA119" i="102"/>
  <c r="AA183" i="102"/>
  <c r="AA106" i="102"/>
  <c r="AA170" i="102"/>
  <c r="AD107" i="102"/>
  <c r="AD171" i="102"/>
  <c r="AD142" i="102"/>
  <c r="AD206" i="102"/>
  <c r="AD129" i="102"/>
  <c r="AD193" i="102"/>
  <c r="AD116" i="102"/>
  <c r="AD180" i="102"/>
  <c r="AD103" i="102"/>
  <c r="AD167" i="102"/>
  <c r="AD231" i="102"/>
  <c r="AA156" i="102"/>
  <c r="AA220" i="102"/>
  <c r="AA223" i="102"/>
  <c r="AI130" i="102"/>
  <c r="AL96" i="102"/>
  <c r="AI114" i="102"/>
  <c r="AL147" i="102"/>
  <c r="AL211" i="102"/>
  <c r="AL134" i="102"/>
  <c r="AL198" i="102"/>
  <c r="AI123" i="102"/>
  <c r="AI187" i="102"/>
  <c r="AL124" i="102"/>
  <c r="AL188" i="102"/>
  <c r="AL111" i="102"/>
  <c r="AL175" i="102"/>
  <c r="AL98" i="102"/>
  <c r="AL162" i="102"/>
  <c r="AL226" i="102"/>
  <c r="AL149" i="102"/>
  <c r="AL213" i="102"/>
  <c r="AI138" i="102"/>
  <c r="AI202" i="102"/>
  <c r="AL139" i="102"/>
  <c r="AL203" i="102"/>
  <c r="AL142" i="102"/>
  <c r="AL206" i="102"/>
  <c r="AL129" i="102"/>
  <c r="AL193" i="102"/>
  <c r="AL116" i="102"/>
  <c r="AL180" i="102"/>
  <c r="AL103" i="102"/>
  <c r="AL167" i="102"/>
  <c r="AL231" i="102"/>
  <c r="AI188" i="102"/>
  <c r="AI111" i="102"/>
  <c r="AI175" i="102"/>
  <c r="AT112" i="102"/>
  <c r="AQ103" i="102"/>
  <c r="AQ146" i="102"/>
  <c r="AT96" i="102"/>
  <c r="AQ194" i="102"/>
  <c r="AT108" i="102"/>
  <c r="AQ114" i="102"/>
  <c r="AT124" i="102"/>
  <c r="AT172" i="102"/>
  <c r="AT95" i="102"/>
  <c r="AQ165" i="102"/>
  <c r="AQ229" i="102"/>
  <c r="AT105" i="102"/>
  <c r="AT169" i="102"/>
  <c r="AQ174" i="102"/>
  <c r="AQ193" i="102"/>
  <c r="AQ116" i="102"/>
  <c r="AQ180" i="102"/>
  <c r="AT149" i="102"/>
  <c r="AT213" i="102"/>
  <c r="AT168" i="102"/>
  <c r="AQ93" i="102"/>
  <c r="AQ157" i="102"/>
  <c r="AQ221" i="102"/>
  <c r="AQ160" i="102"/>
  <c r="AQ224" i="102"/>
  <c r="AQ195" i="102"/>
  <c r="AQ118" i="102"/>
  <c r="AQ182" i="102"/>
  <c r="AQ105" i="102"/>
  <c r="AQ169" i="102"/>
  <c r="AT106" i="102"/>
  <c r="AT170" i="102"/>
  <c r="AQ127" i="102"/>
  <c r="AQ191" i="102"/>
  <c r="AY100" i="102"/>
  <c r="AY149" i="102"/>
  <c r="AY112" i="102"/>
  <c r="BB123" i="102"/>
  <c r="BB195" i="102"/>
  <c r="BB112" i="102"/>
  <c r="AY108" i="102"/>
  <c r="AY106" i="102"/>
  <c r="AY229" i="102"/>
  <c r="BB176" i="102"/>
  <c r="AY104" i="102"/>
  <c r="AY168" i="102"/>
  <c r="AY155" i="102"/>
  <c r="AY219" i="102"/>
  <c r="BB156" i="102"/>
  <c r="BB220" i="102"/>
  <c r="BB143" i="102"/>
  <c r="BB207" i="102"/>
  <c r="BB146" i="102"/>
  <c r="BB210" i="102"/>
  <c r="BB133" i="102"/>
  <c r="BB197" i="102"/>
  <c r="BB152" i="102"/>
  <c r="BB216" i="102"/>
  <c r="AY173" i="102"/>
  <c r="AY160" i="102"/>
  <c r="AY131" i="102"/>
  <c r="BB225" i="102"/>
  <c r="AY169" i="102"/>
  <c r="BB170" i="102"/>
  <c r="K22" i="103"/>
  <c r="E78" i="103"/>
  <c r="M70" i="103"/>
  <c r="L63" i="103"/>
  <c r="M52" i="103"/>
  <c r="K38" i="103"/>
  <c r="I24" i="103"/>
  <c r="G10" i="103"/>
  <c r="L52" i="103"/>
  <c r="J38" i="103"/>
  <c r="H24" i="103"/>
  <c r="F10" i="103"/>
  <c r="K162" i="102"/>
  <c r="K98" i="102"/>
  <c r="K111" i="102"/>
  <c r="K124" i="102"/>
  <c r="K137" i="102"/>
  <c r="K150" i="102"/>
  <c r="K163" i="102"/>
  <c r="K99" i="102"/>
  <c r="N142" i="102"/>
  <c r="N147" i="102"/>
  <c r="N123" i="102"/>
  <c r="N136" i="102"/>
  <c r="N149" i="102"/>
  <c r="K117" i="102"/>
  <c r="N114" i="102"/>
  <c r="N127" i="102"/>
  <c r="N140" i="102"/>
  <c r="K155" i="102"/>
  <c r="K149" i="102"/>
  <c r="K120" i="102"/>
  <c r="K192" i="102"/>
  <c r="K189" i="102"/>
  <c r="N184" i="102"/>
  <c r="N181" i="102"/>
  <c r="N178" i="102"/>
  <c r="K193" i="102"/>
  <c r="K190" i="102"/>
  <c r="K187" i="102"/>
  <c r="K184" i="102"/>
  <c r="K181" i="102"/>
  <c r="N192" i="102"/>
  <c r="N189" i="102"/>
  <c r="N186" i="102"/>
  <c r="K201" i="102"/>
  <c r="K198" i="102"/>
  <c r="S142" i="102"/>
  <c r="V106" i="102"/>
  <c r="S117" i="102"/>
  <c r="S181" i="102"/>
  <c r="V224" i="102"/>
  <c r="V112" i="102"/>
  <c r="V123" i="102"/>
  <c r="V183" i="102"/>
  <c r="V199" i="102"/>
  <c r="S141" i="102"/>
  <c r="V124" i="102"/>
  <c r="V167" i="102"/>
  <c r="V105" i="102"/>
  <c r="V169" i="102"/>
  <c r="V156" i="102"/>
  <c r="V220" i="102"/>
  <c r="V175" i="102"/>
  <c r="V114" i="102"/>
  <c r="V178" i="102"/>
  <c r="V149" i="102"/>
  <c r="V213" i="102"/>
  <c r="V136" i="102"/>
  <c r="V200" i="102"/>
  <c r="V187" i="102"/>
  <c r="V110" i="102"/>
  <c r="V174" i="102"/>
  <c r="V129" i="102"/>
  <c r="V193" i="102"/>
  <c r="V116" i="102"/>
  <c r="V180" i="102"/>
  <c r="V215" i="102"/>
  <c r="V154" i="102"/>
  <c r="V218" i="102"/>
  <c r="V157" i="102"/>
  <c r="V221" i="102"/>
  <c r="AD131" i="102"/>
  <c r="AD98" i="102"/>
  <c r="AD144" i="102"/>
  <c r="AD102" i="102"/>
  <c r="AA226" i="102"/>
  <c r="AA130" i="102"/>
  <c r="AA117" i="102"/>
  <c r="AA94" i="102"/>
  <c r="AA152" i="102"/>
  <c r="AA216" i="102"/>
  <c r="AD153" i="102"/>
  <c r="AD217" i="102"/>
  <c r="AD188" i="102"/>
  <c r="AD111" i="102"/>
  <c r="AD175" i="102"/>
  <c r="AD146" i="102"/>
  <c r="AD210" i="102"/>
  <c r="AD133" i="102"/>
  <c r="AD197" i="102"/>
  <c r="AD120" i="102"/>
  <c r="AD184" i="102"/>
  <c r="AA109" i="102"/>
  <c r="AA173" i="102"/>
  <c r="AA144" i="102"/>
  <c r="AA208" i="102"/>
  <c r="AA131" i="102"/>
  <c r="AA195" i="102"/>
  <c r="AA118" i="102"/>
  <c r="AA182" i="102"/>
  <c r="AA105" i="102"/>
  <c r="AA169" i="102"/>
  <c r="AD106" i="102"/>
  <c r="AD170" i="102"/>
  <c r="AD173" i="102"/>
  <c r="AI162" i="102"/>
  <c r="AI146" i="102"/>
  <c r="AI178" i="102"/>
  <c r="AL160" i="102"/>
  <c r="AI149" i="102"/>
  <c r="AI213" i="102"/>
  <c r="AI136" i="102"/>
  <c r="AI200" i="102"/>
  <c r="AL137" i="102"/>
  <c r="AL201" i="102"/>
  <c r="AI126" i="102"/>
  <c r="AI190" i="102"/>
  <c r="AI113" i="102"/>
  <c r="AI177" i="102"/>
  <c r="AI100" i="102"/>
  <c r="AI164" i="102"/>
  <c r="AI228" i="102"/>
  <c r="AI151" i="102"/>
  <c r="AI215" i="102"/>
  <c r="AL152" i="102"/>
  <c r="AL216" i="102"/>
  <c r="AI141" i="102"/>
  <c r="AI205" i="102"/>
  <c r="AI144" i="102"/>
  <c r="AI208" i="102"/>
  <c r="AI131" i="102"/>
  <c r="AI195" i="102"/>
  <c r="AI118" i="102"/>
  <c r="AI182" i="102"/>
  <c r="AI105" i="102"/>
  <c r="AI169" i="102"/>
  <c r="AL138" i="102"/>
  <c r="AL202" i="102"/>
  <c r="AL125" i="102"/>
  <c r="AL189" i="102"/>
  <c r="AQ115" i="102"/>
  <c r="AQ110" i="102"/>
  <c r="AT176" i="102"/>
  <c r="AQ113" i="102"/>
  <c r="AT94" i="102"/>
  <c r="AT113" i="102"/>
  <c r="AQ119" i="102"/>
  <c r="AT166" i="102"/>
  <c r="AT93" i="102"/>
  <c r="AQ98" i="102"/>
  <c r="AT179" i="102"/>
  <c r="AT182" i="102"/>
  <c r="AQ107" i="102"/>
  <c r="AQ171" i="102"/>
  <c r="AT188" i="102"/>
  <c r="AT207" i="102"/>
  <c r="AT130" i="102"/>
  <c r="AT194" i="102"/>
  <c r="AQ151" i="102"/>
  <c r="AQ215" i="102"/>
  <c r="AQ170" i="102"/>
  <c r="AT107" i="102"/>
  <c r="AT171" i="102"/>
  <c r="AT110" i="102"/>
  <c r="AT174" i="102"/>
  <c r="AT145" i="102"/>
  <c r="AT209" i="102"/>
  <c r="AT132" i="102"/>
  <c r="AT196" i="102"/>
  <c r="AT119" i="102"/>
  <c r="AT183" i="102"/>
  <c r="AQ108" i="102"/>
  <c r="AQ172" i="102"/>
  <c r="AT141" i="102"/>
  <c r="AT205" i="102"/>
  <c r="AY114" i="102"/>
  <c r="AY194" i="102"/>
  <c r="BB120" i="102"/>
  <c r="BB144" i="102"/>
  <c r="BB98" i="102"/>
  <c r="AY118" i="102"/>
  <c r="BB128" i="102"/>
  <c r="BB110" i="102"/>
  <c r="BB94" i="102"/>
  <c r="BB99" i="102"/>
  <c r="BB118" i="102"/>
  <c r="BB182" i="102"/>
  <c r="BB169" i="102"/>
  <c r="AY94" i="102"/>
  <c r="AY158" i="102"/>
  <c r="AY222" i="102"/>
  <c r="AY145" i="102"/>
  <c r="AY209" i="102"/>
  <c r="AY148" i="102"/>
  <c r="AY212" i="102"/>
  <c r="AY135" i="102"/>
  <c r="AY199" i="102"/>
  <c r="AY154" i="102"/>
  <c r="AY218" i="102"/>
  <c r="BB187" i="102"/>
  <c r="BB174" i="102"/>
  <c r="AY147" i="102"/>
  <c r="AY227" i="102"/>
  <c r="BB183" i="102"/>
  <c r="AY188" i="102"/>
  <c r="K172" i="102"/>
  <c r="N199" i="102"/>
  <c r="N196" i="102"/>
  <c r="V150" i="102"/>
  <c r="S109" i="102"/>
  <c r="V195" i="102"/>
  <c r="V211" i="102"/>
  <c r="S101" i="102"/>
  <c r="S115" i="102"/>
  <c r="V133" i="102"/>
  <c r="S104" i="102"/>
  <c r="V227" i="102"/>
  <c r="V144" i="102"/>
  <c r="V134" i="102"/>
  <c r="V182" i="102"/>
  <c r="S107" i="102"/>
  <c r="S171" i="102"/>
  <c r="S158" i="102"/>
  <c r="S222" i="102"/>
  <c r="S177" i="102"/>
  <c r="S116" i="102"/>
  <c r="S180" i="102"/>
  <c r="S151" i="102"/>
  <c r="S215" i="102"/>
  <c r="S138" i="102"/>
  <c r="S202" i="102"/>
  <c r="S189" i="102"/>
  <c r="S112" i="102"/>
  <c r="S176" i="102"/>
  <c r="S131" i="102"/>
  <c r="S195" i="102"/>
  <c r="S118" i="102"/>
  <c r="S182" i="102"/>
  <c r="S217" i="102"/>
  <c r="S156" i="102"/>
  <c r="S220" i="102"/>
  <c r="S159" i="102"/>
  <c r="S223" i="102"/>
  <c r="AA149" i="102"/>
  <c r="AD108" i="102"/>
  <c r="AA159" i="102"/>
  <c r="AD109" i="102"/>
  <c r="AD96" i="102"/>
  <c r="AD192" i="102"/>
  <c r="AD141" i="102"/>
  <c r="AA104" i="102"/>
  <c r="AD166" i="102"/>
  <c r="AD230" i="102"/>
  <c r="AA155" i="102"/>
  <c r="AA219" i="102"/>
  <c r="AA190" i="102"/>
  <c r="AA113" i="102"/>
  <c r="AA177" i="102"/>
  <c r="AA148" i="102"/>
  <c r="AA212" i="102"/>
  <c r="AA135" i="102"/>
  <c r="AA199" i="102"/>
  <c r="AA122" i="102"/>
  <c r="AA186" i="102"/>
  <c r="AD123" i="102"/>
  <c r="AD187" i="102"/>
  <c r="AD158" i="102"/>
  <c r="AD222" i="102"/>
  <c r="AD145" i="102"/>
  <c r="AD209" i="102"/>
  <c r="AD132" i="102"/>
  <c r="AD196" i="102"/>
  <c r="AD119" i="102"/>
  <c r="AD183" i="102"/>
  <c r="AA108" i="102"/>
  <c r="AA172" i="102"/>
  <c r="AA175" i="102"/>
  <c r="AL208" i="102"/>
  <c r="AL192" i="102"/>
  <c r="AL224" i="102"/>
  <c r="AL99" i="102"/>
  <c r="AL163" i="102"/>
  <c r="AL227" i="102"/>
  <c r="AL150" i="102"/>
  <c r="AL214" i="102"/>
  <c r="AI139" i="102"/>
  <c r="AI203" i="102"/>
  <c r="AL140" i="102"/>
  <c r="AL204" i="102"/>
  <c r="AL127" i="102"/>
  <c r="AL191" i="102"/>
  <c r="AL114" i="102"/>
  <c r="AL178" i="102"/>
  <c r="AL101" i="102"/>
  <c r="AL165" i="102"/>
  <c r="AL229" i="102"/>
  <c r="AI154" i="102"/>
  <c r="AI218" i="102"/>
  <c r="AL155" i="102"/>
  <c r="AL219" i="102"/>
  <c r="AL158" i="102"/>
  <c r="AL222" i="102"/>
  <c r="AL145" i="102"/>
  <c r="AL209" i="102"/>
  <c r="AL132" i="102"/>
  <c r="AL196" i="102"/>
  <c r="AL119" i="102"/>
  <c r="AL183" i="102"/>
  <c r="AI140" i="102"/>
  <c r="AI204" i="102"/>
  <c r="AI127" i="102"/>
  <c r="AI191" i="102"/>
  <c r="AT117" i="102"/>
  <c r="AT128" i="102"/>
  <c r="AQ168" i="102"/>
  <c r="AQ126" i="102"/>
  <c r="AQ99" i="102"/>
  <c r="AQ95" i="102"/>
  <c r="AQ130" i="102"/>
  <c r="AQ226" i="102"/>
  <c r="AT109" i="102"/>
  <c r="AT102" i="102"/>
  <c r="AQ181" i="102"/>
  <c r="AQ184" i="102"/>
  <c r="AT121" i="102"/>
  <c r="AT185" i="102"/>
  <c r="AQ190" i="102"/>
  <c r="AQ209" i="102"/>
  <c r="AQ132" i="102"/>
  <c r="AQ196" i="102"/>
  <c r="AT165" i="102"/>
  <c r="AT229" i="102"/>
  <c r="AT184" i="102"/>
  <c r="AQ109" i="102"/>
  <c r="AQ173" i="102"/>
  <c r="AQ112" i="102"/>
  <c r="AQ176" i="102"/>
  <c r="AQ147" i="102"/>
  <c r="AQ211" i="102"/>
  <c r="AQ134" i="102"/>
  <c r="AQ198" i="102"/>
  <c r="AQ121" i="102"/>
  <c r="AQ185" i="102"/>
  <c r="AT122" i="102"/>
  <c r="AT186" i="102"/>
  <c r="AQ143" i="102"/>
  <c r="AQ207" i="102"/>
  <c r="AY178" i="102"/>
  <c r="BB104" i="102"/>
  <c r="BB132" i="102"/>
  <c r="BB164" i="102"/>
  <c r="AY115" i="102"/>
  <c r="AY134" i="102"/>
  <c r="AY146" i="102"/>
  <c r="BB115" i="102"/>
  <c r="AY122" i="102"/>
  <c r="BB106" i="102"/>
  <c r="AY120" i="102"/>
  <c r="AY184" i="102"/>
  <c r="AY171" i="102"/>
  <c r="BB108" i="102"/>
  <c r="BB172" i="102"/>
  <c r="BB95" i="102"/>
  <c r="BB159" i="102"/>
  <c r="BB223" i="102"/>
  <c r="BB162" i="102"/>
  <c r="BB226" i="102"/>
  <c r="BB149" i="102"/>
  <c r="BB213" i="102"/>
  <c r="BB168" i="102"/>
  <c r="AY125" i="102"/>
  <c r="BB203" i="102"/>
  <c r="AY176" i="102"/>
  <c r="BB161" i="102"/>
  <c r="AY105" i="102"/>
  <c r="AY185" i="102"/>
  <c r="BB202" i="102"/>
  <c r="F55" i="103"/>
  <c r="M40" i="103"/>
  <c r="K26" i="103"/>
  <c r="I12" i="103"/>
  <c r="E55" i="103"/>
  <c r="L40" i="103"/>
  <c r="J26" i="103"/>
  <c r="H12" i="103"/>
  <c r="K82" i="103"/>
  <c r="J75" i="103"/>
  <c r="I68" i="103"/>
  <c r="G61" i="103"/>
  <c r="E47" i="103"/>
  <c r="L32" i="103"/>
  <c r="J18" i="103"/>
  <c r="I81" i="103"/>
  <c r="G67" i="103"/>
  <c r="K41" i="103"/>
  <c r="L54" i="103"/>
  <c r="J40" i="103"/>
  <c r="H26" i="103"/>
  <c r="F12" i="103"/>
  <c r="E77" i="103"/>
  <c r="L62" i="103"/>
  <c r="M36" i="103"/>
  <c r="K81" i="103"/>
  <c r="J74" i="103"/>
  <c r="I67" i="103"/>
  <c r="I59" i="103"/>
  <c r="G45" i="103"/>
  <c r="E31" i="103"/>
  <c r="L16" i="103"/>
  <c r="H59" i="103"/>
  <c r="F45" i="103"/>
  <c r="M30" i="103"/>
  <c r="K16" i="103"/>
  <c r="H83" i="103"/>
  <c r="G76" i="103"/>
  <c r="F69" i="103"/>
  <c r="E62" i="103"/>
  <c r="L49" i="103"/>
  <c r="J35" i="103"/>
  <c r="H21" i="103"/>
  <c r="F7" i="103"/>
  <c r="K49" i="103"/>
  <c r="I35" i="103"/>
  <c r="G21" i="103"/>
  <c r="E7" i="103"/>
  <c r="K146" i="102"/>
  <c r="K159" i="102"/>
  <c r="K95" i="102"/>
  <c r="K108" i="102"/>
  <c r="K121" i="102"/>
  <c r="K134" i="102"/>
  <c r="K147" i="102"/>
  <c r="K165" i="102"/>
  <c r="N126" i="102"/>
  <c r="N171" i="102"/>
  <c r="N107" i="102"/>
  <c r="N120" i="102"/>
  <c r="N133" i="102"/>
  <c r="N162" i="102"/>
  <c r="N98" i="102"/>
  <c r="N111" i="102"/>
  <c r="N124" i="102"/>
  <c r="K139" i="102"/>
  <c r="K168" i="102"/>
  <c r="K104" i="102"/>
  <c r="K176" i="102"/>
  <c r="K173" i="102"/>
  <c r="N229" i="102"/>
  <c r="N226" i="102"/>
  <c r="N209" i="102"/>
  <c r="K177" i="102"/>
  <c r="K174" i="102"/>
  <c r="K179" i="102"/>
  <c r="K229" i="102"/>
  <c r="N177" i="102"/>
  <c r="N176" i="102"/>
  <c r="N173" i="102"/>
  <c r="K227" i="102"/>
  <c r="K185" i="102"/>
  <c r="K182" i="102"/>
  <c r="S168" i="102"/>
  <c r="V111" i="102"/>
  <c r="S125" i="102"/>
  <c r="S97" i="102"/>
  <c r="S105" i="102"/>
  <c r="V117" i="102"/>
  <c r="S137" i="102"/>
  <c r="S135" i="102"/>
  <c r="V101" i="102"/>
  <c r="S149" i="102"/>
  <c r="V166" i="102"/>
  <c r="S184" i="102"/>
  <c r="V121" i="102"/>
  <c r="V185" i="102"/>
  <c r="V172" i="102"/>
  <c r="V127" i="102"/>
  <c r="V191" i="102"/>
  <c r="V130" i="102"/>
  <c r="V194" i="102"/>
  <c r="V165" i="102"/>
  <c r="V229" i="102"/>
  <c r="V152" i="102"/>
  <c r="V216" i="102"/>
  <c r="V203" i="102"/>
  <c r="V126" i="102"/>
  <c r="V190" i="102"/>
  <c r="V145" i="102"/>
  <c r="V209" i="102"/>
  <c r="V132" i="102"/>
  <c r="V196" i="102"/>
  <c r="V231" i="102"/>
  <c r="V170" i="102"/>
  <c r="V109" i="102"/>
  <c r="V173" i="102"/>
  <c r="AA95" i="102"/>
  <c r="AD157" i="102"/>
  <c r="AA112" i="102"/>
  <c r="AD211" i="102"/>
  <c r="AA213" i="102"/>
  <c r="AA133" i="102"/>
  <c r="AA100" i="102"/>
  <c r="AA162" i="102"/>
  <c r="AA111" i="102"/>
  <c r="AA168" i="102"/>
  <c r="AD105" i="102"/>
  <c r="AD169" i="102"/>
  <c r="AD140" i="102"/>
  <c r="AD204" i="102"/>
  <c r="AD127" i="102"/>
  <c r="AD191" i="102"/>
  <c r="AD162" i="102"/>
  <c r="AD226" i="102"/>
  <c r="AD149" i="102"/>
  <c r="AD213" i="102"/>
  <c r="AD136" i="102"/>
  <c r="AD200" i="102"/>
  <c r="AA125" i="102"/>
  <c r="AA189" i="102"/>
  <c r="AA160" i="102"/>
  <c r="AA224" i="102"/>
  <c r="AA147" i="102"/>
  <c r="AA211" i="102"/>
  <c r="AA134" i="102"/>
  <c r="AA198" i="102"/>
  <c r="AA121" i="102"/>
  <c r="AA185" i="102"/>
  <c r="AD122" i="102"/>
  <c r="AD186" i="102"/>
  <c r="AD189" i="102"/>
  <c r="AI210" i="102"/>
  <c r="AI108" i="102"/>
  <c r="AI124" i="102"/>
  <c r="AI101" i="102"/>
  <c r="AI165" i="102"/>
  <c r="AI229" i="102"/>
  <c r="AI152" i="102"/>
  <c r="AI216" i="102"/>
  <c r="AL153" i="102"/>
  <c r="AL217" i="102"/>
  <c r="AI142" i="102"/>
  <c r="AI206" i="102"/>
  <c r="AI129" i="102"/>
  <c r="AI193" i="102"/>
  <c r="AI116" i="102"/>
  <c r="AI180" i="102"/>
  <c r="AI103" i="102"/>
  <c r="AI167" i="102"/>
  <c r="AI231" i="102"/>
  <c r="AL168" i="102"/>
  <c r="AI93" i="102"/>
  <c r="AI157" i="102"/>
  <c r="AI221" i="102"/>
  <c r="AI160" i="102"/>
  <c r="AI224" i="102"/>
  <c r="AI147" i="102"/>
  <c r="AI211" i="102"/>
  <c r="AI134" i="102"/>
  <c r="AI198" i="102"/>
  <c r="AI121" i="102"/>
  <c r="AI185" i="102"/>
  <c r="AL154" i="102"/>
  <c r="AL218" i="102"/>
  <c r="AL141" i="102"/>
  <c r="AL205" i="102"/>
  <c r="AT125" i="102"/>
  <c r="AT134" i="102"/>
  <c r="AQ101" i="102"/>
  <c r="AT140" i="102"/>
  <c r="AQ106" i="102"/>
  <c r="AQ97" i="102"/>
  <c r="AQ133" i="102"/>
  <c r="AT150" i="102"/>
  <c r="AT127" i="102"/>
  <c r="AT144" i="102"/>
  <c r="AT195" i="102"/>
  <c r="AT198" i="102"/>
  <c r="AQ123" i="102"/>
  <c r="AQ187" i="102"/>
  <c r="AT204" i="102"/>
  <c r="AT223" i="102"/>
  <c r="AT146" i="102"/>
  <c r="AT210" i="102"/>
  <c r="AQ167" i="102"/>
  <c r="AQ231" i="102"/>
  <c r="AQ186" i="102"/>
  <c r="AT123" i="102"/>
  <c r="AT187" i="102"/>
  <c r="AT126" i="102"/>
  <c r="AT190" i="102"/>
  <c r="AT161" i="102"/>
  <c r="AT225" i="102"/>
  <c r="AT148" i="102"/>
  <c r="AT212" i="102"/>
  <c r="AT135" i="102"/>
  <c r="AT199" i="102"/>
  <c r="AQ124" i="102"/>
  <c r="AQ188" i="102"/>
  <c r="AT157" i="102"/>
  <c r="AT221" i="102"/>
  <c r="BB224" i="102"/>
  <c r="AY123" i="102"/>
  <c r="AY150" i="102"/>
  <c r="BB179" i="102"/>
  <c r="AY139" i="102"/>
  <c r="AY166" i="102"/>
  <c r="AY182" i="102"/>
  <c r="AY198" i="102"/>
  <c r="AY230" i="102"/>
  <c r="AY109" i="102"/>
  <c r="BB134" i="102"/>
  <c r="BB198" i="102"/>
  <c r="BB185" i="102"/>
  <c r="AY110" i="102"/>
  <c r="AY174" i="102"/>
  <c r="AY97" i="102"/>
  <c r="AY161" i="102"/>
  <c r="AY225" i="102"/>
  <c r="AY164" i="102"/>
  <c r="AY228" i="102"/>
  <c r="AY151" i="102"/>
  <c r="AY215" i="102"/>
  <c r="AY170" i="102"/>
  <c r="BB139" i="102"/>
  <c r="AY205" i="102"/>
  <c r="AY192" i="102"/>
  <c r="AY163" i="102"/>
  <c r="BB119" i="102"/>
  <c r="BB215" i="102"/>
  <c r="AY220" i="102"/>
  <c r="F64" i="103"/>
  <c r="M51" i="103"/>
  <c r="K37" i="103"/>
  <c r="I23" i="103"/>
  <c r="G9" i="103"/>
  <c r="I53" i="103"/>
  <c r="G39" i="103"/>
  <c r="E25" i="103"/>
  <c r="L10" i="103"/>
  <c r="L81" i="103"/>
  <c r="K74" i="103"/>
  <c r="J67" i="103"/>
  <c r="K59" i="103"/>
  <c r="I45" i="103"/>
  <c r="G31" i="103"/>
  <c r="E17" i="103"/>
  <c r="K79" i="103"/>
  <c r="I65" i="103"/>
  <c r="I38" i="103"/>
  <c r="G53" i="103"/>
  <c r="E39" i="103"/>
  <c r="L24" i="103"/>
  <c r="J10" i="103"/>
  <c r="G75" i="103"/>
  <c r="E59" i="103"/>
  <c r="L33" i="103"/>
  <c r="L80" i="103"/>
  <c r="K73" i="103"/>
  <c r="J66" i="103"/>
  <c r="M57" i="103"/>
  <c r="K43" i="103"/>
  <c r="I29" i="103"/>
  <c r="G15" i="103"/>
  <c r="L57" i="103"/>
  <c r="J43" i="103"/>
  <c r="H29" i="103"/>
  <c r="F15" i="103"/>
  <c r="I82" i="103"/>
  <c r="H75" i="103"/>
  <c r="G68" i="103"/>
  <c r="L60" i="103"/>
  <c r="J46" i="103"/>
  <c r="H32" i="103"/>
  <c r="F18" i="103"/>
  <c r="G24" i="103"/>
  <c r="F48" i="103"/>
  <c r="M33" i="103"/>
  <c r="K19" i="103"/>
  <c r="N144" i="102"/>
  <c r="N157" i="102"/>
  <c r="N170" i="102"/>
  <c r="N106" i="102"/>
  <c r="N119" i="102"/>
  <c r="N132" i="102"/>
  <c r="N145" i="102"/>
  <c r="N131" i="102"/>
  <c r="K112" i="102"/>
  <c r="K157" i="102"/>
  <c r="K170" i="102"/>
  <c r="K106" i="102"/>
  <c r="K119" i="102"/>
  <c r="K148" i="102"/>
  <c r="K161" i="102"/>
  <c r="K97" i="102"/>
  <c r="K110" i="102"/>
  <c r="N137" i="102"/>
  <c r="N166" i="102"/>
  <c r="N102" i="102"/>
  <c r="N174" i="102"/>
  <c r="K218" i="102"/>
  <c r="K215" i="102"/>
  <c r="K212" i="102"/>
  <c r="K195" i="102"/>
  <c r="N175" i="102"/>
  <c r="N172" i="102"/>
  <c r="N230" i="102"/>
  <c r="N227" i="102"/>
  <c r="K226" i="102"/>
  <c r="K223" i="102"/>
  <c r="K220" i="102"/>
  <c r="K211" i="102"/>
  <c r="N183" i="102"/>
  <c r="N180" i="102"/>
  <c r="V128" i="102"/>
  <c r="V119" i="102"/>
  <c r="S93" i="102"/>
  <c r="S99" i="102"/>
  <c r="S130" i="102"/>
  <c r="V176" i="102"/>
  <c r="V147" i="102"/>
  <c r="V99" i="102"/>
  <c r="S113" i="102"/>
  <c r="S185" i="102"/>
  <c r="S201" i="102"/>
  <c r="V198" i="102"/>
  <c r="S123" i="102"/>
  <c r="S187" i="102"/>
  <c r="S174" i="102"/>
  <c r="S129" i="102"/>
  <c r="S193" i="102"/>
  <c r="S132" i="102"/>
  <c r="S196" i="102"/>
  <c r="S167" i="102"/>
  <c r="S231" i="102"/>
  <c r="S154" i="102"/>
  <c r="S218" i="102"/>
  <c r="S205" i="102"/>
  <c r="S128" i="102"/>
  <c r="S192" i="102"/>
  <c r="S147" i="102"/>
  <c r="S211" i="102"/>
  <c r="S134" i="102"/>
  <c r="S198" i="102"/>
  <c r="S108" i="102"/>
  <c r="S172" i="102"/>
  <c r="S111" i="102"/>
  <c r="S175" i="102"/>
  <c r="AD114" i="102"/>
  <c r="AA210" i="102"/>
  <c r="AD118" i="102"/>
  <c r="AD112" i="102"/>
  <c r="AD94" i="102"/>
  <c r="AA146" i="102"/>
  <c r="AA110" i="102"/>
  <c r="AA194" i="102"/>
  <c r="AD130" i="102"/>
  <c r="AD182" i="102"/>
  <c r="AA107" i="102"/>
  <c r="AA171" i="102"/>
  <c r="AA142" i="102"/>
  <c r="AA206" i="102"/>
  <c r="AA129" i="102"/>
  <c r="AA193" i="102"/>
  <c r="AA164" i="102"/>
  <c r="AA228" i="102"/>
  <c r="AA151" i="102"/>
  <c r="AA215" i="102"/>
  <c r="AA138" i="102"/>
  <c r="AA202" i="102"/>
  <c r="AD139" i="102"/>
  <c r="AD203" i="102"/>
  <c r="AD174" i="102"/>
  <c r="AD97" i="102"/>
  <c r="AD161" i="102"/>
  <c r="AD225" i="102"/>
  <c r="AD148" i="102"/>
  <c r="AD212" i="102"/>
  <c r="AD135" i="102"/>
  <c r="AD199" i="102"/>
  <c r="AA124" i="102"/>
  <c r="AA188" i="102"/>
  <c r="AA191" i="102"/>
  <c r="AL128" i="102"/>
  <c r="AI194" i="102"/>
  <c r="AI226" i="102"/>
  <c r="AL115" i="102"/>
  <c r="AL179" i="102"/>
  <c r="AL102" i="102"/>
  <c r="AL166" i="102"/>
  <c r="AL230" i="102"/>
  <c r="AI155" i="102"/>
  <c r="AI219" i="102"/>
  <c r="AL156" i="102"/>
  <c r="AL220" i="102"/>
  <c r="AL143" i="102"/>
  <c r="AL207" i="102"/>
  <c r="AL130" i="102"/>
  <c r="AL194" i="102"/>
  <c r="AL117" i="102"/>
  <c r="AL181" i="102"/>
  <c r="AI106" i="102"/>
  <c r="AI170" i="102"/>
  <c r="AL107" i="102"/>
  <c r="AL171" i="102"/>
  <c r="AL110" i="102"/>
  <c r="AL174" i="102"/>
  <c r="AL97" i="102"/>
  <c r="AL161" i="102"/>
  <c r="AL225" i="102"/>
  <c r="AL148" i="102"/>
  <c r="AL212" i="102"/>
  <c r="AL135" i="102"/>
  <c r="AL199" i="102"/>
  <c r="AI156" i="102"/>
  <c r="AI220" i="102"/>
  <c r="AI143" i="102"/>
  <c r="AI207" i="102"/>
  <c r="AQ131" i="102"/>
  <c r="AQ145" i="102"/>
  <c r="AT115" i="102"/>
  <c r="AQ158" i="102"/>
  <c r="AQ111" i="102"/>
  <c r="AQ104" i="102"/>
  <c r="AT159" i="102"/>
  <c r="AT97" i="102"/>
  <c r="AT133" i="102"/>
  <c r="AQ162" i="102"/>
  <c r="AQ197" i="102"/>
  <c r="AQ200" i="102"/>
  <c r="AT137" i="102"/>
  <c r="AT201" i="102"/>
  <c r="AQ206" i="102"/>
  <c r="AQ225" i="102"/>
  <c r="AQ148" i="102"/>
  <c r="AQ212" i="102"/>
  <c r="AT181" i="102"/>
  <c r="AT136" i="102"/>
  <c r="AT200" i="102"/>
  <c r="AQ125" i="102"/>
  <c r="AQ189" i="102"/>
  <c r="AQ128" i="102"/>
  <c r="AQ192" i="102"/>
  <c r="AQ163" i="102"/>
  <c r="AQ227" i="102"/>
  <c r="AQ150" i="102"/>
  <c r="AQ214" i="102"/>
  <c r="AQ137" i="102"/>
  <c r="AQ201" i="102"/>
  <c r="AT138" i="102"/>
  <c r="AT202" i="102"/>
  <c r="AQ159" i="102"/>
  <c r="AQ223" i="102"/>
  <c r="BB208" i="102"/>
  <c r="BB126" i="102"/>
  <c r="BB163" i="102"/>
  <c r="AY96" i="102"/>
  <c r="AY165" i="102"/>
  <c r="AY181" i="102"/>
  <c r="AY197" i="102"/>
  <c r="AY213" i="102"/>
  <c r="BB116" i="102"/>
  <c r="BB113" i="102"/>
  <c r="AY136" i="102"/>
  <c r="AY200" i="102"/>
  <c r="AY187" i="102"/>
  <c r="BB124" i="102"/>
  <c r="BB188" i="102"/>
  <c r="BB111" i="102"/>
  <c r="BB175" i="102"/>
  <c r="BB114" i="102"/>
  <c r="BB178" i="102"/>
  <c r="BB101" i="102"/>
  <c r="BB165" i="102"/>
  <c r="BB229" i="102"/>
  <c r="BB184" i="102"/>
  <c r="AY141" i="102"/>
  <c r="BB219" i="102"/>
  <c r="BB206" i="102"/>
  <c r="AY179" i="102"/>
  <c r="AY121" i="102"/>
  <c r="AY217" i="102"/>
  <c r="BB93" i="102"/>
  <c r="AY143" i="102"/>
  <c r="AY207" i="102"/>
  <c r="BG210" i="102"/>
  <c r="BG105" i="102"/>
  <c r="BG130" i="102"/>
  <c r="BG123" i="102"/>
  <c r="BG118" i="102"/>
  <c r="BJ103" i="102"/>
  <c r="BJ160" i="102"/>
  <c r="BG165" i="102"/>
  <c r="BG229" i="102"/>
  <c r="BJ166" i="102"/>
  <c r="BJ230" i="102"/>
  <c r="BG203" i="102"/>
  <c r="BG190" i="102"/>
  <c r="BG145" i="102"/>
  <c r="BG209" i="102"/>
  <c r="BG164" i="102"/>
  <c r="BG228" i="102"/>
  <c r="BG151" i="102"/>
  <c r="BG215" i="102"/>
  <c r="BG138" i="102"/>
  <c r="BG202" i="102"/>
  <c r="BJ139" i="102"/>
  <c r="BJ203" i="102"/>
  <c r="BJ126" i="102"/>
  <c r="BJ190" i="102"/>
  <c r="BJ113" i="102"/>
  <c r="BJ177" i="102"/>
  <c r="BJ132" i="102"/>
  <c r="BJ196" i="102"/>
  <c r="BJ167" i="102"/>
  <c r="BJ231" i="102"/>
  <c r="BG172" i="102"/>
  <c r="BG95" i="102"/>
  <c r="BG159" i="102"/>
  <c r="BG223" i="102"/>
  <c r="BO123" i="102"/>
  <c r="BO194" i="102"/>
  <c r="BR96" i="102"/>
  <c r="BO226" i="102"/>
  <c r="BR160" i="102"/>
  <c r="BO149" i="102"/>
  <c r="BO213" i="102"/>
  <c r="BO184" i="102"/>
  <c r="BR153" i="102"/>
  <c r="BR217" i="102"/>
  <c r="BO142" i="102"/>
  <c r="BO206" i="102"/>
  <c r="BR143" i="102"/>
  <c r="BR207" i="102"/>
  <c r="BR146" i="102"/>
  <c r="BR210" i="102"/>
  <c r="BR133" i="102"/>
  <c r="BR197" i="102"/>
  <c r="BR120" i="102"/>
  <c r="BR184" i="102"/>
  <c r="BR139" i="102"/>
  <c r="BR203" i="102"/>
  <c r="BR142" i="102"/>
  <c r="BR206" i="102"/>
  <c r="BR129" i="102"/>
  <c r="BR193" i="102"/>
  <c r="BR132" i="102"/>
  <c r="BR196" i="102"/>
  <c r="BR135" i="102"/>
  <c r="BR199" i="102"/>
  <c r="BO124" i="102"/>
  <c r="BO188" i="102"/>
  <c r="BO111" i="102"/>
  <c r="BO175" i="102"/>
  <c r="BW114" i="102"/>
  <c r="BW130" i="102"/>
  <c r="BZ99" i="102"/>
  <c r="BW149" i="102"/>
  <c r="BZ100" i="102"/>
  <c r="BZ140" i="102"/>
  <c r="BW141" i="102"/>
  <c r="BW117" i="102"/>
  <c r="BZ195" i="102"/>
  <c r="BZ214" i="102"/>
  <c r="BW139" i="102"/>
  <c r="BW203" i="102"/>
  <c r="BW190" i="102"/>
  <c r="BW113" i="102"/>
  <c r="BW177" i="102"/>
  <c r="BW100" i="102"/>
  <c r="BW164" i="102"/>
  <c r="BW228" i="102"/>
  <c r="BW151" i="102"/>
  <c r="BW215" i="102"/>
  <c r="BW138" i="102"/>
  <c r="BW202" i="102"/>
  <c r="BW221" i="102"/>
  <c r="BW144" i="102"/>
  <c r="BW208" i="102"/>
  <c r="BW131" i="102"/>
  <c r="BW195" i="102"/>
  <c r="BZ164" i="102"/>
  <c r="BZ228" i="102"/>
  <c r="BZ151" i="102"/>
  <c r="BZ215" i="102"/>
  <c r="BW140" i="102"/>
  <c r="BW204" i="102"/>
  <c r="BW127" i="102"/>
  <c r="BW191" i="102"/>
  <c r="CH208" i="102"/>
  <c r="CH112" i="102"/>
  <c r="CH224" i="102"/>
  <c r="CE93" i="102"/>
  <c r="CH192" i="102"/>
  <c r="CE210" i="102"/>
  <c r="CH160" i="102"/>
  <c r="CH134" i="102"/>
  <c r="CH198" i="102"/>
  <c r="CE123" i="102"/>
  <c r="CE187" i="102"/>
  <c r="CH124" i="102"/>
  <c r="CH188" i="102"/>
  <c r="CH111" i="102"/>
  <c r="CH175" i="102"/>
  <c r="CH130" i="102"/>
  <c r="CH194" i="102"/>
  <c r="CH133" i="102"/>
  <c r="CH197" i="102"/>
  <c r="CH120" i="102"/>
  <c r="CH184" i="102"/>
  <c r="CE157" i="102"/>
  <c r="CE221" i="102"/>
  <c r="CE160" i="102"/>
  <c r="CE224" i="102"/>
  <c r="CE147" i="102"/>
  <c r="CE211" i="102"/>
  <c r="CE134" i="102"/>
  <c r="CE198" i="102"/>
  <c r="CE121" i="102"/>
  <c r="CE185" i="102"/>
  <c r="CH138" i="102"/>
  <c r="CH202" i="102"/>
  <c r="CE143" i="102"/>
  <c r="CE207" i="102"/>
  <c r="CP137" i="102"/>
  <c r="CM124" i="102"/>
  <c r="CP138" i="102"/>
  <c r="CP121" i="102"/>
  <c r="CM148" i="102"/>
  <c r="CP124" i="102"/>
  <c r="CP144" i="102"/>
  <c r="CP122" i="102"/>
  <c r="CM165" i="102"/>
  <c r="CM111" i="102"/>
  <c r="CM123" i="102"/>
  <c r="CP99" i="102"/>
  <c r="CP140" i="102"/>
  <c r="CP204" i="102"/>
  <c r="CP175" i="102"/>
  <c r="CP162" i="102"/>
  <c r="CP226" i="102"/>
  <c r="CP149" i="102"/>
  <c r="CP213" i="102"/>
  <c r="CP136" i="102"/>
  <c r="CP200" i="102"/>
  <c r="CM125" i="102"/>
  <c r="CM189" i="102"/>
  <c r="CM112" i="102"/>
  <c r="CM176" i="102"/>
  <c r="CM131" i="102"/>
  <c r="CM195" i="102"/>
  <c r="CM118" i="102"/>
  <c r="CM182" i="102"/>
  <c r="CM105" i="102"/>
  <c r="CM169" i="102"/>
  <c r="CM140" i="102"/>
  <c r="CM204" i="102"/>
  <c r="CM159" i="102"/>
  <c r="CM223" i="102"/>
  <c r="N58" i="102"/>
  <c r="N61" i="102"/>
  <c r="K65" i="102"/>
  <c r="K78" i="102"/>
  <c r="N12" i="102"/>
  <c r="N57" i="102"/>
  <c r="K54" i="102"/>
  <c r="K80" i="102"/>
  <c r="N59" i="102"/>
  <c r="K74" i="102"/>
  <c r="N36" i="102"/>
  <c r="N15" i="102"/>
  <c r="N33" i="102"/>
  <c r="N22" i="102"/>
  <c r="N43" i="102"/>
  <c r="N11" i="102"/>
  <c r="K55" i="102"/>
  <c r="K23" i="102"/>
  <c r="N42" i="102"/>
  <c r="N10" i="102"/>
  <c r="V21" i="102"/>
  <c r="S20" i="102"/>
  <c r="V22" i="102"/>
  <c r="S11" i="102"/>
  <c r="V61" i="102"/>
  <c r="S71" i="102"/>
  <c r="V27" i="102"/>
  <c r="V29" i="102"/>
  <c r="S55" i="102"/>
  <c r="V40" i="102"/>
  <c r="V72" i="102"/>
  <c r="V59" i="102"/>
  <c r="V54" i="102"/>
  <c r="V33" i="102"/>
  <c r="V65" i="102"/>
  <c r="V28" i="102"/>
  <c r="V60" i="102"/>
  <c r="S81" i="102"/>
  <c r="S60" i="102"/>
  <c r="AD61" i="102"/>
  <c r="AA14" i="102"/>
  <c r="AA7" i="102"/>
  <c r="AD69" i="102"/>
  <c r="AD36" i="102"/>
  <c r="AA8" i="102"/>
  <c r="AD12" i="102"/>
  <c r="AA18" i="102"/>
  <c r="AA50" i="102"/>
  <c r="AA82" i="102"/>
  <c r="AA69" i="102"/>
  <c r="AD38" i="102"/>
  <c r="AD70" i="102"/>
  <c r="AD33" i="102"/>
  <c r="AD65" i="102"/>
  <c r="AD52" i="102"/>
  <c r="AD84" i="102"/>
  <c r="AA73" i="102"/>
  <c r="AA36" i="102"/>
  <c r="AA68" i="102"/>
  <c r="AI28" i="102"/>
  <c r="AL35" i="102"/>
  <c r="AI66" i="102"/>
  <c r="AI50" i="102"/>
  <c r="AL14" i="102"/>
  <c r="AL28" i="102"/>
  <c r="AI58" i="102"/>
  <c r="AI15" i="102"/>
  <c r="AI63" i="102"/>
  <c r="AL38" i="102"/>
  <c r="AI43" i="102"/>
  <c r="BB157" i="102"/>
  <c r="BB221" i="102"/>
  <c r="BG162" i="102"/>
  <c r="BJ135" i="102"/>
  <c r="BG194" i="102"/>
  <c r="BJ108" i="102"/>
  <c r="BG126" i="102"/>
  <c r="BJ144" i="102"/>
  <c r="BJ115" i="102"/>
  <c r="BJ179" i="102"/>
  <c r="BG104" i="102"/>
  <c r="BG168" i="102"/>
  <c r="BJ153" i="102"/>
  <c r="BJ217" i="102"/>
  <c r="BJ204" i="102"/>
  <c r="BJ159" i="102"/>
  <c r="BJ223" i="102"/>
  <c r="BJ178" i="102"/>
  <c r="BJ101" i="102"/>
  <c r="BJ165" i="102"/>
  <c r="BJ229" i="102"/>
  <c r="BJ152" i="102"/>
  <c r="BJ216" i="102"/>
  <c r="BG141" i="102"/>
  <c r="BG205" i="102"/>
  <c r="BG128" i="102"/>
  <c r="BG192" i="102"/>
  <c r="BG115" i="102"/>
  <c r="BG179" i="102"/>
  <c r="BG134" i="102"/>
  <c r="BG198" i="102"/>
  <c r="BG169" i="102"/>
  <c r="BJ122" i="102"/>
  <c r="BJ186" i="102"/>
  <c r="BJ109" i="102"/>
  <c r="BJ173" i="102"/>
  <c r="BO210" i="102"/>
  <c r="BR144" i="102"/>
  <c r="BO96" i="102"/>
  <c r="BO102" i="102"/>
  <c r="BR94" i="102"/>
  <c r="BR99" i="102"/>
  <c r="BR163" i="102"/>
  <c r="BR227" i="102"/>
  <c r="BR198" i="102"/>
  <c r="BO155" i="102"/>
  <c r="BO219" i="102"/>
  <c r="BR156" i="102"/>
  <c r="BR220" i="102"/>
  <c r="BO145" i="102"/>
  <c r="BO209" i="102"/>
  <c r="BO148" i="102"/>
  <c r="BO212" i="102"/>
  <c r="BO135" i="102"/>
  <c r="BO199" i="102"/>
  <c r="BO122" i="102"/>
  <c r="BO186" i="102"/>
  <c r="BO141" i="102"/>
  <c r="BO205" i="102"/>
  <c r="BO144" i="102"/>
  <c r="BO208" i="102"/>
  <c r="BO131" i="102"/>
  <c r="BO195" i="102"/>
  <c r="BO134" i="102"/>
  <c r="BO198" i="102"/>
  <c r="BO137" i="102"/>
  <c r="BO201" i="102"/>
  <c r="BR138" i="102"/>
  <c r="BR202" i="102"/>
  <c r="BR125" i="102"/>
  <c r="BR189" i="102"/>
  <c r="BW152" i="102"/>
  <c r="BZ176" i="102"/>
  <c r="BZ134" i="102"/>
  <c r="BZ160" i="102"/>
  <c r="BZ131" i="102"/>
  <c r="BW162" i="102"/>
  <c r="BW146" i="102"/>
  <c r="BZ124" i="102"/>
  <c r="BW197" i="102"/>
  <c r="BW216" i="102"/>
  <c r="BZ153" i="102"/>
  <c r="BZ217" i="102"/>
  <c r="BZ204" i="102"/>
  <c r="BZ127" i="102"/>
  <c r="BZ191" i="102"/>
  <c r="BZ114" i="102"/>
  <c r="BZ178" i="102"/>
  <c r="BZ101" i="102"/>
  <c r="BZ165" i="102"/>
  <c r="BZ229" i="102"/>
  <c r="BZ152" i="102"/>
  <c r="BZ216" i="102"/>
  <c r="BZ94" i="102"/>
  <c r="BZ158" i="102"/>
  <c r="BZ222" i="102"/>
  <c r="BZ145" i="102"/>
  <c r="BZ209" i="102"/>
  <c r="BW166" i="102"/>
  <c r="BW230" i="102"/>
  <c r="BW153" i="102"/>
  <c r="BW217" i="102"/>
  <c r="BZ154" i="102"/>
  <c r="BZ218" i="102"/>
  <c r="BZ141" i="102"/>
  <c r="BZ205" i="102"/>
  <c r="CH101" i="102"/>
  <c r="CE133" i="102"/>
  <c r="CH99" i="102"/>
  <c r="CE103" i="102"/>
  <c r="CE108" i="102"/>
  <c r="CE95" i="102"/>
  <c r="CE101" i="102"/>
  <c r="CE136" i="102"/>
  <c r="CE200" i="102"/>
  <c r="CH137" i="102"/>
  <c r="CH201" i="102"/>
  <c r="CE126" i="102"/>
  <c r="CE190" i="102"/>
  <c r="CE113" i="102"/>
  <c r="CE177" i="102"/>
  <c r="CE132" i="102"/>
  <c r="CE196" i="102"/>
  <c r="CE135" i="102"/>
  <c r="CE199" i="102"/>
  <c r="CE122" i="102"/>
  <c r="CE186" i="102"/>
  <c r="CH171" i="102"/>
  <c r="CH110" i="102"/>
  <c r="CH174" i="102"/>
  <c r="CH97" i="102"/>
  <c r="CH161" i="102"/>
  <c r="CH225" i="102"/>
  <c r="CH148" i="102"/>
  <c r="CH212" i="102"/>
  <c r="CH135" i="102"/>
  <c r="CH199" i="102"/>
  <c r="CE140" i="102"/>
  <c r="CE204" i="102"/>
  <c r="CH157" i="102"/>
  <c r="CH221" i="102"/>
  <c r="CP201" i="102"/>
  <c r="CM129" i="102"/>
  <c r="CP147" i="102"/>
  <c r="CP185" i="102"/>
  <c r="CP163" i="102"/>
  <c r="CM136" i="102"/>
  <c r="CM149" i="102"/>
  <c r="CP153" i="102"/>
  <c r="CP211" i="102"/>
  <c r="CM113" i="102"/>
  <c r="CP128" i="102"/>
  <c r="CP113" i="102"/>
  <c r="CM142" i="102"/>
  <c r="CM206" i="102"/>
  <c r="CM177" i="102"/>
  <c r="CM164" i="102"/>
  <c r="CM228" i="102"/>
  <c r="CM151" i="102"/>
  <c r="CM215" i="102"/>
  <c r="CM138" i="102"/>
  <c r="CM202" i="102"/>
  <c r="CP139" i="102"/>
  <c r="CP203" i="102"/>
  <c r="CP126" i="102"/>
  <c r="CP190" i="102"/>
  <c r="CP145" i="102"/>
  <c r="CP209" i="102"/>
  <c r="CP132" i="102"/>
  <c r="CP196" i="102"/>
  <c r="CP119" i="102"/>
  <c r="CP183" i="102"/>
  <c r="CP154" i="102"/>
  <c r="CP218" i="102"/>
  <c r="CP173" i="102"/>
  <c r="D49" i="61"/>
  <c r="N55" i="102"/>
  <c r="K84" i="102"/>
  <c r="N63" i="102"/>
  <c r="N76" i="102"/>
  <c r="K71" i="102"/>
  <c r="K6" i="102"/>
  <c r="N52" i="102"/>
  <c r="N78" i="102"/>
  <c r="K48" i="102"/>
  <c r="N72" i="102"/>
  <c r="K41" i="102"/>
  <c r="K9" i="102"/>
  <c r="K27" i="102"/>
  <c r="K16" i="102"/>
  <c r="K37" i="102"/>
  <c r="N32" i="102"/>
  <c r="N53" i="102"/>
  <c r="N21" i="102"/>
  <c r="K36" i="102"/>
  <c r="S23" i="102"/>
  <c r="V23" i="102"/>
  <c r="V14" i="102"/>
  <c r="S10" i="102"/>
  <c r="V15" i="102"/>
  <c r="S6" i="102"/>
  <c r="S41" i="102"/>
  <c r="S63" i="102"/>
  <c r="V30" i="102"/>
  <c r="V69" i="102"/>
  <c r="S42" i="102"/>
  <c r="S74" i="102"/>
  <c r="S61" i="102"/>
  <c r="S56" i="102"/>
  <c r="S35" i="102"/>
  <c r="S67" i="102"/>
  <c r="S30" i="102"/>
  <c r="S62" i="102"/>
  <c r="V34" i="102"/>
  <c r="V66" i="102"/>
  <c r="AA79" i="102"/>
  <c r="AD10" i="102"/>
  <c r="AD13" i="102"/>
  <c r="AD20" i="102"/>
  <c r="AD11" i="102"/>
  <c r="AD14" i="102"/>
  <c r="AD9" i="102"/>
  <c r="AD24" i="102"/>
  <c r="AD56" i="102"/>
  <c r="AD43" i="102"/>
  <c r="AD75" i="102"/>
  <c r="AA40" i="102"/>
  <c r="AA72" i="102"/>
  <c r="AA35" i="102"/>
  <c r="AA67" i="102"/>
  <c r="AA54" i="102"/>
  <c r="AD47" i="102"/>
  <c r="AD79" i="102"/>
  <c r="AD42" i="102"/>
  <c r="AD74" i="102"/>
  <c r="AL67" i="102"/>
  <c r="AI7" i="102"/>
  <c r="AI13" i="102"/>
  <c r="AI25" i="102"/>
  <c r="AL59" i="102"/>
  <c r="AI37" i="102"/>
  <c r="AL72" i="102"/>
  <c r="AL29" i="102"/>
  <c r="AL69" i="102"/>
  <c r="AI40" i="102"/>
  <c r="AI59" i="102"/>
  <c r="AY189" i="102"/>
  <c r="BB158" i="102"/>
  <c r="BB222" i="102"/>
  <c r="BB177" i="102"/>
  <c r="BB103" i="102"/>
  <c r="BB167" i="102"/>
  <c r="BB231" i="102"/>
  <c r="AY172" i="102"/>
  <c r="AY95" i="102"/>
  <c r="AY159" i="102"/>
  <c r="AY223" i="102"/>
  <c r="BG113" i="102"/>
  <c r="BJ192" i="102"/>
  <c r="BJ95" i="102"/>
  <c r="BG137" i="102"/>
  <c r="BJ137" i="102"/>
  <c r="BG226" i="102"/>
  <c r="BG117" i="102"/>
  <c r="BG181" i="102"/>
  <c r="BJ118" i="102"/>
  <c r="BJ182" i="102"/>
  <c r="BG155" i="102"/>
  <c r="BG219" i="102"/>
  <c r="BG206" i="102"/>
  <c r="BG161" i="102"/>
  <c r="BG225" i="102"/>
  <c r="BG180" i="102"/>
  <c r="BG103" i="102"/>
  <c r="BG167" i="102"/>
  <c r="BG231" i="102"/>
  <c r="BG154" i="102"/>
  <c r="BG218" i="102"/>
  <c r="BJ155" i="102"/>
  <c r="BJ219" i="102"/>
  <c r="BJ142" i="102"/>
  <c r="BJ206" i="102"/>
  <c r="BJ129" i="102"/>
  <c r="BJ193" i="102"/>
  <c r="BJ148" i="102"/>
  <c r="BJ212" i="102"/>
  <c r="BJ183" i="102"/>
  <c r="BG124" i="102"/>
  <c r="BG188" i="102"/>
  <c r="BG111" i="102"/>
  <c r="BG175" i="102"/>
  <c r="BR208" i="102"/>
  <c r="BR95" i="102"/>
  <c r="BR98" i="102"/>
  <c r="BR176" i="102"/>
  <c r="BR102" i="102"/>
  <c r="BO101" i="102"/>
  <c r="BO165" i="102"/>
  <c r="BO229" i="102"/>
  <c r="BO200" i="102"/>
  <c r="BR169" i="102"/>
  <c r="BO94" i="102"/>
  <c r="BO158" i="102"/>
  <c r="BO222" i="102"/>
  <c r="BR159" i="102"/>
  <c r="BR223" i="102"/>
  <c r="BR162" i="102"/>
  <c r="BR226" i="102"/>
  <c r="BR149" i="102"/>
  <c r="BR213" i="102"/>
  <c r="BR136" i="102"/>
  <c r="BR200" i="102"/>
  <c r="BR155" i="102"/>
  <c r="BR219" i="102"/>
  <c r="BR158" i="102"/>
  <c r="BR222" i="102"/>
  <c r="BR145" i="102"/>
  <c r="BR209" i="102"/>
  <c r="BR148" i="102"/>
  <c r="BR212" i="102"/>
  <c r="BR151" i="102"/>
  <c r="BR215" i="102"/>
  <c r="BO140" i="102"/>
  <c r="BO204" i="102"/>
  <c r="BO127" i="102"/>
  <c r="BO191" i="102"/>
  <c r="BW210" i="102"/>
  <c r="BW126" i="102"/>
  <c r="BZ171" i="102"/>
  <c r="BW178" i="102"/>
  <c r="BZ155" i="102"/>
  <c r="BZ179" i="102"/>
  <c r="BW226" i="102"/>
  <c r="BZ132" i="102"/>
  <c r="BZ211" i="102"/>
  <c r="BZ230" i="102"/>
  <c r="BW155" i="102"/>
  <c r="BW219" i="102"/>
  <c r="BW206" i="102"/>
  <c r="BW129" i="102"/>
  <c r="BW193" i="102"/>
  <c r="BW116" i="102"/>
  <c r="BW180" i="102"/>
  <c r="BW103" i="102"/>
  <c r="BW167" i="102"/>
  <c r="BW231" i="102"/>
  <c r="BW154" i="102"/>
  <c r="BW218" i="102"/>
  <c r="BW96" i="102"/>
  <c r="BW160" i="102"/>
  <c r="BW224" i="102"/>
  <c r="BW147" i="102"/>
  <c r="BW211" i="102"/>
  <c r="BZ180" i="102"/>
  <c r="BZ103" i="102"/>
  <c r="BZ167" i="102"/>
  <c r="BZ231" i="102"/>
  <c r="BW156" i="102"/>
  <c r="BW220" i="102"/>
  <c r="BW143" i="102"/>
  <c r="BW207" i="102"/>
  <c r="CH107" i="102"/>
  <c r="CH176" i="102"/>
  <c r="CE109" i="102"/>
  <c r="CH109" i="102"/>
  <c r="CH94" i="102"/>
  <c r="CH115" i="102"/>
  <c r="CE149" i="102"/>
  <c r="CH150" i="102"/>
  <c r="CH214" i="102"/>
  <c r="CE139" i="102"/>
  <c r="CE203" i="102"/>
  <c r="CH140" i="102"/>
  <c r="CH204" i="102"/>
  <c r="CH127" i="102"/>
  <c r="CH191" i="102"/>
  <c r="CH146" i="102"/>
  <c r="CH210" i="102"/>
  <c r="CH149" i="102"/>
  <c r="CH213" i="102"/>
  <c r="CH136" i="102"/>
  <c r="CH200" i="102"/>
  <c r="CE173" i="102"/>
  <c r="CE112" i="102"/>
  <c r="CE176" i="102"/>
  <c r="CE99" i="102"/>
  <c r="CE163" i="102"/>
  <c r="CE227" i="102"/>
  <c r="CE150" i="102"/>
  <c r="CE214" i="102"/>
  <c r="CE137" i="102"/>
  <c r="CE201" i="102"/>
  <c r="CH154" i="102"/>
  <c r="CH218" i="102"/>
  <c r="CE159" i="102"/>
  <c r="CE223" i="102"/>
  <c r="CM219" i="102"/>
  <c r="CP179" i="102"/>
  <c r="CM152" i="102"/>
  <c r="CM203" i="102"/>
  <c r="CM181" i="102"/>
  <c r="CM139" i="102"/>
  <c r="CP169" i="102"/>
  <c r="CP176" i="102"/>
  <c r="CM229" i="102"/>
  <c r="CP115" i="102"/>
  <c r="CM146" i="102"/>
  <c r="CP131" i="102"/>
  <c r="CP156" i="102"/>
  <c r="CP220" i="102"/>
  <c r="CP191" i="102"/>
  <c r="CP178" i="102"/>
  <c r="CP101" i="102"/>
  <c r="CP165" i="102"/>
  <c r="CP229" i="102"/>
  <c r="CP152" i="102"/>
  <c r="CP216" i="102"/>
  <c r="CM141" i="102"/>
  <c r="CM205" i="102"/>
  <c r="CM128" i="102"/>
  <c r="CM192" i="102"/>
  <c r="CM147" i="102"/>
  <c r="CM211" i="102"/>
  <c r="CM134" i="102"/>
  <c r="CM198" i="102"/>
  <c r="CM121" i="102"/>
  <c r="CM185" i="102"/>
  <c r="CM156" i="102"/>
  <c r="CM220" i="102"/>
  <c r="CM175" i="102"/>
  <c r="C49" i="61"/>
  <c r="F49" i="61" s="1"/>
  <c r="G49" i="61" s="1"/>
  <c r="N54" i="102"/>
  <c r="N82" i="102"/>
  <c r="K57" i="102"/>
  <c r="K70" i="102"/>
  <c r="K83" i="102"/>
  <c r="K46" i="102"/>
  <c r="N30" i="102"/>
  <c r="N83" i="102"/>
  <c r="N46" i="102"/>
  <c r="K66" i="102"/>
  <c r="N39" i="102"/>
  <c r="N7" i="102"/>
  <c r="N25" i="102"/>
  <c r="N14" i="102"/>
  <c r="N35" i="102"/>
  <c r="K26" i="102"/>
  <c r="K47" i="102"/>
  <c r="K15" i="102"/>
  <c r="N34" i="102"/>
  <c r="V6" i="102"/>
  <c r="V39" i="102"/>
  <c r="S28" i="102"/>
  <c r="S19" i="102"/>
  <c r="S31" i="102"/>
  <c r="V12" i="102"/>
  <c r="S57" i="102"/>
  <c r="V77" i="102"/>
  <c r="V31" i="102"/>
  <c r="V16" i="102"/>
  <c r="V48" i="102"/>
  <c r="V80" i="102"/>
  <c r="V67" i="102"/>
  <c r="V62" i="102"/>
  <c r="V41" i="102"/>
  <c r="V73" i="102"/>
  <c r="V36" i="102"/>
  <c r="V68" i="102"/>
  <c r="S36" i="102"/>
  <c r="S68" i="102"/>
  <c r="AD7" i="102"/>
  <c r="AA12" i="102"/>
  <c r="AA16" i="102"/>
  <c r="AD8" i="102"/>
  <c r="AA13" i="102"/>
  <c r="AD21" i="102"/>
  <c r="AA11" i="102"/>
  <c r="AA26" i="102"/>
  <c r="AA58" i="102"/>
  <c r="AA45" i="102"/>
  <c r="AA77" i="102"/>
  <c r="AD46" i="102"/>
  <c r="AD78" i="102"/>
  <c r="AD41" i="102"/>
  <c r="AD73" i="102"/>
  <c r="AD60" i="102"/>
  <c r="AA49" i="102"/>
  <c r="AA81" i="102"/>
  <c r="AA44" i="102"/>
  <c r="AA76" i="102"/>
  <c r="AL9" i="102"/>
  <c r="AI29" i="102"/>
  <c r="AL48" i="102"/>
  <c r="AI27" i="102"/>
  <c r="AI77" i="102"/>
  <c r="AL51" i="102"/>
  <c r="AL7" i="102"/>
  <c r="AI31" i="102"/>
  <c r="AI71" i="102"/>
  <c r="AL46" i="102"/>
  <c r="AI75" i="102"/>
  <c r="BB122" i="102"/>
  <c r="BB186" i="102"/>
  <c r="BB109" i="102"/>
  <c r="BB173" i="102"/>
  <c r="BJ208" i="102"/>
  <c r="BJ119" i="102"/>
  <c r="BG98" i="102"/>
  <c r="BJ100" i="102"/>
  <c r="BJ111" i="102"/>
  <c r="BG178" i="102"/>
  <c r="BG107" i="102"/>
  <c r="BJ131" i="102"/>
  <c r="BJ195" i="102"/>
  <c r="BG120" i="102"/>
  <c r="BG184" i="102"/>
  <c r="BJ169" i="102"/>
  <c r="BJ156" i="102"/>
  <c r="BJ220" i="102"/>
  <c r="BJ175" i="102"/>
  <c r="BJ130" i="102"/>
  <c r="BJ194" i="102"/>
  <c r="BJ117" i="102"/>
  <c r="BJ181" i="102"/>
  <c r="BJ104" i="102"/>
  <c r="BJ168" i="102"/>
  <c r="BG93" i="102"/>
  <c r="BG157" i="102"/>
  <c r="BG221" i="102"/>
  <c r="BG144" i="102"/>
  <c r="BG208" i="102"/>
  <c r="BG131" i="102"/>
  <c r="BG195" i="102"/>
  <c r="BG150" i="102"/>
  <c r="BG214" i="102"/>
  <c r="BG185" i="102"/>
  <c r="BJ138" i="102"/>
  <c r="BJ202" i="102"/>
  <c r="BJ125" i="102"/>
  <c r="BJ189" i="102"/>
  <c r="BO93" i="102"/>
  <c r="BO104" i="102"/>
  <c r="BR107" i="102"/>
  <c r="BO105" i="102"/>
  <c r="BR128" i="102"/>
  <c r="BR115" i="102"/>
  <c r="BR179" i="102"/>
  <c r="BR150" i="102"/>
  <c r="BR214" i="102"/>
  <c r="BO171" i="102"/>
  <c r="BR108" i="102"/>
  <c r="BR172" i="102"/>
  <c r="BO97" i="102"/>
  <c r="BO161" i="102"/>
  <c r="BO225" i="102"/>
  <c r="BO164" i="102"/>
  <c r="BO228" i="102"/>
  <c r="BO151" i="102"/>
  <c r="BO215" i="102"/>
  <c r="BO138" i="102"/>
  <c r="BO202" i="102"/>
  <c r="BO157" i="102"/>
  <c r="BO221" i="102"/>
  <c r="BO160" i="102"/>
  <c r="BO224" i="102"/>
  <c r="BO147" i="102"/>
  <c r="BO211" i="102"/>
  <c r="BO150" i="102"/>
  <c r="BO214" i="102"/>
  <c r="BO153" i="102"/>
  <c r="BO217" i="102"/>
  <c r="BR154" i="102"/>
  <c r="BR218" i="102"/>
  <c r="BR141" i="102"/>
  <c r="BR205" i="102"/>
  <c r="BW110" i="102"/>
  <c r="BW165" i="102"/>
  <c r="BW194" i="102"/>
  <c r="BZ115" i="102"/>
  <c r="BW173" i="102"/>
  <c r="BZ224" i="102"/>
  <c r="BW109" i="102"/>
  <c r="BW157" i="102"/>
  <c r="BW213" i="102"/>
  <c r="BZ105" i="102"/>
  <c r="BZ169" i="102"/>
  <c r="BZ156" i="102"/>
  <c r="BZ220" i="102"/>
  <c r="BZ143" i="102"/>
  <c r="BZ207" i="102"/>
  <c r="BZ130" i="102"/>
  <c r="BZ194" i="102"/>
  <c r="BZ117" i="102"/>
  <c r="BZ181" i="102"/>
  <c r="BZ104" i="102"/>
  <c r="BZ168" i="102"/>
  <c r="BZ187" i="102"/>
  <c r="BZ110" i="102"/>
  <c r="BZ174" i="102"/>
  <c r="BZ97" i="102"/>
  <c r="BZ161" i="102"/>
  <c r="BZ225" i="102"/>
  <c r="BW182" i="102"/>
  <c r="BW105" i="102"/>
  <c r="BW169" i="102"/>
  <c r="BZ106" i="102"/>
  <c r="BZ170" i="102"/>
  <c r="BZ93" i="102"/>
  <c r="BZ157" i="102"/>
  <c r="BZ221" i="102"/>
  <c r="CE117" i="102"/>
  <c r="CH93" i="102"/>
  <c r="CE213" i="102"/>
  <c r="CH179" i="102"/>
  <c r="CH106" i="102"/>
  <c r="CE130" i="102"/>
  <c r="CH195" i="102"/>
  <c r="CE152" i="102"/>
  <c r="CE216" i="102"/>
  <c r="CH153" i="102"/>
  <c r="CH217" i="102"/>
  <c r="CE142" i="102"/>
  <c r="CE206" i="102"/>
  <c r="CE129" i="102"/>
  <c r="CE193" i="102"/>
  <c r="CE148" i="102"/>
  <c r="CE212" i="102"/>
  <c r="CE151" i="102"/>
  <c r="CE215" i="102"/>
  <c r="CE138" i="102"/>
  <c r="CE202" i="102"/>
  <c r="CH187" i="102"/>
  <c r="CH126" i="102"/>
  <c r="CH190" i="102"/>
  <c r="CH113" i="102"/>
  <c r="CH177" i="102"/>
  <c r="CH100" i="102"/>
  <c r="CH164" i="102"/>
  <c r="CH228" i="102"/>
  <c r="CH151" i="102"/>
  <c r="CH215" i="102"/>
  <c r="CE156" i="102"/>
  <c r="CE220" i="102"/>
  <c r="CH173" i="102"/>
  <c r="CP134" i="102"/>
  <c r="CM114" i="102"/>
  <c r="CM197" i="102"/>
  <c r="CM168" i="102"/>
  <c r="CM130" i="102"/>
  <c r="CP227" i="102"/>
  <c r="CP198" i="102"/>
  <c r="CM187" i="102"/>
  <c r="CM194" i="102"/>
  <c r="CP130" i="102"/>
  <c r="CM171" i="102"/>
  <c r="CP160" i="102"/>
  <c r="CP150" i="102"/>
  <c r="CM158" i="102"/>
  <c r="CM222" i="102"/>
  <c r="CM193" i="102"/>
  <c r="CM180" i="102"/>
  <c r="CM103" i="102"/>
  <c r="CM167" i="102"/>
  <c r="CM231" i="102"/>
  <c r="CM154" i="102"/>
  <c r="CM218" i="102"/>
  <c r="CP155" i="102"/>
  <c r="CP219" i="102"/>
  <c r="CP142" i="102"/>
  <c r="CP206" i="102"/>
  <c r="CP161" i="102"/>
  <c r="CP225" i="102"/>
  <c r="CP148" i="102"/>
  <c r="CP212" i="102"/>
  <c r="CP135" i="102"/>
  <c r="CP199" i="102"/>
  <c r="CP170" i="102"/>
  <c r="CP125" i="102"/>
  <c r="CP189" i="102"/>
  <c r="K79" i="102"/>
  <c r="K42" i="102"/>
  <c r="N74" i="102"/>
  <c r="K34" i="102"/>
  <c r="N68" i="102"/>
  <c r="K75" i="102"/>
  <c r="K72" i="102"/>
  <c r="N77" i="102"/>
  <c r="K77" i="102"/>
  <c r="N44" i="102"/>
  <c r="N64" i="102"/>
  <c r="K33" i="102"/>
  <c r="K51" i="102"/>
  <c r="K19" i="102"/>
  <c r="K8" i="102"/>
  <c r="K29" i="102"/>
  <c r="N24" i="102"/>
  <c r="N45" i="102"/>
  <c r="N13" i="102"/>
  <c r="K28" i="102"/>
  <c r="S8" i="102"/>
  <c r="S47" i="102"/>
  <c r="S33" i="102"/>
  <c r="S21" i="102"/>
  <c r="S32" i="102"/>
  <c r="S14" i="102"/>
  <c r="V10" i="102"/>
  <c r="V71" i="102"/>
  <c r="V35" i="102"/>
  <c r="S18" i="102"/>
  <c r="S50" i="102"/>
  <c r="S82" i="102"/>
  <c r="S69" i="102"/>
  <c r="S64" i="102"/>
  <c r="S43" i="102"/>
  <c r="S75" i="102"/>
  <c r="S38" i="102"/>
  <c r="S70" i="102"/>
  <c r="V42" i="102"/>
  <c r="V74" i="102"/>
  <c r="AA9" i="102"/>
  <c r="AA15" i="102"/>
  <c r="AA17" i="102"/>
  <c r="AA10" i="102"/>
  <c r="AD31" i="102"/>
  <c r="AA23" i="102"/>
  <c r="AD15" i="102"/>
  <c r="AD32" i="102"/>
  <c r="AD64" i="102"/>
  <c r="AD51" i="102"/>
  <c r="AD83" i="102"/>
  <c r="AA48" i="102"/>
  <c r="AA80" i="102"/>
  <c r="AA43" i="102"/>
  <c r="AA75" i="102"/>
  <c r="AA62" i="102"/>
  <c r="AD55" i="102"/>
  <c r="AD18" i="102"/>
  <c r="AD50" i="102"/>
  <c r="AD82" i="102"/>
  <c r="AI11" i="102"/>
  <c r="AL32" i="102"/>
  <c r="AL64" i="102"/>
  <c r="AI74" i="102"/>
  <c r="AL80" i="102"/>
  <c r="AI69" i="102"/>
  <c r="AI12" i="102"/>
  <c r="AL37" i="102"/>
  <c r="AL77" i="102"/>
  <c r="AI56" i="102"/>
  <c r="AL36" i="102"/>
  <c r="AY111" i="102"/>
  <c r="AY175" i="102"/>
  <c r="BG97" i="102"/>
  <c r="BJ128" i="102"/>
  <c r="BG100" i="102"/>
  <c r="BG114" i="102"/>
  <c r="BJ121" i="102"/>
  <c r="BJ224" i="102"/>
  <c r="BJ106" i="102"/>
  <c r="BG133" i="102"/>
  <c r="BG197" i="102"/>
  <c r="BJ134" i="102"/>
  <c r="BJ198" i="102"/>
  <c r="BG171" i="102"/>
  <c r="BG158" i="102"/>
  <c r="BG222" i="102"/>
  <c r="BG177" i="102"/>
  <c r="BG132" i="102"/>
  <c r="BG196" i="102"/>
  <c r="BG119" i="102"/>
  <c r="BG183" i="102"/>
  <c r="BG106" i="102"/>
  <c r="BG170" i="102"/>
  <c r="BJ107" i="102"/>
  <c r="BJ171" i="102"/>
  <c r="BJ94" i="102"/>
  <c r="BJ158" i="102"/>
  <c r="BJ222" i="102"/>
  <c r="BJ145" i="102"/>
  <c r="BJ209" i="102"/>
  <c r="BJ164" i="102"/>
  <c r="BJ228" i="102"/>
  <c r="BJ199" i="102"/>
  <c r="BG140" i="102"/>
  <c r="BG204" i="102"/>
  <c r="BG127" i="102"/>
  <c r="BG191" i="102"/>
  <c r="BR100" i="102"/>
  <c r="BO107" i="102"/>
  <c r="BR121" i="102"/>
  <c r="BO178" i="102"/>
  <c r="BR105" i="102"/>
  <c r="BO117" i="102"/>
  <c r="BO181" i="102"/>
  <c r="BO152" i="102"/>
  <c r="BO216" i="102"/>
  <c r="BR185" i="102"/>
  <c r="BO110" i="102"/>
  <c r="BO174" i="102"/>
  <c r="BR111" i="102"/>
  <c r="BR175" i="102"/>
  <c r="BR114" i="102"/>
  <c r="BR178" i="102"/>
  <c r="BR101" i="102"/>
  <c r="BR165" i="102"/>
  <c r="BR229" i="102"/>
  <c r="BR152" i="102"/>
  <c r="BR216" i="102"/>
  <c r="BR171" i="102"/>
  <c r="BR110" i="102"/>
  <c r="BR174" i="102"/>
  <c r="BR97" i="102"/>
  <c r="BR161" i="102"/>
  <c r="BR225" i="102"/>
  <c r="BR164" i="102"/>
  <c r="BR228" i="102"/>
  <c r="BR167" i="102"/>
  <c r="BR231" i="102"/>
  <c r="BO156" i="102"/>
  <c r="BO220" i="102"/>
  <c r="BO143" i="102"/>
  <c r="BO207" i="102"/>
  <c r="BW118" i="102"/>
  <c r="BZ192" i="102"/>
  <c r="BZ163" i="102"/>
  <c r="BZ96" i="102"/>
  <c r="BW142" i="102"/>
  <c r="BW133" i="102"/>
  <c r="BZ128" i="102"/>
  <c r="BW181" i="102"/>
  <c r="BZ227" i="102"/>
  <c r="BW107" i="102"/>
  <c r="BW171" i="102"/>
  <c r="BW158" i="102"/>
  <c r="BW222" i="102"/>
  <c r="BW145" i="102"/>
  <c r="BW209" i="102"/>
  <c r="BW132" i="102"/>
  <c r="BW196" i="102"/>
  <c r="BW119" i="102"/>
  <c r="BW183" i="102"/>
  <c r="BW106" i="102"/>
  <c r="BW170" i="102"/>
  <c r="BW189" i="102"/>
  <c r="BW112" i="102"/>
  <c r="BW176" i="102"/>
  <c r="BW99" i="102"/>
  <c r="BW163" i="102"/>
  <c r="BW227" i="102"/>
  <c r="BZ196" i="102"/>
  <c r="BZ119" i="102"/>
  <c r="BZ183" i="102"/>
  <c r="BW108" i="102"/>
  <c r="BW172" i="102"/>
  <c r="BW95" i="102"/>
  <c r="BW159" i="102"/>
  <c r="BW223" i="102"/>
  <c r="CH131" i="102"/>
  <c r="CE165" i="102"/>
  <c r="CE100" i="102"/>
  <c r="CE125" i="102"/>
  <c r="CE181" i="102"/>
  <c r="CH147" i="102"/>
  <c r="CH102" i="102"/>
  <c r="CH166" i="102"/>
  <c r="CH230" i="102"/>
  <c r="CE155" i="102"/>
  <c r="CE219" i="102"/>
  <c r="CH156" i="102"/>
  <c r="CH220" i="102"/>
  <c r="CH143" i="102"/>
  <c r="CH207" i="102"/>
  <c r="CH162" i="102"/>
  <c r="CH226" i="102"/>
  <c r="CH165" i="102"/>
  <c r="CH229" i="102"/>
  <c r="CH152" i="102"/>
  <c r="CH216" i="102"/>
  <c r="CE189" i="102"/>
  <c r="CE128" i="102"/>
  <c r="CE192" i="102"/>
  <c r="CE115" i="102"/>
  <c r="CE179" i="102"/>
  <c r="CE102" i="102"/>
  <c r="CE166" i="102"/>
  <c r="CE230" i="102"/>
  <c r="CE153" i="102"/>
  <c r="CE217" i="102"/>
  <c r="CH170" i="102"/>
  <c r="CE111" i="102"/>
  <c r="CE175" i="102"/>
  <c r="CP166" i="102"/>
  <c r="CM226" i="102"/>
  <c r="CM98" i="102"/>
  <c r="CP214" i="102"/>
  <c r="CP192" i="102"/>
  <c r="CM108" i="102"/>
  <c r="CM216" i="102"/>
  <c r="CM116" i="102"/>
  <c r="CM162" i="102"/>
  <c r="CP182" i="102"/>
  <c r="CP217" i="102"/>
  <c r="CM178" i="102"/>
  <c r="CM155" i="102"/>
  <c r="CP172" i="102"/>
  <c r="CP143" i="102"/>
  <c r="CP207" i="102"/>
  <c r="CP194" i="102"/>
  <c r="CP117" i="102"/>
  <c r="CP181" i="102"/>
  <c r="CP104" i="102"/>
  <c r="CP168" i="102"/>
  <c r="CM93" i="102"/>
  <c r="CM157" i="102"/>
  <c r="CM221" i="102"/>
  <c r="CM144" i="102"/>
  <c r="CM208" i="102"/>
  <c r="CM163" i="102"/>
  <c r="CM227" i="102"/>
  <c r="CM150" i="102"/>
  <c r="CM214" i="102"/>
  <c r="CM137" i="102"/>
  <c r="CM201" i="102"/>
  <c r="CM172" i="102"/>
  <c r="CM127" i="102"/>
  <c r="CM191" i="102"/>
  <c r="K76" i="102"/>
  <c r="K40" i="102"/>
  <c r="K81" i="102"/>
  <c r="N28" i="102"/>
  <c r="K62" i="102"/>
  <c r="N73" i="102"/>
  <c r="N70" i="102"/>
  <c r="K63" i="102"/>
  <c r="N75" i="102"/>
  <c r="K30" i="102"/>
  <c r="K58" i="102"/>
  <c r="N31" i="102"/>
  <c r="N49" i="102"/>
  <c r="N17" i="102"/>
  <c r="N6" i="102"/>
  <c r="N27" i="102"/>
  <c r="K18" i="102"/>
  <c r="K39" i="102"/>
  <c r="K7" i="102"/>
  <c r="N26" i="102"/>
  <c r="S27" i="102"/>
  <c r="V11" i="102"/>
  <c r="S73" i="102"/>
  <c r="V55" i="102"/>
  <c r="V45" i="102"/>
  <c r="V17" i="102"/>
  <c r="S12" i="102"/>
  <c r="S7" i="102"/>
  <c r="S37" i="102"/>
  <c r="V24" i="102"/>
  <c r="V56" i="102"/>
  <c r="V43" i="102"/>
  <c r="V75" i="102"/>
  <c r="V70" i="102"/>
  <c r="V49" i="102"/>
  <c r="V81" i="102"/>
  <c r="V44" i="102"/>
  <c r="V76" i="102"/>
  <c r="S44" i="102"/>
  <c r="S76" i="102"/>
  <c r="AD23" i="102"/>
  <c r="AD29" i="102"/>
  <c r="AD19" i="102"/>
  <c r="AD28" i="102"/>
  <c r="AA33" i="102"/>
  <c r="AD37" i="102"/>
  <c r="AD16" i="102"/>
  <c r="AA34" i="102"/>
  <c r="AA66" i="102"/>
  <c r="AA53" i="102"/>
  <c r="AD22" i="102"/>
  <c r="AD54" i="102"/>
  <c r="AD17" i="102"/>
  <c r="AD49" i="102"/>
  <c r="AD81" i="102"/>
  <c r="AD68" i="102"/>
  <c r="AA57" i="102"/>
  <c r="AA20" i="102"/>
  <c r="AA52" i="102"/>
  <c r="AA84" i="102"/>
  <c r="AL15" i="102"/>
  <c r="AI17" i="102"/>
  <c r="AI82" i="102"/>
  <c r="AI26" i="102"/>
  <c r="AI6" i="102"/>
  <c r="AL83" i="102"/>
  <c r="AL26" i="102"/>
  <c r="AI39" i="102"/>
  <c r="AI79" i="102"/>
  <c r="AL62" i="102"/>
  <c r="AL52" i="102"/>
  <c r="BB125" i="102"/>
  <c r="BB189" i="102"/>
  <c r="BJ99" i="102"/>
  <c r="BG116" i="102"/>
  <c r="BJ102" i="102"/>
  <c r="BG142" i="102"/>
  <c r="BJ176" i="102"/>
  <c r="BG94" i="102"/>
  <c r="BJ112" i="102"/>
  <c r="BJ147" i="102"/>
  <c r="BJ211" i="102"/>
  <c r="BG136" i="102"/>
  <c r="BG200" i="102"/>
  <c r="BJ185" i="102"/>
  <c r="BJ172" i="102"/>
  <c r="BJ127" i="102"/>
  <c r="BJ191" i="102"/>
  <c r="BJ146" i="102"/>
  <c r="BJ210" i="102"/>
  <c r="BJ133" i="102"/>
  <c r="BJ197" i="102"/>
  <c r="BJ120" i="102"/>
  <c r="BJ184" i="102"/>
  <c r="BG109" i="102"/>
  <c r="BG173" i="102"/>
  <c r="BG96" i="102"/>
  <c r="BG160" i="102"/>
  <c r="BG224" i="102"/>
  <c r="BG147" i="102"/>
  <c r="BG211" i="102"/>
  <c r="BG166" i="102"/>
  <c r="BG230" i="102"/>
  <c r="BG201" i="102"/>
  <c r="BJ154" i="102"/>
  <c r="BJ218" i="102"/>
  <c r="BJ141" i="102"/>
  <c r="BJ205" i="102"/>
  <c r="BO162" i="102"/>
  <c r="BO146" i="102"/>
  <c r="BR112" i="102"/>
  <c r="BR224" i="102"/>
  <c r="BO109" i="102"/>
  <c r="BR131" i="102"/>
  <c r="BR195" i="102"/>
  <c r="BR166" i="102"/>
  <c r="BR230" i="102"/>
  <c r="BO187" i="102"/>
  <c r="BR124" i="102"/>
  <c r="BR188" i="102"/>
  <c r="BO113" i="102"/>
  <c r="BO177" i="102"/>
  <c r="BO116" i="102"/>
  <c r="BO180" i="102"/>
  <c r="BO103" i="102"/>
  <c r="BO167" i="102"/>
  <c r="BO231" i="102"/>
  <c r="BO154" i="102"/>
  <c r="BO218" i="102"/>
  <c r="BO173" i="102"/>
  <c r="BO112" i="102"/>
  <c r="BO176" i="102"/>
  <c r="BO99" i="102"/>
  <c r="BO163" i="102"/>
  <c r="BO227" i="102"/>
  <c r="BO166" i="102"/>
  <c r="BO230" i="102"/>
  <c r="BO169" i="102"/>
  <c r="BR106" i="102"/>
  <c r="BR170" i="102"/>
  <c r="BR93" i="102"/>
  <c r="BR157" i="102"/>
  <c r="BR221" i="102"/>
  <c r="BZ147" i="102"/>
  <c r="BZ118" i="102"/>
  <c r="BZ107" i="102"/>
  <c r="BW104" i="102"/>
  <c r="BZ112" i="102"/>
  <c r="BW101" i="102"/>
  <c r="BZ150" i="102"/>
  <c r="BW102" i="102"/>
  <c r="BW229" i="102"/>
  <c r="BZ121" i="102"/>
  <c r="BZ185" i="102"/>
  <c r="BZ172" i="102"/>
  <c r="BZ95" i="102"/>
  <c r="BZ159" i="102"/>
  <c r="BZ223" i="102"/>
  <c r="BZ146" i="102"/>
  <c r="BZ210" i="102"/>
  <c r="BZ133" i="102"/>
  <c r="BZ197" i="102"/>
  <c r="BZ120" i="102"/>
  <c r="BZ184" i="102"/>
  <c r="BZ203" i="102"/>
  <c r="BZ126" i="102"/>
  <c r="BZ190" i="102"/>
  <c r="BZ113" i="102"/>
  <c r="BZ177" i="102"/>
  <c r="BW134" i="102"/>
  <c r="BW198" i="102"/>
  <c r="BW121" i="102"/>
  <c r="BW185" i="102"/>
  <c r="BZ122" i="102"/>
  <c r="BZ186" i="102"/>
  <c r="BZ109" i="102"/>
  <c r="BZ173" i="102"/>
  <c r="CH98" i="102"/>
  <c r="CH139" i="102"/>
  <c r="CH211" i="102"/>
  <c r="CE114" i="102"/>
  <c r="CH114" i="102"/>
  <c r="CH227" i="102"/>
  <c r="CE229" i="102"/>
  <c r="CE104" i="102"/>
  <c r="CE168" i="102"/>
  <c r="CH105" i="102"/>
  <c r="CH169" i="102"/>
  <c r="CE94" i="102"/>
  <c r="CE158" i="102"/>
  <c r="CE222" i="102"/>
  <c r="CE145" i="102"/>
  <c r="CE209" i="102"/>
  <c r="CE164" i="102"/>
  <c r="CE228" i="102"/>
  <c r="CE167" i="102"/>
  <c r="CE231" i="102"/>
  <c r="CE154" i="102"/>
  <c r="CE218" i="102"/>
  <c r="CH203" i="102"/>
  <c r="CH142" i="102"/>
  <c r="CH206" i="102"/>
  <c r="CH129" i="102"/>
  <c r="CH193" i="102"/>
  <c r="CH116" i="102"/>
  <c r="CH180" i="102"/>
  <c r="CH103" i="102"/>
  <c r="CH167" i="102"/>
  <c r="CH231" i="102"/>
  <c r="CE172" i="102"/>
  <c r="CH125" i="102"/>
  <c r="CH189" i="102"/>
  <c r="CM184" i="102"/>
  <c r="CM107" i="102"/>
  <c r="CM100" i="102"/>
  <c r="CP208" i="102"/>
  <c r="CM210" i="102"/>
  <c r="CM110" i="102"/>
  <c r="CM101" i="102"/>
  <c r="CM94" i="102"/>
  <c r="CM99" i="102"/>
  <c r="CM200" i="102"/>
  <c r="CM104" i="102"/>
  <c r="CP224" i="102"/>
  <c r="CP195" i="102"/>
  <c r="CM174" i="102"/>
  <c r="CM145" i="102"/>
  <c r="CM209" i="102"/>
  <c r="CM196" i="102"/>
  <c r="CM119" i="102"/>
  <c r="CM183" i="102"/>
  <c r="CM106" i="102"/>
  <c r="CM170" i="102"/>
  <c r="CP107" i="102"/>
  <c r="CP171" i="102"/>
  <c r="CP94" i="102"/>
  <c r="CP158" i="102"/>
  <c r="CP222" i="102"/>
  <c r="CP177" i="102"/>
  <c r="CP100" i="102"/>
  <c r="CP164" i="102"/>
  <c r="CP228" i="102"/>
  <c r="CP151" i="102"/>
  <c r="CP215" i="102"/>
  <c r="CP186" i="102"/>
  <c r="CP141" i="102"/>
  <c r="CP205" i="102"/>
  <c r="K68" i="102"/>
  <c r="K38" i="102"/>
  <c r="N79" i="102"/>
  <c r="N69" i="102"/>
  <c r="N60" i="102"/>
  <c r="K67" i="102"/>
  <c r="K64" i="102"/>
  <c r="N47" i="102"/>
  <c r="K69" i="102"/>
  <c r="K22" i="102"/>
  <c r="N56" i="102"/>
  <c r="K25" i="102"/>
  <c r="K43" i="102"/>
  <c r="K11" i="102"/>
  <c r="K53" i="102"/>
  <c r="K21" i="102"/>
  <c r="N16" i="102"/>
  <c r="N37" i="102"/>
  <c r="K52" i="102"/>
  <c r="K20" i="102"/>
  <c r="S29" i="102"/>
  <c r="S13" i="102"/>
  <c r="S40" i="102"/>
  <c r="S39" i="102"/>
  <c r="V47" i="102"/>
  <c r="V18" i="102"/>
  <c r="S15" i="102"/>
  <c r="V13" i="102"/>
  <c r="V46" i="102"/>
  <c r="S26" i="102"/>
  <c r="S58" i="102"/>
  <c r="S45" i="102"/>
  <c r="S77" i="102"/>
  <c r="S72" i="102"/>
  <c r="S51" i="102"/>
  <c r="S83" i="102"/>
  <c r="S46" i="102"/>
  <c r="S78" i="102"/>
  <c r="V50" i="102"/>
  <c r="V82" i="102"/>
  <c r="AA25" i="102"/>
  <c r="AA31" i="102"/>
  <c r="AA21" i="102"/>
  <c r="AA30" i="102"/>
  <c r="AD53" i="102"/>
  <c r="AA39" i="102"/>
  <c r="AD27" i="102"/>
  <c r="AD40" i="102"/>
  <c r="AD72" i="102"/>
  <c r="AD59" i="102"/>
  <c r="AA24" i="102"/>
  <c r="AA56" i="102"/>
  <c r="AA19" i="102"/>
  <c r="AA51" i="102"/>
  <c r="AA83" i="102"/>
  <c r="AA70" i="102"/>
  <c r="AD63" i="102"/>
  <c r="AD26" i="102"/>
  <c r="AD58" i="102"/>
  <c r="AI22" i="102"/>
  <c r="AI18" i="102"/>
  <c r="AL8" i="102"/>
  <c r="AL11" i="102"/>
  <c r="AL56" i="102"/>
  <c r="AL12" i="102"/>
  <c r="AL25" i="102"/>
  <c r="AL43" i="102"/>
  <c r="AL45" i="102"/>
  <c r="AI24" i="102"/>
  <c r="AI64" i="102"/>
  <c r="AL68" i="102"/>
  <c r="AY221" i="102"/>
  <c r="BB190" i="102"/>
  <c r="BB145" i="102"/>
  <c r="BB209" i="102"/>
  <c r="BB135" i="102"/>
  <c r="BB199" i="102"/>
  <c r="AY140" i="102"/>
  <c r="AY204" i="102"/>
  <c r="AY127" i="102"/>
  <c r="AY191" i="102"/>
  <c r="BG102" i="102"/>
  <c r="BJ116" i="102"/>
  <c r="BG108" i="102"/>
  <c r="BJ105" i="102"/>
  <c r="BG101" i="102"/>
  <c r="BJ96" i="102"/>
  <c r="BG139" i="102"/>
  <c r="BG149" i="102"/>
  <c r="BG213" i="102"/>
  <c r="BJ150" i="102"/>
  <c r="BJ214" i="102"/>
  <c r="BG187" i="102"/>
  <c r="BG174" i="102"/>
  <c r="BG129" i="102"/>
  <c r="BG193" i="102"/>
  <c r="BG148" i="102"/>
  <c r="BG212" i="102"/>
  <c r="BG135" i="102"/>
  <c r="BG199" i="102"/>
  <c r="BG122" i="102"/>
  <c r="BG186" i="102"/>
  <c r="BJ123" i="102"/>
  <c r="BJ187" i="102"/>
  <c r="BJ110" i="102"/>
  <c r="BJ174" i="102"/>
  <c r="BJ97" i="102"/>
  <c r="BJ161" i="102"/>
  <c r="BJ225" i="102"/>
  <c r="BJ180" i="102"/>
  <c r="BJ151" i="102"/>
  <c r="BJ215" i="102"/>
  <c r="BG156" i="102"/>
  <c r="BG220" i="102"/>
  <c r="BG143" i="102"/>
  <c r="BG207" i="102"/>
  <c r="BO98" i="102"/>
  <c r="BR192" i="102"/>
  <c r="BO136" i="102"/>
  <c r="BO114" i="102"/>
  <c r="BO100" i="102"/>
  <c r="BO133" i="102"/>
  <c r="BO197" i="102"/>
  <c r="BO168" i="102"/>
  <c r="BR137" i="102"/>
  <c r="BR201" i="102"/>
  <c r="BO126" i="102"/>
  <c r="BO190" i="102"/>
  <c r="BR127" i="102"/>
  <c r="BR191" i="102"/>
  <c r="BR130" i="102"/>
  <c r="BR194" i="102"/>
  <c r="BR117" i="102"/>
  <c r="BR181" i="102"/>
  <c r="BR104" i="102"/>
  <c r="BR168" i="102"/>
  <c r="BR123" i="102"/>
  <c r="BR187" i="102"/>
  <c r="BR126" i="102"/>
  <c r="BR190" i="102"/>
  <c r="BR113" i="102"/>
  <c r="BR177" i="102"/>
  <c r="BR116" i="102"/>
  <c r="BR180" i="102"/>
  <c r="BR119" i="102"/>
  <c r="BR183" i="102"/>
  <c r="BO108" i="102"/>
  <c r="BO172" i="102"/>
  <c r="BO95" i="102"/>
  <c r="BO159" i="102"/>
  <c r="BO223" i="102"/>
  <c r="BZ182" i="102"/>
  <c r="BW184" i="102"/>
  <c r="BZ139" i="102"/>
  <c r="BZ123" i="102"/>
  <c r="BW120" i="102"/>
  <c r="BZ108" i="102"/>
  <c r="BW168" i="102"/>
  <c r="BW98" i="102"/>
  <c r="BZ198" i="102"/>
  <c r="BW123" i="102"/>
  <c r="BW187" i="102"/>
  <c r="BW174" i="102"/>
  <c r="BW97" i="102"/>
  <c r="BW161" i="102"/>
  <c r="BW225" i="102"/>
  <c r="BW148" i="102"/>
  <c r="BW212" i="102"/>
  <c r="BW135" i="102"/>
  <c r="BW199" i="102"/>
  <c r="BW122" i="102"/>
  <c r="BW186" i="102"/>
  <c r="BW205" i="102"/>
  <c r="BW128" i="102"/>
  <c r="BW192" i="102"/>
  <c r="BW115" i="102"/>
  <c r="BW179" i="102"/>
  <c r="BZ148" i="102"/>
  <c r="BZ212" i="102"/>
  <c r="BZ135" i="102"/>
  <c r="BZ199" i="102"/>
  <c r="BW124" i="102"/>
  <c r="BW188" i="102"/>
  <c r="BW111" i="102"/>
  <c r="BW175" i="102"/>
  <c r="CH123" i="102"/>
  <c r="CE197" i="102"/>
  <c r="CH96" i="102"/>
  <c r="CH144" i="102"/>
  <c r="CH128" i="102"/>
  <c r="CE96" i="102"/>
  <c r="CE98" i="102"/>
  <c r="CH118" i="102"/>
  <c r="CH182" i="102"/>
  <c r="CE107" i="102"/>
  <c r="CE171" i="102"/>
  <c r="CH108" i="102"/>
  <c r="CH172" i="102"/>
  <c r="CH95" i="102"/>
  <c r="CH159" i="102"/>
  <c r="CH223" i="102"/>
  <c r="CH178" i="102"/>
  <c r="CH117" i="102"/>
  <c r="CH181" i="102"/>
  <c r="CH104" i="102"/>
  <c r="CH168" i="102"/>
  <c r="CE141" i="102"/>
  <c r="CE205" i="102"/>
  <c r="CE144" i="102"/>
  <c r="CE208" i="102"/>
  <c r="CE131" i="102"/>
  <c r="CE195" i="102"/>
  <c r="CE118" i="102"/>
  <c r="CE182" i="102"/>
  <c r="CE105" i="102"/>
  <c r="CE169" i="102"/>
  <c r="CH122" i="102"/>
  <c r="CH186" i="102"/>
  <c r="CE127" i="102"/>
  <c r="CE191" i="102"/>
  <c r="CP97" i="102"/>
  <c r="CP109" i="102"/>
  <c r="CP102" i="102"/>
  <c r="CP93" i="102"/>
  <c r="CM117" i="102"/>
  <c r="CP112" i="102"/>
  <c r="CP105" i="102"/>
  <c r="CP96" i="102"/>
  <c r="CM120" i="102"/>
  <c r="CP118" i="102"/>
  <c r="CP106" i="102"/>
  <c r="CM95" i="102"/>
  <c r="CM213" i="102"/>
  <c r="CP188" i="102"/>
  <c r="CP159" i="102"/>
  <c r="CP223" i="102"/>
  <c r="CP210" i="102"/>
  <c r="CP133" i="102"/>
  <c r="CP197" i="102"/>
  <c r="CP120" i="102"/>
  <c r="CP184" i="102"/>
  <c r="CM109" i="102"/>
  <c r="CM173" i="102"/>
  <c r="CM96" i="102"/>
  <c r="CM160" i="102"/>
  <c r="CM224" i="102"/>
  <c r="CM179" i="102"/>
  <c r="CM102" i="102"/>
  <c r="CM166" i="102"/>
  <c r="CM230" i="102"/>
  <c r="CM153" i="102"/>
  <c r="CM217" i="102"/>
  <c r="CM188" i="102"/>
  <c r="CM143" i="102"/>
  <c r="CM207" i="102"/>
  <c r="N66" i="102"/>
  <c r="K32" i="102"/>
  <c r="K73" i="102"/>
  <c r="K49" i="102"/>
  <c r="K50" i="102"/>
  <c r="N65" i="102"/>
  <c r="N62" i="102"/>
  <c r="N20" i="102"/>
  <c r="N67" i="102"/>
  <c r="K82" i="102"/>
  <c r="N40" i="102"/>
  <c r="N23" i="102"/>
  <c r="N41" i="102"/>
  <c r="N9" i="102"/>
  <c r="N51" i="102"/>
  <c r="N19" i="102"/>
  <c r="K10" i="102"/>
  <c r="K31" i="102"/>
  <c r="N50" i="102"/>
  <c r="N18" i="102"/>
  <c r="S25" i="102"/>
  <c r="S24" i="102"/>
  <c r="V7" i="102"/>
  <c r="S79" i="102"/>
  <c r="S65" i="102"/>
  <c r="V19" i="102"/>
  <c r="V25" i="102"/>
  <c r="S16" i="102"/>
  <c r="S49" i="102"/>
  <c r="V32" i="102"/>
  <c r="V64" i="102"/>
  <c r="V51" i="102"/>
  <c r="V83" i="102"/>
  <c r="V78" i="102"/>
  <c r="V57" i="102"/>
  <c r="V20" i="102"/>
  <c r="V52" i="102"/>
  <c r="V84" i="102"/>
  <c r="S52" i="102"/>
  <c r="S84" i="102"/>
  <c r="AD39" i="102"/>
  <c r="AD45" i="102"/>
  <c r="AD35" i="102"/>
  <c r="AA47" i="102"/>
  <c r="AA71" i="102"/>
  <c r="AD77" i="102"/>
  <c r="AA29" i="102"/>
  <c r="AA42" i="102"/>
  <c r="AA74" i="102"/>
  <c r="AA61" i="102"/>
  <c r="AD30" i="102"/>
  <c r="AD62" i="102"/>
  <c r="AD25" i="102"/>
  <c r="AD57" i="102"/>
  <c r="AD44" i="102"/>
  <c r="AD76" i="102"/>
  <c r="AA65" i="102"/>
  <c r="AA28" i="102"/>
  <c r="AA60" i="102"/>
  <c r="AL17" i="102"/>
  <c r="AI53" i="102"/>
  <c r="AI10" i="102"/>
  <c r="AI19" i="102"/>
  <c r="AL6" i="102"/>
  <c r="AI14" i="102"/>
  <c r="AL27" i="102"/>
  <c r="AI61" i="102"/>
  <c r="AI47" i="102"/>
  <c r="AL30" i="102"/>
  <c r="AL70" i="102"/>
  <c r="AL84" i="102"/>
  <c r="AY201" i="102"/>
  <c r="BB154" i="102"/>
  <c r="BB218" i="102"/>
  <c r="BB141" i="102"/>
  <c r="BB205" i="102"/>
  <c r="BG110" i="102"/>
  <c r="BJ140" i="102"/>
  <c r="BJ124" i="102"/>
  <c r="BG121" i="102"/>
  <c r="BJ114" i="102"/>
  <c r="BJ98" i="102"/>
  <c r="BG146" i="102"/>
  <c r="BJ163" i="102"/>
  <c r="BJ227" i="102"/>
  <c r="BG152" i="102"/>
  <c r="BG216" i="102"/>
  <c r="BJ201" i="102"/>
  <c r="BJ188" i="102"/>
  <c r="BJ143" i="102"/>
  <c r="BJ207" i="102"/>
  <c r="BJ162" i="102"/>
  <c r="BJ226" i="102"/>
  <c r="BJ149" i="102"/>
  <c r="BJ213" i="102"/>
  <c r="BJ136" i="102"/>
  <c r="BJ200" i="102"/>
  <c r="BG125" i="102"/>
  <c r="BG189" i="102"/>
  <c r="BG112" i="102"/>
  <c r="BG176" i="102"/>
  <c r="BG99" i="102"/>
  <c r="BG163" i="102"/>
  <c r="BG227" i="102"/>
  <c r="BG182" i="102"/>
  <c r="BG153" i="102"/>
  <c r="BG217" i="102"/>
  <c r="BJ170" i="102"/>
  <c r="BJ93" i="102"/>
  <c r="BJ157" i="102"/>
  <c r="BJ221" i="102"/>
  <c r="BR103" i="102"/>
  <c r="BR134" i="102"/>
  <c r="BR118" i="102"/>
  <c r="BO120" i="102"/>
  <c r="BO130" i="102"/>
  <c r="BR147" i="102"/>
  <c r="BR211" i="102"/>
  <c r="BR182" i="102"/>
  <c r="BO139" i="102"/>
  <c r="BO203" i="102"/>
  <c r="BR140" i="102"/>
  <c r="BR204" i="102"/>
  <c r="BO129" i="102"/>
  <c r="BO193" i="102"/>
  <c r="BO132" i="102"/>
  <c r="BO196" i="102"/>
  <c r="BO119" i="102"/>
  <c r="BO183" i="102"/>
  <c r="BO106" i="102"/>
  <c r="BO170" i="102"/>
  <c r="BO125" i="102"/>
  <c r="BO189" i="102"/>
  <c r="BO128" i="102"/>
  <c r="BO192" i="102"/>
  <c r="BO115" i="102"/>
  <c r="BO179" i="102"/>
  <c r="BO118" i="102"/>
  <c r="BO182" i="102"/>
  <c r="BO121" i="102"/>
  <c r="BO185" i="102"/>
  <c r="BR122" i="102"/>
  <c r="BR186" i="102"/>
  <c r="BR109" i="102"/>
  <c r="BR173" i="102"/>
  <c r="BZ208" i="102"/>
  <c r="BZ102" i="102"/>
  <c r="BW93" i="102"/>
  <c r="BZ144" i="102"/>
  <c r="BZ166" i="102"/>
  <c r="BW136" i="102"/>
  <c r="BZ116" i="102"/>
  <c r="BW94" i="102"/>
  <c r="BW125" i="102"/>
  <c r="BW200" i="102"/>
  <c r="BZ137" i="102"/>
  <c r="BZ201" i="102"/>
  <c r="BZ188" i="102"/>
  <c r="BZ111" i="102"/>
  <c r="BZ175" i="102"/>
  <c r="BZ98" i="102"/>
  <c r="BZ162" i="102"/>
  <c r="BZ226" i="102"/>
  <c r="BZ149" i="102"/>
  <c r="BZ213" i="102"/>
  <c r="BZ136" i="102"/>
  <c r="BZ200" i="102"/>
  <c r="BZ219" i="102"/>
  <c r="BZ142" i="102"/>
  <c r="BZ206" i="102"/>
  <c r="BZ129" i="102"/>
  <c r="BZ193" i="102"/>
  <c r="BW150" i="102"/>
  <c r="BW214" i="102"/>
  <c r="BW137" i="102"/>
  <c r="BW201" i="102"/>
  <c r="BZ138" i="102"/>
  <c r="BZ202" i="102"/>
  <c r="BZ125" i="102"/>
  <c r="BZ189" i="102"/>
  <c r="CE162" i="102"/>
  <c r="CH163" i="102"/>
  <c r="CE178" i="102"/>
  <c r="CE226" i="102"/>
  <c r="CE146" i="102"/>
  <c r="CE194" i="102"/>
  <c r="CE116" i="102"/>
  <c r="CE120" i="102"/>
  <c r="CE184" i="102"/>
  <c r="CH121" i="102"/>
  <c r="CH185" i="102"/>
  <c r="CE110" i="102"/>
  <c r="CE174" i="102"/>
  <c r="CE97" i="102"/>
  <c r="CE161" i="102"/>
  <c r="CE225" i="102"/>
  <c r="CE180" i="102"/>
  <c r="CE119" i="102"/>
  <c r="CE183" i="102"/>
  <c r="CE106" i="102"/>
  <c r="CE170" i="102"/>
  <c r="CH155" i="102"/>
  <c r="CH219" i="102"/>
  <c r="CH158" i="102"/>
  <c r="CH222" i="102"/>
  <c r="CH145" i="102"/>
  <c r="CH209" i="102"/>
  <c r="CH132" i="102"/>
  <c r="CH196" i="102"/>
  <c r="CH119" i="102"/>
  <c r="CH183" i="102"/>
  <c r="CE124" i="102"/>
  <c r="CE188" i="102"/>
  <c r="CH141" i="102"/>
  <c r="CH205" i="102"/>
  <c r="CM126" i="102"/>
  <c r="CP111" i="102"/>
  <c r="CM132" i="102"/>
  <c r="CP95" i="102"/>
  <c r="CM133" i="102"/>
  <c r="CP114" i="102"/>
  <c r="CM115" i="102"/>
  <c r="CP98" i="102"/>
  <c r="CP127" i="102"/>
  <c r="CP146" i="102"/>
  <c r="CP108" i="102"/>
  <c r="CM97" i="102"/>
  <c r="CP230" i="102"/>
  <c r="CM190" i="102"/>
  <c r="CM161" i="102"/>
  <c r="CM225" i="102"/>
  <c r="CM212" i="102"/>
  <c r="CM135" i="102"/>
  <c r="CM199" i="102"/>
  <c r="CM122" i="102"/>
  <c r="CM186" i="102"/>
  <c r="CP123" i="102"/>
  <c r="CP187" i="102"/>
  <c r="CP110" i="102"/>
  <c r="CP174" i="102"/>
  <c r="CP129" i="102"/>
  <c r="CP193" i="102"/>
  <c r="CP116" i="102"/>
  <c r="CP180" i="102"/>
  <c r="CP103" i="102"/>
  <c r="CP167" i="102"/>
  <c r="CP231" i="102"/>
  <c r="CP202" i="102"/>
  <c r="CP157" i="102"/>
  <c r="CP221" i="102"/>
  <c r="K60" i="102"/>
  <c r="K14" i="102"/>
  <c r="N71" i="102"/>
  <c r="N84" i="102"/>
  <c r="N48" i="102"/>
  <c r="K59" i="102"/>
  <c r="K56" i="102"/>
  <c r="N81" i="102"/>
  <c r="K61" i="102"/>
  <c r="N80" i="102"/>
  <c r="N38" i="102"/>
  <c r="K17" i="102"/>
  <c r="K35" i="102"/>
  <c r="K24" i="102"/>
  <c r="K45" i="102"/>
  <c r="K13" i="102"/>
  <c r="N8" i="102"/>
  <c r="N29" i="102"/>
  <c r="K44" i="102"/>
  <c r="K12" i="102"/>
  <c r="V38" i="102"/>
  <c r="V8" i="102"/>
  <c r="S9" i="102"/>
  <c r="V9" i="102"/>
  <c r="V37" i="102"/>
  <c r="V53" i="102"/>
  <c r="V26" i="102"/>
  <c r="S17" i="102"/>
  <c r="V63" i="102"/>
  <c r="S34" i="102"/>
  <c r="S66" i="102"/>
  <c r="S53" i="102"/>
  <c r="S48" i="102"/>
  <c r="S80" i="102"/>
  <c r="S59" i="102"/>
  <c r="S22" i="102"/>
  <c r="S54" i="102"/>
  <c r="V79" i="102"/>
  <c r="V58" i="102"/>
  <c r="AA38" i="102"/>
  <c r="AA41" i="102"/>
  <c r="AA63" i="102"/>
  <c r="AA37" i="102"/>
  <c r="AA22" i="102"/>
  <c r="AD6" i="102"/>
  <c r="AA6" i="102"/>
  <c r="AA55" i="102"/>
  <c r="AD48" i="102"/>
  <c r="AD80" i="102"/>
  <c r="AD67" i="102"/>
  <c r="AA32" i="102"/>
  <c r="AA64" i="102"/>
  <c r="AA27" i="102"/>
  <c r="AA59" i="102"/>
  <c r="AA46" i="102"/>
  <c r="AA78" i="102"/>
  <c r="AD71" i="102"/>
  <c r="AD34" i="102"/>
  <c r="AD66" i="102"/>
  <c r="AI20" i="102"/>
  <c r="AL13" i="102"/>
  <c r="AI21" i="102"/>
  <c r="AL16" i="102"/>
  <c r="AI8" i="102"/>
  <c r="AL20" i="102"/>
  <c r="AL40" i="102"/>
  <c r="AL75" i="102"/>
  <c r="AL61" i="102"/>
  <c r="AI32" i="102"/>
  <c r="AL78" i="102"/>
  <c r="AL33" i="102"/>
  <c r="AI34" i="102"/>
  <c r="AL18" i="102"/>
  <c r="AL23" i="102"/>
  <c r="AI9" i="102"/>
  <c r="AL21" i="102"/>
  <c r="AL53" i="102"/>
  <c r="AI16" i="102"/>
  <c r="AI48" i="102"/>
  <c r="AI80" i="102"/>
  <c r="AL65" i="102"/>
  <c r="AI38" i="102"/>
  <c r="AI70" i="102"/>
  <c r="AL47" i="102"/>
  <c r="AL79" i="102"/>
  <c r="AL58" i="102"/>
  <c r="AQ34" i="102"/>
  <c r="AQ6" i="102"/>
  <c r="AQ12" i="102"/>
  <c r="AT13" i="102"/>
  <c r="AQ10" i="102"/>
  <c r="AT77" i="102"/>
  <c r="AQ66" i="102"/>
  <c r="AQ47" i="102"/>
  <c r="AT37" i="102"/>
  <c r="AQ53" i="102"/>
  <c r="AQ16" i="102"/>
  <c r="AQ48" i="102"/>
  <c r="AQ80" i="102"/>
  <c r="AQ75" i="102"/>
  <c r="AQ46" i="102"/>
  <c r="AQ78" i="102"/>
  <c r="AT39" i="102"/>
  <c r="AT71" i="102"/>
  <c r="AT34" i="102"/>
  <c r="AT66" i="102"/>
  <c r="BB69" i="102"/>
  <c r="AY14" i="102"/>
  <c r="BB17" i="102"/>
  <c r="BB22" i="102"/>
  <c r="BB30" i="102"/>
  <c r="BB34" i="102"/>
  <c r="AY7" i="102"/>
  <c r="AY80" i="102"/>
  <c r="AY51" i="102"/>
  <c r="AY32" i="102"/>
  <c r="AY67" i="102"/>
  <c r="BB40" i="102"/>
  <c r="BB72" i="102"/>
  <c r="AY53" i="102"/>
  <c r="BB36" i="102"/>
  <c r="BB68" i="102"/>
  <c r="AY25" i="102"/>
  <c r="AY57" i="102"/>
  <c r="BB42" i="102"/>
  <c r="BB74" i="102"/>
  <c r="BG50" i="102"/>
  <c r="BG29" i="102"/>
  <c r="BG7" i="102"/>
  <c r="BG10" i="102"/>
  <c r="BG16" i="102"/>
  <c r="BJ21" i="102"/>
  <c r="BJ53" i="102"/>
  <c r="BJ43" i="102"/>
  <c r="BJ75" i="102"/>
  <c r="BG40" i="102"/>
  <c r="BG72" i="102"/>
  <c r="BG35" i="102"/>
  <c r="BG67" i="102"/>
  <c r="BG30" i="102"/>
  <c r="BG62" i="102"/>
  <c r="BJ23" i="102"/>
  <c r="BJ55" i="102"/>
  <c r="BJ18" i="102"/>
  <c r="BJ50" i="102"/>
  <c r="BJ82" i="102"/>
  <c r="BO10" i="102"/>
  <c r="BR48" i="102"/>
  <c r="BR34" i="102"/>
  <c r="BO9" i="102"/>
  <c r="BR11" i="102"/>
  <c r="BO77" i="102"/>
  <c r="BR43" i="102"/>
  <c r="BR17" i="102"/>
  <c r="BO14" i="102"/>
  <c r="BR75" i="102"/>
  <c r="BR45" i="102"/>
  <c r="BR77" i="102"/>
  <c r="BO40" i="102"/>
  <c r="BO72" i="102"/>
  <c r="BO59" i="102"/>
  <c r="BO54" i="102"/>
  <c r="BR39" i="102"/>
  <c r="BR71" i="102"/>
  <c r="BR58" i="102"/>
  <c r="BZ9" i="102"/>
  <c r="BW16" i="102"/>
  <c r="BW14" i="102"/>
  <c r="BZ40" i="102"/>
  <c r="BW58" i="102"/>
  <c r="BW31" i="102"/>
  <c r="BZ15" i="102"/>
  <c r="BW74" i="102"/>
  <c r="BW45" i="102"/>
  <c r="BW77" i="102"/>
  <c r="BZ46" i="102"/>
  <c r="BZ78" i="102"/>
  <c r="BZ41" i="102"/>
  <c r="BZ73" i="102"/>
  <c r="BZ36" i="102"/>
  <c r="BZ68" i="102"/>
  <c r="BZ39" i="102"/>
  <c r="BZ71" i="102"/>
  <c r="BZ34" i="102"/>
  <c r="BW68" i="102"/>
  <c r="AI42" i="102"/>
  <c r="AI45" i="102"/>
  <c r="AL19" i="102"/>
  <c r="AL24" i="102"/>
  <c r="AL10" i="102"/>
  <c r="AI23" i="102"/>
  <c r="AI55" i="102"/>
  <c r="AL22" i="102"/>
  <c r="AL54" i="102"/>
  <c r="AI35" i="102"/>
  <c r="AI67" i="102"/>
  <c r="AL44" i="102"/>
  <c r="AL76" i="102"/>
  <c r="AI49" i="102"/>
  <c r="AI81" i="102"/>
  <c r="AI60" i="102"/>
  <c r="AT7" i="102"/>
  <c r="AT12" i="102"/>
  <c r="AQ15" i="102"/>
  <c r="AQ22" i="102"/>
  <c r="AT17" i="102"/>
  <c r="AT11" i="102"/>
  <c r="AT80" i="102"/>
  <c r="AQ55" i="102"/>
  <c r="AQ58" i="102"/>
  <c r="AT59" i="102"/>
  <c r="AT22" i="102"/>
  <c r="AT54" i="102"/>
  <c r="AT49" i="102"/>
  <c r="AT81" i="102"/>
  <c r="AT52" i="102"/>
  <c r="AT84" i="102"/>
  <c r="AQ41" i="102"/>
  <c r="AQ73" i="102"/>
  <c r="AQ36" i="102"/>
  <c r="AQ68" i="102"/>
  <c r="AY15" i="102"/>
  <c r="BB25" i="102"/>
  <c r="AY83" i="102"/>
  <c r="AY48" i="102"/>
  <c r="BB73" i="102"/>
  <c r="BB35" i="102"/>
  <c r="BB13" i="102"/>
  <c r="BB29" i="102"/>
  <c r="AY55" i="102"/>
  <c r="BB41" i="102"/>
  <c r="AY71" i="102"/>
  <c r="AY42" i="102"/>
  <c r="AY74" i="102"/>
  <c r="BB59" i="102"/>
  <c r="AY38" i="102"/>
  <c r="AY70" i="102"/>
  <c r="BB31" i="102"/>
  <c r="BB63" i="102"/>
  <c r="AY44" i="102"/>
  <c r="AY76" i="102"/>
  <c r="BG14" i="102"/>
  <c r="BJ10" i="102"/>
  <c r="BJ13" i="102"/>
  <c r="BJ27" i="102"/>
  <c r="BJ56" i="102"/>
  <c r="BG23" i="102"/>
  <c r="BG55" i="102"/>
  <c r="BG45" i="102"/>
  <c r="BG77" i="102"/>
  <c r="BJ46" i="102"/>
  <c r="BJ78" i="102"/>
  <c r="BJ41" i="102"/>
  <c r="BJ73" i="102"/>
  <c r="BJ36" i="102"/>
  <c r="BJ68" i="102"/>
  <c r="BG25" i="102"/>
  <c r="BG57" i="102"/>
  <c r="BG20" i="102"/>
  <c r="BG52" i="102"/>
  <c r="BG84" i="102"/>
  <c r="BR8" i="102"/>
  <c r="BO7" i="102"/>
  <c r="BO19" i="102"/>
  <c r="BR23" i="102"/>
  <c r="BO13" i="102"/>
  <c r="BR6" i="102"/>
  <c r="BR51" i="102"/>
  <c r="BO33" i="102"/>
  <c r="BR18" i="102"/>
  <c r="BO15" i="102"/>
  <c r="BO47" i="102"/>
  <c r="BO79" i="102"/>
  <c r="BR46" i="102"/>
  <c r="BR78" i="102"/>
  <c r="BR65" i="102"/>
  <c r="BR60" i="102"/>
  <c r="BO41" i="102"/>
  <c r="BO73" i="102"/>
  <c r="BO60" i="102"/>
  <c r="BZ61" i="102"/>
  <c r="BW17" i="102"/>
  <c r="BW7" i="102"/>
  <c r="BW9" i="102"/>
  <c r="BZ7" i="102"/>
  <c r="BZ45" i="102"/>
  <c r="BZ16" i="102"/>
  <c r="BZ80" i="102"/>
  <c r="BZ51" i="102"/>
  <c r="BZ83" i="102"/>
  <c r="BW48" i="102"/>
  <c r="BW80" i="102"/>
  <c r="BW43" i="102"/>
  <c r="BW75" i="102"/>
  <c r="BW38" i="102"/>
  <c r="BW70" i="102"/>
  <c r="BW41" i="102"/>
  <c r="BW73" i="102"/>
  <c r="BW36" i="102"/>
  <c r="BZ74" i="102"/>
  <c r="AL41" i="102"/>
  <c r="AL73" i="102"/>
  <c r="AI46" i="102"/>
  <c r="AI78" i="102"/>
  <c r="AL55" i="102"/>
  <c r="AL34" i="102"/>
  <c r="AL66" i="102"/>
  <c r="AQ23" i="102"/>
  <c r="AQ14" i="102"/>
  <c r="AT19" i="102"/>
  <c r="AT25" i="102"/>
  <c r="AQ21" i="102"/>
  <c r="AQ13" i="102"/>
  <c r="AT6" i="102"/>
  <c r="AT69" i="102"/>
  <c r="AT72" i="102"/>
  <c r="AQ61" i="102"/>
  <c r="AQ24" i="102"/>
  <c r="AQ56" i="102"/>
  <c r="AQ51" i="102"/>
  <c r="AQ83" i="102"/>
  <c r="AQ54" i="102"/>
  <c r="AT15" i="102"/>
  <c r="AT47" i="102"/>
  <c r="AT79" i="102"/>
  <c r="AT42" i="102"/>
  <c r="AT74" i="102"/>
  <c r="AY6" i="102"/>
  <c r="BB6" i="102"/>
  <c r="AY35" i="102"/>
  <c r="BB57" i="102"/>
  <c r="BB10" i="102"/>
  <c r="AY39" i="102"/>
  <c r="AY22" i="102"/>
  <c r="BB8" i="102"/>
  <c r="BB70" i="102"/>
  <c r="BB45" i="102"/>
  <c r="BB16" i="102"/>
  <c r="BB48" i="102"/>
  <c r="BB80" i="102"/>
  <c r="AY61" i="102"/>
  <c r="BB44" i="102"/>
  <c r="BB76" i="102"/>
  <c r="AY33" i="102"/>
  <c r="AY65" i="102"/>
  <c r="BB50" i="102"/>
  <c r="BB82" i="102"/>
  <c r="BJ7" i="102"/>
  <c r="BG12" i="102"/>
  <c r="BJ24" i="102"/>
  <c r="BJ11" i="102"/>
  <c r="BJ6" i="102"/>
  <c r="BJ29" i="102"/>
  <c r="BJ61" i="102"/>
  <c r="BJ51" i="102"/>
  <c r="BJ83" i="102"/>
  <c r="BG48" i="102"/>
  <c r="BG80" i="102"/>
  <c r="BG43" i="102"/>
  <c r="BG75" i="102"/>
  <c r="BG38" i="102"/>
  <c r="BG70" i="102"/>
  <c r="BJ31" i="102"/>
  <c r="BJ63" i="102"/>
  <c r="BJ26" i="102"/>
  <c r="BJ58" i="102"/>
  <c r="BO21" i="102"/>
  <c r="BO17" i="102"/>
  <c r="BO45" i="102"/>
  <c r="BO18" i="102"/>
  <c r="BR24" i="102"/>
  <c r="BO25" i="102"/>
  <c r="BO8" i="102"/>
  <c r="BO69" i="102"/>
  <c r="BO38" i="102"/>
  <c r="BR19" i="102"/>
  <c r="BR21" i="102"/>
  <c r="BR53" i="102"/>
  <c r="BO16" i="102"/>
  <c r="BO48" i="102"/>
  <c r="BO80" i="102"/>
  <c r="BO67" i="102"/>
  <c r="BO62" i="102"/>
  <c r="BR47" i="102"/>
  <c r="BR79" i="102"/>
  <c r="BR66" i="102"/>
  <c r="BW63" i="102"/>
  <c r="BW18" i="102"/>
  <c r="BZ13" i="102"/>
  <c r="BZ8" i="102"/>
  <c r="BW15" i="102"/>
  <c r="BZ77" i="102"/>
  <c r="BW21" i="102"/>
  <c r="BW82" i="102"/>
  <c r="BW53" i="102"/>
  <c r="BZ22" i="102"/>
  <c r="BZ54" i="102"/>
  <c r="BZ17" i="102"/>
  <c r="BZ49" i="102"/>
  <c r="BZ81" i="102"/>
  <c r="BZ44" i="102"/>
  <c r="BZ76" i="102"/>
  <c r="BZ47" i="102"/>
  <c r="BZ79" i="102"/>
  <c r="BZ42" i="102"/>
  <c r="BW76" i="102"/>
  <c r="AI57" i="102"/>
  <c r="AI36" i="102"/>
  <c r="AI68" i="102"/>
  <c r="AQ9" i="102"/>
  <c r="AT41" i="102"/>
  <c r="AQ29" i="102"/>
  <c r="AT32" i="102"/>
  <c r="AT24" i="102"/>
  <c r="AT16" i="102"/>
  <c r="AQ8" i="102"/>
  <c r="AT9" i="102"/>
  <c r="AT35" i="102"/>
  <c r="AT67" i="102"/>
  <c r="AT30" i="102"/>
  <c r="AT62" i="102"/>
  <c r="AT57" i="102"/>
  <c r="AT28" i="102"/>
  <c r="AT60" i="102"/>
  <c r="AQ17" i="102"/>
  <c r="AQ49" i="102"/>
  <c r="AQ81" i="102"/>
  <c r="AQ44" i="102"/>
  <c r="AQ76" i="102"/>
  <c r="BB7" i="102"/>
  <c r="BB19" i="102"/>
  <c r="AY40" i="102"/>
  <c r="BB61" i="102"/>
  <c r="AY12" i="102"/>
  <c r="BB54" i="102"/>
  <c r="AY23" i="102"/>
  <c r="AY10" i="102"/>
  <c r="BB11" i="102"/>
  <c r="AY59" i="102"/>
  <c r="AY18" i="102"/>
  <c r="AY50" i="102"/>
  <c r="AY82" i="102"/>
  <c r="BB67" i="102"/>
  <c r="AY46" i="102"/>
  <c r="AY78" i="102"/>
  <c r="BB39" i="102"/>
  <c r="BB71" i="102"/>
  <c r="AY52" i="102"/>
  <c r="AY84" i="102"/>
  <c r="BG9" i="102"/>
  <c r="BJ16" i="102"/>
  <c r="BG42" i="102"/>
  <c r="BG13" i="102"/>
  <c r="BG8" i="102"/>
  <c r="BG31" i="102"/>
  <c r="BG63" i="102"/>
  <c r="BG53" i="102"/>
  <c r="BJ22" i="102"/>
  <c r="BJ54" i="102"/>
  <c r="BJ17" i="102"/>
  <c r="BJ49" i="102"/>
  <c r="BJ81" i="102"/>
  <c r="BJ44" i="102"/>
  <c r="BJ76" i="102"/>
  <c r="BG33" i="102"/>
  <c r="BG65" i="102"/>
  <c r="BG28" i="102"/>
  <c r="BG60" i="102"/>
  <c r="BR31" i="102"/>
  <c r="BO22" i="102"/>
  <c r="BO37" i="102"/>
  <c r="BR28" i="102"/>
  <c r="BR25" i="102"/>
  <c r="BO26" i="102"/>
  <c r="BR14" i="102"/>
  <c r="BR83" i="102"/>
  <c r="BO42" i="102"/>
  <c r="BR20" i="102"/>
  <c r="BO23" i="102"/>
  <c r="BO55" i="102"/>
  <c r="BR22" i="102"/>
  <c r="BR54" i="102"/>
  <c r="BR41" i="102"/>
  <c r="BR73" i="102"/>
  <c r="BR68" i="102"/>
  <c r="BO49" i="102"/>
  <c r="BO81" i="102"/>
  <c r="BO68" i="102"/>
  <c r="BW79" i="102"/>
  <c r="BZ32" i="102"/>
  <c r="BZ23" i="102"/>
  <c r="BW10" i="102"/>
  <c r="BZ29" i="102"/>
  <c r="BZ21" i="102"/>
  <c r="BW34" i="102"/>
  <c r="BZ27" i="102"/>
  <c r="BZ59" i="102"/>
  <c r="BW24" i="102"/>
  <c r="BW56" i="102"/>
  <c r="BW19" i="102"/>
  <c r="BW51" i="102"/>
  <c r="BW83" i="102"/>
  <c r="BW46" i="102"/>
  <c r="BW78" i="102"/>
  <c r="BW49" i="102"/>
  <c r="BW81" i="102"/>
  <c r="BW44" i="102"/>
  <c r="BZ82" i="102"/>
  <c r="AL49" i="102"/>
  <c r="AL81" i="102"/>
  <c r="AI54" i="102"/>
  <c r="AL31" i="102"/>
  <c r="AL63" i="102"/>
  <c r="AL42" i="102"/>
  <c r="AL74" i="102"/>
  <c r="AQ50" i="102"/>
  <c r="AT45" i="102"/>
  <c r="AQ42" i="102"/>
  <c r="AT56" i="102"/>
  <c r="AT29" i="102"/>
  <c r="AQ27" i="102"/>
  <c r="AT14" i="102"/>
  <c r="AQ11" i="102"/>
  <c r="AQ37" i="102"/>
  <c r="AQ69" i="102"/>
  <c r="AQ32" i="102"/>
  <c r="AQ64" i="102"/>
  <c r="AQ59" i="102"/>
  <c r="AQ30" i="102"/>
  <c r="AQ62" i="102"/>
  <c r="AT23" i="102"/>
  <c r="AT55" i="102"/>
  <c r="AT18" i="102"/>
  <c r="AT50" i="102"/>
  <c r="AT82" i="102"/>
  <c r="BB18" i="102"/>
  <c r="BB26" i="102"/>
  <c r="BB9" i="102"/>
  <c r="AY75" i="102"/>
  <c r="AY19" i="102"/>
  <c r="AY72" i="102"/>
  <c r="AY24" i="102"/>
  <c r="AY27" i="102"/>
  <c r="AY13" i="102"/>
  <c r="AY63" i="102"/>
  <c r="BB24" i="102"/>
  <c r="BB56" i="102"/>
  <c r="AY37" i="102"/>
  <c r="AY69" i="102"/>
  <c r="BB52" i="102"/>
  <c r="BB84" i="102"/>
  <c r="AY41" i="102"/>
  <c r="AY73" i="102"/>
  <c r="BB58" i="102"/>
  <c r="BJ9" i="102"/>
  <c r="BG15" i="102"/>
  <c r="BG21" i="102"/>
  <c r="BJ64" i="102"/>
  <c r="BG34" i="102"/>
  <c r="BJ14" i="102"/>
  <c r="BJ37" i="102"/>
  <c r="BJ69" i="102"/>
  <c r="BJ59" i="102"/>
  <c r="BG24" i="102"/>
  <c r="BG56" i="102"/>
  <c r="BG19" i="102"/>
  <c r="BG51" i="102"/>
  <c r="BG83" i="102"/>
  <c r="BG46" i="102"/>
  <c r="BG78" i="102"/>
  <c r="BJ39" i="102"/>
  <c r="BJ71" i="102"/>
  <c r="BJ34" i="102"/>
  <c r="BJ66" i="102"/>
  <c r="BR10" i="102"/>
  <c r="BR27" i="102"/>
  <c r="BO12" i="102"/>
  <c r="BR33" i="102"/>
  <c r="BR35" i="102"/>
  <c r="BO27" i="102"/>
  <c r="BO28" i="102"/>
  <c r="BR9" i="102"/>
  <c r="BO58" i="102"/>
  <c r="BR36" i="102"/>
  <c r="BR29" i="102"/>
  <c r="BR61" i="102"/>
  <c r="BO24" i="102"/>
  <c r="BO56" i="102"/>
  <c r="BO43" i="102"/>
  <c r="BO75" i="102"/>
  <c r="BO70" i="102"/>
  <c r="BR55" i="102"/>
  <c r="BR42" i="102"/>
  <c r="BR74" i="102"/>
  <c r="BZ12" i="102"/>
  <c r="BW50" i="102"/>
  <c r="BW39" i="102"/>
  <c r="BW42" i="102"/>
  <c r="BW47" i="102"/>
  <c r="BZ24" i="102"/>
  <c r="BZ48" i="102"/>
  <c r="BW29" i="102"/>
  <c r="BW61" i="102"/>
  <c r="BZ30" i="102"/>
  <c r="BZ62" i="102"/>
  <c r="BZ25" i="102"/>
  <c r="BZ57" i="102"/>
  <c r="BZ20" i="102"/>
  <c r="BZ52" i="102"/>
  <c r="BZ84" i="102"/>
  <c r="BZ55" i="102"/>
  <c r="BZ18" i="102"/>
  <c r="BZ50" i="102"/>
  <c r="BW84" i="102"/>
  <c r="AI51" i="102"/>
  <c r="AI83" i="102"/>
  <c r="AL60" i="102"/>
  <c r="AI33" i="102"/>
  <c r="AI65" i="102"/>
  <c r="AI44" i="102"/>
  <c r="AI76" i="102"/>
  <c r="AT20" i="102"/>
  <c r="AT61" i="102"/>
  <c r="AT53" i="102"/>
  <c r="AQ74" i="102"/>
  <c r="AQ31" i="102"/>
  <c r="AQ35" i="102"/>
  <c r="AQ19" i="102"/>
  <c r="AQ18" i="102"/>
  <c r="AT43" i="102"/>
  <c r="AT75" i="102"/>
  <c r="AT38" i="102"/>
  <c r="AT70" i="102"/>
  <c r="AT65" i="102"/>
  <c r="AT36" i="102"/>
  <c r="AT68" i="102"/>
  <c r="AQ25" i="102"/>
  <c r="AQ57" i="102"/>
  <c r="AQ20" i="102"/>
  <c r="AQ52" i="102"/>
  <c r="AQ84" i="102"/>
  <c r="AY56" i="102"/>
  <c r="BB12" i="102"/>
  <c r="AY11" i="102"/>
  <c r="AY79" i="102"/>
  <c r="AY20" i="102"/>
  <c r="BB81" i="102"/>
  <c r="AY43" i="102"/>
  <c r="AY28" i="102"/>
  <c r="BB14" i="102"/>
  <c r="BB78" i="102"/>
  <c r="AY26" i="102"/>
  <c r="AY58" i="102"/>
  <c r="BB43" i="102"/>
  <c r="BB75" i="102"/>
  <c r="AY54" i="102"/>
  <c r="BB15" i="102"/>
  <c r="BB47" i="102"/>
  <c r="BB79" i="102"/>
  <c r="AY60" i="102"/>
  <c r="BG11" i="102"/>
  <c r="BG18" i="102"/>
  <c r="BJ35" i="102"/>
  <c r="BG82" i="102"/>
  <c r="BJ48" i="102"/>
  <c r="BJ19" i="102"/>
  <c r="BG39" i="102"/>
  <c r="BG71" i="102"/>
  <c r="BG61" i="102"/>
  <c r="BJ30" i="102"/>
  <c r="BJ62" i="102"/>
  <c r="BJ25" i="102"/>
  <c r="BJ57" i="102"/>
  <c r="BJ20" i="102"/>
  <c r="BJ52" i="102"/>
  <c r="BJ84" i="102"/>
  <c r="BG41" i="102"/>
  <c r="BG73" i="102"/>
  <c r="BG36" i="102"/>
  <c r="BG68" i="102"/>
  <c r="BR44" i="102"/>
  <c r="BR32" i="102"/>
  <c r="BO74" i="102"/>
  <c r="BO53" i="102"/>
  <c r="BR40" i="102"/>
  <c r="BO35" i="102"/>
  <c r="BO29" i="102"/>
  <c r="BO11" i="102"/>
  <c r="BR72" i="102"/>
  <c r="BO46" i="102"/>
  <c r="BO31" i="102"/>
  <c r="BO63" i="102"/>
  <c r="BR30" i="102"/>
  <c r="BR62" i="102"/>
  <c r="BR49" i="102"/>
  <c r="BR81" i="102"/>
  <c r="BR76" i="102"/>
  <c r="BO57" i="102"/>
  <c r="BO44" i="102"/>
  <c r="BO76" i="102"/>
  <c r="BW23" i="102"/>
  <c r="BZ69" i="102"/>
  <c r="BZ53" i="102"/>
  <c r="BZ56" i="102"/>
  <c r="BZ11" i="102"/>
  <c r="BZ6" i="102"/>
  <c r="BZ64" i="102"/>
  <c r="BZ35" i="102"/>
  <c r="BZ67" i="102"/>
  <c r="BW32" i="102"/>
  <c r="BW64" i="102"/>
  <c r="BW27" i="102"/>
  <c r="BW59" i="102"/>
  <c r="BW22" i="102"/>
  <c r="BW54" i="102"/>
  <c r="BW25" i="102"/>
  <c r="BW57" i="102"/>
  <c r="BW20" i="102"/>
  <c r="BW52" i="102"/>
  <c r="AI72" i="102"/>
  <c r="AL57" i="102"/>
  <c r="AI30" i="102"/>
  <c r="AI62" i="102"/>
  <c r="AL39" i="102"/>
  <c r="AL71" i="102"/>
  <c r="AL50" i="102"/>
  <c r="AL82" i="102"/>
  <c r="AT27" i="102"/>
  <c r="AQ79" i="102"/>
  <c r="AQ71" i="102"/>
  <c r="AQ82" i="102"/>
  <c r="AT40" i="102"/>
  <c r="AQ39" i="102"/>
  <c r="AQ26" i="102"/>
  <c r="AT21" i="102"/>
  <c r="AQ45" i="102"/>
  <c r="AQ77" i="102"/>
  <c r="AQ40" i="102"/>
  <c r="AQ72" i="102"/>
  <c r="AQ67" i="102"/>
  <c r="AQ38" i="102"/>
  <c r="AQ70" i="102"/>
  <c r="AT31" i="102"/>
  <c r="AT63" i="102"/>
  <c r="AT26" i="102"/>
  <c r="AT58" i="102"/>
  <c r="AY9" i="102"/>
  <c r="AY8" i="102"/>
  <c r="BB27" i="102"/>
  <c r="BB20" i="102"/>
  <c r="BB28" i="102"/>
  <c r="AY21" i="102"/>
  <c r="BB46" i="102"/>
  <c r="AY47" i="102"/>
  <c r="AY29" i="102"/>
  <c r="AY30" i="102"/>
  <c r="BB49" i="102"/>
  <c r="BB32" i="102"/>
  <c r="BB64" i="102"/>
  <c r="AY45" i="102"/>
  <c r="AY77" i="102"/>
  <c r="BB60" i="102"/>
  <c r="AY17" i="102"/>
  <c r="AY49" i="102"/>
  <c r="AY81" i="102"/>
  <c r="BB66" i="102"/>
  <c r="BG26" i="102"/>
  <c r="BJ32" i="102"/>
  <c r="BG58" i="102"/>
  <c r="BJ12" i="102"/>
  <c r="BG66" i="102"/>
  <c r="BG37" i="102"/>
  <c r="BJ45" i="102"/>
  <c r="BJ77" i="102"/>
  <c r="BJ67" i="102"/>
  <c r="BG32" i="102"/>
  <c r="BG64" i="102"/>
  <c r="BG27" i="102"/>
  <c r="BG59" i="102"/>
  <c r="BG22" i="102"/>
  <c r="BG54" i="102"/>
  <c r="BJ15" i="102"/>
  <c r="BJ47" i="102"/>
  <c r="BJ79" i="102"/>
  <c r="BJ42" i="102"/>
  <c r="BJ74" i="102"/>
  <c r="BR56" i="102"/>
  <c r="BR13" i="102"/>
  <c r="BO20" i="102"/>
  <c r="BR59" i="102"/>
  <c r="BR64" i="102"/>
  <c r="BO66" i="102"/>
  <c r="BO30" i="102"/>
  <c r="BR15" i="102"/>
  <c r="BO6" i="102"/>
  <c r="BO50" i="102"/>
  <c r="BR37" i="102"/>
  <c r="BR69" i="102"/>
  <c r="BO32" i="102"/>
  <c r="BO64" i="102"/>
  <c r="BO51" i="102"/>
  <c r="BO83" i="102"/>
  <c r="BO78" i="102"/>
  <c r="BR63" i="102"/>
  <c r="BR50" i="102"/>
  <c r="BR82" i="102"/>
  <c r="BZ10" i="102"/>
  <c r="BW26" i="102"/>
  <c r="BW11" i="102"/>
  <c r="BW71" i="102"/>
  <c r="BW13" i="102"/>
  <c r="BW8" i="102"/>
  <c r="BW66" i="102"/>
  <c r="BW37" i="102"/>
  <c r="BW69" i="102"/>
  <c r="BZ38" i="102"/>
  <c r="BZ70" i="102"/>
  <c r="BZ33" i="102"/>
  <c r="BZ65" i="102"/>
  <c r="BZ28" i="102"/>
  <c r="BZ60" i="102"/>
  <c r="BZ31" i="102"/>
  <c r="BZ63" i="102"/>
  <c r="BZ26" i="102"/>
  <c r="BW60" i="102"/>
  <c r="AI41" i="102"/>
  <c r="AI73" i="102"/>
  <c r="AI52" i="102"/>
  <c r="AI84" i="102"/>
  <c r="AT64" i="102"/>
  <c r="AT10" i="102"/>
  <c r="AQ7" i="102"/>
  <c r="AT8" i="102"/>
  <c r="AQ63" i="102"/>
  <c r="AT48" i="102"/>
  <c r="AQ43" i="102"/>
  <c r="AT33" i="102"/>
  <c r="AT51" i="102"/>
  <c r="AT83" i="102"/>
  <c r="AT46" i="102"/>
  <c r="AT78" i="102"/>
  <c r="AT73" i="102"/>
  <c r="AT44" i="102"/>
  <c r="AT76" i="102"/>
  <c r="AQ33" i="102"/>
  <c r="AQ65" i="102"/>
  <c r="AQ28" i="102"/>
  <c r="AQ60" i="102"/>
  <c r="BB38" i="102"/>
  <c r="AY16" i="102"/>
  <c r="BB65" i="102"/>
  <c r="BB21" i="102"/>
  <c r="AY64" i="102"/>
  <c r="BB33" i="102"/>
  <c r="BB77" i="102"/>
  <c r="BB62" i="102"/>
  <c r="BB37" i="102"/>
  <c r="AY31" i="102"/>
  <c r="BB53" i="102"/>
  <c r="AY34" i="102"/>
  <c r="AY66" i="102"/>
  <c r="BB51" i="102"/>
  <c r="BB83" i="102"/>
  <c r="AY62" i="102"/>
  <c r="BB23" i="102"/>
  <c r="BB55" i="102"/>
  <c r="AY36" i="102"/>
  <c r="AY68" i="102"/>
  <c r="BJ40" i="102"/>
  <c r="BJ80" i="102"/>
  <c r="BG74" i="102"/>
  <c r="BJ8" i="102"/>
  <c r="BG6" i="102"/>
  <c r="BJ72" i="102"/>
  <c r="BG47" i="102"/>
  <c r="BG79" i="102"/>
  <c r="BG69" i="102"/>
  <c r="BJ38" i="102"/>
  <c r="BJ70" i="102"/>
  <c r="BJ33" i="102"/>
  <c r="BJ65" i="102"/>
  <c r="BJ28" i="102"/>
  <c r="BJ60" i="102"/>
  <c r="BG17" i="102"/>
  <c r="BG49" i="102"/>
  <c r="BG81" i="102"/>
  <c r="BG44" i="102"/>
  <c r="BG76" i="102"/>
  <c r="BR67" i="102"/>
  <c r="BR26" i="102"/>
  <c r="BO36" i="102"/>
  <c r="BR7" i="102"/>
  <c r="BO82" i="102"/>
  <c r="BR80" i="102"/>
  <c r="BO34" i="102"/>
  <c r="BR16" i="102"/>
  <c r="BR12" i="102"/>
  <c r="BO61" i="102"/>
  <c r="BO39" i="102"/>
  <c r="BO71" i="102"/>
  <c r="BR38" i="102"/>
  <c r="BR70" i="102"/>
  <c r="BR57" i="102"/>
  <c r="BR52" i="102"/>
  <c r="BR84" i="102"/>
  <c r="BO65" i="102"/>
  <c r="BO52" i="102"/>
  <c r="BO84" i="102"/>
  <c r="BW12" i="102"/>
  <c r="BW6" i="102"/>
  <c r="BW55" i="102"/>
  <c r="BZ37" i="102"/>
  <c r="BZ19" i="102"/>
  <c r="BZ14" i="102"/>
  <c r="BZ72" i="102"/>
  <c r="BZ43" i="102"/>
  <c r="BZ75" i="102"/>
  <c r="BW40" i="102"/>
  <c r="BW72" i="102"/>
  <c r="BW35" i="102"/>
  <c r="BW67" i="102"/>
  <c r="BW30" i="102"/>
  <c r="BW62" i="102"/>
  <c r="BW33" i="102"/>
  <c r="BW65" i="102"/>
  <c r="BW28" i="102"/>
  <c r="BZ66" i="102"/>
  <c r="BZ58" i="102"/>
  <c r="X67" i="69"/>
  <c r="M15" i="88"/>
  <c r="M16" i="88" s="1"/>
  <c r="E80" i="104"/>
  <c r="E82" i="104"/>
  <c r="E74" i="104"/>
  <c r="E83" i="104"/>
  <c r="E75" i="104"/>
  <c r="E79" i="104"/>
  <c r="E78" i="104"/>
  <c r="E70" i="104"/>
  <c r="E62" i="104"/>
  <c r="E54" i="104"/>
  <c r="E71" i="104"/>
  <c r="E63" i="104"/>
  <c r="E55" i="104"/>
  <c r="E72" i="104"/>
  <c r="E64" i="104"/>
  <c r="E65" i="104"/>
  <c r="E57" i="104"/>
  <c r="E73" i="104"/>
  <c r="E66" i="104"/>
  <c r="E58" i="104"/>
  <c r="E81" i="104"/>
  <c r="E76" i="104"/>
  <c r="E67" i="104"/>
  <c r="E59" i="104"/>
  <c r="E69" i="104"/>
  <c r="E61" i="104"/>
  <c r="E53" i="104"/>
  <c r="E68" i="104"/>
  <c r="E56" i="104"/>
  <c r="E45" i="104"/>
  <c r="E37" i="104"/>
  <c r="E29" i="104"/>
  <c r="E77" i="104"/>
  <c r="E46" i="104"/>
  <c r="E38" i="104"/>
  <c r="E30" i="104"/>
  <c r="E47" i="104"/>
  <c r="E39" i="104"/>
  <c r="E48" i="104"/>
  <c r="E40" i="104"/>
  <c r="E32" i="104"/>
  <c r="E49" i="104"/>
  <c r="E41" i="104"/>
  <c r="E33" i="104"/>
  <c r="E52" i="104"/>
  <c r="E50" i="104"/>
  <c r="E42" i="104"/>
  <c r="E51" i="104"/>
  <c r="E44" i="104"/>
  <c r="E36" i="104"/>
  <c r="E28" i="104"/>
  <c r="E35" i="104"/>
  <c r="E31" i="104"/>
  <c r="E26" i="104"/>
  <c r="E20" i="104"/>
  <c r="E25" i="104"/>
  <c r="E21" i="104"/>
  <c r="E13" i="104"/>
  <c r="E43" i="104"/>
  <c r="E24" i="104"/>
  <c r="E22" i="104"/>
  <c r="E14" i="104"/>
  <c r="E60" i="104"/>
  <c r="E23" i="104"/>
  <c r="E15" i="104"/>
  <c r="E16" i="104"/>
  <c r="E17" i="104"/>
  <c r="E34" i="104"/>
  <c r="E27" i="104"/>
  <c r="E18" i="104"/>
  <c r="E19" i="104"/>
  <c r="AR67" i="69"/>
  <c r="AU67" i="69" s="1"/>
  <c r="AA67" i="69"/>
  <c r="AD67" i="69" s="1"/>
  <c r="E59" i="62"/>
  <c r="G59" i="62"/>
  <c r="H5" i="67"/>
  <c r="D33" i="58"/>
  <c r="J11" i="104" l="1"/>
  <c r="J12" i="104"/>
  <c r="Q11" i="67"/>
  <c r="N60" i="71"/>
  <c r="N46" i="71"/>
  <c r="O29" i="70"/>
  <c r="L230" i="102" a="1"/>
  <c r="AB179" i="102" a="1"/>
  <c r="AR98" i="102" a="1"/>
  <c r="AJ93" i="102" a="1"/>
  <c r="K21" i="105" a="1"/>
  <c r="L109" i="102" a="1"/>
  <c r="L209" i="102" a="1"/>
  <c r="AZ218" i="102" a="1"/>
  <c r="AJ193" i="102" a="1"/>
  <c r="L224" i="102" a="1"/>
  <c r="L127" i="102" a="1"/>
  <c r="AR215" i="102" a="1"/>
  <c r="AZ205" i="102" a="1"/>
  <c r="K19" i="105" a="1"/>
  <c r="T146" i="102" a="1"/>
  <c r="AB93" i="102" a="1"/>
  <c r="AZ160" i="102" a="1"/>
  <c r="AZ123" i="102" a="1"/>
  <c r="CF136" i="102" a="1"/>
  <c r="CF115" i="102" a="1"/>
  <c r="L178" i="102" a="1"/>
  <c r="L208" i="102" a="1"/>
  <c r="AB139" i="102" a="1"/>
  <c r="AJ218" i="102" a="1"/>
  <c r="AB193" i="102" a="1"/>
  <c r="K62" i="105" a="1"/>
  <c r="AZ177" i="102" a="1"/>
  <c r="AJ161" i="102" a="1"/>
  <c r="L201" i="102" a="1"/>
  <c r="AJ108" i="102" a="1"/>
  <c r="AR139" i="102" a="1"/>
  <c r="AJ189" i="102" a="1"/>
  <c r="AB226" i="102" a="1"/>
  <c r="AJ142" i="102" a="1"/>
  <c r="K64" i="105" a="1"/>
  <c r="AB227" i="102" a="1"/>
  <c r="AB115" i="102" a="1"/>
  <c r="AZ199" i="102" a="1"/>
  <c r="L97" i="102" a="1"/>
  <c r="BP155" i="102" a="1"/>
  <c r="BP207" i="102" a="1"/>
  <c r="BH180" i="102" a="1"/>
  <c r="CN101" i="102" a="1"/>
  <c r="BX214" i="102" a="1"/>
  <c r="BP152" i="102" a="1"/>
  <c r="BP192" i="102" a="1"/>
  <c r="CN148" i="102" a="1"/>
  <c r="CF151" i="102" a="1"/>
  <c r="CF106" i="102" a="1"/>
  <c r="CF215" i="102" a="1"/>
  <c r="BH193" i="102" a="1"/>
  <c r="BH125" i="102" a="1"/>
  <c r="BX210" i="102" a="1"/>
  <c r="CN210" i="102" a="1"/>
  <c r="T108" i="102" a="1"/>
  <c r="BP122" i="102" a="1"/>
  <c r="BX159" i="102" a="1"/>
  <c r="AA7" i="60" a="1"/>
  <c r="T33" i="103" a="1"/>
  <c r="S50" i="103" a="1"/>
  <c r="V78" i="103" a="1"/>
  <c r="X71" i="103" a="1"/>
  <c r="AR218" i="102" a="1"/>
  <c r="AJ113" i="102" a="1"/>
  <c r="X76" i="103" a="1"/>
  <c r="T28" i="103" a="1"/>
  <c r="U8" i="103" a="1"/>
  <c r="S40" i="103" a="1"/>
  <c r="R47" i="103" a="1"/>
  <c r="T224" i="102" a="1"/>
  <c r="X48" i="103" a="1"/>
  <c r="P32" i="103" a="1"/>
  <c r="R64" i="103" a="1"/>
  <c r="V66" i="103" a="1"/>
  <c r="AR94" i="102" a="1"/>
  <c r="X78" i="103" a="1"/>
  <c r="AJ100" i="102" a="1"/>
  <c r="R41" i="103" a="1"/>
  <c r="T69" i="103" a="1"/>
  <c r="R66" i="103" a="1"/>
  <c r="W34" i="103" a="1"/>
  <c r="U73" i="103" a="1"/>
  <c r="L136" i="102" a="1"/>
  <c r="T79" i="103" a="1"/>
  <c r="U42" i="103" a="1"/>
  <c r="Q82" i="103" a="1"/>
  <c r="U81" i="103" a="1"/>
  <c r="R13" i="103" a="1"/>
  <c r="Q23" i="103" a="1"/>
  <c r="AA12" i="60" a="1"/>
  <c r="T30" i="103" a="1"/>
  <c r="T6" i="103" a="1"/>
  <c r="P65" i="103" a="1"/>
  <c r="T200" i="102" a="1"/>
  <c r="AR136" i="102" a="1"/>
  <c r="U72" i="103" a="1"/>
  <c r="S47" i="103" a="1"/>
  <c r="Q58" i="103" a="1"/>
  <c r="W68" i="103" a="1"/>
  <c r="T50" i="103" a="1"/>
  <c r="T43" i="103" a="1"/>
  <c r="R78" i="103" a="1"/>
  <c r="AR126" i="102" a="1"/>
  <c r="V45" i="103" a="1"/>
  <c r="L122" i="102" a="1"/>
  <c r="T11" i="103" a="1"/>
  <c r="U13" i="103" a="1"/>
  <c r="V24" i="103" a="1"/>
  <c r="L176" i="102" a="1"/>
  <c r="AR104" i="102" a="1"/>
  <c r="CN113" i="102" a="1"/>
  <c r="AJ77" i="102" a="1"/>
  <c r="BH177" i="102" a="1"/>
  <c r="L38" i="102" a="1"/>
  <c r="L60" i="102" a="1"/>
  <c r="BH45" i="102" a="1"/>
  <c r="W32" i="103" a="1"/>
  <c r="U46" i="103" a="1"/>
  <c r="BP102" i="102" a="1"/>
  <c r="AB12" i="102" a="1"/>
  <c r="BH132" i="102" a="1"/>
  <c r="L52" i="102" a="1"/>
  <c r="AB47" i="102" a="1"/>
  <c r="BH35" i="102" a="1"/>
  <c r="V37" i="103" a="1"/>
  <c r="BP175" i="102" a="1"/>
  <c r="AJ37" i="102" a="1"/>
  <c r="K51" i="105" a="1"/>
  <c r="T165" i="102" a="1"/>
  <c r="L151" i="102" a="1"/>
  <c r="AZ158" i="102" a="1"/>
  <c r="AJ198" i="102" a="1"/>
  <c r="K30" i="105" a="1"/>
  <c r="L113" i="102" a="1"/>
  <c r="L217" i="102" a="1"/>
  <c r="T158" i="102" a="1"/>
  <c r="AJ121" i="102" a="1"/>
  <c r="L216" i="102" a="1"/>
  <c r="L107" i="102" a="1"/>
  <c r="AZ145" i="102" a="1"/>
  <c r="L170" i="102" a="1"/>
  <c r="K69" i="105" a="1"/>
  <c r="AB205" i="102" a="1"/>
  <c r="AB230" i="102" a="1"/>
  <c r="AB131" i="102" a="1"/>
  <c r="AZ109" i="102" a="1"/>
  <c r="CF132" i="102" a="1"/>
  <c r="CF111" i="102" a="1"/>
  <c r="T95" i="102" a="1"/>
  <c r="T119" i="102" a="1"/>
  <c r="AB183" i="102" a="1"/>
  <c r="AR147" i="102" a="1"/>
  <c r="AR162" i="102" a="1"/>
  <c r="K44" i="105" a="1"/>
  <c r="AZ128" i="102" a="1"/>
  <c r="AJ125" i="102" a="1"/>
  <c r="AB118" i="102" a="1"/>
  <c r="AJ167" i="102" a="1"/>
  <c r="AZ208" i="102" a="1"/>
  <c r="AJ153" i="102" a="1"/>
  <c r="AJ178" i="102" a="1"/>
  <c r="AJ231" i="102" a="1"/>
  <c r="K26" i="105" a="1"/>
  <c r="AJ99" i="102" a="1"/>
  <c r="AJ184" i="102" a="1"/>
  <c r="AZ188" i="102" a="1"/>
  <c r="L212" i="102" a="1"/>
  <c r="BP131" i="102" a="1"/>
  <c r="BX181" i="102" a="1"/>
  <c r="BH188" i="102" a="1"/>
  <c r="BH108" i="102" a="1"/>
  <c r="CF221" i="102" a="1"/>
  <c r="BP156" i="102" a="1"/>
  <c r="BX136" i="102" a="1"/>
  <c r="BH168" i="102" a="1"/>
  <c r="BH114" i="102" a="1"/>
  <c r="CF224" i="102" a="1"/>
  <c r="BH158" i="102" a="1"/>
  <c r="BP114" i="102" a="1"/>
  <c r="BP118" i="102" a="1"/>
  <c r="BX220" i="102" a="1"/>
  <c r="BH212" i="102" a="1"/>
  <c r="AB138" i="102" a="1"/>
  <c r="BP134" i="102" a="1"/>
  <c r="CF128" i="102" a="1"/>
  <c r="X47" i="103" a="1"/>
  <c r="X23" i="103" a="1"/>
  <c r="S48" i="103" a="1"/>
  <c r="W39" i="103" a="1"/>
  <c r="U24" i="103" a="1"/>
  <c r="AZ98" i="102" a="1"/>
  <c r="AJ182" i="102" a="1"/>
  <c r="P35" i="103" a="1"/>
  <c r="U68" i="103" a="1"/>
  <c r="U79" i="103" a="1"/>
  <c r="W30" i="103" a="1"/>
  <c r="Q79" i="103" a="1"/>
  <c r="AB98" i="102" a="1"/>
  <c r="V7" i="103" a="1"/>
  <c r="U70" i="103" a="1"/>
  <c r="X10" i="103" a="1"/>
  <c r="V51" i="103" a="1"/>
  <c r="AR149" i="102" a="1"/>
  <c r="W41" i="103" a="1"/>
  <c r="AR113" i="102" a="1"/>
  <c r="W75" i="103" a="1"/>
  <c r="R43" i="103" a="1"/>
  <c r="T14" i="103" a="1"/>
  <c r="Q72" i="103" a="1"/>
  <c r="V30" i="103" a="1"/>
  <c r="T121" i="102" a="1"/>
  <c r="Q41" i="103" a="1"/>
  <c r="U56" i="103" a="1"/>
  <c r="X45" i="103" a="1"/>
  <c r="T46" i="103" a="1"/>
  <c r="X54" i="103" a="1"/>
  <c r="V64" i="103" a="1"/>
  <c r="AA45" i="60" a="1"/>
  <c r="S19" i="103" a="1"/>
  <c r="V53" i="103" a="1"/>
  <c r="S76" i="103" a="1"/>
  <c r="AB184" i="102" a="1"/>
  <c r="AR230" i="102" a="1"/>
  <c r="W44" i="103" a="1"/>
  <c r="S78" i="103" a="1"/>
  <c r="R84" i="103" a="1"/>
  <c r="P19" i="103" a="1"/>
  <c r="P14" i="103" a="1"/>
  <c r="T203" i="102" a="1"/>
  <c r="S54" i="103" a="1"/>
  <c r="AR134" i="102" a="1"/>
  <c r="Q6" i="103" a="1"/>
  <c r="K15" i="105" a="1"/>
  <c r="AB150" i="102" a="1"/>
  <c r="T94" i="102" a="1"/>
  <c r="AZ154" i="102" a="1"/>
  <c r="AZ174" i="102" a="1"/>
  <c r="K25" i="105" a="1"/>
  <c r="AJ158" i="102" a="1"/>
  <c r="AJ135" i="102" a="1"/>
  <c r="AB219" i="102" a="1"/>
  <c r="AZ97" i="102" a="1"/>
  <c r="T162" i="102" a="1"/>
  <c r="L206" i="102" a="1"/>
  <c r="T222" i="102" a="1"/>
  <c r="T172" i="102" a="1"/>
  <c r="K50" i="105" a="1"/>
  <c r="AJ181" i="102" a="1"/>
  <c r="AJ98" i="102" a="1"/>
  <c r="AJ144" i="102" a="1"/>
  <c r="AZ225" i="102" a="1"/>
  <c r="CF140" i="102" a="1"/>
  <c r="CN216" i="102" a="1"/>
  <c r="AB176" i="102" a="1"/>
  <c r="T194" i="102" a="1"/>
  <c r="AJ123" i="102" a="1"/>
  <c r="AR143" i="102" a="1"/>
  <c r="AR212" i="102" a="1"/>
  <c r="K56" i="105" a="1"/>
  <c r="L93" i="102" a="1"/>
  <c r="AJ230" i="102" a="1"/>
  <c r="AJ151" i="102" a="1"/>
  <c r="AZ228" i="102" a="1"/>
  <c r="L96" i="102" a="1"/>
  <c r="AR199" i="102" a="1"/>
  <c r="AJ215" i="102" a="1"/>
  <c r="AR124" i="102" a="1"/>
  <c r="K16" i="105" a="1"/>
  <c r="AR203" i="102" a="1"/>
  <c r="AJ128" i="102" a="1"/>
  <c r="T101" i="102" a="1"/>
  <c r="L220" i="102" a="1"/>
  <c r="BX146" i="102" a="1"/>
  <c r="BX132" i="102" a="1"/>
  <c r="BX155" i="102" a="1"/>
  <c r="BP172" i="102" a="1"/>
  <c r="CF185" i="102" a="1"/>
  <c r="BX142" i="102" a="1"/>
  <c r="CF183" i="102" a="1"/>
  <c r="BP148" i="102" a="1"/>
  <c r="BH171" i="102" a="1"/>
  <c r="BH194" i="102" a="1"/>
  <c r="BH170" i="102" a="1"/>
  <c r="BP190" i="102" a="1"/>
  <c r="BX125" i="102" a="1"/>
  <c r="CF173" i="102" a="1"/>
  <c r="BX187" i="102" a="1"/>
  <c r="AJ194" i="102" a="1"/>
  <c r="BX152" i="102" a="1"/>
  <c r="CF217" i="102" a="1"/>
  <c r="V36" i="103" a="1"/>
  <c r="X66" i="103" a="1"/>
  <c r="U11" i="103" a="1"/>
  <c r="R30" i="103" a="1"/>
  <c r="P15" i="103" a="1"/>
  <c r="AZ132" i="102" a="1"/>
  <c r="AR110" i="102" a="1"/>
  <c r="T25" i="103" a="1"/>
  <c r="Q40" i="103" a="1"/>
  <c r="S41" i="103" a="1"/>
  <c r="L156" i="102" a="1"/>
  <c r="T57" i="103" a="1"/>
  <c r="AR195" i="102" a="1"/>
  <c r="W19" i="103" a="1"/>
  <c r="W23" i="103" a="1"/>
  <c r="S34" i="103" a="1"/>
  <c r="W72" i="103" a="1"/>
  <c r="AR175" i="102" a="1"/>
  <c r="L116" i="102" a="1"/>
  <c r="AZ114" i="102" a="1"/>
  <c r="V34" i="103" a="1"/>
  <c r="X28" i="103" a="1"/>
  <c r="W14" i="103" a="1"/>
  <c r="W78" i="103" a="1"/>
  <c r="L210" i="102" a="1"/>
  <c r="AJ174" i="102" a="1"/>
  <c r="U31" i="103" a="1"/>
  <c r="Q77" i="103" a="1"/>
  <c r="S36" i="103" a="1"/>
  <c r="L118" i="102" a="1"/>
  <c r="R34" i="103" a="1"/>
  <c r="S13" i="103" a="1"/>
  <c r="V70" i="103" a="1"/>
  <c r="S64" i="103" a="1"/>
  <c r="X81" i="103" a="1"/>
  <c r="K80" i="105" a="1"/>
  <c r="AJ96" i="102" a="1"/>
  <c r="T225" i="102" a="1"/>
  <c r="L172" i="102" a="1"/>
  <c r="AZ170" i="102" a="1"/>
  <c r="K43" i="105" a="1"/>
  <c r="AJ227" i="102" a="1"/>
  <c r="AJ115" i="102" a="1"/>
  <c r="AB122" i="102" a="1"/>
  <c r="K11" i="105" a="1"/>
  <c r="AB120" i="102" a="1"/>
  <c r="L214" i="102" a="1"/>
  <c r="T189" i="102" a="1"/>
  <c r="AB146" i="102" a="1"/>
  <c r="K61" i="105" a="1"/>
  <c r="AJ109" i="102" a="1"/>
  <c r="AJ102" i="102" a="1"/>
  <c r="AR107" i="102" a="1"/>
  <c r="AZ192" i="102" a="1"/>
  <c r="BH113" i="102" a="1"/>
  <c r="CN137" i="102" a="1"/>
  <c r="AJ104" i="102" a="1"/>
  <c r="AB181" i="102" a="1"/>
  <c r="AJ188" i="102" a="1"/>
  <c r="AZ146" i="102" a="1"/>
  <c r="AR163" i="102" a="1"/>
  <c r="K40" i="105" a="1"/>
  <c r="L160" i="102" a="1"/>
  <c r="AR135" i="102" a="1"/>
  <c r="AR119" i="102" a="1"/>
  <c r="K79" i="105" a="1"/>
  <c r="L94" i="102" a="1"/>
  <c r="AZ129" i="102" a="1"/>
  <c r="AJ195" i="102" a="1"/>
  <c r="AZ151" i="102" a="1"/>
  <c r="K29" i="105" a="1"/>
  <c r="AZ226" i="102" a="1"/>
  <c r="AJ217" i="102" a="1"/>
  <c r="T118" i="102" a="1"/>
  <c r="T130" i="102" a="1"/>
  <c r="CF126" i="102" a="1"/>
  <c r="CN98" i="102" a="1"/>
  <c r="BX167" i="102" a="1"/>
  <c r="BX120" i="102" a="1"/>
  <c r="CN118" i="102" a="1"/>
  <c r="CF155" i="102" a="1"/>
  <c r="CN225" i="102" a="1"/>
  <c r="BP144" i="102" a="1"/>
  <c r="BX189" i="102" a="1"/>
  <c r="BP210" i="102" a="1"/>
  <c r="BP143" i="102" a="1"/>
  <c r="BX212" i="102" a="1"/>
  <c r="CF194" i="102" a="1"/>
  <c r="CF137" i="102" a="1"/>
  <c r="CF208" i="102" a="1"/>
  <c r="AJ219" i="102" a="1"/>
  <c r="BX197" i="102" a="1"/>
  <c r="BH160" i="102" a="1"/>
  <c r="R73" i="103" a="1"/>
  <c r="V15" i="103" a="1"/>
  <c r="Q57" i="103" a="1"/>
  <c r="U69" i="103" a="1"/>
  <c r="T210" i="102" a="1"/>
  <c r="Q17" i="103" a="1"/>
  <c r="T115" i="102" a="1"/>
  <c r="W67" i="103" a="1"/>
  <c r="S27" i="103" a="1"/>
  <c r="W31" i="103" a="1"/>
  <c r="L152" i="102" a="1"/>
  <c r="X6" i="103" a="1"/>
  <c r="AZ106" i="102" a="1"/>
  <c r="W69" i="103" a="1"/>
  <c r="R14" i="103" a="1"/>
  <c r="T72" i="103" a="1"/>
  <c r="Q26" i="103" a="1"/>
  <c r="P33" i="103" a="1"/>
  <c r="L186" i="102" a="1"/>
  <c r="T104" i="102" a="1"/>
  <c r="T15" i="103" a="1"/>
  <c r="W17" i="103" a="1"/>
  <c r="Q52" i="103" a="1"/>
  <c r="P58" i="103" a="1"/>
  <c r="T100" i="102" a="1"/>
  <c r="AR156" i="102" a="1"/>
  <c r="S70" i="103" a="1"/>
  <c r="R74" i="103" a="1"/>
  <c r="P73" i="103" a="1"/>
  <c r="AJ209" i="102" a="1"/>
  <c r="X63" i="103" a="1"/>
  <c r="L144" i="102" a="1"/>
  <c r="P24" i="103" a="1"/>
  <c r="Q11" i="103" a="1"/>
  <c r="Q51" i="103" a="1"/>
  <c r="Q24" i="103" a="1"/>
  <c r="AJ112" i="102" a="1"/>
  <c r="V48" i="103" a="1"/>
  <c r="T54" i="103" a="1"/>
  <c r="L126" i="102" a="1"/>
  <c r="X31" i="103" a="1"/>
  <c r="W48" i="103" a="1"/>
  <c r="S23" i="103" a="1"/>
  <c r="AJ171" i="102" a="1"/>
  <c r="X49" i="103" a="1"/>
  <c r="T68" i="103" a="1"/>
  <c r="Q83" i="103" a="1"/>
  <c r="W76" i="103" a="1"/>
  <c r="P52" i="103" a="1"/>
  <c r="AJ119" i="102" a="1"/>
  <c r="AB165" i="102" a="1"/>
  <c r="K38" i="105" a="1"/>
  <c r="AJ163" i="102" a="1"/>
  <c r="AB161" i="102" a="1"/>
  <c r="T182" i="102" a="1"/>
  <c r="L110" i="102" a="1"/>
  <c r="K27" i="105" a="1"/>
  <c r="AZ167" i="102" a="1"/>
  <c r="AR219" i="102" a="1"/>
  <c r="AJ203" i="102" a="1"/>
  <c r="K73" i="105" a="1"/>
  <c r="AB141" i="102" a="1"/>
  <c r="AJ110" i="102" a="1"/>
  <c r="AB186" i="102" a="1"/>
  <c r="AB202" i="102" a="1"/>
  <c r="K23" i="105" a="1"/>
  <c r="AJ214" i="102" a="1"/>
  <c r="AR122" i="102" a="1"/>
  <c r="AR170" i="102" a="1"/>
  <c r="AB110" i="102" a="1"/>
  <c r="BH103" i="102" a="1"/>
  <c r="BX121" i="102" a="1"/>
  <c r="AJ173" i="102" a="1"/>
  <c r="AB157" i="102" a="1"/>
  <c r="AR93" i="102" a="1"/>
  <c r="L146" i="102" a="1"/>
  <c r="AZ143" i="102" a="1"/>
  <c r="AA16" i="60" a="1"/>
  <c r="T139" i="102" a="1"/>
  <c r="T110" i="102" a="1"/>
  <c r="AZ212" i="102" a="1"/>
  <c r="K20" i="105" a="1"/>
  <c r="T214" i="102" a="1"/>
  <c r="L125" i="102" a="1"/>
  <c r="AZ135" i="102" a="1"/>
  <c r="L161" i="102" a="1"/>
  <c r="K52" i="105" a="1"/>
  <c r="AZ180" i="102" a="1"/>
  <c r="AZ144" i="102" a="1"/>
  <c r="AB135" i="102" a="1"/>
  <c r="T231" i="102" a="1"/>
  <c r="AZ172" i="102" a="1"/>
  <c r="CN191" i="102" a="1"/>
  <c r="CF176" i="102" a="1"/>
  <c r="BX186" i="102" a="1"/>
  <c r="BH162" i="102" a="1"/>
  <c r="CF175" i="102" a="1"/>
  <c r="L148" i="102" a="1"/>
  <c r="BX230" i="102" a="1"/>
  <c r="BP146" i="102" a="1"/>
  <c r="BP212" i="102" a="1"/>
  <c r="BX108" i="102" a="1"/>
  <c r="CN102" i="102" a="1"/>
  <c r="CF97" i="102" a="1"/>
  <c r="CN152" i="102" a="1"/>
  <c r="BH146" i="102" a="1"/>
  <c r="AJ143" i="102" a="1"/>
  <c r="CF113" i="102" a="1"/>
  <c r="BP173" i="102" a="1"/>
  <c r="U28" i="103" a="1"/>
  <c r="Q50" i="103" a="1"/>
  <c r="U47" i="103" a="1"/>
  <c r="P22" i="103" a="1"/>
  <c r="AB222" i="102" a="1"/>
  <c r="P64" i="103" a="1"/>
  <c r="T171" i="102" a="1"/>
  <c r="R17" i="103" a="1"/>
  <c r="U14" i="103" a="1"/>
  <c r="T70" i="103" a="1"/>
  <c r="L219" i="102" a="1"/>
  <c r="T51" i="103" a="1"/>
  <c r="P78" i="103" a="1"/>
  <c r="W20" i="103" a="1"/>
  <c r="V56" i="103" a="1"/>
  <c r="Q27" i="103" a="1"/>
  <c r="U16" i="103" a="1"/>
  <c r="P72" i="103" a="1"/>
  <c r="T228" i="102" a="1"/>
  <c r="T156" i="102" a="1"/>
  <c r="X22" i="103" a="1"/>
  <c r="T63" i="103" a="1"/>
  <c r="P81" i="103" a="1"/>
  <c r="T37" i="103" a="1"/>
  <c r="AB101" i="102" a="1"/>
  <c r="AZ183" i="102" a="1"/>
  <c r="U64" i="103" a="1"/>
  <c r="S30" i="103" a="1"/>
  <c r="U80" i="103" a="1"/>
  <c r="AZ113" i="102" a="1"/>
  <c r="W8" i="103" a="1"/>
  <c r="T103" i="102" a="1"/>
  <c r="W12" i="103" a="1"/>
  <c r="S58" i="103" a="1"/>
  <c r="R54" i="103" a="1"/>
  <c r="P67" i="103" a="1"/>
  <c r="U7" i="103" a="1"/>
  <c r="V40" i="103" a="1"/>
  <c r="AB96" i="102" a="1"/>
  <c r="Q32" i="103" a="1"/>
  <c r="S22" i="103" a="1"/>
  <c r="W46" i="103" a="1"/>
  <c r="K66" i="105" a="1"/>
  <c r="AZ103" i="102" a="1"/>
  <c r="AR103" i="102" a="1"/>
  <c r="AB159" i="102" a="1"/>
  <c r="T154" i="102" a="1"/>
  <c r="K81" i="105" a="1"/>
  <c r="AZ124" i="102" a="1"/>
  <c r="AZ211" i="102" a="1"/>
  <c r="AJ127" i="102" a="1"/>
  <c r="K35" i="105" a="1"/>
  <c r="AB137" i="102" a="1"/>
  <c r="AJ179" i="102" a="1"/>
  <c r="AR226" i="102" a="1"/>
  <c r="AJ207" i="102" a="1"/>
  <c r="K28" i="105" a="1"/>
  <c r="AZ186" i="102" a="1"/>
  <c r="AZ156" i="102" a="1"/>
  <c r="T112" i="102" a="1"/>
  <c r="AB129" i="102" a="1"/>
  <c r="BH111" i="102" a="1"/>
  <c r="K13" i="105" a="1"/>
  <c r="AJ137" i="102" a="1"/>
  <c r="AB153" i="102" a="1"/>
  <c r="AR105" i="102" a="1"/>
  <c r="L227" i="102" a="1"/>
  <c r="BH209" i="102" a="1"/>
  <c r="AA26" i="60" a="1"/>
  <c r="T150" i="102" a="1"/>
  <c r="T219" i="102" a="1"/>
  <c r="AZ227" i="102" a="1"/>
  <c r="K74" i="105" a="1"/>
  <c r="AB187" i="102" a="1"/>
  <c r="T206" i="102" a="1"/>
  <c r="T151" i="102" a="1"/>
  <c r="L215" i="102" a="1"/>
  <c r="K58" i="105" a="1"/>
  <c r="L141" i="102" a="1"/>
  <c r="T96" i="102" a="1"/>
  <c r="AJ140" i="102" a="1"/>
  <c r="AB107" i="102" a="1"/>
  <c r="BH218" i="102" a="1"/>
  <c r="BH201" i="102" a="1"/>
  <c r="BP202" i="102" a="1"/>
  <c r="CF171" i="102" a="1"/>
  <c r="BH192" i="102" a="1"/>
  <c r="BH142" i="102" a="1"/>
  <c r="L226" i="102" a="1"/>
  <c r="CF133" i="102" a="1"/>
  <c r="BP163" i="102" a="1"/>
  <c r="BP208" i="102" a="1"/>
  <c r="CF125" i="102" a="1"/>
  <c r="BH182" i="102" a="1"/>
  <c r="CN199" i="102" a="1"/>
  <c r="CN211" i="102" a="1"/>
  <c r="BH189" i="102" a="1"/>
  <c r="AR206" i="102" a="1"/>
  <c r="AZ159" i="102" a="1"/>
  <c r="BP169" i="102" a="1"/>
  <c r="X18" i="103" a="1"/>
  <c r="T60" i="103" a="1"/>
  <c r="T78" i="103" a="1"/>
  <c r="S69" i="103" a="1"/>
  <c r="AB218" i="102" a="1"/>
  <c r="X46" i="103" a="1"/>
  <c r="T138" i="102" a="1"/>
  <c r="R62" i="103" a="1"/>
  <c r="U62" i="103" a="1"/>
  <c r="U23" i="103" a="1"/>
  <c r="AB214" i="102" a="1"/>
  <c r="X41" i="103" a="1"/>
  <c r="U38" i="103" a="1"/>
  <c r="R11" i="103" a="1"/>
  <c r="P61" i="103" a="1"/>
  <c r="U17" i="103" a="1"/>
  <c r="AJ150" i="102" a="1"/>
  <c r="T27" i="103" a="1"/>
  <c r="AB197" i="102" a="1"/>
  <c r="AB190" i="102" a="1"/>
  <c r="V62" i="103" a="1"/>
  <c r="U9" i="103" a="1"/>
  <c r="P48" i="103" a="1"/>
  <c r="V65" i="103" a="1"/>
  <c r="AB140" i="102" a="1"/>
  <c r="AA33" i="60" a="1"/>
  <c r="V44" i="103" a="1"/>
  <c r="V20" i="103" a="1"/>
  <c r="T49" i="103" a="1"/>
  <c r="W21" i="103" a="1"/>
  <c r="U57" i="103" a="1"/>
  <c r="AB132" i="102" a="1"/>
  <c r="U61" i="103" a="1"/>
  <c r="W29" i="103" a="1"/>
  <c r="T41" i="103" a="1"/>
  <c r="X15" i="103" a="1"/>
  <c r="Q76" i="103" a="1"/>
  <c r="P20" i="103" a="1"/>
  <c r="AB203" i="102" a="1"/>
  <c r="K60" i="105" a="1"/>
  <c r="AZ137" i="102" a="1"/>
  <c r="AR180" i="102" a="1"/>
  <c r="AB199" i="102" a="1"/>
  <c r="T198" i="102" a="1"/>
  <c r="K24" i="105" a="1"/>
  <c r="L167" i="102" a="1"/>
  <c r="L133" i="102" a="1"/>
  <c r="AR130" i="102" a="1"/>
  <c r="K32" i="105" a="1"/>
  <c r="AJ117" i="102" a="1"/>
  <c r="AZ119" i="102" a="1"/>
  <c r="AR209" i="102" a="1"/>
  <c r="AR225" i="102" a="1"/>
  <c r="K37" i="105" a="1"/>
  <c r="L132" i="102" a="1"/>
  <c r="L129" i="102" a="1"/>
  <c r="T220" i="102" a="1"/>
  <c r="AJ170" i="102" a="1"/>
  <c r="BP165" i="102" a="1"/>
  <c r="K54" i="105" a="1"/>
  <c r="AR183" i="102" a="1"/>
  <c r="AJ133" i="102" a="1"/>
  <c r="AZ112" i="102" a="1"/>
  <c r="AB211" i="102" a="1"/>
  <c r="BP226" i="102" a="1"/>
  <c r="AA46" i="60" a="1"/>
  <c r="AB167" i="102" a="1"/>
  <c r="T186" i="102" a="1"/>
  <c r="T180" i="102" a="1"/>
  <c r="K17" i="105" a="1"/>
  <c r="AB231" i="102" a="1"/>
  <c r="T173" i="102" a="1"/>
  <c r="AB172" i="102" a="1"/>
  <c r="L223" i="102" a="1"/>
  <c r="K59" i="105" a="1"/>
  <c r="T157" i="102" a="1"/>
  <c r="T204" i="102" a="1"/>
  <c r="AR198" i="102" a="1"/>
  <c r="AB191" i="102" a="1"/>
  <c r="BP191" i="102" a="1"/>
  <c r="BP166" i="102" a="1"/>
  <c r="BP214" i="102" a="1"/>
  <c r="CF191" i="102" a="1"/>
  <c r="BP209" i="102" a="1"/>
  <c r="BH211" i="102" a="1"/>
  <c r="T93" i="102" a="1"/>
  <c r="CF135" i="102" a="1"/>
  <c r="CF158" i="102" a="1"/>
  <c r="BX162" i="102" a="1"/>
  <c r="CN127" i="102" a="1"/>
  <c r="BP183" i="102" a="1"/>
  <c r="CF211" i="102" a="1"/>
  <c r="BH178" i="102" a="1"/>
  <c r="BH217" i="102" a="1"/>
  <c r="AZ96" i="102" a="1"/>
  <c r="BH225" i="102" a="1"/>
  <c r="CF168" i="102" a="1"/>
  <c r="S62" i="103" a="1"/>
  <c r="W84" i="103" a="1"/>
  <c r="S39" i="103" a="1"/>
  <c r="X80" i="103" a="1"/>
  <c r="AR144" i="102" a="1"/>
  <c r="Q70" i="103" a="1"/>
  <c r="AB155" i="102" a="1"/>
  <c r="X68" i="103" a="1"/>
  <c r="P8" i="103" a="1"/>
  <c r="R70" i="103" a="1"/>
  <c r="AR140" i="102" a="1"/>
  <c r="L171" i="102" a="1"/>
  <c r="L150" i="102" a="1"/>
  <c r="P60" i="103" a="1"/>
  <c r="Q13" i="103" a="1"/>
  <c r="S63" i="103" a="1"/>
  <c r="AR204" i="102" a="1"/>
  <c r="Q78" i="103" a="1"/>
  <c r="AB156" i="102" a="1"/>
  <c r="AJ191" i="102" a="1"/>
  <c r="U6" i="103" a="1"/>
  <c r="W56" i="103" a="1"/>
  <c r="S65" i="103" a="1"/>
  <c r="X11" i="103" a="1"/>
  <c r="AR152" i="102" a="1"/>
  <c r="AA43" i="60" a="1"/>
  <c r="U33" i="103" a="1"/>
  <c r="Q65" i="103" a="1"/>
  <c r="S38" i="103" a="1"/>
  <c r="W13" i="103" a="1"/>
  <c r="L200" i="102" a="1"/>
  <c r="AB223" i="102" a="1"/>
  <c r="R6" i="103" a="1"/>
  <c r="Q21" i="103" a="1"/>
  <c r="X75" i="103" a="1"/>
  <c r="S6" i="103" a="1"/>
  <c r="V52" i="103" a="1"/>
  <c r="Q53" i="103" a="1"/>
  <c r="AJ111" i="102" a="1"/>
  <c r="R65" i="103" a="1"/>
  <c r="Q14" i="103" a="1"/>
  <c r="V25" i="103" a="1"/>
  <c r="W27" i="103" a="1"/>
  <c r="T26" i="103" a="1"/>
  <c r="AZ155" i="102" a="1"/>
  <c r="X50" i="103" a="1"/>
  <c r="P74" i="103" a="1"/>
  <c r="W66" i="103" a="1"/>
  <c r="W6" i="103" a="1"/>
  <c r="P79" i="103" a="1"/>
  <c r="AR129" i="102" a="1"/>
  <c r="W10" i="103" a="1"/>
  <c r="K57" i="105" a="1"/>
  <c r="L154" i="102" a="1"/>
  <c r="AR224" i="102" a="1"/>
  <c r="AJ204" i="102" a="1"/>
  <c r="AB171" i="102" a="1"/>
  <c r="K82" i="105" a="1"/>
  <c r="T178" i="102" a="1"/>
  <c r="T164" i="102" a="1"/>
  <c r="AR190" i="102" a="1"/>
  <c r="K55" i="105" a="1"/>
  <c r="AJ222" i="102" a="1"/>
  <c r="AZ153" i="102" a="1"/>
  <c r="AZ115" i="102" a="1"/>
  <c r="AR128" i="102" a="1"/>
  <c r="K14" i="105" a="1"/>
  <c r="L202" i="102" a="1"/>
  <c r="L191" i="102" a="1"/>
  <c r="AB113" i="102" a="1"/>
  <c r="AR131" i="102" a="1"/>
  <c r="BX231" i="102" a="1"/>
  <c r="K36" i="105" a="1"/>
  <c r="AZ102" i="102" a="1"/>
  <c r="AJ166" i="102" a="1"/>
  <c r="L162" i="102" a="1"/>
  <c r="AJ210" i="102" a="1"/>
  <c r="BX130" i="102" a="1"/>
  <c r="L135" i="102" a="1"/>
  <c r="AB207" i="102" a="1"/>
  <c r="T230" i="102" a="1"/>
  <c r="T223" i="102" a="1"/>
  <c r="K41" i="105" a="1"/>
  <c r="AJ95" i="102" a="1"/>
  <c r="T140" i="102" a="1"/>
  <c r="AR184" i="102" a="1"/>
  <c r="T99" i="102" a="1"/>
  <c r="K39" i="105" a="1"/>
  <c r="T124" i="102" a="1"/>
  <c r="AB97" i="102" a="1"/>
  <c r="AZ176" i="102" a="1"/>
  <c r="AJ156" i="102" a="1"/>
  <c r="BX160" i="102" a="1"/>
  <c r="CF145" i="102" a="1"/>
  <c r="BX165" i="102" a="1"/>
  <c r="BH176" i="102" a="1"/>
  <c r="BX166" i="102" a="1"/>
  <c r="BP103" i="102" a="1"/>
  <c r="T147" i="102" a="1"/>
  <c r="BH155" i="102" a="1"/>
  <c r="CN119" i="102" a="1"/>
  <c r="BX153" i="102" a="1"/>
  <c r="BH109" i="102" a="1"/>
  <c r="BP179" i="102" a="1"/>
  <c r="CN112" i="102" a="1"/>
  <c r="CN197" i="102" a="1"/>
  <c r="BP120" i="102" a="1"/>
  <c r="AZ200" i="102" a="1"/>
  <c r="BX126" i="102" a="1"/>
  <c r="CN174" i="102" a="1"/>
  <c r="R69" i="103" a="1"/>
  <c r="R52" i="103" a="1"/>
  <c r="S42" i="103" a="1"/>
  <c r="V63" i="103" a="1"/>
  <c r="AZ203" i="102" a="1"/>
  <c r="T21" i="103" a="1"/>
  <c r="AJ139" i="102" a="1"/>
  <c r="R19" i="103" a="1"/>
  <c r="R55" i="103" a="1"/>
  <c r="U71" i="103" a="1"/>
  <c r="T56" i="103" a="1"/>
  <c r="AB143" i="102" a="1"/>
  <c r="L117" i="102" a="1"/>
  <c r="U84" i="103" a="1"/>
  <c r="W58" i="103" a="1"/>
  <c r="S9" i="103" a="1"/>
  <c r="AZ231" i="102" a="1"/>
  <c r="R37" i="103" a="1"/>
  <c r="AR118" i="102" a="1"/>
  <c r="AR112" i="102" a="1"/>
  <c r="S55" i="103" a="1"/>
  <c r="R28" i="103" a="1"/>
  <c r="X12" i="103" a="1"/>
  <c r="V60" i="103" a="1"/>
  <c r="AR102" i="102" a="1"/>
  <c r="AA21" i="60" a="1"/>
  <c r="T71" i="103" a="1"/>
  <c r="U12" i="103" a="1"/>
  <c r="Q74" i="103" a="1"/>
  <c r="V71" i="103" a="1"/>
  <c r="AJ97" i="102" a="1"/>
  <c r="AZ104" i="102" a="1"/>
  <c r="T7" i="103" a="1"/>
  <c r="R82" i="103" a="1"/>
  <c r="R33" i="103" a="1"/>
  <c r="T42" i="103" a="1"/>
  <c r="P12" i="103" a="1"/>
  <c r="W79" i="103" a="1"/>
  <c r="AR169" i="102" a="1"/>
  <c r="V12" i="103" a="1"/>
  <c r="U48" i="103" a="1"/>
  <c r="X67" i="103" a="1"/>
  <c r="S67" i="103" a="1"/>
  <c r="K75" i="105" a="1"/>
  <c r="T145" i="102" a="1"/>
  <c r="AR127" i="102" a="1"/>
  <c r="AR95" i="102" a="1"/>
  <c r="AB215" i="102" a="1"/>
  <c r="K42" i="105" a="1"/>
  <c r="T209" i="102" a="1"/>
  <c r="T207" i="102" a="1"/>
  <c r="AR173" i="102" a="1"/>
  <c r="K12" i="105" a="1"/>
  <c r="AZ126" i="102" a="1"/>
  <c r="L194" i="102" a="1"/>
  <c r="AZ171" i="102" a="1"/>
  <c r="AZ217" i="102" a="1"/>
  <c r="K48" i="105" a="1"/>
  <c r="T126" i="102" a="1"/>
  <c r="T152" i="102" a="1"/>
  <c r="AR132" i="102" a="1"/>
  <c r="AR148" i="102" a="1"/>
  <c r="BH144" i="102" a="1"/>
  <c r="K18" i="105" a="1"/>
  <c r="AZ99" i="102" a="1"/>
  <c r="AR220" i="102" a="1"/>
  <c r="AB195" i="102" a="1"/>
  <c r="AJ224" i="102" a="1"/>
  <c r="BX228" i="102" a="1"/>
  <c r="T120" i="102" a="1"/>
  <c r="AJ107" i="102" a="1"/>
  <c r="AB106" i="102" a="1"/>
  <c r="AB148" i="102" a="1"/>
  <c r="AA17" i="60" a="1"/>
  <c r="AR141" i="102" a="1"/>
  <c r="AB174" i="102" a="1"/>
  <c r="AZ178" i="102" a="1"/>
  <c r="AB210" i="102" a="1"/>
  <c r="AA41" i="60" a="1"/>
  <c r="AB116" i="102" a="1"/>
  <c r="AJ114" i="102" a="1"/>
  <c r="L179" i="102" a="1"/>
  <c r="AR111" i="102" a="1"/>
  <c r="CN147" i="102" a="1"/>
  <c r="CF198" i="102" a="1"/>
  <c r="BH196" i="102" a="1"/>
  <c r="BP193" i="102" a="1"/>
  <c r="CF196" i="102" a="1"/>
  <c r="BX185" i="102" a="1"/>
  <c r="AB124" i="102" a="1"/>
  <c r="BH231" i="102" a="1"/>
  <c r="BH129" i="102" a="1"/>
  <c r="CF199" i="102" a="1"/>
  <c r="BP227" i="102" a="1"/>
  <c r="BX94" i="102" a="1"/>
  <c r="CN140" i="102" a="1"/>
  <c r="BP178" i="102" a="1"/>
  <c r="BP182" i="102" a="1"/>
  <c r="AZ121" i="102" a="1"/>
  <c r="CF112" i="102" a="1"/>
  <c r="BH135" i="102" a="1"/>
  <c r="P84" i="103" a="1"/>
  <c r="V42" i="103" a="1"/>
  <c r="X62" i="103" a="1"/>
  <c r="P29" i="103" a="1"/>
  <c r="P6" i="103" a="1"/>
  <c r="W11" i="103" a="1"/>
  <c r="AA27" i="60" a="1"/>
  <c r="V9" i="103" a="1"/>
  <c r="X21" i="103" a="1"/>
  <c r="U25" i="103" a="1"/>
  <c r="W35" i="103" a="1"/>
  <c r="AB102" i="102" a="1"/>
  <c r="L189" i="102" a="1"/>
  <c r="R83" i="103" a="1"/>
  <c r="Q49" i="103" a="1"/>
  <c r="V21" i="103" a="1"/>
  <c r="R50" i="103" a="1"/>
  <c r="V27" i="103" a="1"/>
  <c r="AZ100" i="102" a="1"/>
  <c r="U26" i="103" a="1"/>
  <c r="W45" i="103" a="1"/>
  <c r="X60" i="103" a="1"/>
  <c r="Q60" i="103" a="1"/>
  <c r="L213" i="102" a="1"/>
  <c r="AZ93" i="102" a="1"/>
  <c r="W77" i="103" a="1"/>
  <c r="S25" i="103" a="1"/>
  <c r="X35" i="103" a="1"/>
  <c r="Q30" i="103" a="1"/>
  <c r="R26" i="103" a="1"/>
  <c r="AR96" i="102" a="1"/>
  <c r="AZ131" i="102" a="1"/>
  <c r="L128" i="102" a="1"/>
  <c r="Q46" i="103" a="1"/>
  <c r="V23" i="103" a="1"/>
  <c r="U32" i="103" a="1"/>
  <c r="V57" i="103" a="1"/>
  <c r="S43" i="103" a="1"/>
  <c r="AA30" i="60" a="1"/>
  <c r="T221" i="102" a="1"/>
  <c r="L137" i="102" a="1"/>
  <c r="AR109" i="102" a="1"/>
  <c r="AJ220" i="102" a="1"/>
  <c r="K67" i="105" a="1"/>
  <c r="T144" i="102" a="1"/>
  <c r="AB225" i="102" a="1"/>
  <c r="AR185" i="102" a="1"/>
  <c r="AA36" i="60" a="1"/>
  <c r="T148" i="102" a="1"/>
  <c r="T179" i="102" a="1"/>
  <c r="AZ185" i="102" a="1"/>
  <c r="BH202" i="102" a="1"/>
  <c r="K45" i="105" a="1"/>
  <c r="T212" i="102" a="1"/>
  <c r="T199" i="102" a="1"/>
  <c r="AR176" i="102" a="1"/>
  <c r="AR192" i="102" a="1"/>
  <c r="BP157" i="102" a="1"/>
  <c r="K70" i="105" a="1"/>
  <c r="L145" i="102" a="1"/>
  <c r="AZ138" i="102" a="1"/>
  <c r="AJ162" i="102" a="1"/>
  <c r="AR187" i="102" a="1"/>
  <c r="K63" i="105" a="1"/>
  <c r="AB99" i="102" a="1"/>
  <c r="AZ224" i="102" a="1"/>
  <c r="AJ130" i="102" a="1"/>
  <c r="AR168" i="102" a="1"/>
  <c r="AA47" i="60" a="1"/>
  <c r="AR153" i="102" a="1"/>
  <c r="AB170" i="102" a="1"/>
  <c r="AZ122" i="102" a="1"/>
  <c r="AB188" i="102" a="1"/>
  <c r="AA8" i="60" a="1"/>
  <c r="AB158" i="102" a="1"/>
  <c r="AJ138" i="102" a="1"/>
  <c r="T168" i="102" a="1"/>
  <c r="AR214" i="102" a="1"/>
  <c r="BP104" i="102" a="1"/>
  <c r="CN131" i="102" a="1"/>
  <c r="BX223" i="102" a="1"/>
  <c r="BP189" i="102" a="1"/>
  <c r="BH167" i="102" a="1"/>
  <c r="CF114" i="102" a="1"/>
  <c r="AR197" i="102" a="1"/>
  <c r="BP204" i="102" a="1"/>
  <c r="BX98" i="102" a="1"/>
  <c r="BH154" i="102" a="1"/>
  <c r="BX102" i="102" a="1"/>
  <c r="CF174" i="102" a="1"/>
  <c r="BH198" i="102" a="1"/>
  <c r="BP174" i="102" a="1"/>
  <c r="BX200" i="102" a="1"/>
  <c r="BH203" i="102" a="1"/>
  <c r="BH107" i="102" a="1"/>
  <c r="BX174" i="102" a="1"/>
  <c r="R49" i="103" a="1"/>
  <c r="V75" i="103" a="1"/>
  <c r="S8" i="103" a="1"/>
  <c r="U54" i="103" a="1"/>
  <c r="S74" i="103" a="1"/>
  <c r="T160" i="102" a="1"/>
  <c r="V33" i="103" a="1"/>
  <c r="T58" i="103" a="1"/>
  <c r="R48" i="103" a="1"/>
  <c r="P16" i="103" a="1"/>
  <c r="W64" i="103" a="1"/>
  <c r="AZ196" i="102" a="1"/>
  <c r="T117" i="102" a="1"/>
  <c r="W61" i="103" a="1"/>
  <c r="S79" i="103" a="1"/>
  <c r="L100" i="102" a="1"/>
  <c r="R42" i="103" a="1"/>
  <c r="AB126" i="102" a="1"/>
  <c r="AZ229" i="102" a="1"/>
  <c r="AA53" i="60" a="1"/>
  <c r="T77" i="103" a="1"/>
  <c r="S81" i="103" a="1"/>
  <c r="U50" i="103" a="1"/>
  <c r="AB201" i="102" a="1"/>
  <c r="W18" i="103" a="1"/>
  <c r="R38" i="103" a="1"/>
  <c r="W15" i="103" a="1"/>
  <c r="V55" i="103" a="1"/>
  <c r="U20" i="103" a="1"/>
  <c r="T66" i="103" a="1"/>
  <c r="AR120" i="102" a="1"/>
  <c r="X52" i="103" a="1"/>
  <c r="S46" i="103" a="1"/>
  <c r="U36" i="103" a="1"/>
  <c r="X65" i="103" a="1"/>
  <c r="U37" i="103" a="1"/>
  <c r="L158" i="102" a="1"/>
  <c r="L197" i="102" a="1"/>
  <c r="L98" i="102" a="1"/>
  <c r="U34" i="103" a="1"/>
  <c r="X83" i="103" a="1"/>
  <c r="X7" i="103" a="1"/>
  <c r="L101" i="102" a="1"/>
  <c r="V72" i="103" a="1"/>
  <c r="L190" i="102" a="1"/>
  <c r="Q33" i="103" a="1"/>
  <c r="R51" i="103" a="1"/>
  <c r="P13" i="103" a="1"/>
  <c r="V76" i="103" a="1"/>
  <c r="T190" i="102" a="1"/>
  <c r="AR121" i="102" a="1"/>
  <c r="R15" i="103" a="1"/>
  <c r="AB8" i="102" a="1"/>
  <c r="BX180" i="102" a="1"/>
  <c r="CN167" i="102" a="1"/>
  <c r="AB57" i="102" a="1"/>
  <c r="CN109" i="102" a="1"/>
  <c r="BP59" i="102" a="1"/>
  <c r="AJ105" i="102" a="1"/>
  <c r="AR167" i="102" a="1"/>
  <c r="CN204" i="102" a="1"/>
  <c r="BX147" i="102" a="1"/>
  <c r="CN168" i="102" a="1"/>
  <c r="AA32" i="60" a="1"/>
  <c r="T188" i="102" a="1"/>
  <c r="L192" i="102" a="1"/>
  <c r="AZ120" i="102" a="1"/>
  <c r="AR125" i="102" a="1"/>
  <c r="K77" i="105" a="1"/>
  <c r="T127" i="102" a="1"/>
  <c r="AR146" i="102" a="1"/>
  <c r="AZ105" i="102" a="1"/>
  <c r="AA34" i="60" a="1"/>
  <c r="T208" i="102" a="1"/>
  <c r="AB196" i="102" a="1"/>
  <c r="L147" i="102" a="1"/>
  <c r="BX144" i="102" a="1"/>
  <c r="AA28" i="60" a="1"/>
  <c r="T163" i="102" a="1"/>
  <c r="T102" i="102" a="1"/>
  <c r="AZ134" i="102" a="1"/>
  <c r="BH145" i="102" a="1"/>
  <c r="BP153" i="102" a="1"/>
  <c r="K71" i="105" a="1"/>
  <c r="L199" i="102" a="1"/>
  <c r="L142" i="102" a="1"/>
  <c r="AR171" i="102" a="1"/>
  <c r="AZ150" i="102" a="1"/>
  <c r="K72" i="105" a="1"/>
  <c r="AJ168" i="102" a="1"/>
  <c r="L166" i="102" a="1"/>
  <c r="AJ187" i="102" a="1"/>
  <c r="AR211" i="102" a="1"/>
  <c r="AA13" i="60" a="1"/>
  <c r="AZ162" i="102" a="1"/>
  <c r="AJ175" i="102" a="1"/>
  <c r="L95" i="102" a="1"/>
  <c r="AR158" i="102" a="1"/>
  <c r="AA6" i="60" a="1"/>
  <c r="AB154" i="102" a="1"/>
  <c r="AR116" i="102" a="1"/>
  <c r="AB100" i="102" a="1"/>
  <c r="BH151" i="102" a="1"/>
  <c r="BP151" i="102" a="1"/>
  <c r="BP186" i="102" a="1"/>
  <c r="CN214" i="102" a="1"/>
  <c r="BX150" i="102" a="1"/>
  <c r="CF163" i="102" a="1"/>
  <c r="CF231" i="102" a="1"/>
  <c r="AR227" i="102" a="1"/>
  <c r="BX129" i="102" a="1"/>
  <c r="BX188" i="102" a="1"/>
  <c r="BP127" i="102" a="1"/>
  <c r="CF218" i="102" a="1"/>
  <c r="CF170" i="102" a="1"/>
  <c r="BP219" i="102" a="1"/>
  <c r="BX99" i="102" a="1"/>
  <c r="CF116" i="102" a="1"/>
  <c r="BH138" i="102" a="1"/>
  <c r="BH157" i="102" a="1"/>
  <c r="CN153" i="102" a="1"/>
  <c r="V39" i="103" a="1"/>
  <c r="X27" i="103" a="1"/>
  <c r="U55" i="103" a="1"/>
  <c r="P45" i="103" a="1"/>
  <c r="U49" i="103" a="1"/>
  <c r="T143" i="102" a="1"/>
  <c r="T22" i="103" a="1"/>
  <c r="V83" i="103" a="1"/>
  <c r="T80" i="103" a="1"/>
  <c r="T62" i="103" a="1"/>
  <c r="S10" i="103" a="1"/>
  <c r="S61" i="103" a="1"/>
  <c r="AA14" i="60" a="1"/>
  <c r="V11" i="103" a="1"/>
  <c r="P41" i="103" a="1"/>
  <c r="T64" i="103" a="1"/>
  <c r="U21" i="103" a="1"/>
  <c r="AB166" i="102" a="1"/>
  <c r="AZ173" i="102" a="1"/>
  <c r="AA37" i="60" a="1"/>
  <c r="Q42" i="103" a="1"/>
  <c r="U44" i="103" a="1"/>
  <c r="Q80" i="103" a="1"/>
  <c r="AJ145" i="102" a="1"/>
  <c r="X64" i="103" a="1"/>
  <c r="P27" i="103" a="1"/>
  <c r="R58" i="103" a="1"/>
  <c r="P83" i="103" a="1"/>
  <c r="R63" i="103" a="1"/>
  <c r="T16" i="103" a="1"/>
  <c r="AZ101" i="102" a="1"/>
  <c r="AJ228" i="102" a="1"/>
  <c r="Q35" i="103" a="1"/>
  <c r="Q73" i="103" a="1"/>
  <c r="U82" i="103" a="1"/>
  <c r="U29" i="103" a="1"/>
  <c r="L196" i="102" a="1"/>
  <c r="T169" i="102" a="1"/>
  <c r="L155" i="102" a="1"/>
  <c r="S18" i="103" a="1"/>
  <c r="V50" i="103" a="1"/>
  <c r="P44" i="103" a="1"/>
  <c r="AR202" i="102" a="1"/>
  <c r="Q29" i="103" a="1"/>
  <c r="AB182" i="102" a="1"/>
  <c r="R71" i="103" a="1"/>
  <c r="P68" i="103" a="1"/>
  <c r="AA29" i="60" a="1"/>
  <c r="AJ122" i="102" a="1"/>
  <c r="L184" i="102" a="1"/>
  <c r="L121" i="102" a="1"/>
  <c r="AR137" i="102" a="1"/>
  <c r="AA15" i="60" a="1"/>
  <c r="AB127" i="102" a="1"/>
  <c r="AR165" i="102" a="1"/>
  <c r="L173" i="102" a="1"/>
  <c r="AA22" i="60" a="1"/>
  <c r="T191" i="102" a="1"/>
  <c r="AR229" i="102" a="1"/>
  <c r="T184" i="102" a="1"/>
  <c r="BX140" i="102" a="1"/>
  <c r="AA18" i="60" a="1"/>
  <c r="AB128" i="102" a="1"/>
  <c r="AB119" i="102" a="1"/>
  <c r="L165" i="102" a="1"/>
  <c r="BX114" i="102" a="1"/>
  <c r="BX194" i="102" a="1"/>
  <c r="K68" i="105" a="1"/>
  <c r="T227" i="102" a="1"/>
  <c r="L180" i="102" a="1"/>
  <c r="AZ148" i="102" a="1"/>
  <c r="AZ163" i="102" a="1"/>
  <c r="K53" i="105" a="1"/>
  <c r="AJ201" i="102" a="1"/>
  <c r="L205" i="102" a="1"/>
  <c r="AR114" i="102" a="1"/>
  <c r="AZ125" i="102" a="1"/>
  <c r="AA25" i="60" a="1"/>
  <c r="AZ152" i="102" a="1"/>
  <c r="AR193" i="102" a="1"/>
  <c r="L168" i="102" a="1"/>
  <c r="AR200" i="102" a="1"/>
  <c r="AA52" i="60" a="1"/>
  <c r="AJ159" i="102" a="1"/>
  <c r="AR160" i="102" a="1"/>
  <c r="AJ101" i="102" a="1"/>
  <c r="BP124" i="102" a="1"/>
  <c r="BP147" i="102" a="1"/>
  <c r="BP198" i="102" a="1"/>
  <c r="BH116" i="102" a="1"/>
  <c r="BP98" i="102" a="1"/>
  <c r="BP217" i="102" a="1"/>
  <c r="AZ140" i="102" a="1"/>
  <c r="AZ213" i="102" a="1"/>
  <c r="CF109" i="102" a="1"/>
  <c r="AZ201" i="102" a="1"/>
  <c r="BX226" i="102" a="1"/>
  <c r="CN100" i="102" a="1"/>
  <c r="AZ191" i="102" a="1"/>
  <c r="CF190" i="102" a="1"/>
  <c r="BX95" i="102" a="1"/>
  <c r="CF161" i="102" a="1"/>
  <c r="BP123" i="102" a="1"/>
  <c r="BH185" i="102" a="1"/>
  <c r="BH112" i="102" a="1"/>
  <c r="X74" i="103" a="1"/>
  <c r="U41" i="103" a="1"/>
  <c r="P46" i="103" a="1"/>
  <c r="L222" i="102" a="1"/>
  <c r="T10" i="103" a="1"/>
  <c r="AJ202" i="102" a="1"/>
  <c r="Q66" i="103" a="1"/>
  <c r="W70" i="103" a="1"/>
  <c r="X42" i="103" a="1"/>
  <c r="W7" i="103" a="1"/>
  <c r="Q59" i="103" a="1"/>
  <c r="S53" i="103" a="1"/>
  <c r="AA50" i="60" a="1"/>
  <c r="W53" i="103" a="1"/>
  <c r="X43" i="103" a="1"/>
  <c r="S11" i="103" a="1"/>
  <c r="V54" i="103" a="1"/>
  <c r="AJ199" i="102" a="1"/>
  <c r="X70" i="103" a="1"/>
  <c r="AA35" i="60" a="1"/>
  <c r="X58" i="103" a="1"/>
  <c r="X34" i="103" a="1"/>
  <c r="U59" i="103" a="1"/>
  <c r="AZ190" i="102" a="1"/>
  <c r="T48" i="103" a="1"/>
  <c r="V68" i="103" a="1"/>
  <c r="Q62" i="103" a="1"/>
  <c r="T47" i="103" a="1"/>
  <c r="T75" i="103" a="1"/>
  <c r="L207" i="102" a="1"/>
  <c r="AZ142" i="102" a="1"/>
  <c r="AJ208" i="102" a="1"/>
  <c r="S72" i="103" a="1"/>
  <c r="S28" i="103" a="1"/>
  <c r="P51" i="103" a="1"/>
  <c r="AA19" i="60" a="1"/>
  <c r="AJ223" i="102" a="1"/>
  <c r="T141" i="102" a="1"/>
  <c r="AB162" i="102" a="1"/>
  <c r="BH215" i="102" a="1"/>
  <c r="AA9" i="60" a="1"/>
  <c r="AB145" i="102" a="1"/>
  <c r="AR191" i="102" a="1"/>
  <c r="T125" i="102" a="1"/>
  <c r="AA4" i="60" a="1"/>
  <c r="AB114" i="102" a="1"/>
  <c r="L163" i="102" a="1"/>
  <c r="AB224" i="102" a="1"/>
  <c r="K46" i="105" a="1"/>
  <c r="L164" i="102" a="1"/>
  <c r="AB180" i="102" a="1"/>
  <c r="AB220" i="102" a="1"/>
  <c r="AJ180" i="102" a="1"/>
  <c r="BX164" i="102" a="1"/>
  <c r="CF148" i="102" a="1"/>
  <c r="K22" i="105" a="1"/>
  <c r="AB204" i="102" a="1"/>
  <c r="L188" i="102" a="1"/>
  <c r="AZ147" i="102" a="1"/>
  <c r="L119" i="102" a="1"/>
  <c r="K34" i="105" a="1"/>
  <c r="AR178" i="102" a="1"/>
  <c r="T98" i="102" a="1"/>
  <c r="AR174" i="102" a="1"/>
  <c r="L139" i="102" a="1"/>
  <c r="T153" i="102" a="1"/>
  <c r="AZ195" i="102" a="1"/>
  <c r="AR221" i="102" a="1"/>
  <c r="L182" i="102" a="1"/>
  <c r="AR150" i="102" a="1"/>
  <c r="AA5" i="60" a="1"/>
  <c r="AR222" i="102" a="1"/>
  <c r="L187" i="102" a="1"/>
  <c r="AJ134" i="102" a="1"/>
  <c r="BX190" i="102" a="1"/>
  <c r="BX109" i="102" a="1"/>
  <c r="BX216" i="102" a="1"/>
  <c r="BH224" i="102" a="1"/>
  <c r="BP95" i="102" a="1"/>
  <c r="CF117" i="102" a="1"/>
  <c r="BH174" i="102" a="1"/>
  <c r="BH164" i="102" a="1"/>
  <c r="CF203" i="102" a="1"/>
  <c r="BP139" i="102" a="1"/>
  <c r="BX193" i="102" a="1"/>
  <c r="CN104" i="102" a="1"/>
  <c r="BH156" i="102" a="1"/>
  <c r="CF186" i="102" a="1"/>
  <c r="CN178" i="102" a="1"/>
  <c r="CN122" i="102" a="1"/>
  <c r="BP111" i="102" a="1"/>
  <c r="BP105" i="102" a="1"/>
  <c r="BP130" i="102" a="1"/>
  <c r="T31" i="103" a="1"/>
  <c r="W28" i="103" a="1"/>
  <c r="U77" i="103" a="1"/>
  <c r="AJ94" i="102" a="1"/>
  <c r="Q56" i="103" a="1"/>
  <c r="AZ108" i="102" a="1"/>
  <c r="S14" i="103" a="1"/>
  <c r="S57" i="103" a="1"/>
  <c r="S33" i="103" a="1"/>
  <c r="Q20" i="103" a="1"/>
  <c r="T114" i="102" a="1"/>
  <c r="V32" i="103" a="1"/>
  <c r="T19" i="103" a="1"/>
  <c r="R44" i="103" a="1"/>
  <c r="P70" i="103" a="1"/>
  <c r="U58" i="103" a="1"/>
  <c r="V80" i="103" a="1"/>
  <c r="Q47" i="103" a="1"/>
  <c r="S24" i="103" a="1"/>
  <c r="AC67" i="69" a="1"/>
  <c r="W47" i="103" a="1"/>
  <c r="R72" i="103" a="1"/>
  <c r="L231" i="102" a="1"/>
  <c r="P36" i="103" a="1"/>
  <c r="P71" i="103" a="1"/>
  <c r="T20" i="103" a="1"/>
  <c r="V14" i="103" a="1"/>
  <c r="X37" i="103" a="1"/>
  <c r="W51" i="103" a="1"/>
  <c r="T133" i="102" a="1"/>
  <c r="V67" i="103" a="1"/>
  <c r="T116" i="102" a="1"/>
  <c r="X26" i="103" a="1"/>
  <c r="U83" i="103" a="1"/>
  <c r="X39" i="103" a="1"/>
  <c r="P42" i="103" a="1"/>
  <c r="T197" i="102" a="1"/>
  <c r="AZ206" i="102" a="1"/>
  <c r="AT67" i="69" a="1"/>
  <c r="P10" i="103" a="1"/>
  <c r="W74" i="103" a="1"/>
  <c r="P21" i="103" a="1"/>
  <c r="P80" i="103" a="1"/>
  <c r="AJ225" i="102" a="1"/>
  <c r="AR108" i="102" a="1"/>
  <c r="X17" i="103" a="1"/>
  <c r="Q8" i="103" a="1"/>
  <c r="U53" i="103" a="1"/>
  <c r="Q37" i="103" a="1"/>
  <c r="AZ133" i="102" a="1"/>
  <c r="S26" i="103" a="1"/>
  <c r="L195" i="102" a="1"/>
  <c r="BP199" i="102" a="1"/>
  <c r="L26" i="102" a="1"/>
  <c r="T82" i="102" a="1"/>
  <c r="BP218" i="102" a="1"/>
  <c r="AB60" i="102" a="1"/>
  <c r="AR55" i="102" a="1"/>
  <c r="T202" i="102" a="1"/>
  <c r="W81" i="103" a="1"/>
  <c r="AJ66" i="102" a="1"/>
  <c r="CF201" i="102" a="1"/>
  <c r="L77" i="102" a="1"/>
  <c r="BX134" i="102" a="1"/>
  <c r="CF127" i="102" a="1"/>
  <c r="AJ38" i="102" a="1"/>
  <c r="AJ221" i="102" a="1"/>
  <c r="AZ187" i="102" a="1"/>
  <c r="CN138" i="102" a="1"/>
  <c r="AA44" i="60" a="1"/>
  <c r="AR117" i="102" a="1"/>
  <c r="AB173" i="102" a="1"/>
  <c r="AB189" i="102" a="1"/>
  <c r="BH223" i="102" a="1"/>
  <c r="AA24" i="60" a="1"/>
  <c r="AJ186" i="102" a="1"/>
  <c r="L181" i="102" a="1"/>
  <c r="AB95" i="102" a="1"/>
  <c r="AA39" i="60" a="1"/>
  <c r="AB209" i="102" a="1"/>
  <c r="AB152" i="102" a="1"/>
  <c r="AJ152" i="102" a="1"/>
  <c r="K76" i="105" a="1"/>
  <c r="L175" i="102" a="1"/>
  <c r="AR213" i="102" a="1"/>
  <c r="AR194" i="102" a="1"/>
  <c r="AJ160" i="102" a="1"/>
  <c r="BX204" i="102" a="1"/>
  <c r="BP181" i="102" a="1"/>
  <c r="AA40" i="60" a="1"/>
  <c r="AR216" i="102" a="1"/>
  <c r="T155" i="102" a="1"/>
  <c r="T109" i="102" a="1"/>
  <c r="T192" i="102" a="1"/>
  <c r="K33" i="105" a="1"/>
  <c r="AR138" i="102" a="1"/>
  <c r="AB229" i="102" a="1"/>
  <c r="AR157" i="102" a="1"/>
  <c r="L177" i="102" a="1"/>
  <c r="AB163" i="102" a="1"/>
  <c r="L102" i="102" a="1"/>
  <c r="L111" i="102" a="1"/>
  <c r="T135" i="102" a="1"/>
  <c r="BH95" i="102" a="1"/>
  <c r="L130" i="102" a="1"/>
  <c r="AZ216" i="102" a="1"/>
  <c r="T142" i="102" a="1"/>
  <c r="AR188" i="102" a="1"/>
  <c r="CF123" i="102" a="1"/>
  <c r="CF138" i="102" a="1"/>
  <c r="CF101" i="102" a="1"/>
  <c r="BP112" i="102" a="1"/>
  <c r="BX205" i="102" a="1"/>
  <c r="CF216" i="102" a="1"/>
  <c r="BX124" i="102" a="1"/>
  <c r="BH172" i="102" a="1"/>
  <c r="BH131" i="102" a="1"/>
  <c r="BP115" i="102" a="1"/>
  <c r="CF150" i="102" a="1"/>
  <c r="CN183" i="102" a="1"/>
  <c r="BP100" i="102" a="1"/>
  <c r="AZ95" i="102" a="1"/>
  <c r="BH96" i="102" a="1"/>
  <c r="L157" i="102" a="1"/>
  <c r="BX141" i="102" a="1"/>
  <c r="AZ175" i="102" a="1"/>
  <c r="BP121" i="102" a="1"/>
  <c r="X13" i="103" a="1"/>
  <c r="V69" i="103" a="1"/>
  <c r="W37" i="103" a="1"/>
  <c r="AJ183" i="102" a="1"/>
  <c r="AJ212" i="102" a="1"/>
  <c r="V22" i="103" a="1"/>
  <c r="T8" i="103" a="1"/>
  <c r="R46" i="103" a="1"/>
  <c r="S71" i="103" a="1"/>
  <c r="W73" i="103" a="1"/>
  <c r="AR210" i="102" a="1"/>
  <c r="P63" i="103" a="1"/>
  <c r="R8" i="103" a="1"/>
  <c r="U76" i="103" a="1"/>
  <c r="S73" i="103" a="1"/>
  <c r="P49" i="103" a="1"/>
  <c r="X44" i="103" a="1"/>
  <c r="Q39" i="103" a="1"/>
  <c r="T181" i="102" a="1"/>
  <c r="AA11" i="60" a="1"/>
  <c r="U78" i="103" a="1"/>
  <c r="W26" i="103" a="1"/>
  <c r="U52" i="103" a="1"/>
  <c r="P28" i="103" a="1"/>
  <c r="P23" i="103" a="1"/>
  <c r="Q63" i="103" a="1"/>
  <c r="S60" i="103" a="1"/>
  <c r="X73" i="103" a="1"/>
  <c r="W43" i="103" a="1"/>
  <c r="T183" i="102" a="1"/>
  <c r="V18" i="103" a="1"/>
  <c r="AB177" i="102" a="1"/>
  <c r="S17" i="103" a="1"/>
  <c r="P37" i="103" a="1"/>
  <c r="P75" i="103" a="1"/>
  <c r="T74" i="103" a="1"/>
  <c r="T106" i="102" a="1"/>
  <c r="AZ202" i="102" a="1"/>
  <c r="U63" i="103" a="1"/>
  <c r="L143" i="102" a="1"/>
  <c r="AR100" i="102" a="1"/>
  <c r="AB169" i="102" a="1"/>
  <c r="AB185" i="102" a="1"/>
  <c r="BX113" i="102" a="1"/>
  <c r="AA31" i="60" a="1"/>
  <c r="AR161" i="102" a="1"/>
  <c r="AB144" i="102" a="1"/>
  <c r="AB160" i="102" a="1"/>
  <c r="L228" i="102" a="1"/>
  <c r="AR228" i="102" a="1"/>
  <c r="AJ205" i="102" a="1"/>
  <c r="AJ116" i="102" a="1"/>
  <c r="K65" i="105" a="1"/>
  <c r="L105" i="102" a="1"/>
  <c r="AZ157" i="102" a="1"/>
  <c r="AR182" i="102" a="1"/>
  <c r="AR123" i="102" a="1"/>
  <c r="CN123" i="102" a="1"/>
  <c r="BX158" i="102" a="1"/>
  <c r="AA23" i="60" a="1"/>
  <c r="AZ117" i="102" a="1"/>
  <c r="T122" i="102" a="1"/>
  <c r="T176" i="102" a="1"/>
  <c r="T175" i="102" a="1"/>
  <c r="K31" i="105" a="1"/>
  <c r="AZ107" i="102" a="1"/>
  <c r="AB221" i="102" a="1"/>
  <c r="AZ168" i="102" a="1"/>
  <c r="T137" i="102" a="1"/>
  <c r="AJ196" i="102" a="1"/>
  <c r="T136" i="102" a="1"/>
  <c r="L149" i="102" a="1"/>
  <c r="AB133" i="102" a="1"/>
  <c r="BP149" i="102" a="1"/>
  <c r="L225" i="102" a="1"/>
  <c r="L115" i="102" a="1"/>
  <c r="AB109" i="102" a="1"/>
  <c r="AZ166" i="102" a="1"/>
  <c r="CF147" i="102" a="1"/>
  <c r="CN114" i="102" a="1"/>
  <c r="AZ223" i="102" a="1"/>
  <c r="BX104" i="102" a="1"/>
  <c r="BH152" i="102" a="1"/>
  <c r="CF220" i="102" a="1"/>
  <c r="CF182" i="102" a="1"/>
  <c r="BX151" i="102" a="1"/>
  <c r="BP164" i="102" a="1"/>
  <c r="BX201" i="102" a="1"/>
  <c r="BP224" i="102" a="1"/>
  <c r="AZ127" i="102" a="1"/>
  <c r="BX179" i="102" a="1"/>
  <c r="BH226" i="102" a="1"/>
  <c r="BP113" i="102" a="1"/>
  <c r="T174" i="102" a="1"/>
  <c r="BX177" i="102" a="1"/>
  <c r="BH133" i="102" a="1"/>
  <c r="CF225" i="102" a="1"/>
  <c r="V8" i="103" a="1"/>
  <c r="R22" i="103" a="1"/>
  <c r="V29" i="103" a="1"/>
  <c r="W65" i="103" a="1"/>
  <c r="AJ192" i="102" a="1"/>
  <c r="W52" i="103" a="1"/>
  <c r="Q36" i="103" a="1"/>
  <c r="V77" i="103" a="1"/>
  <c r="Q25" i="103" a="1"/>
  <c r="S35" i="103" a="1"/>
  <c r="AR164" i="102" a="1"/>
  <c r="R7" i="103" a="1"/>
  <c r="T55" i="103" a="1"/>
  <c r="Q31" i="103" a="1"/>
  <c r="V28" i="103" a="1"/>
  <c r="R79" i="103" a="1"/>
  <c r="L103" i="102" a="1"/>
  <c r="T18" i="103" a="1"/>
  <c r="AB208" i="102" a="1"/>
  <c r="X84" i="103" a="1"/>
  <c r="U39" i="103" a="1"/>
  <c r="S77" i="103" a="1"/>
  <c r="R81" i="103" a="1"/>
  <c r="S7" i="103" a="1"/>
  <c r="T13" i="103" a="1"/>
  <c r="U60" i="103" a="1"/>
  <c r="W50" i="103" a="1"/>
  <c r="V13" i="103" a="1"/>
  <c r="R23" i="103" a="1"/>
  <c r="AB103" i="102" a="1"/>
  <c r="V10" i="103" a="1"/>
  <c r="AA49" i="60" a="1"/>
  <c r="T61" i="103" a="1"/>
  <c r="Q67" i="103" a="1"/>
  <c r="V31" i="103" a="1"/>
  <c r="R32" i="103" a="1"/>
  <c r="AB123" i="102" a="1"/>
  <c r="W59" i="103" a="1"/>
  <c r="W9" i="103" a="1"/>
  <c r="Q81" i="103" a="1"/>
  <c r="P40" i="103" a="1"/>
  <c r="V58" i="103" a="1"/>
  <c r="X25" i="103" a="1"/>
  <c r="AZ214" i="102" a="1"/>
  <c r="AB149" i="102" a="1"/>
  <c r="X53" i="103" a="1"/>
  <c r="W82" i="103" a="1"/>
  <c r="V46" i="103" a="1"/>
  <c r="X77" i="103" a="1"/>
  <c r="R12" i="103" a="1"/>
  <c r="S83" i="103" a="1"/>
  <c r="T187" i="102" a="1"/>
  <c r="CF108" i="102" a="1"/>
  <c r="AB58" i="102" a="1"/>
  <c r="AJ74" i="102" a="1"/>
  <c r="CF104" i="102" a="1"/>
  <c r="BP170" i="102" a="1"/>
  <c r="AZ42" i="102" a="1"/>
  <c r="AZ184" i="102" a="1"/>
  <c r="W33" i="103" a="1"/>
  <c r="BH141" i="102" a="1"/>
  <c r="CN134" i="102" a="1"/>
  <c r="T69" i="102" a="1"/>
  <c r="CF172" i="102" a="1"/>
  <c r="L49" i="102" a="1"/>
  <c r="AZ80" i="102" a="1"/>
  <c r="AZ230" i="102" a="1"/>
  <c r="BH190" i="102" a="1"/>
  <c r="T6" i="102" a="1"/>
  <c r="L123" i="102" a="1"/>
  <c r="T213" i="102" a="1"/>
  <c r="AJ149" i="102" a="1"/>
  <c r="AJ165" i="102" a="1"/>
  <c r="BX202" i="102" a="1"/>
  <c r="AA51" i="60" a="1"/>
  <c r="L114" i="102" a="1"/>
  <c r="AJ177" i="102" a="1"/>
  <c r="AJ229" i="102" a="1"/>
  <c r="L169" i="102" a="1"/>
  <c r="AR179" i="102" a="1"/>
  <c r="AJ169" i="102" a="1"/>
  <c r="AR231" i="102" a="1"/>
  <c r="K47" i="105" a="1"/>
  <c r="L221" i="102" a="1"/>
  <c r="L203" i="102" a="1"/>
  <c r="AZ149" i="102" a="1"/>
  <c r="AR186" i="102" a="1"/>
  <c r="BP137" i="102" a="1"/>
  <c r="BX106" i="102" a="1"/>
  <c r="AA42" i="60" a="1"/>
  <c r="L153" i="102" a="1"/>
  <c r="T166" i="102" a="1"/>
  <c r="T159" i="102" a="1"/>
  <c r="AB194" i="102" a="1"/>
  <c r="K49" i="105" a="1"/>
  <c r="AZ130" i="102" a="1"/>
  <c r="AB217" i="102" a="1"/>
  <c r="L193" i="102" a="1"/>
  <c r="AB134" i="102" a="1"/>
  <c r="AJ176" i="102" a="1"/>
  <c r="AJ120" i="102" a="1"/>
  <c r="L198" i="102" a="1"/>
  <c r="AB198" i="102" a="1"/>
  <c r="K78" i="105" a="1"/>
  <c r="T226" i="102" a="1"/>
  <c r="T216" i="102" a="1"/>
  <c r="AJ118" i="102" a="1"/>
  <c r="AZ110" i="102" a="1"/>
  <c r="CN189" i="102" a="1"/>
  <c r="BH222" i="102" a="1"/>
  <c r="BH181" i="102" a="1"/>
  <c r="CF228" i="102" a="1"/>
  <c r="BP128" i="102" a="1"/>
  <c r="BH191" i="102" a="1"/>
  <c r="BH216" i="102" a="1"/>
  <c r="BX195" i="102" a="1"/>
  <c r="BX105" i="102" a="1"/>
  <c r="CF110" i="102" a="1"/>
  <c r="CF213" i="102" a="1"/>
  <c r="BH139" i="102" a="1"/>
  <c r="BX175" i="102" a="1"/>
  <c r="BH161" i="102" a="1"/>
  <c r="CF209" i="102" a="1"/>
  <c r="T218" i="102" a="1"/>
  <c r="BX221" i="102" a="1"/>
  <c r="BX163" i="102" a="1"/>
  <c r="AA48" i="60" a="1"/>
  <c r="P76" i="103" a="1"/>
  <c r="P11" i="103" a="1"/>
  <c r="S51" i="103" a="1"/>
  <c r="P50" i="103" a="1"/>
  <c r="AR155" i="102" a="1"/>
  <c r="AB117" i="102" a="1"/>
  <c r="X19" i="103" a="1"/>
  <c r="P38" i="103" a="1"/>
  <c r="T76" i="103" a="1"/>
  <c r="X79" i="103" a="1"/>
  <c r="AR208" i="102" a="1"/>
  <c r="P56" i="103" a="1"/>
  <c r="X82" i="103" a="1"/>
  <c r="Q43" i="103" a="1"/>
  <c r="Q19" i="103" a="1"/>
  <c r="S56" i="103" a="1"/>
  <c r="T229" i="102" a="1"/>
  <c r="U51" i="103" a="1"/>
  <c r="AJ136" i="102" a="1"/>
  <c r="T52" i="103" a="1"/>
  <c r="P30" i="103" a="1"/>
  <c r="W22" i="103" a="1"/>
  <c r="S44" i="103" a="1"/>
  <c r="T40" i="103" a="1"/>
  <c r="L140" i="102" a="1"/>
  <c r="S49" i="103" a="1"/>
  <c r="R80" i="103" a="1"/>
  <c r="Q54" i="103" a="1"/>
  <c r="R56" i="103" a="1"/>
  <c r="AR166" i="102" a="1"/>
  <c r="Q68" i="103" a="1"/>
  <c r="AA20" i="60" a="1"/>
  <c r="S68" i="103" a="1"/>
  <c r="Q16" i="103" a="1"/>
  <c r="Q22" i="103" a="1"/>
  <c r="L131" i="102" a="1"/>
  <c r="AJ172" i="102" a="1"/>
  <c r="U19" i="103" a="1"/>
  <c r="P57" i="103" a="1"/>
  <c r="Q44" i="103" a="1"/>
  <c r="R27" i="103" a="1"/>
  <c r="W83" i="103" a="1"/>
  <c r="P53" i="103" a="1"/>
  <c r="U45" i="103" a="1"/>
  <c r="AB212" i="102" a="1"/>
  <c r="P82" i="103" a="1"/>
  <c r="P69" i="103" a="1"/>
  <c r="U22" i="103" a="1"/>
  <c r="X55" i="103" a="1"/>
  <c r="X69" i="103" a="1"/>
  <c r="V49" i="103" a="1"/>
  <c r="AJ155" i="102" a="1"/>
  <c r="CN129" i="102" a="1"/>
  <c r="AB49" i="102" a="1"/>
  <c r="AZ111" i="102" a="1"/>
  <c r="CN170" i="102" a="1"/>
  <c r="CN97" i="102" a="1"/>
  <c r="AZ76" i="102" a="1"/>
  <c r="W40" i="103" a="1"/>
  <c r="W57" i="103" a="1"/>
  <c r="BH169" i="102" a="1"/>
  <c r="L47" i="102" a="1"/>
  <c r="AB9" i="102" a="1"/>
  <c r="R35" i="103" a="1"/>
  <c r="R57" i="103" a="1"/>
  <c r="T34" i="103" a="1"/>
  <c r="W42" i="103" a="1"/>
  <c r="V61" i="103" a="1"/>
  <c r="W38" i="103" a="1"/>
  <c r="AJ129" i="102" a="1"/>
  <c r="BH126" i="102" a="1"/>
  <c r="BP215" i="102" a="1"/>
  <c r="AB66" i="102" a="1"/>
  <c r="T48" i="102" a="1"/>
  <c r="AJ213" i="102" a="1"/>
  <c r="AB142" i="102" a="1"/>
  <c r="BH124" i="102" a="1"/>
  <c r="T32" i="102" a="1"/>
  <c r="AB21" i="102" a="1"/>
  <c r="CF124" i="102" a="1"/>
  <c r="R21" i="103" a="1"/>
  <c r="BH118" i="102" a="1"/>
  <c r="BX211" i="102" a="1"/>
  <c r="T14" i="102" a="1"/>
  <c r="L7" i="102" a="1"/>
  <c r="BX97" i="102" a="1"/>
  <c r="L44" i="102" a="1"/>
  <c r="AJ35" i="102" a="1"/>
  <c r="AB216" i="102" a="1"/>
  <c r="AJ216" i="102" a="1"/>
  <c r="CF210" i="102" a="1"/>
  <c r="BX178" i="102" a="1"/>
  <c r="AJ12" i="102" a="1"/>
  <c r="T46" i="102" a="1"/>
  <c r="R9" i="103" a="1"/>
  <c r="AB82" i="102" a="1"/>
  <c r="BP140" i="102" a="1"/>
  <c r="CN222" i="102" a="1"/>
  <c r="L62" i="102" a="1"/>
  <c r="T78" i="102" a="1"/>
  <c r="BP196" i="102" a="1"/>
  <c r="BP33" i="102" a="1"/>
  <c r="Q45" i="103" a="1"/>
  <c r="AB164" i="102" a="1"/>
  <c r="BH115" i="102" a="1"/>
  <c r="BH184" i="102" a="1"/>
  <c r="CF219" i="102" a="1"/>
  <c r="AB83" i="102" a="1"/>
  <c r="BH227" i="102" a="1"/>
  <c r="W54" i="103" a="1"/>
  <c r="AB228" i="102" a="1"/>
  <c r="T62" i="102" a="1"/>
  <c r="BH195" i="102" a="1"/>
  <c r="BX112" i="102" a="1"/>
  <c r="BX115" i="102" a="1"/>
  <c r="T9" i="102" a="1"/>
  <c r="BX38" i="102" a="1"/>
  <c r="AB105" i="102" a="1"/>
  <c r="L108" i="102" a="1"/>
  <c r="BH105" i="102" a="1"/>
  <c r="L16" i="102" a="1"/>
  <c r="BP171" i="102" a="1"/>
  <c r="AB34" i="102" a="1"/>
  <c r="BX21" i="102" a="1"/>
  <c r="AR84" i="102" a="1"/>
  <c r="BH14" i="102" a="1"/>
  <c r="BH65" i="102" a="1"/>
  <c r="AZ47" i="102" a="1"/>
  <c r="F45" i="104"/>
  <c r="BX19" i="102" a="1"/>
  <c r="AB61" i="102" a="1"/>
  <c r="P9" i="103" a="1"/>
  <c r="T39" i="103" a="1"/>
  <c r="Q84" i="103" a="1"/>
  <c r="S66" i="103" a="1"/>
  <c r="S16" i="103" a="1"/>
  <c r="R29" i="103" a="1"/>
  <c r="AZ182" i="102" a="1"/>
  <c r="BP96" i="102" a="1"/>
  <c r="BP211" i="102" a="1"/>
  <c r="AJ6" i="102" a="1"/>
  <c r="AB41" i="102" a="1"/>
  <c r="AJ141" i="102" a="1"/>
  <c r="AR189" i="102" a="1"/>
  <c r="BP222" i="102" a="1"/>
  <c r="BH140" i="102" a="1"/>
  <c r="AB24" i="102" a="1"/>
  <c r="CN133" i="102" a="1"/>
  <c r="T97" i="102" a="1"/>
  <c r="BP194" i="102" a="1"/>
  <c r="BX207" i="102" a="1"/>
  <c r="T64" i="102" a="1"/>
  <c r="T12" i="102" a="1"/>
  <c r="CF195" i="102" a="1"/>
  <c r="T59" i="102" a="1"/>
  <c r="AR73" i="102" a="1"/>
  <c r="AJ200" i="102" a="1"/>
  <c r="AR106" i="102" a="1"/>
  <c r="CF157" i="102" a="1"/>
  <c r="BX219" i="102" a="1"/>
  <c r="BH119" i="102" a="1"/>
  <c r="AB19" i="102" a="1"/>
  <c r="V59" i="103" a="1"/>
  <c r="AB73" i="102" a="1"/>
  <c r="BX206" i="102" a="1"/>
  <c r="L34" i="102" a="1"/>
  <c r="T27" i="102" a="1"/>
  <c r="AB39" i="102" a="1"/>
  <c r="BX137" i="102" a="1"/>
  <c r="BX43" i="102" a="1"/>
  <c r="U35" i="103" a="1"/>
  <c r="AR223" i="102" a="1"/>
  <c r="CN149" i="102" a="1"/>
  <c r="BP160" i="102" a="1"/>
  <c r="CF102" i="102" a="1"/>
  <c r="AZ204" i="102" a="1"/>
  <c r="BP119" i="102" a="1"/>
  <c r="U74" i="103" a="1"/>
  <c r="BH210" i="102" a="1"/>
  <c r="AB35" i="102" a="1"/>
  <c r="BP93" i="102" a="1"/>
  <c r="CF166" i="102" a="1"/>
  <c r="BX111" i="102" a="1"/>
  <c r="T66" i="102" a="1"/>
  <c r="AJ46" i="102" a="1"/>
  <c r="AJ190" i="102" a="1"/>
  <c r="L104" i="102" a="1"/>
  <c r="BH159" i="102" a="1"/>
  <c r="T42" i="102" a="1"/>
  <c r="CF142" i="102" a="1"/>
  <c r="AJ26" i="102" a="1"/>
  <c r="AJ68" i="102" a="1"/>
  <c r="AZ28" i="102" a="1"/>
  <c r="BH77" i="102" a="1"/>
  <c r="BP26" i="102" a="1"/>
  <c r="BH27" i="102" a="1"/>
  <c r="F39" i="104"/>
  <c r="BP31" i="102" a="1"/>
  <c r="BH47" i="102" a="1"/>
  <c r="CN161" i="102" a="1"/>
  <c r="AZ38" i="102" a="1"/>
  <c r="AR50" i="102" a="1"/>
  <c r="BP63" i="102" a="1"/>
  <c r="BH17" i="102" a="1"/>
  <c r="AZ72" i="102" a="1"/>
  <c r="BX57" i="102" a="1"/>
  <c r="F74" i="104"/>
  <c r="BP67" i="102" a="1"/>
  <c r="BH73" i="102" a="1"/>
  <c r="F46" i="104"/>
  <c r="AZ27" i="102" a="1"/>
  <c r="BH74" i="102" a="1"/>
  <c r="AB28" i="102" a="1"/>
  <c r="BP77" i="102" a="1"/>
  <c r="AZ6" i="102" a="1"/>
  <c r="BH83" i="102" a="1"/>
  <c r="BX26" i="102" a="1"/>
  <c r="F30" i="104"/>
  <c r="F27" i="104"/>
  <c r="F58" i="104"/>
  <c r="F33" i="104"/>
  <c r="F29" i="104"/>
  <c r="F26" i="104"/>
  <c r="BH9" i="102" a="1"/>
  <c r="F82" i="104"/>
  <c r="F78" i="104"/>
  <c r="AJ132" i="102" a="1"/>
  <c r="X16" i="103" a="1"/>
  <c r="X38" i="103" a="1"/>
  <c r="V6" i="103" a="1"/>
  <c r="S20" i="103" a="1"/>
  <c r="AR205" i="102" a="1"/>
  <c r="Q64" i="103" a="1"/>
  <c r="BP195" i="102" a="1"/>
  <c r="BX157" i="102" a="1"/>
  <c r="BP109" i="102" a="1"/>
  <c r="AR12" i="102" a="1"/>
  <c r="AR151" i="102" a="1"/>
  <c r="AR201" i="102" a="1"/>
  <c r="BX103" i="102" a="1"/>
  <c r="BX107" i="102" a="1"/>
  <c r="BH143" i="102" a="1"/>
  <c r="CN186" i="102" a="1"/>
  <c r="AB168" i="102" a="1"/>
  <c r="BX117" i="102" a="1"/>
  <c r="CN181" i="102" a="1"/>
  <c r="AB15" i="102" a="1"/>
  <c r="AB52" i="102" a="1"/>
  <c r="CN96" i="102" a="1"/>
  <c r="AB37" i="102" a="1"/>
  <c r="BH20" i="102" a="1"/>
  <c r="AJ164" i="102" a="1"/>
  <c r="T23" i="103" a="1"/>
  <c r="CF121" i="102" a="1"/>
  <c r="CF99" i="102" a="1"/>
  <c r="BH127" i="102" a="1"/>
  <c r="AJ18" i="102" a="1"/>
  <c r="P39" i="103" a="1"/>
  <c r="BH104" i="102" a="1"/>
  <c r="BX154" i="102" a="1"/>
  <c r="L33" i="102" a="1"/>
  <c r="T37" i="102" a="1"/>
  <c r="AB51" i="102" a="1"/>
  <c r="CF178" i="102" a="1"/>
  <c r="AR14" i="102" a="1"/>
  <c r="L159" i="102" a="1"/>
  <c r="AZ141" i="102" a="1"/>
  <c r="CN177" i="102" a="1"/>
  <c r="BX173" i="102" a="1"/>
  <c r="CN162" i="102" a="1"/>
  <c r="BP136" i="102" a="1"/>
  <c r="CF226" i="102" a="1"/>
  <c r="X30" i="103" a="1"/>
  <c r="BH229" i="102" a="1"/>
  <c r="AJ7" i="102" a="1"/>
  <c r="BP228" i="102" a="1"/>
  <c r="CN226" i="102" a="1"/>
  <c r="CF98" i="102" a="1"/>
  <c r="AB55" i="102" a="1"/>
  <c r="AR56" i="102" a="1"/>
  <c r="AR115" i="102" a="1"/>
  <c r="AB125" i="102" a="1"/>
  <c r="BP213" i="102" a="1"/>
  <c r="AB67" i="102" a="1"/>
  <c r="CN103" i="102" a="1"/>
  <c r="BH173" i="102" a="1"/>
  <c r="AR17" i="102" a="1"/>
  <c r="BX59" i="102" a="1"/>
  <c r="BH57" i="102" a="1"/>
  <c r="BX24" i="102" a="1"/>
  <c r="BP83" i="102" a="1"/>
  <c r="BP16" i="102" a="1"/>
  <c r="BP44" i="102" a="1"/>
  <c r="BP36" i="102" a="1"/>
  <c r="L17" i="102" a="1"/>
  <c r="BH52" i="102" a="1"/>
  <c r="AR37" i="102" a="1"/>
  <c r="BP76" i="102" a="1"/>
  <c r="BP71" i="102" a="1"/>
  <c r="AZ69" i="102" a="1"/>
  <c r="AR39" i="102" a="1"/>
  <c r="F70" i="104"/>
  <c r="BX76" i="102" a="1"/>
  <c r="BP35" i="102" a="1"/>
  <c r="BH43" i="102" a="1"/>
  <c r="BH34" i="102" a="1"/>
  <c r="BH44" i="102" a="1"/>
  <c r="BH153" i="102" a="1"/>
  <c r="BP72" i="102" a="1"/>
  <c r="AZ33" i="102" a="1"/>
  <c r="AJ83" i="102" a="1"/>
  <c r="AR7" i="102" a="1"/>
  <c r="F50" i="104"/>
  <c r="AZ74" i="102" a="1"/>
  <c r="AZ13" i="102" a="1"/>
  <c r="AR28" i="102" a="1"/>
  <c r="L204" i="102" a="1"/>
  <c r="T9" i="103" a="1"/>
  <c r="AB192" i="102" a="1"/>
  <c r="R18" i="103" a="1"/>
  <c r="R60" i="103" a="1"/>
  <c r="AR217" i="102" a="1"/>
  <c r="V79" i="103" a="1"/>
  <c r="CN151" i="102" a="1"/>
  <c r="CF206" i="102" a="1"/>
  <c r="BP230" i="102" a="1"/>
  <c r="AR16" i="102" a="1"/>
  <c r="AZ222" i="102" a="1"/>
  <c r="BH123" i="102" a="1"/>
  <c r="BX143" i="102" a="1"/>
  <c r="BX119" i="102" a="1"/>
  <c r="BP197" i="102" a="1"/>
  <c r="L14" i="102" a="1"/>
  <c r="AJ185" i="102" a="1"/>
  <c r="BX100" i="102" a="1"/>
  <c r="CN198" i="102" a="1"/>
  <c r="AJ69" i="102" a="1"/>
  <c r="BH136" i="102" a="1"/>
  <c r="CN217" i="102" a="1"/>
  <c r="AB32" i="102" a="1"/>
  <c r="BX7" i="102" a="1"/>
  <c r="AZ194" i="102" a="1"/>
  <c r="U67" i="103" a="1"/>
  <c r="CN195" i="102" a="1"/>
  <c r="CN139" i="102" a="1"/>
  <c r="CN157" i="102" a="1"/>
  <c r="AJ24" i="102" a="1"/>
  <c r="U66" i="103" a="1"/>
  <c r="BP205" i="102" a="1"/>
  <c r="CF139" i="102" a="1"/>
  <c r="L28" i="102" a="1"/>
  <c r="AB33" i="102" a="1"/>
  <c r="AJ64" i="102" a="1"/>
  <c r="L35" i="102" a="1"/>
  <c r="AR61" i="102" a="1"/>
  <c r="L185" i="102" a="1"/>
  <c r="AZ207" i="102" a="1"/>
  <c r="L9" i="102" a="1"/>
  <c r="CN187" i="102" a="1"/>
  <c r="CN144" i="102" a="1"/>
  <c r="BP126" i="102" a="1"/>
  <c r="CN126" i="102" a="1"/>
  <c r="S21" i="103" a="1"/>
  <c r="BH228" i="102" a="1"/>
  <c r="AJ40" i="102" a="1"/>
  <c r="BX169" i="102" a="1"/>
  <c r="CN208" i="102" a="1"/>
  <c r="CF205" i="102" a="1"/>
  <c r="AB46" i="102" a="1"/>
  <c r="S31" i="103" a="1"/>
  <c r="AR172" i="102" a="1"/>
  <c r="AB121" i="102" a="1"/>
  <c r="BX138" i="102" a="1"/>
  <c r="AJ13" i="102" a="1"/>
  <c r="L72" i="102" a="1"/>
  <c r="BP154" i="102" a="1"/>
  <c r="AZ50" i="102" a="1"/>
  <c r="AR79" i="102" a="1"/>
  <c r="BP13" i="102" a="1"/>
  <c r="BX81" i="102" a="1"/>
  <c r="BX71" i="102" a="1"/>
  <c r="BX63" i="102" a="1"/>
  <c r="BX54" i="102" a="1"/>
  <c r="BP39" i="102" a="1"/>
  <c r="L12" i="102" a="1"/>
  <c r="BX9" i="102" a="1"/>
  <c r="AZ19" i="102" a="1"/>
  <c r="BX25" i="102" a="1"/>
  <c r="BP84" i="102" a="1"/>
  <c r="BH21" i="102" a="1"/>
  <c r="AR38" i="102" a="1"/>
  <c r="F72" i="104"/>
  <c r="BH8" i="102" a="1"/>
  <c r="BX32" i="102" a="1"/>
  <c r="BP21" i="102" a="1"/>
  <c r="BH51" i="102" a="1"/>
  <c r="BP34" i="102" a="1"/>
  <c r="BP106" i="102" a="1"/>
  <c r="BX14" i="102" a="1"/>
  <c r="BH75" i="102" a="1"/>
  <c r="AR52" i="102" a="1"/>
  <c r="AR60" i="102" a="1"/>
  <c r="F35" i="104"/>
  <c r="F40" i="104"/>
  <c r="CF119" i="102" a="1"/>
  <c r="BP69" i="102" a="1"/>
  <c r="AZ210" i="102" a="1"/>
  <c r="W36" i="103" a="1"/>
  <c r="AR177" i="102" a="1"/>
  <c r="V47" i="103" a="1"/>
  <c r="V84" i="103" a="1"/>
  <c r="R20" i="103" a="1"/>
  <c r="P59" i="103" a="1"/>
  <c r="L37" i="102" a="1"/>
  <c r="CF202" i="102" a="1"/>
  <c r="L22" i="102" a="1"/>
  <c r="AZ7" i="102" a="1"/>
  <c r="T217" i="102" a="1"/>
  <c r="CF93" i="102" a="1"/>
  <c r="CF149" i="102" a="1"/>
  <c r="CN155" i="102" a="1"/>
  <c r="BP108" i="102" a="1"/>
  <c r="T80" i="102" a="1"/>
  <c r="AZ161" i="102" a="1"/>
  <c r="CN124" i="102" a="1"/>
  <c r="L66" i="102" a="1"/>
  <c r="BH97" i="102" a="1"/>
  <c r="BP116" i="102" a="1"/>
  <c r="L50" i="102" a="1"/>
  <c r="AJ9" i="102" a="1"/>
  <c r="BX48" i="102" a="1"/>
  <c r="AZ209" i="102" a="1"/>
  <c r="R53" i="103" a="1"/>
  <c r="CN223" i="102" a="1"/>
  <c r="CN141" i="102" a="1"/>
  <c r="T7" i="102" a="1"/>
  <c r="BH187" i="102" a="1"/>
  <c r="Q15" i="103" a="1"/>
  <c r="BP201" i="102" a="1"/>
  <c r="CF159" i="102" a="1"/>
  <c r="T75" i="102" a="1"/>
  <c r="AJ79" i="102" a="1"/>
  <c r="BH101" i="102" a="1"/>
  <c r="T54" i="102" a="1"/>
  <c r="AZ39" i="102" a="1"/>
  <c r="AB213" i="102" a="1"/>
  <c r="BH165" i="102" a="1"/>
  <c r="T23" i="102" a="1"/>
  <c r="CN193" i="102" a="1"/>
  <c r="CN172" i="102" a="1"/>
  <c r="BP223" i="102" a="1"/>
  <c r="CN212" i="102" a="1"/>
  <c r="L174" i="102" a="1"/>
  <c r="BX149" i="102" a="1"/>
  <c r="BH137" i="102" a="1"/>
  <c r="CN194" i="102" a="1"/>
  <c r="T73" i="102" a="1"/>
  <c r="CF169" i="102" a="1"/>
  <c r="AJ48" i="102" a="1"/>
  <c r="Q71" i="103" a="1"/>
  <c r="AZ118" i="102" a="1"/>
  <c r="AJ206" i="102" a="1"/>
  <c r="CF143" i="102" a="1"/>
  <c r="AJ59" i="102" a="1"/>
  <c r="L8" i="102" a="1"/>
  <c r="BX229" i="102" a="1"/>
  <c r="AZ84" i="102" a="1"/>
  <c r="AR77" i="102" a="1"/>
  <c r="BX17" i="102" a="1"/>
  <c r="AR62" i="102" a="1"/>
  <c r="AJ41" i="102" a="1"/>
  <c r="BX53" i="102" a="1"/>
  <c r="AJ62" i="102" a="1"/>
  <c r="BP52" i="102" a="1"/>
  <c r="T17" i="102" a="1"/>
  <c r="BX80" i="102" a="1"/>
  <c r="AZ37" i="102" a="1"/>
  <c r="AR67" i="102" a="1"/>
  <c r="BX33" i="102" a="1"/>
  <c r="BH56" i="102" a="1"/>
  <c r="AZ81" i="102" a="1"/>
  <c r="F69" i="104"/>
  <c r="BP22" i="102" a="1"/>
  <c r="BX20" i="102" a="1"/>
  <c r="BP38" i="102" a="1"/>
  <c r="BP58" i="102" a="1"/>
  <c r="BX55" i="102" a="1"/>
  <c r="CN132" i="102" a="1"/>
  <c r="AJ55" i="102" a="1"/>
  <c r="BP17" i="102" a="1"/>
  <c r="AZ43" i="102" a="1"/>
  <c r="AZ62" i="102" a="1"/>
  <c r="F13" i="104"/>
  <c r="F43" i="104"/>
  <c r="F51" i="104"/>
  <c r="BH12" i="102" a="1"/>
  <c r="AR70" i="102" a="1"/>
  <c r="BX47" i="102" a="1"/>
  <c r="T53" i="102" a="1"/>
  <c r="BX35" i="102" a="1"/>
  <c r="F34" i="104"/>
  <c r="F49" i="104"/>
  <c r="AZ49" i="102" a="1"/>
  <c r="BX39" i="102" a="1"/>
  <c r="BX66" i="102" a="1"/>
  <c r="F44" i="104"/>
  <c r="AR42" i="102" a="1"/>
  <c r="BX37" i="102" a="1"/>
  <c r="AJ51" i="102" a="1"/>
  <c r="BX123" i="102" a="1"/>
  <c r="AB38" i="102" a="1"/>
  <c r="AZ71" i="102" a="1"/>
  <c r="AZ40" i="102" a="1"/>
  <c r="BH68" i="102" a="1"/>
  <c r="F66" i="104"/>
  <c r="F36" i="104"/>
  <c r="BP19" i="102" a="1"/>
  <c r="F57" i="104"/>
  <c r="CF100" i="102" a="1"/>
  <c r="BH150" i="102" a="1"/>
  <c r="BH71" i="102" a="1"/>
  <c r="AJ54" i="102" a="1"/>
  <c r="F81" i="104"/>
  <c r="AR36" i="102" a="1"/>
  <c r="AR51" i="102" a="1"/>
  <c r="AJ197" i="102" a="1"/>
  <c r="T17" i="103" a="1"/>
  <c r="S84" i="103" a="1"/>
  <c r="Q38" i="103" a="1"/>
  <c r="U15" i="103" a="1"/>
  <c r="U65" i="103" a="1"/>
  <c r="W60" i="103" a="1"/>
  <c r="T10" i="102" a="1"/>
  <c r="CN171" i="102" a="1"/>
  <c r="T72" i="102" a="1"/>
  <c r="BH7" i="102" a="1"/>
  <c r="Q12" i="103" a="1"/>
  <c r="CF134" i="102" a="1"/>
  <c r="CN203" i="102" a="1"/>
  <c r="CN150" i="102" a="1"/>
  <c r="BX122" i="102" a="1"/>
  <c r="AB63" i="102" a="1"/>
  <c r="V74" i="103" a="1"/>
  <c r="CN111" i="102" a="1"/>
  <c r="L15" i="102" a="1"/>
  <c r="BH197" i="102" a="1"/>
  <c r="BX198" i="102" a="1"/>
  <c r="T25" i="102" a="1"/>
  <c r="AJ70" i="102" a="1"/>
  <c r="BX36" i="102" a="1"/>
  <c r="T177" i="102" a="1"/>
  <c r="V73" i="103" a="1"/>
  <c r="L80" i="102" a="1"/>
  <c r="CN121" i="102" a="1"/>
  <c r="AB84" i="102" a="1"/>
  <c r="BH122" i="102" a="1"/>
  <c r="R24" i="103" a="1"/>
  <c r="CF200" i="102" a="1"/>
  <c r="CN205" i="102" a="1"/>
  <c r="AB10" i="102" a="1"/>
  <c r="BP162" i="102" a="1"/>
  <c r="BH186" i="102" a="1"/>
  <c r="AB27" i="102" a="1"/>
  <c r="AJ146" i="102" a="1"/>
  <c r="AJ147" i="102" a="1"/>
  <c r="BX139" i="102" a="1"/>
  <c r="T30" i="102" a="1"/>
  <c r="L51" i="102" a="1"/>
  <c r="AJ17" i="102" a="1"/>
  <c r="BX148" i="102" a="1"/>
  <c r="L59" i="102" a="1"/>
  <c r="AJ124" i="102" a="1"/>
  <c r="BX203" i="102" a="1"/>
  <c r="BH219" i="102" a="1"/>
  <c r="CN180" i="102" a="1"/>
  <c r="T44" i="102" a="1"/>
  <c r="CN95" i="102" a="1"/>
  <c r="AR34" i="102" a="1"/>
  <c r="Q61" i="103" a="1"/>
  <c r="AZ94" i="102" a="1"/>
  <c r="AZ215" i="102" a="1"/>
  <c r="CN169" i="102" a="1"/>
  <c r="BH206" i="102" a="1"/>
  <c r="T33" i="102" a="1"/>
  <c r="CF229" i="102" a="1"/>
  <c r="BH53" i="102" a="1"/>
  <c r="AZ77" i="102" a="1"/>
  <c r="BX73" i="102" a="1"/>
  <c r="BH78" i="102" a="1"/>
  <c r="AR63" i="102" a="1"/>
  <c r="AR81" i="102" a="1"/>
  <c r="AR82" i="102" a="1"/>
  <c r="BX62" i="102" a="1"/>
  <c r="T22" i="102" a="1"/>
  <c r="AR23" i="102" a="1"/>
  <c r="BH15" i="102" a="1"/>
  <c r="AZ8" i="102" a="1"/>
  <c r="AZ61" i="102" a="1"/>
  <c r="BP28" i="102" a="1"/>
  <c r="BH54" i="102" a="1"/>
  <c r="F77" i="104"/>
  <c r="BP49" i="102" a="1"/>
  <c r="AR26" i="102" a="1"/>
  <c r="BP62" i="102" a="1"/>
  <c r="BP70" i="102" a="1"/>
  <c r="BX72" i="102" a="1"/>
  <c r="L13" i="102" a="1"/>
  <c r="AJ81" i="102" a="1"/>
  <c r="AJ36" i="102" a="1"/>
  <c r="AZ54" i="102" a="1"/>
  <c r="BH76" i="102" a="1"/>
  <c r="F23" i="104"/>
  <c r="F18" i="104"/>
  <c r="F22" i="104"/>
  <c r="BP43" i="102" a="1"/>
  <c r="BX83" i="102" a="1"/>
  <c r="BX15" i="102" a="1"/>
  <c r="BX184" i="102" a="1"/>
  <c r="AZ83" i="102" a="1"/>
  <c r="BH82" i="102" a="1"/>
  <c r="F55" i="104"/>
  <c r="BH48" i="102" a="1"/>
  <c r="F54" i="104"/>
  <c r="AJ72" i="102" a="1"/>
  <c r="T29" i="102" a="1"/>
  <c r="T211" i="102" a="1"/>
  <c r="L45" i="102" a="1"/>
  <c r="T76" i="102" a="1"/>
  <c r="AJ73" i="102" a="1"/>
  <c r="BX12" i="102" a="1"/>
  <c r="L31" i="102" a="1"/>
  <c r="BP66" i="102" a="1"/>
  <c r="CN115" i="102" a="1"/>
  <c r="BX65" i="102" a="1"/>
  <c r="BH40" i="102" a="1"/>
  <c r="X8" i="103" a="1"/>
  <c r="Q34" i="103" a="1"/>
  <c r="R40" i="103" a="1"/>
  <c r="X29" i="103" a="1"/>
  <c r="P34" i="103" a="1"/>
  <c r="X14" i="103" a="1"/>
  <c r="L112" i="102" a="1"/>
  <c r="T74" i="102" a="1"/>
  <c r="L29" i="102" a="1"/>
  <c r="AB31" i="102" a="1"/>
  <c r="BH72" i="102" a="1"/>
  <c r="R45" i="103" a="1"/>
  <c r="CN165" i="102" a="1"/>
  <c r="AB45" i="102" a="1"/>
  <c r="L40" i="102" a="1"/>
  <c r="CF197" i="102" a="1"/>
  <c r="AR48" i="102" a="1"/>
  <c r="T38" i="103" a="1"/>
  <c r="CN159" i="102" a="1"/>
  <c r="T57" i="102" a="1"/>
  <c r="BH204" i="102" a="1"/>
  <c r="CN145" i="102" a="1"/>
  <c r="T49" i="102" a="1"/>
  <c r="AR10" i="102" a="1"/>
  <c r="X32" i="103" a="1"/>
  <c r="AJ154" i="102" a="1"/>
  <c r="S29" i="103" a="1"/>
  <c r="T11" i="102" a="1"/>
  <c r="L57" i="102" a="1"/>
  <c r="AJ39" i="102" a="1"/>
  <c r="AR196" i="102" a="1"/>
  <c r="T185" i="102" a="1"/>
  <c r="CF204" i="102" a="1"/>
  <c r="CN185" i="102" a="1"/>
  <c r="AB48" i="102" a="1"/>
  <c r="BP99" i="102" a="1"/>
  <c r="BP159" i="102" a="1"/>
  <c r="AJ32" i="102" a="1"/>
  <c r="AJ131" i="102" a="1"/>
  <c r="AR133" i="102" a="1"/>
  <c r="BX191" i="102" a="1"/>
  <c r="AB72" i="102" a="1"/>
  <c r="T8" i="102" a="1"/>
  <c r="BH166" i="102" a="1"/>
  <c r="BX192" i="102" a="1"/>
  <c r="L24" i="102" a="1"/>
  <c r="AJ211" i="102" a="1"/>
  <c r="BX215" i="102" a="1"/>
  <c r="BX96" i="102" a="1"/>
  <c r="L75" i="102" a="1"/>
  <c r="AJ82" i="102" a="1"/>
  <c r="L10" i="102" a="1"/>
  <c r="BH50" i="102" a="1"/>
  <c r="R77" i="103" a="1"/>
  <c r="T107" i="102" a="1"/>
  <c r="AZ220" i="102" a="1"/>
  <c r="L78" i="102" a="1"/>
  <c r="BP94" i="102" a="1"/>
  <c r="T50" i="102" a="1"/>
  <c r="CN106" i="102" a="1"/>
  <c r="BH33" i="102" a="1"/>
  <c r="BH58" i="102" a="1"/>
  <c r="AR54" i="102" a="1"/>
  <c r="BX29" i="102" a="1"/>
  <c r="AZ16" i="102" a="1"/>
  <c r="BH28" i="102" a="1"/>
  <c r="AR72" i="102" a="1"/>
  <c r="BX161" i="102" a="1"/>
  <c r="AB22" i="102" a="1"/>
  <c r="BP25" i="102" a="1"/>
  <c r="BH24" i="102" a="1"/>
  <c r="AZ30" i="102" a="1"/>
  <c r="BP20" i="102" a="1"/>
  <c r="F32" i="104"/>
  <c r="AR8" i="102" a="1"/>
  <c r="F41" i="104"/>
  <c r="BP229" i="102" a="1"/>
  <c r="AR15" i="102" a="1"/>
  <c r="V38" i="103" a="1"/>
  <c r="X9" i="103" a="1"/>
  <c r="AB136" i="102" a="1"/>
  <c r="T84" i="103" a="1"/>
  <c r="P54" i="103" a="1"/>
  <c r="AB200" i="102" a="1"/>
  <c r="L211" i="102" a="1"/>
  <c r="AB54" i="102" a="1"/>
  <c r="T21" i="102" a="1"/>
  <c r="BH102" i="102" a="1"/>
  <c r="BX68" i="102" a="1"/>
  <c r="R76" i="103" a="1"/>
  <c r="CN176" i="102" a="1"/>
  <c r="AB81" i="102" a="1"/>
  <c r="L30" i="102" a="1"/>
  <c r="CF107" i="102" a="1"/>
  <c r="BH10" i="102" a="1"/>
  <c r="W80" i="103" a="1"/>
  <c r="L54" i="102" a="1"/>
  <c r="AB16" i="102" a="1"/>
  <c r="BP117" i="102" a="1"/>
  <c r="L25" i="102" a="1"/>
  <c r="AB71" i="102" a="1"/>
  <c r="AR80" i="102" a="1"/>
  <c r="X24" i="103" a="1"/>
  <c r="S12" i="103" a="1"/>
  <c r="Q18" i="103" a="1"/>
  <c r="AB50" i="102" a="1"/>
  <c r="AB76" i="102" a="1"/>
  <c r="BH200" i="102" a="1"/>
  <c r="Q55" i="103" a="1"/>
  <c r="T132" i="102" a="1"/>
  <c r="CN136" i="102" a="1"/>
  <c r="L70" i="102" a="1"/>
  <c r="BH100" i="102" a="1"/>
  <c r="BX101" i="102" a="1"/>
  <c r="BX168" i="102" a="1"/>
  <c r="AR66" i="102" a="1"/>
  <c r="T131" i="102" a="1"/>
  <c r="T53" i="103" a="1"/>
  <c r="CF160" i="102" a="1"/>
  <c r="BP200" i="102" a="1"/>
  <c r="T38" i="102" a="1"/>
  <c r="BP187" i="102" a="1"/>
  <c r="CF96" i="102" a="1"/>
  <c r="T34" i="102" a="1"/>
  <c r="AZ139" i="102" a="1"/>
  <c r="CN125" i="102" a="1"/>
  <c r="CN219" i="102" a="1"/>
  <c r="L19" i="102" a="1"/>
  <c r="BH94" i="102" a="1"/>
  <c r="T65" i="102" a="1"/>
  <c r="BP40" i="102" a="1"/>
  <c r="V35" i="103" a="1"/>
  <c r="T215" i="102" a="1"/>
  <c r="P25" i="103" a="1"/>
  <c r="AJ28" i="102" a="1"/>
  <c r="BX116" i="102" a="1"/>
  <c r="AB75" i="102" a="1"/>
  <c r="L68" i="102" a="1"/>
  <c r="BX79" i="102" a="1"/>
  <c r="BH64" i="102" a="1"/>
  <c r="AZ35" i="102" a="1"/>
  <c r="AJ33" i="102" a="1"/>
  <c r="AZ31" i="102" a="1"/>
  <c r="BX56" i="102" a="1"/>
  <c r="AZ9" i="102" a="1"/>
  <c r="CF118" i="102" a="1"/>
  <c r="AB64" i="102" a="1"/>
  <c r="BP48" i="102" a="1"/>
  <c r="BP27" i="102" a="1"/>
  <c r="AJ57" i="102" a="1"/>
  <c r="F19" i="104"/>
  <c r="BH163" i="102" a="1"/>
  <c r="Q7" i="103" a="1"/>
  <c r="F64" i="104"/>
  <c r="BP64" i="102" a="1"/>
  <c r="AA10" i="60" a="1"/>
  <c r="T32" i="103" a="1"/>
  <c r="AZ169" i="102" a="1"/>
  <c r="V17" i="103" a="1"/>
  <c r="T44" i="103" a="1"/>
  <c r="AJ148" i="102" a="1"/>
  <c r="AZ136" i="102" a="1"/>
  <c r="AJ25" i="102" a="1"/>
  <c r="AB62" i="102" a="1"/>
  <c r="BH213" i="102" a="1"/>
  <c r="AJ60" i="102" a="1"/>
  <c r="T35" i="103" a="1"/>
  <c r="T20" i="102" a="1"/>
  <c r="BP138" i="102" a="1"/>
  <c r="L39" i="102" a="1"/>
  <c r="CF131" i="102" a="1"/>
  <c r="BP54" i="102" a="1"/>
  <c r="U43" i="103" a="1"/>
  <c r="T60" i="102" a="1"/>
  <c r="AB77" i="102" a="1"/>
  <c r="BX171" i="102" a="1"/>
  <c r="L20" i="102" a="1"/>
  <c r="AJ53" i="102" a="1"/>
  <c r="AZ51" i="102" a="1"/>
  <c r="S82" i="103" a="1"/>
  <c r="T81" i="103" a="1"/>
  <c r="L106" i="102" a="1"/>
  <c r="BH128" i="102" a="1"/>
  <c r="AJ31" i="102" a="1"/>
  <c r="BH147" i="102" a="1"/>
  <c r="V82" i="103" a="1"/>
  <c r="AR145" i="102" a="1"/>
  <c r="CN206" i="102" a="1"/>
  <c r="AB13" i="102" a="1"/>
  <c r="BH183" i="102" a="1"/>
  <c r="CF94" i="102" a="1"/>
  <c r="BX225" i="102" a="1"/>
  <c r="AR46" i="102" a="1"/>
  <c r="AB104" i="102" a="1"/>
  <c r="T45" i="103" a="1"/>
  <c r="CN182" i="102" a="1"/>
  <c r="BX218" i="102" a="1"/>
  <c r="AB80" i="102" a="1"/>
  <c r="BP167" i="102" a="1"/>
  <c r="CF141" i="102" a="1"/>
  <c r="AB6" i="102" a="1"/>
  <c r="R39" i="103" a="1"/>
  <c r="CN105" i="102" a="1"/>
  <c r="CN229" i="102" a="1"/>
  <c r="T47" i="102" a="1"/>
  <c r="BH230" i="102" a="1"/>
  <c r="AB74" i="102" a="1"/>
  <c r="BX16" i="102" a="1"/>
  <c r="P26" i="103" a="1"/>
  <c r="AB175" i="102" a="1"/>
  <c r="P17" i="103" a="1"/>
  <c r="AJ63" i="102" a="1"/>
  <c r="BX156" i="102" a="1"/>
  <c r="BP110" i="102" a="1"/>
  <c r="L69" i="102" a="1"/>
  <c r="BX49" i="102" a="1"/>
  <c r="BP30" i="102" a="1"/>
  <c r="BH70" i="102" a="1"/>
  <c r="AR31" i="102" a="1"/>
  <c r="BP61" i="102" a="1"/>
  <c r="BX44" i="102" a="1"/>
  <c r="AZ29" i="102" a="1"/>
  <c r="CN120" i="102" a="1"/>
  <c r="AJ20" i="102" a="1"/>
  <c r="BX18" i="102" a="1"/>
  <c r="BP56" i="102" a="1"/>
  <c r="BH37" i="102" a="1"/>
  <c r="BP8" i="102" a="1"/>
  <c r="AJ76" i="102" a="1"/>
  <c r="AJ84" i="102" a="1"/>
  <c r="F14" i="104"/>
  <c r="AR32" i="102" a="1"/>
  <c r="AR65" i="102" a="1"/>
  <c r="AZ59" i="102" a="1"/>
  <c r="AR20" i="102" a="1"/>
  <c r="BX135" i="102" a="1"/>
  <c r="AB78" i="102" a="1"/>
  <c r="AZ44" i="102" a="1"/>
  <c r="AZ18" i="102" a="1"/>
  <c r="BP11" i="102" a="1"/>
  <c r="F53" i="104"/>
  <c r="F83" i="104"/>
  <c r="F59" i="104"/>
  <c r="F25" i="104"/>
  <c r="AR11" i="102" a="1"/>
  <c r="AR29" i="102" a="1"/>
  <c r="BH22" i="102" a="1"/>
  <c r="AR18" i="102" a="1"/>
  <c r="AR33" i="102" a="1"/>
  <c r="AZ24" i="102" a="1"/>
  <c r="BH81" i="102" a="1"/>
  <c r="BH36" i="102" a="1"/>
  <c r="CF144" i="102" a="1"/>
  <c r="BX27" i="102" a="1"/>
  <c r="F38" i="104"/>
  <c r="F71" i="104"/>
  <c r="F37" i="104"/>
  <c r="F17" i="104"/>
  <c r="BH63" i="102" a="1"/>
  <c r="F48" i="104"/>
  <c r="AB14" i="102" a="1"/>
  <c r="T58" i="102" a="1"/>
  <c r="BX209" i="102" a="1"/>
  <c r="AB151" i="102" a="1"/>
  <c r="AR40" i="102" a="1"/>
  <c r="BX51" i="102" a="1"/>
  <c r="AR21" i="102" a="1"/>
  <c r="AZ36" i="102" a="1"/>
  <c r="AR69" i="102" a="1"/>
  <c r="AR64" i="102" a="1"/>
  <c r="S45" i="103" a="1"/>
  <c r="S15" i="103" a="1"/>
  <c r="T24" i="103" a="1"/>
  <c r="X56" i="103" a="1"/>
  <c r="R36" i="103" a="1"/>
  <c r="AR154" i="102" a="1"/>
  <c r="AZ179" i="102" a="1"/>
  <c r="AZ189" i="102" a="1"/>
  <c r="BX118" i="102" a="1"/>
  <c r="BH220" i="102" a="1"/>
  <c r="AZ48" i="102" a="1"/>
  <c r="L134" i="102" a="1"/>
  <c r="T81" i="102" a="1"/>
  <c r="BP150" i="102" a="1"/>
  <c r="AB53" i="102" a="1"/>
  <c r="CN173" i="102" a="1"/>
  <c r="BX58" i="102" a="1"/>
  <c r="S32" i="103" a="1"/>
  <c r="AB18" i="102" a="1"/>
  <c r="AB44" i="102" a="1"/>
  <c r="BX183" i="102" a="1"/>
  <c r="T83" i="102" a="1"/>
  <c r="BH110" i="102" a="1"/>
  <c r="AZ25" i="102" a="1"/>
  <c r="S37" i="103" a="1"/>
  <c r="W62" i="103" a="1"/>
  <c r="T113" i="102" a="1"/>
  <c r="BP145" i="102" a="1"/>
  <c r="BP161" i="102" a="1"/>
  <c r="BP180" i="102" a="1"/>
  <c r="R67" i="103" a="1"/>
  <c r="AR159" i="102" a="1"/>
  <c r="L41" i="102" a="1"/>
  <c r="AJ71" i="102" a="1"/>
  <c r="BX222" i="102" a="1"/>
  <c r="CN184" i="102" a="1"/>
  <c r="BX128" i="102" a="1"/>
  <c r="AZ67" i="102" a="1"/>
  <c r="AB108" i="102" a="1"/>
  <c r="W24" i="103" a="1"/>
  <c r="L74" i="102" a="1"/>
  <c r="CF227" i="102" a="1"/>
  <c r="AJ11" i="102" a="1"/>
  <c r="CF154" i="102" a="1"/>
  <c r="CF105" i="102" a="1"/>
  <c r="AB59" i="102" a="1"/>
  <c r="R31" i="103" a="1"/>
  <c r="L65" i="102" a="1"/>
  <c r="CN192" i="102" a="1"/>
  <c r="T18" i="102" a="1"/>
  <c r="BP231" i="102" a="1"/>
  <c r="AB65" i="102" a="1"/>
  <c r="BX77" i="102" a="1"/>
  <c r="L138" i="102" a="1"/>
  <c r="AR99" i="102" a="1"/>
  <c r="R75" i="103" a="1"/>
  <c r="BH134" i="102" a="1"/>
  <c r="CF214" i="102" a="1"/>
  <c r="BX176" i="102" a="1"/>
  <c r="T77" i="102" a="1"/>
  <c r="AR27" i="102" a="1"/>
  <c r="BP51" i="102" a="1"/>
  <c r="BP18" i="102" a="1"/>
  <c r="AZ56" i="102" a="1"/>
  <c r="BP65" i="102" a="1"/>
  <c r="AZ17" i="102" a="1"/>
  <c r="CN160" i="102" a="1"/>
  <c r="AR75" i="102" a="1"/>
  <c r="BX50" i="102" a="1"/>
  <c r="BP80" i="102" a="1"/>
  <c r="AZ15" i="102" a="1"/>
  <c r="BH31" i="102" a="1"/>
  <c r="AJ8" i="102" a="1"/>
  <c r="BH55" i="102" a="1"/>
  <c r="AZ52" i="102" a="1"/>
  <c r="T196" i="102" a="1"/>
  <c r="F67" i="104"/>
  <c r="F68" i="104"/>
  <c r="X20" i="103" a="1"/>
  <c r="T73" i="103" a="1"/>
  <c r="AJ126" i="102" a="1"/>
  <c r="W55" i="103" a="1"/>
  <c r="Q28" i="103" a="1"/>
  <c r="AZ193" i="102" a="1"/>
  <c r="BH130" i="102" a="1"/>
  <c r="BP158" i="102" a="1"/>
  <c r="BX196" i="102" a="1"/>
  <c r="BP133" i="102" a="1"/>
  <c r="BH25" i="102" a="1"/>
  <c r="AB111" i="102" a="1"/>
  <c r="AJ43" i="102" a="1"/>
  <c r="BX110" i="102" a="1"/>
  <c r="AB20" i="102" a="1"/>
  <c r="T16" i="102" a="1"/>
  <c r="AJ42" i="102" a="1"/>
  <c r="T129" i="102" a="1"/>
  <c r="AJ50" i="102" a="1"/>
  <c r="BH221" i="102" a="1"/>
  <c r="BX227" i="102" a="1"/>
  <c r="AB30" i="102" a="1"/>
  <c r="BP185" i="102" a="1"/>
  <c r="BH16" i="102" a="1"/>
  <c r="W71" i="103" a="1"/>
  <c r="W16" i="103" a="1"/>
  <c r="T193" i="102" a="1"/>
  <c r="BP141" i="102" a="1"/>
  <c r="CF152" i="102" a="1"/>
  <c r="BP176" i="102" a="1"/>
  <c r="X36" i="103" a="1"/>
  <c r="AZ197" i="102" a="1"/>
  <c r="L36" i="102" a="1"/>
  <c r="BH120" i="102" a="1"/>
  <c r="BX170" i="102" a="1"/>
  <c r="CN99" i="102" a="1"/>
  <c r="CN224" i="102" a="1"/>
  <c r="BH62" i="102" a="1"/>
  <c r="AR181" i="102" a="1"/>
  <c r="X57" i="103" a="1"/>
  <c r="L23" i="102" a="1"/>
  <c r="CF223" i="102" a="1"/>
  <c r="BH106" i="102" a="1"/>
  <c r="CN107" i="102" a="1"/>
  <c r="CN179" i="102" a="1"/>
  <c r="AJ21" i="102" a="1"/>
  <c r="U10" i="103" a="1"/>
  <c r="AB68" i="102" a="1"/>
  <c r="CN220" i="102" a="1"/>
  <c r="T70" i="102" a="1"/>
  <c r="CF222" i="102" a="1"/>
  <c r="AJ14" i="102" a="1"/>
  <c r="AJ23" i="102" a="1"/>
  <c r="T161" i="102" a="1"/>
  <c r="T12" i="103" a="1"/>
  <c r="T29" i="103" a="1"/>
  <c r="BP135" i="102" a="1"/>
  <c r="CN175" i="102" a="1"/>
  <c r="BX172" i="102" a="1"/>
  <c r="AB25" i="102" a="1"/>
  <c r="AR30" i="102" a="1"/>
  <c r="BX11" i="102" a="1"/>
  <c r="BX82" i="102" a="1"/>
  <c r="BP46" i="102" a="1"/>
  <c r="BX30" i="102" a="1"/>
  <c r="AZ75" i="102" a="1"/>
  <c r="BH66" i="102" a="1"/>
  <c r="CN188" i="102" a="1"/>
  <c r="AZ14" i="102" a="1"/>
  <c r="AR44" i="102" a="1"/>
  <c r="AJ44" i="102" a="1"/>
  <c r="BP50" i="102" a="1"/>
  <c r="AR76" i="102" a="1"/>
  <c r="AR25" i="102" a="1"/>
  <c r="AZ64" i="102" a="1"/>
  <c r="AZ55" i="102" a="1"/>
  <c r="BH19" i="102" a="1"/>
  <c r="BX6" i="102" a="1"/>
  <c r="BP37" i="102" a="1"/>
  <c r="BP29" i="102" a="1"/>
  <c r="CN117" i="102" a="1"/>
  <c r="AJ34" i="102" a="1"/>
  <c r="BX45" i="102" a="1"/>
  <c r="BH80" i="102" a="1"/>
  <c r="X59" i="103" a="1"/>
  <c r="P18" i="103" a="1"/>
  <c r="T195" i="102" a="1"/>
  <c r="P43" i="103" a="1"/>
  <c r="Q9" i="103" a="1"/>
  <c r="P55" i="103" a="1"/>
  <c r="BP184" i="102" a="1"/>
  <c r="BX224" i="102" a="1"/>
  <c r="CF189" i="102" a="1"/>
  <c r="BX199" i="102" a="1"/>
  <c r="BP79" i="102" a="1"/>
  <c r="AJ157" i="102" a="1"/>
  <c r="CF95" i="102" a="1"/>
  <c r="BX213" i="102" a="1"/>
  <c r="BP177" i="102" a="1"/>
  <c r="AJ47" i="102" a="1"/>
  <c r="AR58" i="102" a="1"/>
  <c r="T205" i="102" a="1"/>
  <c r="BH205" i="102" a="1"/>
  <c r="BP97" i="102" a="1"/>
  <c r="CF192" i="102" a="1"/>
  <c r="AB56" i="102" a="1"/>
  <c r="CF162" i="102" a="1"/>
  <c r="BH67" i="102" a="1"/>
  <c r="U27" i="103" a="1"/>
  <c r="P62" i="103" a="1"/>
  <c r="T128" i="102" a="1"/>
  <c r="CN142" i="102" a="1"/>
  <c r="CF156" i="102" a="1"/>
  <c r="CF167" i="102" a="1"/>
  <c r="S59" i="103" a="1"/>
  <c r="BP206" i="102" a="1"/>
  <c r="T63" i="102" a="1"/>
  <c r="BH208" i="102" a="1"/>
  <c r="CF165" i="102" a="1"/>
  <c r="CN196" i="102" a="1"/>
  <c r="CN143" i="102" a="1"/>
  <c r="BX74" i="102" a="1"/>
  <c r="AR207" i="102" a="1"/>
  <c r="T82" i="103" a="1"/>
  <c r="T71" i="102" a="1"/>
  <c r="CN128" i="102" a="1"/>
  <c r="BP216" i="102" a="1"/>
  <c r="CN200" i="102" a="1"/>
  <c r="CN207" i="102" a="1"/>
  <c r="AJ16" i="102" a="1"/>
  <c r="V43" i="103" a="1"/>
  <c r="AJ15" i="102" a="1"/>
  <c r="L46" i="102" a="1"/>
  <c r="AB23" i="102" a="1"/>
  <c r="L21" i="102" a="1"/>
  <c r="BP203" i="102" a="1"/>
  <c r="AJ49" i="102" a="1"/>
  <c r="AZ219" i="102" a="1"/>
  <c r="R61" i="103" a="1"/>
  <c r="R68" i="103" a="1"/>
  <c r="BX217" i="102" a="1"/>
  <c r="T19" i="102" a="1"/>
  <c r="CF181" i="102" a="1"/>
  <c r="BH149" i="102" a="1"/>
  <c r="AZ63" i="102" a="1"/>
  <c r="BX60" i="102" a="1"/>
  <c r="AR9" i="102" a="1"/>
  <c r="BP57" i="102" a="1"/>
  <c r="F75" i="104"/>
  <c r="BP24" i="102" a="1"/>
  <c r="BH59" i="102" a="1"/>
  <c r="T24" i="102" a="1"/>
  <c r="AZ32" i="102" a="1"/>
  <c r="AZ23" i="102" a="1"/>
  <c r="AR19" i="102" a="1"/>
  <c r="BX8" i="102" a="1"/>
  <c r="AZ10" i="102" a="1"/>
  <c r="AZ79" i="102" a="1"/>
  <c r="AZ66" i="102" a="1"/>
  <c r="BP41" i="102" a="1"/>
  <c r="BP75" i="102" a="1"/>
  <c r="BX40" i="102" a="1"/>
  <c r="BP23" i="102" a="1"/>
  <c r="BX64" i="102" a="1"/>
  <c r="CN213" i="102" a="1"/>
  <c r="AJ80" i="102" a="1"/>
  <c r="BP47" i="102" a="1"/>
  <c r="BP55" i="102" a="1"/>
  <c r="AR45" i="102" a="1"/>
  <c r="F28" i="104"/>
  <c r="F76" i="104"/>
  <c r="F42" i="104"/>
  <c r="AZ45" i="102" a="1"/>
  <c r="F24" i="104"/>
  <c r="S80" i="103" a="1"/>
  <c r="BH117" i="102" a="1"/>
  <c r="BP101" i="102" a="1"/>
  <c r="AJ58" i="102" a="1"/>
  <c r="AJ75" i="102" a="1"/>
  <c r="BP73" i="102" a="1"/>
  <c r="L6" i="102" a="1"/>
  <c r="BH39" i="102" a="1"/>
  <c r="BH41" i="102" a="1"/>
  <c r="BH29" i="102" a="1"/>
  <c r="BP74" i="102" a="1"/>
  <c r="BH79" i="102" a="1"/>
  <c r="F61" i="104"/>
  <c r="R16" i="103" a="1"/>
  <c r="AZ116" i="102" a="1"/>
  <c r="V26" i="103" a="1"/>
  <c r="T36" i="103" a="1"/>
  <c r="R59" i="103" a="1"/>
  <c r="P47" i="103" a="1"/>
  <c r="BP188" i="102" a="1"/>
  <c r="CN146" i="102" a="1"/>
  <c r="CF153" i="102" a="1"/>
  <c r="CN230" i="102" a="1"/>
  <c r="BX41" i="102" a="1"/>
  <c r="AR101" i="102" a="1"/>
  <c r="CN215" i="102" a="1"/>
  <c r="CF130" i="102" a="1"/>
  <c r="CF164" i="102" a="1"/>
  <c r="BP129" i="102" a="1"/>
  <c r="U18" i="103" a="1"/>
  <c r="AB206" i="102" a="1"/>
  <c r="CF177" i="102" a="1"/>
  <c r="CF193" i="102" a="1"/>
  <c r="CN108" i="102" a="1"/>
  <c r="AJ22" i="102" a="1"/>
  <c r="CF184" i="102" a="1"/>
  <c r="BP10" i="102" a="1"/>
  <c r="L183" i="102" a="1"/>
  <c r="P7" i="103" a="1"/>
  <c r="T111" i="102" a="1"/>
  <c r="CN202" i="102" a="1"/>
  <c r="CN158" i="102" a="1"/>
  <c r="CN94" i="102" a="1"/>
  <c r="W49" i="103" a="1"/>
  <c r="BX131" i="102" a="1"/>
  <c r="T67" i="102" a="1"/>
  <c r="BP225" i="102" a="1"/>
  <c r="CF179" i="102" a="1"/>
  <c r="L67" i="102" a="1"/>
  <c r="T52" i="102" a="1"/>
  <c r="AR22" i="102" a="1"/>
  <c r="X40" i="103" a="1"/>
  <c r="Q48" i="103" a="1"/>
  <c r="AB7" i="102" a="1"/>
  <c r="CN156" i="102" a="1"/>
  <c r="BP220" i="102" a="1"/>
  <c r="L64" i="102" a="1"/>
  <c r="T79" i="102" a="1"/>
  <c r="AR47" i="102" a="1"/>
  <c r="S75" i="103" a="1"/>
  <c r="BH179" i="102" a="1"/>
  <c r="T28" i="102" a="1"/>
  <c r="AB43" i="102" a="1"/>
  <c r="T39" i="102" a="1"/>
  <c r="CF146" i="102" a="1"/>
  <c r="BH23" i="102" a="1"/>
  <c r="R10" i="103" a="1"/>
  <c r="U40" i="103" a="1"/>
  <c r="V19" i="103" a="1"/>
  <c r="CF103" i="102" a="1"/>
  <c r="T68" i="102" a="1"/>
  <c r="CF230" i="102" a="1"/>
  <c r="BH148" i="102" a="1"/>
  <c r="AZ73" i="102" a="1"/>
  <c r="BH6" i="102" a="1"/>
  <c r="AR49" i="102" a="1"/>
  <c r="BX22" i="102" a="1"/>
  <c r="F79" i="104"/>
  <c r="BX61" i="102" a="1"/>
  <c r="BP6" i="102" a="1"/>
  <c r="AJ10" i="102" a="1"/>
  <c r="AZ57" i="102" a="1"/>
  <c r="AZ46" i="102" a="1"/>
  <c r="AZ11" i="102" a="1"/>
  <c r="AJ52" i="102" a="1"/>
  <c r="AZ78" i="102" a="1"/>
  <c r="AZ58" i="102" a="1"/>
  <c r="BH69" i="102" a="1"/>
  <c r="BX75" i="102" a="1"/>
  <c r="BX42" i="102" a="1"/>
  <c r="BX28" i="102" a="1"/>
  <c r="BP81" i="102" a="1"/>
  <c r="BX52" i="102" a="1"/>
  <c r="CN166" i="102" a="1"/>
  <c r="AR6" i="102" a="1"/>
  <c r="BP60" i="102" a="1"/>
  <c r="BP68" i="102" a="1"/>
  <c r="AZ21" i="102" a="1"/>
  <c r="F21" i="104"/>
  <c r="F56" i="104"/>
  <c r="F20" i="104"/>
  <c r="F47" i="104"/>
  <c r="AR142" i="102" a="1"/>
  <c r="U30" i="103" a="1"/>
  <c r="L18" i="102" a="1"/>
  <c r="T65" i="103" a="1"/>
  <c r="CF120" i="102" a="1"/>
  <c r="L58" i="102" a="1"/>
  <c r="AJ45" i="102" a="1"/>
  <c r="BX208" i="102" a="1"/>
  <c r="AZ164" i="102" a="1"/>
  <c r="BH121" i="102" a="1"/>
  <c r="AZ221" i="102" a="1"/>
  <c r="BP45" i="102" a="1"/>
  <c r="BX10" i="102" a="1"/>
  <c r="AZ20" i="102" a="1"/>
  <c r="F31" i="104"/>
  <c r="BX23" i="102" a="1"/>
  <c r="AZ41" i="102" a="1"/>
  <c r="S52" i="103" a="1"/>
  <c r="X61" i="103" a="1"/>
  <c r="AA38" i="60" a="1"/>
  <c r="R25" i="103" a="1"/>
  <c r="AB178" i="102" a="1"/>
  <c r="T59" i="103" a="1"/>
  <c r="CF187" i="102" a="1"/>
  <c r="T31" i="102" a="1"/>
  <c r="CN227" i="102" a="1"/>
  <c r="L73" i="102" a="1"/>
  <c r="AR13" i="102" a="1"/>
  <c r="AZ198" i="102" a="1"/>
  <c r="T61" i="102" a="1"/>
  <c r="CF129" i="102" a="1"/>
  <c r="CN110" i="102" a="1"/>
  <c r="BP125" i="102" a="1"/>
  <c r="P77" i="103" a="1"/>
  <c r="AJ226" i="102" a="1"/>
  <c r="L48" i="102" a="1"/>
  <c r="CN130" i="102" a="1"/>
  <c r="CN93" i="102" a="1"/>
  <c r="BH199" i="102" a="1"/>
  <c r="CF180" i="102" a="1"/>
  <c r="BP14" i="102" a="1"/>
  <c r="W63" i="103" a="1"/>
  <c r="T105" i="102" a="1"/>
  <c r="AZ181" i="102" a="1"/>
  <c r="L84" i="102" a="1"/>
  <c r="CN218" i="102" a="1"/>
  <c r="CN209" i="102" a="1"/>
  <c r="AJ103" i="102" a="1"/>
  <c r="BX127" i="102" a="1"/>
  <c r="AB40" i="102" a="1"/>
  <c r="BP221" i="102" a="1"/>
  <c r="CN116" i="102" a="1"/>
  <c r="L11" i="102" a="1"/>
  <c r="AB29" i="102" a="1"/>
  <c r="AR68" i="102" a="1"/>
  <c r="U75" i="103" a="1"/>
  <c r="L218" i="102" a="1"/>
  <c r="AB69" i="102" a="1"/>
  <c r="L83" i="102" a="1"/>
  <c r="BX133" i="102" a="1"/>
  <c r="L53" i="102" a="1"/>
  <c r="T84" i="102" a="1"/>
  <c r="AR78" i="102" a="1"/>
  <c r="X33" i="103" a="1"/>
  <c r="CN164" i="102" a="1"/>
  <c r="T36" i="102" a="1"/>
  <c r="AJ56" i="102" a="1"/>
  <c r="T45" i="102" a="1"/>
  <c r="CN135" i="102" a="1"/>
  <c r="BP7" i="102" a="1"/>
  <c r="L124" i="102" a="1"/>
  <c r="T67" i="103" a="1"/>
  <c r="T123" i="102" a="1"/>
  <c r="CF122" i="102" a="1"/>
  <c r="AB26" i="102" a="1"/>
  <c r="CN163" i="102" a="1"/>
  <c r="AZ65" i="102" a="1"/>
  <c r="BH46" i="102" a="1"/>
  <c r="BX67" i="102" a="1"/>
  <c r="AZ12" i="102" a="1"/>
  <c r="AJ30" i="102" a="1"/>
  <c r="F63" i="104"/>
  <c r="AJ65" i="102" a="1"/>
  <c r="BP78" i="102" a="1"/>
  <c r="BH99" i="102" a="1"/>
  <c r="BH30" i="102" a="1"/>
  <c r="BH42" i="102" a="1"/>
  <c r="AZ26" i="102" a="1"/>
  <c r="AR43" i="102" a="1"/>
  <c r="BH13" i="102" a="1"/>
  <c r="BH11" i="102" a="1"/>
  <c r="BH49" i="102" a="1"/>
  <c r="AR24" i="102" a="1"/>
  <c r="BX84" i="102" a="1"/>
  <c r="F80" i="104"/>
  <c r="BX34" i="102" a="1"/>
  <c r="BH26" i="102" a="1"/>
  <c r="L32" i="102" a="1"/>
  <c r="AR53" i="102" a="1"/>
  <c r="BX70" i="102" a="1"/>
  <c r="BX78" i="102" a="1"/>
  <c r="F60" i="104"/>
  <c r="W25" i="103" a="1"/>
  <c r="T149" i="102" a="1"/>
  <c r="BH214" i="102" a="1"/>
  <c r="AB94" i="102" a="1"/>
  <c r="L79" i="102" a="1"/>
  <c r="Q69" i="103" a="1"/>
  <c r="BP168" i="102" a="1"/>
  <c r="AB147" i="102" a="1"/>
  <c r="AB17" i="102" a="1"/>
  <c r="CN201" i="102" a="1"/>
  <c r="BH84" i="102" a="1"/>
  <c r="V81" i="103" a="1"/>
  <c r="BH98" i="102" a="1"/>
  <c r="Q75" i="103" a="1"/>
  <c r="T170" i="102" a="1"/>
  <c r="AA3" i="60" a="1"/>
  <c r="T83" i="103" a="1"/>
  <c r="X72" i="103" a="1"/>
  <c r="L229" i="102" a="1"/>
  <c r="CF207" i="102" a="1"/>
  <c r="BH93" i="102" a="1"/>
  <c r="L76" i="102" a="1"/>
  <c r="AJ61" i="102" a="1"/>
  <c r="AR83" i="102" a="1"/>
  <c r="X51" i="103" a="1"/>
  <c r="AB79" i="102" a="1"/>
  <c r="CN231" i="102" a="1"/>
  <c r="T15" i="102" a="1"/>
  <c r="BX93" i="102" a="1"/>
  <c r="P31" i="103" a="1"/>
  <c r="AJ106" i="102" a="1"/>
  <c r="T56" i="102" a="1"/>
  <c r="CN154" i="102" a="1"/>
  <c r="L81" i="102" a="1"/>
  <c r="BH207" i="102" a="1"/>
  <c r="CF188" i="102" a="1"/>
  <c r="BX31" i="102" a="1"/>
  <c r="Q10" i="103" a="1"/>
  <c r="AB112" i="102" a="1"/>
  <c r="BP142" i="102" a="1"/>
  <c r="T41" i="102" a="1"/>
  <c r="T43" i="102" a="1"/>
  <c r="L43" i="102" a="1"/>
  <c r="AR97" i="102" a="1"/>
  <c r="L55" i="102" a="1"/>
  <c r="BH175" i="102" a="1"/>
  <c r="BX182" i="102" a="1"/>
  <c r="CN221" i="102" a="1"/>
  <c r="T13" i="102" a="1"/>
  <c r="AJ19" i="102" a="1"/>
  <c r="AZ70" i="102" a="1"/>
  <c r="V41" i="103" a="1"/>
  <c r="T201" i="102" a="1"/>
  <c r="AB36" i="102" a="1"/>
  <c r="AJ29" i="102" a="1"/>
  <c r="BX145" i="102" a="1"/>
  <c r="T40" i="102" a="1"/>
  <c r="AB42" i="102" a="1"/>
  <c r="BP9" i="102" a="1"/>
  <c r="T167" i="102" a="1"/>
  <c r="L71" i="102" a="1"/>
  <c r="AB11" i="102" a="1"/>
  <c r="BP107" i="102" a="1"/>
  <c r="AB70" i="102" a="1"/>
  <c r="L56" i="102" a="1"/>
  <c r="BP15" i="102" a="1"/>
  <c r="L120" i="102" a="1"/>
  <c r="V16" i="103" a="1"/>
  <c r="T134" i="102" a="1"/>
  <c r="CN228" i="102" a="1"/>
  <c r="AJ27" i="102" a="1"/>
  <c r="L63" i="102" a="1"/>
  <c r="BH38" i="102" a="1"/>
  <c r="BP12" i="102" a="1"/>
  <c r="AR41" i="102" a="1"/>
  <c r="AZ82" i="102" a="1"/>
  <c r="AR71" i="102" a="1"/>
  <c r="F73" i="104"/>
  <c r="AR35" i="102" a="1"/>
  <c r="BX13" i="102" a="1"/>
  <c r="BP132" i="102" a="1"/>
  <c r="AJ67" i="102" a="1"/>
  <c r="BH60" i="102" a="1"/>
  <c r="AZ60" i="102" a="1"/>
  <c r="AZ34" i="102" a="1"/>
  <c r="BP42" i="102" a="1"/>
  <c r="BH61" i="102" a="1"/>
  <c r="BP82" i="102" a="1"/>
  <c r="AZ22" i="102" a="1"/>
  <c r="AR57" i="102" a="1"/>
  <c r="F62" i="104"/>
  <c r="BX46" i="102" a="1"/>
  <c r="BP32" i="102" a="1"/>
  <c r="L82" i="102" a="1"/>
  <c r="AZ53" i="102" a="1"/>
  <c r="AJ78" i="102" a="1"/>
  <c r="AR59" i="102" a="1"/>
  <c r="BH32" i="102" a="1"/>
  <c r="F65" i="104"/>
  <c r="F52" i="104"/>
  <c r="F16" i="104"/>
  <c r="P66" i="103" a="1"/>
  <c r="T55" i="102" a="1"/>
  <c r="L61" i="102" a="1"/>
  <c r="T51" i="102" a="1"/>
  <c r="AZ165" i="102" a="1"/>
  <c r="L42" i="102" a="1"/>
  <c r="CN190" i="102" a="1"/>
  <c r="L99" i="102" a="1"/>
  <c r="T35" i="102" a="1"/>
  <c r="CF212" i="102" a="1"/>
  <c r="T26" i="102" a="1"/>
  <c r="L27" i="102" a="1"/>
  <c r="AB130" i="102" a="1"/>
  <c r="AR74" i="102" a="1"/>
  <c r="AZ68" i="102" a="1"/>
  <c r="BX69" i="102" a="1"/>
  <c r="BP53" i="102" a="1"/>
  <c r="BH18" i="102" a="1"/>
  <c r="F15" i="104"/>
  <c r="K12" i="104" a="1"/>
  <c r="K11" i="104" a="1"/>
  <c r="S59" i="77" a="1"/>
  <c r="S35" i="75" a="1"/>
  <c r="S111" i="76" a="1"/>
  <c r="R73" i="74" a="1"/>
  <c r="R116" i="74" a="1"/>
  <c r="S50" i="67" a="1"/>
  <c r="R99" i="75" a="1"/>
  <c r="S79" i="74" a="1"/>
  <c r="R59" i="77" a="1"/>
  <c r="R42" i="75" a="1"/>
  <c r="S71" i="74" a="1"/>
  <c r="S81" i="77" a="1"/>
  <c r="R79" i="67" a="1"/>
  <c r="R79" i="77" a="1"/>
  <c r="R117" i="75" a="1"/>
  <c r="R56" i="76" a="1"/>
  <c r="R14" i="77" a="1"/>
  <c r="R41" i="76" a="1"/>
  <c r="S16" i="76" a="1"/>
  <c r="R78" i="67" a="1"/>
  <c r="R14" i="76" a="1"/>
  <c r="S47" i="76" a="1"/>
  <c r="R57" i="67" a="1"/>
  <c r="R51" i="75" a="1"/>
  <c r="S94" i="76" a="1"/>
  <c r="R51" i="76" a="1"/>
  <c r="S101" i="77" a="1"/>
  <c r="S108" i="77" a="1"/>
  <c r="S54" i="75" a="1"/>
  <c r="R87" i="76" a="1"/>
  <c r="S103" i="76" a="1"/>
  <c r="R69" i="77" a="1"/>
  <c r="S93" i="67" a="1"/>
  <c r="R20" i="67" a="1"/>
  <c r="S83" i="75" a="1"/>
  <c r="R46" i="74" a="1"/>
  <c r="S32" i="76" a="1"/>
  <c r="S59" i="76" a="1"/>
  <c r="R90" i="77" a="1"/>
  <c r="R98" i="75" a="1"/>
  <c r="R118" i="77" a="1"/>
  <c r="R41" i="67" a="1"/>
  <c r="S88" i="67" a="1"/>
  <c r="R92" i="75" a="1"/>
  <c r="S35" i="77" a="1"/>
  <c r="S71" i="75" a="1"/>
  <c r="S37" i="67" a="1"/>
  <c r="R96" i="77" a="1"/>
  <c r="R18" i="77" a="1"/>
  <c r="S67" i="75" a="1"/>
  <c r="R69" i="74" a="1"/>
  <c r="R81" i="76" a="1"/>
  <c r="R121" i="77" a="1"/>
  <c r="R22" i="75" a="1"/>
  <c r="R19" i="76" a="1"/>
  <c r="R114" i="75" a="1"/>
  <c r="S106" i="77" a="1"/>
  <c r="S70" i="75" a="1"/>
  <c r="S49" i="67" a="1"/>
  <c r="R119" i="76" a="1"/>
  <c r="S102" i="75" a="1"/>
  <c r="R108" i="74" a="1"/>
  <c r="R77" i="67" a="1"/>
  <c r="R11" i="76" a="1"/>
  <c r="R86" i="75" a="1"/>
  <c r="R53" i="74" a="1"/>
  <c r="R54" i="74" a="1"/>
  <c r="R89" i="77" a="1"/>
  <c r="S62" i="67" a="1"/>
  <c r="S67" i="76" a="1"/>
  <c r="R114" i="67" a="1"/>
  <c r="R53" i="76" a="1"/>
  <c r="S110" i="74" a="1"/>
  <c r="R94" i="76" a="1"/>
  <c r="R77" i="75" a="1"/>
  <c r="R88" i="67" a="1"/>
  <c r="S93" i="77" a="1"/>
  <c r="R52" i="74" a="1"/>
  <c r="S35" i="67" a="1"/>
  <c r="R113" i="75" a="1"/>
  <c r="S51" i="76" a="1"/>
  <c r="R38" i="74" a="1"/>
  <c r="R108" i="77" a="1"/>
  <c r="R103" i="75" a="1"/>
  <c r="R33" i="76" a="1"/>
  <c r="R95" i="77" a="1"/>
  <c r="S82" i="77" a="1"/>
  <c r="S18" i="76" a="1"/>
  <c r="S76" i="74" a="1"/>
  <c r="R30" i="77" a="1"/>
  <c r="R74" i="74" a="1"/>
  <c r="R26" i="76" a="1"/>
  <c r="S13" i="75" a="1"/>
  <c r="R110" i="77" a="1"/>
  <c r="R115" i="67" a="1"/>
  <c r="S92" i="75" a="1"/>
  <c r="R114" i="77" a="1"/>
  <c r="R90" i="75" a="1"/>
  <c r="R113" i="67" a="1"/>
  <c r="S11" i="67" a="1"/>
  <c r="R81" i="75" a="1"/>
  <c r="S41" i="76" a="1"/>
  <c r="S113" i="76" a="1"/>
  <c r="S23" i="77" a="1"/>
  <c r="S25" i="74" a="1"/>
  <c r="S61" i="67" a="1"/>
  <c r="R57" i="75" a="1"/>
  <c r="R120" i="75" a="1"/>
  <c r="R56" i="74" a="1"/>
  <c r="R62" i="67" a="1"/>
  <c r="S98" i="67" a="1"/>
  <c r="S87" i="75" a="1"/>
  <c r="R18" i="67" a="1"/>
  <c r="R121" i="75" a="1"/>
  <c r="R28" i="75" a="1"/>
  <c r="S80" i="77" a="1"/>
  <c r="R50" i="67" a="1"/>
  <c r="S57" i="76" a="1"/>
  <c r="R102" i="77" a="1"/>
  <c r="S92" i="67" a="1"/>
  <c r="S33" i="75" a="1"/>
  <c r="R28" i="74" a="1"/>
  <c r="R119" i="67" a="1"/>
  <c r="R104" i="74" a="1"/>
  <c r="R61" i="77" a="1"/>
  <c r="R113" i="76" a="1"/>
  <c r="S46" i="75" a="1"/>
  <c r="S58" i="74" a="1"/>
  <c r="R95" i="74" a="1"/>
  <c r="R97" i="67" a="1"/>
  <c r="R101" i="76" a="1"/>
  <c r="R20" i="75" a="1"/>
  <c r="S12" i="76" a="1"/>
  <c r="R23" i="77" a="1"/>
  <c r="S46" i="67" a="1"/>
  <c r="S87" i="76" a="1"/>
  <c r="R90" i="74" a="1"/>
  <c r="R116" i="67" a="1"/>
  <c r="S86" i="75" a="1"/>
  <c r="R45" i="74" a="1"/>
  <c r="R45" i="77" a="1"/>
  <c r="S59" i="74" a="1"/>
  <c r="S53" i="67" a="1"/>
  <c r="S65" i="75" a="1"/>
  <c r="R39" i="74" a="1"/>
  <c r="S80" i="67" a="1"/>
  <c r="S89" i="77" a="1"/>
  <c r="R78" i="77" a="1"/>
  <c r="R33" i="67" a="1"/>
  <c r="R74" i="77" a="1"/>
  <c r="R40" i="77" a="1"/>
  <c r="R68" i="67" a="1"/>
  <c r="S114" i="75" a="1"/>
  <c r="R74" i="75" a="1"/>
  <c r="R17" i="74" a="1"/>
  <c r="R18" i="75" a="1"/>
  <c r="R24" i="77" a="1"/>
  <c r="R30" i="75" a="1"/>
  <c r="S105" i="75" a="1"/>
  <c r="R28" i="76" a="1"/>
  <c r="R98" i="77" a="1"/>
  <c r="R35" i="77" a="1"/>
  <c r="R84" i="67" a="1"/>
  <c r="R109" i="77" a="1"/>
  <c r="S28" i="67" a="1"/>
  <c r="S66" i="75" a="1"/>
  <c r="R120" i="74" a="1"/>
  <c r="R13" i="67" a="1"/>
  <c r="R112" i="76" a="1"/>
  <c r="R15" i="76" a="1"/>
  <c r="S56" i="77" a="1"/>
  <c r="S80" i="75" a="1"/>
  <c r="R71" i="74" a="1"/>
  <c r="S103" i="67" a="1"/>
  <c r="R42" i="77" a="1"/>
  <c r="S85" i="76" a="1"/>
  <c r="R48" i="74" a="1"/>
  <c r="S25" i="77" a="1"/>
  <c r="S63" i="76" a="1"/>
  <c r="R88" i="75" a="1"/>
  <c r="S32" i="74" a="1"/>
  <c r="R59" i="75" a="1"/>
  <c r="R56" i="67" a="1"/>
  <c r="R22" i="76" a="1"/>
  <c r="S31" i="74" a="1"/>
  <c r="S21" i="77" a="1"/>
  <c r="S15" i="77" a="1"/>
  <c r="S83" i="67" a="1"/>
  <c r="S41" i="74" a="1"/>
  <c r="R40" i="67" a="1"/>
  <c r="S93" i="75" a="1"/>
  <c r="R25" i="77" a="1"/>
  <c r="R80" i="67" a="1"/>
  <c r="R109" i="76" a="1"/>
  <c r="S110" i="77" a="1"/>
  <c r="S78" i="76" a="1"/>
  <c r="S77" i="77" a="1"/>
  <c r="S98" i="76" a="1"/>
  <c r="R91" i="77" a="1"/>
  <c r="R38" i="75" a="1"/>
  <c r="S48" i="67" a="1"/>
  <c r="S53" i="75" a="1"/>
  <c r="R48" i="76" a="1"/>
  <c r="S109" i="76" a="1"/>
  <c r="R39" i="76" a="1"/>
  <c r="R36" i="74" a="1"/>
  <c r="S100" i="67" a="1"/>
  <c r="R30" i="67" a="1"/>
  <c r="S71" i="67" a="1"/>
  <c r="S38" i="67" a="1"/>
  <c r="S100" i="77" a="1"/>
  <c r="S66" i="77" a="1"/>
  <c r="S105" i="67" a="1"/>
  <c r="S14" i="76" a="1"/>
  <c r="S49" i="77" a="1"/>
  <c r="S97" i="77" a="1"/>
  <c r="R104" i="75" a="1"/>
  <c r="S49" i="76" a="1"/>
  <c r="S110" i="75" a="1"/>
  <c r="R121" i="74" a="1"/>
  <c r="S22" i="67" a="1"/>
  <c r="R28" i="67" a="1"/>
  <c r="S21" i="67" a="1"/>
  <c r="R55" i="67" a="1"/>
  <c r="R111" i="76" a="1"/>
  <c r="S17" i="67" a="1"/>
  <c r="S61" i="76" a="1"/>
  <c r="R44" i="77" a="1"/>
  <c r="S56" i="76" a="1"/>
  <c r="S58" i="75" a="1"/>
  <c r="S72" i="76" a="1"/>
  <c r="R18" i="74" a="1"/>
  <c r="R89" i="67" a="1"/>
  <c r="S106" i="75" a="1"/>
  <c r="R93" i="74" a="1"/>
  <c r="R87" i="67" a="1"/>
  <c r="S42" i="67" a="1"/>
  <c r="R97" i="76" a="1"/>
  <c r="R32" i="74" a="1"/>
  <c r="S91" i="76" a="1"/>
  <c r="R22" i="67" a="1"/>
  <c r="S112" i="75" a="1"/>
  <c r="R121" i="76" a="1"/>
  <c r="S116" i="77" a="1"/>
  <c r="R82" i="67" a="1"/>
  <c r="R31" i="74" a="1"/>
  <c r="R45" i="67" a="1"/>
  <c r="R76" i="74" a="1"/>
  <c r="S29" i="74" a="1"/>
  <c r="R39" i="67" a="1"/>
  <c r="R104" i="76" a="1"/>
  <c r="S111" i="75" a="1"/>
  <c r="R113" i="74" a="1"/>
  <c r="R72" i="74" a="1"/>
  <c r="S13" i="76" a="1"/>
  <c r="R75" i="67" a="1"/>
  <c r="R83" i="67" a="1"/>
  <c r="R96" i="76" a="1"/>
  <c r="S112" i="77" a="1"/>
  <c r="R71" i="77" a="1"/>
  <c r="R21" i="77" a="1"/>
  <c r="S28" i="76" a="1"/>
  <c r="S55" i="67" a="1"/>
  <c r="R39" i="75" a="1"/>
  <c r="R92" i="76" a="1"/>
  <c r="S43" i="77" a="1"/>
  <c r="S60" i="67" a="1"/>
  <c r="S84" i="67" a="1"/>
  <c r="S119" i="77" a="1"/>
  <c r="S82" i="75" a="1"/>
  <c r="S37" i="76" a="1"/>
  <c r="S107" i="77" a="1"/>
  <c r="S80" i="76" a="1"/>
  <c r="S71" i="76" a="1"/>
  <c r="R20" i="76" a="1"/>
  <c r="R106" i="67" a="1"/>
  <c r="R16" i="75" a="1"/>
  <c r="S69" i="75" a="1"/>
  <c r="S23" i="76" a="1"/>
  <c r="R99" i="67" a="1"/>
  <c r="R26" i="67" a="1"/>
  <c r="S77" i="67" a="1"/>
  <c r="R114" i="76" a="1"/>
  <c r="S57" i="77" a="1"/>
  <c r="S27" i="74" a="1"/>
  <c r="S30" i="77" a="1"/>
  <c r="R12" i="67" a="1"/>
  <c r="S47" i="74" a="1"/>
  <c r="S96" i="67" a="1"/>
  <c r="R27" i="74" a="1"/>
  <c r="S13" i="77" a="1"/>
  <c r="S121" i="75" a="1"/>
  <c r="S111" i="67" a="1"/>
  <c r="R38" i="76" a="1"/>
  <c r="S113" i="77" a="1"/>
  <c r="R101" i="67" a="1"/>
  <c r="R15" i="74" a="1"/>
  <c r="S55" i="77" a="1"/>
  <c r="R17" i="77" a="1"/>
  <c r="S121" i="74" a="1"/>
  <c r="R100" i="74" a="1"/>
  <c r="R70" i="75" a="1"/>
  <c r="R120" i="67" a="1"/>
  <c r="R46" i="67" a="1"/>
  <c r="R117" i="76" a="1"/>
  <c r="S52" i="74" a="1"/>
  <c r="S108" i="74" a="1"/>
  <c r="S120" i="76" a="1"/>
  <c r="R63" i="77" a="1"/>
  <c r="S59" i="75" a="1"/>
  <c r="S26" i="76" a="1"/>
  <c r="S34" i="74" a="1"/>
  <c r="R60" i="74" a="1"/>
  <c r="S50" i="74" a="1"/>
  <c r="S93" i="74" a="1"/>
  <c r="R47" i="77" a="1"/>
  <c r="S21" i="76" a="1"/>
  <c r="S15" i="76" a="1"/>
  <c r="R80" i="77" a="1"/>
  <c r="R64" i="67" a="1"/>
  <c r="S61" i="75" a="1"/>
  <c r="R33" i="75" a="1"/>
  <c r="S95" i="74" a="1"/>
  <c r="R36" i="77" a="1"/>
  <c r="S35" i="74" a="1"/>
  <c r="S107" i="76" a="1"/>
  <c r="R62" i="77" a="1"/>
  <c r="R100" i="77" a="1"/>
  <c r="S62" i="75" a="1"/>
  <c r="S11" i="77" a="1"/>
  <c r="R60" i="75" a="1"/>
  <c r="R58" i="77" a="1"/>
  <c r="S11" i="74" a="1"/>
  <c r="R71" i="76" a="1"/>
  <c r="S96" i="77" a="1"/>
  <c r="R93" i="67" a="1"/>
  <c r="R116" i="76" a="1"/>
  <c r="R16" i="77" a="1"/>
  <c r="R13" i="74" a="1"/>
  <c r="R70" i="74" a="1"/>
  <c r="R83" i="77" a="1"/>
  <c r="S66" i="76" a="1"/>
  <c r="S50" i="76" a="1"/>
  <c r="R44" i="76" a="1"/>
  <c r="R62" i="75" a="1"/>
  <c r="R66" i="74" a="1"/>
  <c r="R13" i="75" a="1"/>
  <c r="R57" i="77" a="1"/>
  <c r="R103" i="76" a="1"/>
  <c r="R88" i="76" a="1"/>
  <c r="R70" i="76" a="1"/>
  <c r="R109" i="67" a="1"/>
  <c r="R81" i="74" a="1"/>
  <c r="S90" i="67" a="1"/>
  <c r="S90" i="77" a="1"/>
  <c r="S41" i="67" a="1"/>
  <c r="R83" i="76" a="1"/>
  <c r="S69" i="77" a="1"/>
  <c r="S92" i="77" a="1"/>
  <c r="S19" i="75" a="1"/>
  <c r="R77" i="74" a="1"/>
  <c r="S62" i="74" a="1"/>
  <c r="R79" i="75" a="1"/>
  <c r="S109" i="74" a="1"/>
  <c r="S84" i="75" a="1"/>
  <c r="S69" i="74" a="1"/>
  <c r="S118" i="77" a="1"/>
  <c r="S115" i="67" a="1"/>
  <c r="S11" i="75" a="1"/>
  <c r="S35" i="76" a="1"/>
  <c r="R72" i="77" a="1"/>
  <c r="R36" i="67" a="1"/>
  <c r="R76" i="75" a="1"/>
  <c r="R53" i="77" a="1"/>
  <c r="R15" i="77" a="1"/>
  <c r="S48" i="75" a="1"/>
  <c r="R72" i="76" a="1"/>
  <c r="S98" i="75" a="1"/>
  <c r="R101" i="77" a="1"/>
  <c r="R51" i="67" a="1"/>
  <c r="S28" i="75" a="1"/>
  <c r="S33" i="74" a="1"/>
  <c r="S75" i="77" a="1"/>
  <c r="R63" i="76" a="1"/>
  <c r="S19" i="74" a="1"/>
  <c r="R23" i="76" a="1"/>
  <c r="S44" i="76" a="1"/>
  <c r="R119" i="77" a="1"/>
  <c r="S29" i="67" a="1"/>
  <c r="S43" i="75" a="1"/>
  <c r="S118" i="75" a="1"/>
  <c r="R105" i="76" a="1"/>
  <c r="R91" i="75" a="1"/>
  <c r="S41" i="77" a="1"/>
  <c r="S84" i="77" a="1"/>
  <c r="R37" i="75" a="1"/>
  <c r="R100" i="76" a="1"/>
  <c r="S99" i="74" a="1"/>
  <c r="S72" i="67" a="1"/>
  <c r="S20" i="67" a="1"/>
  <c r="S57" i="74" a="1"/>
  <c r="S36" i="67" a="1"/>
  <c r="S117" i="75" a="1"/>
  <c r="R79" i="74" a="1"/>
  <c r="S89" i="74" a="1"/>
  <c r="R19" i="74" a="1"/>
  <c r="R57" i="76" a="1"/>
  <c r="R53" i="67" a="1"/>
  <c r="S60" i="75" a="1"/>
  <c r="R22" i="74" a="1"/>
  <c r="S13" i="74" a="1"/>
  <c r="S103" i="77" a="1"/>
  <c r="S45" i="75" a="1"/>
  <c r="S99" i="77" a="1"/>
  <c r="R73" i="67" a="1"/>
  <c r="S101" i="67" a="1"/>
  <c r="S27" i="75" a="1"/>
  <c r="R111" i="75" a="1"/>
  <c r="R103" i="77" a="1"/>
  <c r="R82" i="77" a="1"/>
  <c r="R72" i="75" a="1"/>
  <c r="S51" i="74" a="1"/>
  <c r="S42" i="76" a="1"/>
  <c r="R59" i="74" a="1"/>
  <c r="R27" i="77" a="1"/>
  <c r="S79" i="75" a="1"/>
  <c r="S98" i="74" a="1"/>
  <c r="S89" i="76" a="1"/>
  <c r="S44" i="74" a="1"/>
  <c r="S85" i="77" a="1"/>
  <c r="S49" i="74" a="1"/>
  <c r="R40" i="76" a="1"/>
  <c r="S103" i="74" a="1"/>
  <c r="R28" i="77" a="1"/>
  <c r="R97" i="77" a="1"/>
  <c r="R79" i="76" a="1"/>
  <c r="S51" i="67" a="1"/>
  <c r="R14" i="75" a="1"/>
  <c r="R92" i="74" a="1"/>
  <c r="R20" i="77" a="1"/>
  <c r="S119" i="75" a="1"/>
  <c r="R55" i="74" a="1"/>
  <c r="R73" i="76" a="1"/>
  <c r="R13" i="77" a="1"/>
  <c r="R34" i="76" a="1"/>
  <c r="S74" i="74" a="1"/>
  <c r="S65" i="77" a="1"/>
  <c r="S116" i="74" a="1"/>
  <c r="S116" i="75" a="1"/>
  <c r="S103" i="75" a="1"/>
  <c r="R110" i="74" a="1"/>
  <c r="S33" i="77" a="1"/>
  <c r="S62" i="77" a="1"/>
  <c r="R53" i="75" a="1"/>
  <c r="S11" i="76" a="1"/>
  <c r="S61" i="74" a="1"/>
  <c r="S114" i="67" a="1"/>
  <c r="S17" i="75" a="1"/>
  <c r="R40" i="74" a="1"/>
  <c r="R41" i="74" a="1"/>
  <c r="S111" i="74" a="1"/>
  <c r="S29" i="75" a="1"/>
  <c r="R71" i="75" a="1"/>
  <c r="R88" i="74" a="1"/>
  <c r="S16" i="67" a="1"/>
  <c r="S45" i="67" a="1"/>
  <c r="S118" i="76" a="1"/>
  <c r="R68" i="74" a="1"/>
  <c r="S20" i="75" a="1"/>
  <c r="S120" i="75" a="1"/>
  <c r="S108" i="75" a="1"/>
  <c r="S104" i="76" a="1"/>
  <c r="R114" i="74" a="1"/>
  <c r="R111" i="67" a="1"/>
  <c r="S34" i="67" a="1"/>
  <c r="R63" i="75" a="1"/>
  <c r="S23" i="67" a="1"/>
  <c r="S54" i="77" a="1"/>
  <c r="S106" i="74" a="1"/>
  <c r="S64" i="77" a="1"/>
  <c r="S44" i="67" a="1"/>
  <c r="S116" i="67" a="1"/>
  <c r="S83" i="76" a="1"/>
  <c r="S110" i="76" a="1"/>
  <c r="S61" i="77" a="1"/>
  <c r="R42" i="76" a="1"/>
  <c r="S112" i="67" a="1"/>
  <c r="S60" i="76" a="1"/>
  <c r="S45" i="76" a="1"/>
  <c r="R82" i="75" a="1"/>
  <c r="R109" i="74" a="1"/>
  <c r="R107" i="75" a="1"/>
  <c r="S68" i="75" a="1"/>
  <c r="R47" i="76" a="1"/>
  <c r="R70" i="67" a="1"/>
  <c r="S55" i="76" a="1"/>
  <c r="S16" i="77" a="1"/>
  <c r="S96" i="74" a="1"/>
  <c r="S94" i="77" a="1"/>
  <c r="R98" i="67" a="1"/>
  <c r="S24" i="67" a="1"/>
  <c r="S78" i="77" a="1"/>
  <c r="R89" i="76" a="1"/>
  <c r="R54" i="75" a="1"/>
  <c r="S84" i="76" a="1"/>
  <c r="S28" i="74" a="1"/>
  <c r="S98" i="77" a="1"/>
  <c r="S91" i="67" a="1"/>
  <c r="S113" i="75" a="1"/>
  <c r="R102" i="74" a="1"/>
  <c r="R51" i="77" a="1"/>
  <c r="R106" i="75" a="1"/>
  <c r="R12" i="76" a="1"/>
  <c r="S63" i="74" a="1"/>
  <c r="R100" i="67" a="1"/>
  <c r="S81" i="75" a="1"/>
  <c r="S84" i="74" a="1"/>
  <c r="R60" i="76" a="1"/>
  <c r="S52" i="77" a="1"/>
  <c r="R14" i="67" a="1"/>
  <c r="S65" i="76" a="1"/>
  <c r="R111" i="74" a="1"/>
  <c r="R110" i="75" a="1"/>
  <c r="S72" i="77" a="1"/>
  <c r="S75" i="76" a="1"/>
  <c r="R65" i="75" a="1"/>
  <c r="S119" i="74" a="1"/>
  <c r="R34" i="77" a="1"/>
  <c r="R92" i="77" a="1"/>
  <c r="S62" i="76" a="1"/>
  <c r="S46" i="74" a="1"/>
  <c r="S120" i="77" a="1"/>
  <c r="R91" i="76" a="1"/>
  <c r="S114" i="74" a="1"/>
  <c r="S120" i="67" a="1"/>
  <c r="R117" i="67" a="1"/>
  <c r="R116" i="75" a="1"/>
  <c r="S104" i="75" a="1"/>
  <c r="S70" i="74" a="1"/>
  <c r="R43" i="75" a="1"/>
  <c r="R33" i="77" a="1"/>
  <c r="S108" i="67" a="1"/>
  <c r="S75" i="67" a="1"/>
  <c r="R30" i="74" a="1"/>
  <c r="S81" i="76" a="1"/>
  <c r="S72" i="75" a="1"/>
  <c r="S86" i="74" a="1"/>
  <c r="S67" i="67" a="1"/>
  <c r="R32" i="67" a="1"/>
  <c r="R23" i="75" a="1"/>
  <c r="S12" i="77" a="1"/>
  <c r="R109" i="75" a="1"/>
  <c r="R14" i="74" a="1"/>
  <c r="R56" i="77" a="1"/>
  <c r="R106" i="77" a="1"/>
  <c r="S67" i="74" a="1"/>
  <c r="S115" i="74" a="1"/>
  <c r="S36" i="76" a="1"/>
  <c r="R112" i="74" a="1"/>
  <c r="S48" i="74" a="1"/>
  <c r="S38" i="75" a="1"/>
  <c r="R55" i="75" a="1"/>
  <c r="R74" i="76" a="1"/>
  <c r="R58" i="74" a="1"/>
  <c r="R25" i="74" a="1"/>
  <c r="S14" i="75" a="1"/>
  <c r="R34" i="67" a="1"/>
  <c r="R65" i="76" a="1"/>
  <c r="R32" i="75" a="1"/>
  <c r="R35" i="75" a="1"/>
  <c r="S39" i="67" a="1"/>
  <c r="S94" i="75" a="1"/>
  <c r="S68" i="74" a="1"/>
  <c r="R80" i="75" a="1"/>
  <c r="S64" i="67" a="1"/>
  <c r="S105" i="74" a="1"/>
  <c r="R110" i="67" a="1"/>
  <c r="S71" i="77" a="1"/>
  <c r="S91" i="77" a="1"/>
  <c r="S47" i="75" a="1"/>
  <c r="S96" i="75" a="1"/>
  <c r="R12" i="74" a="1"/>
  <c r="S40" i="76" a="1"/>
  <c r="S77" i="74" a="1"/>
  <c r="S43" i="76" a="1"/>
  <c r="R29" i="77" a="1"/>
  <c r="S113" i="74" a="1"/>
  <c r="S43" i="74" a="1"/>
  <c r="R66" i="75" a="1"/>
  <c r="R54" i="76" a="1"/>
  <c r="S52" i="76" a="1"/>
  <c r="R89" i="75" a="1"/>
  <c r="R16" i="76" a="1"/>
  <c r="R34" i="75" a="1"/>
  <c r="S79" i="76" a="1"/>
  <c r="R57" i="74" a="1"/>
  <c r="R91" i="74" a="1"/>
  <c r="S38" i="77" a="1"/>
  <c r="S58" i="67" a="1"/>
  <c r="S76" i="76" a="1"/>
  <c r="R87" i="77" a="1"/>
  <c r="R93" i="75" a="1"/>
  <c r="R80" i="76" a="1"/>
  <c r="S27" i="76" a="1"/>
  <c r="R71" i="67" a="1"/>
  <c r="S115" i="75" a="1"/>
  <c r="S94" i="67" a="1"/>
  <c r="S39" i="76" a="1"/>
  <c r="S95" i="77" a="1"/>
  <c r="R50" i="77" a="1"/>
  <c r="R26" i="75" a="1"/>
  <c r="S77" i="76" a="1"/>
  <c r="S42" i="75" a="1"/>
  <c r="R68" i="76" a="1"/>
  <c r="S118" i="67" a="1"/>
  <c r="S24" i="75" a="1"/>
  <c r="R32" i="76" a="1"/>
  <c r="R77" i="77" a="1"/>
  <c r="S32" i="77" a="1"/>
  <c r="S114" i="76" a="1"/>
  <c r="S121" i="76" a="1"/>
  <c r="S56" i="74" a="1"/>
  <c r="S22" i="75" a="1"/>
  <c r="S86" i="76" a="1"/>
  <c r="R41" i="77" a="1"/>
  <c r="R113" i="77" a="1"/>
  <c r="S39" i="77" a="1"/>
  <c r="R85" i="77" a="1"/>
  <c r="S120" i="74" a="1"/>
  <c r="R95" i="75" a="1"/>
  <c r="S22" i="74" a="1"/>
  <c r="R85" i="67" a="1"/>
  <c r="S22" i="77" a="1"/>
  <c r="R54" i="77" a="1"/>
  <c r="R45" i="75" a="1"/>
  <c r="S46" i="77" a="1"/>
  <c r="R37" i="74" a="1"/>
  <c r="S14" i="77" a="1"/>
  <c r="S86" i="77" a="1"/>
  <c r="S107" i="67" a="1"/>
  <c r="S14" i="74" a="1"/>
  <c r="S76" i="67" a="1"/>
  <c r="S101" i="76" a="1"/>
  <c r="S45" i="74" a="1"/>
  <c r="S104" i="77" a="1"/>
  <c r="S113" i="67" a="1"/>
  <c r="R41" i="75" a="1"/>
  <c r="R84" i="75" a="1"/>
  <c r="R84" i="76" a="1"/>
  <c r="R65" i="67" a="1"/>
  <c r="S76" i="75" a="1"/>
  <c r="R29" i="76" a="1"/>
  <c r="R35" i="67" a="1"/>
  <c r="S30" i="75" a="1"/>
  <c r="R75" i="76" a="1"/>
  <c r="R117" i="77" a="1"/>
  <c r="S18" i="67" a="1"/>
  <c r="S102" i="77" a="1"/>
  <c r="R90" i="76" a="1"/>
  <c r="S117" i="76" a="1"/>
  <c r="R106" i="74" a="1"/>
  <c r="S72" i="74" a="1"/>
  <c r="S64" i="76" a="1"/>
  <c r="R76" i="77" a="1"/>
  <c r="S27" i="67" a="1"/>
  <c r="R105" i="75" a="1"/>
  <c r="R49" i="76" a="1"/>
  <c r="R21" i="74" a="1"/>
  <c r="S74" i="77" a="1"/>
  <c r="R116" i="77" a="1"/>
  <c r="R37" i="76" a="1"/>
  <c r="R82" i="74" a="1"/>
  <c r="S110" i="67" a="1"/>
  <c r="S37" i="75" a="1"/>
  <c r="S119" i="76" a="1"/>
  <c r="R115" i="77" a="1"/>
  <c r="S99" i="67" a="1"/>
  <c r="S65" i="67" a="1"/>
  <c r="S85" i="75" a="1"/>
  <c r="S82" i="74" a="1"/>
  <c r="R93" i="77" a="1"/>
  <c r="S73" i="75" a="1"/>
  <c r="S24" i="76" a="1"/>
  <c r="R86" i="76" a="1"/>
  <c r="R49" i="75" a="1"/>
  <c r="S104" i="67" a="1"/>
  <c r="R19" i="67" a="1"/>
  <c r="R100" i="75" a="1"/>
  <c r="R64" i="74" a="1"/>
  <c r="S117" i="74" a="1"/>
  <c r="R75" i="75" a="1"/>
  <c r="R33" i="74" a="1"/>
  <c r="S115" i="76" a="1"/>
  <c r="R31" i="75" a="1"/>
  <c r="S33" i="76" a="1"/>
  <c r="S30" i="74" a="1"/>
  <c r="S102" i="74" a="1"/>
  <c r="R43" i="67" a="1"/>
  <c r="R25" i="75" a="1"/>
  <c r="S17" i="76" a="1"/>
  <c r="R59" i="67" a="1"/>
  <c r="S65" i="74" a="1"/>
  <c r="R105" i="77" a="1"/>
  <c r="S58" i="77" a="1"/>
  <c r="S18" i="77" a="1"/>
  <c r="R52" i="67" a="1"/>
  <c r="R60" i="67" a="1"/>
  <c r="R99" i="76" a="1"/>
  <c r="S50" i="77" a="1"/>
  <c r="R22" i="77" a="1"/>
  <c r="R81" i="77" a="1"/>
  <c r="S64" i="74" a="1"/>
  <c r="S59" i="67" a="1"/>
  <c r="S48" i="76" a="1"/>
  <c r="R86" i="74" a="1"/>
  <c r="R23" i="74" a="1"/>
  <c r="S79" i="77" a="1"/>
  <c r="R94" i="67" a="1"/>
  <c r="R21" i="75" a="1"/>
  <c r="R31" i="76" a="1"/>
  <c r="R12" i="77" a="1"/>
  <c r="R73" i="77" a="1"/>
  <c r="S63" i="67" a="1"/>
  <c r="S91" i="75" a="1"/>
  <c r="S36" i="77" a="1"/>
  <c r="S17" i="74" a="1"/>
  <c r="R90" i="67" a="1"/>
  <c r="S27" i="77" a="1"/>
  <c r="S16" i="75" a="1"/>
  <c r="R65" i="74" a="1"/>
  <c r="R49" i="67" a="1"/>
  <c r="R84" i="74" a="1"/>
  <c r="R44" i="75" a="1"/>
  <c r="S88" i="76" a="1"/>
  <c r="R63" i="74" a="1"/>
  <c r="R119" i="74" a="1"/>
  <c r="R64" i="77" a="1"/>
  <c r="R118" i="75" a="1"/>
  <c r="R102" i="76" a="1"/>
  <c r="S79" i="67" a="1"/>
  <c r="S73" i="77" a="1"/>
  <c r="S31" i="67" a="1"/>
  <c r="R105" i="67" a="1"/>
  <c r="S78" i="75" a="1"/>
  <c r="R106" i="76" a="1"/>
  <c r="R67" i="74" a="1"/>
  <c r="R31" i="77" a="1"/>
  <c r="R97" i="75" a="1"/>
  <c r="R61" i="74" a="1"/>
  <c r="S81" i="67" a="1"/>
  <c r="S89" i="75" a="1"/>
  <c r="S34" i="75" a="1"/>
  <c r="R37" i="77" a="1"/>
  <c r="R67" i="67" a="1"/>
  <c r="S109" i="77" a="1"/>
  <c r="R92" i="67" a="1"/>
  <c r="S54" i="76" a="1"/>
  <c r="R80" i="74" a="1"/>
  <c r="R74" i="67" a="1"/>
  <c r="S100" i="75" a="1"/>
  <c r="S68" i="67" a="1"/>
  <c r="R75" i="74" a="1"/>
  <c r="S34" i="77" a="1"/>
  <c r="S97" i="67" a="1"/>
  <c r="R101" i="75" a="1"/>
  <c r="R36" i="76" a="1"/>
  <c r="R117" i="74" a="1"/>
  <c r="R15" i="75" a="1"/>
  <c r="R36" i="75" a="1"/>
  <c r="R56" i="75" a="1"/>
  <c r="R121" i="67" a="1"/>
  <c r="R115" i="75" a="1"/>
  <c r="S73" i="74" a="1"/>
  <c r="S24" i="74" a="1"/>
  <c r="S121" i="67" a="1"/>
  <c r="R59" i="76" a="1"/>
  <c r="R87" i="75" a="1"/>
  <c r="N37" i="71" a="1"/>
  <c r="R35" i="76" a="1"/>
  <c r="S94" i="74" a="1"/>
  <c r="R51" i="74" a="1"/>
  <c r="R27" i="67" a="1"/>
  <c r="R102" i="67" a="1"/>
  <c r="R31" i="67" a="1"/>
  <c r="R46" i="76" a="1"/>
  <c r="R43" i="74" a="1"/>
  <c r="R115" i="74" a="1"/>
  <c r="R83" i="74" a="1"/>
  <c r="S82" i="76" a="1"/>
  <c r="R11" i="67" a="1"/>
  <c r="S97" i="75" a="1"/>
  <c r="S14" i="67" a="1"/>
  <c r="R108" i="76" a="1"/>
  <c r="S106" i="76" a="1"/>
  <c r="R96" i="74" a="1"/>
  <c r="S112" i="74" a="1"/>
  <c r="S109" i="75" a="1"/>
  <c r="R48" i="77" a="1"/>
  <c r="S26" i="67" a="1"/>
  <c r="R58" i="67" a="1"/>
  <c r="S73" i="67" a="1"/>
  <c r="S66" i="74" a="1"/>
  <c r="R81" i="67" a="1"/>
  <c r="R60" i="77" a="1"/>
  <c r="R20" i="74" a="1"/>
  <c r="R77" i="76" a="1"/>
  <c r="R86" i="77" a="1"/>
  <c r="R67" i="77" a="1"/>
  <c r="S15" i="74" a="1"/>
  <c r="N51" i="71" a="1"/>
  <c r="S70" i="76" a="1"/>
  <c r="R96" i="67" a="1"/>
  <c r="S32" i="75" a="1"/>
  <c r="R72" i="67" a="1"/>
  <c r="S37" i="74" a="1"/>
  <c r="R21" i="67" a="1"/>
  <c r="S70" i="67" a="1"/>
  <c r="R94" i="74" a="1"/>
  <c r="S82" i="67" a="1"/>
  <c r="R62" i="74" a="1"/>
  <c r="R19" i="77" a="1"/>
  <c r="R25" i="67" a="1"/>
  <c r="S91" i="74" a="1"/>
  <c r="S54" i="74" a="1"/>
  <c r="R49" i="77" a="1"/>
  <c r="S95" i="76" a="1"/>
  <c r="S60" i="77" a="1"/>
  <c r="S100" i="76" a="1"/>
  <c r="R55" i="77" a="1"/>
  <c r="S40" i="77" a="1"/>
  <c r="R52" i="77" a="1"/>
  <c r="S18" i="75" a="1"/>
  <c r="R85" i="76" a="1"/>
  <c r="S104" i="74" a="1"/>
  <c r="R26" i="74" a="1"/>
  <c r="S12" i="67" a="1"/>
  <c r="S99" i="76" a="1"/>
  <c r="R38" i="77" a="1"/>
  <c r="S54" i="67" a="1"/>
  <c r="R40" i="75" a="1"/>
  <c r="R24" i="74" a="1"/>
  <c r="S32" i="67" a="1"/>
  <c r="S31" i="77" a="1"/>
  <c r="R63" i="67" a="1"/>
  <c r="S31" i="76" a="1"/>
  <c r="R52" i="76" a="1"/>
  <c r="R61" i="67" a="1"/>
  <c r="S31" i="75" a="1"/>
  <c r="S47" i="67" a="1"/>
  <c r="S95" i="67" a="1"/>
  <c r="S42" i="74" a="1"/>
  <c r="S20" i="77" a="1"/>
  <c r="R91" i="67" a="1"/>
  <c r="S52" i="67" a="1"/>
  <c r="S19" i="76" a="1"/>
  <c r="R13" i="76" a="1"/>
  <c r="S30" i="76" a="1"/>
  <c r="R27" i="75" a="1"/>
  <c r="R68" i="77" a="1"/>
  <c r="S41" i="75" a="1"/>
  <c r="R43" i="76" a="1"/>
  <c r="R115" i="76" a="1"/>
  <c r="S44" i="77" a="1"/>
  <c r="R85" i="75" a="1"/>
  <c r="S56" i="75" a="1"/>
  <c r="S74" i="67" a="1"/>
  <c r="S97" i="76" a="1"/>
  <c r="S16" i="74" a="1"/>
  <c r="S88" i="74" a="1"/>
  <c r="R45" i="76" a="1"/>
  <c r="R32" i="77" a="1"/>
  <c r="R75" i="77" a="1"/>
  <c r="R112" i="75" a="1"/>
  <c r="S80" i="74" a="1"/>
  <c r="R101" i="74" a="1"/>
  <c r="R50" i="75" a="1"/>
  <c r="S42" i="77" a="1"/>
  <c r="S20" i="74" a="1"/>
  <c r="R55" i="76" a="1"/>
  <c r="R78" i="75" a="1"/>
  <c r="R84" i="77" a="1"/>
  <c r="S38" i="76" a="1"/>
  <c r="R48" i="75" a="1"/>
  <c r="S93" i="76" a="1"/>
  <c r="S40" i="74" a="1"/>
  <c r="R61" i="76" a="1"/>
  <c r="R64" i="76" a="1"/>
  <c r="S77" i="75" a="1"/>
  <c r="S19" i="77" a="1"/>
  <c r="S102" i="67" a="1"/>
  <c r="R44" i="74" a="1"/>
  <c r="S118" i="74" a="1"/>
  <c r="R88" i="77" a="1"/>
  <c r="S66" i="67" a="1"/>
  <c r="M77" i="71" a="1"/>
  <c r="R82" i="76" a="1"/>
  <c r="S107" i="74" a="1"/>
  <c r="R48" i="67" a="1"/>
  <c r="R68" i="75" a="1"/>
  <c r="S47" i="77" a="1"/>
  <c r="S25" i="67" a="1"/>
  <c r="S53" i="77" a="1"/>
  <c r="R11" i="74" a="1"/>
  <c r="S68" i="77" a="1"/>
  <c r="S18" i="74" a="1"/>
  <c r="R107" i="77" a="1"/>
  <c r="R83" i="75" a="1"/>
  <c r="R120" i="76" a="1"/>
  <c r="S67" i="77" a="1"/>
  <c r="S15" i="75" a="1"/>
  <c r="R65" i="77" a="1"/>
  <c r="S111" i="77" a="1"/>
  <c r="R27" i="76" a="1"/>
  <c r="S63" i="77" a="1"/>
  <c r="S56" i="67" a="1"/>
  <c r="S15" i="67" a="1"/>
  <c r="R52" i="75" a="1"/>
  <c r="R99" i="77" a="1"/>
  <c r="R76" i="67" a="1"/>
  <c r="R23" i="67" a="1"/>
  <c r="R104" i="77" a="1"/>
  <c r="R94" i="75" a="1"/>
  <c r="S105" i="76" a="1"/>
  <c r="R62" i="76" a="1"/>
  <c r="S87" i="77" a="1"/>
  <c r="R69" i="67" a="1"/>
  <c r="R38" i="67" a="1"/>
  <c r="R70" i="77" a="1"/>
  <c r="R58" i="75" a="1"/>
  <c r="R107" i="76" a="1"/>
  <c r="R66" i="76" a="1"/>
  <c r="S102" i="76" a="1"/>
  <c r="R98" i="74" a="1"/>
  <c r="R111" i="77" a="1"/>
  <c r="S88" i="75" a="1"/>
  <c r="R58" i="76" a="1"/>
  <c r="R17" i="76" a="1"/>
  <c r="R30" i="76" a="1"/>
  <c r="S23" i="75" a="1"/>
  <c r="R35" i="74" a="1"/>
  <c r="R24" i="67" a="1"/>
  <c r="S29" i="77" a="1"/>
  <c r="S26" i="75" a="1"/>
  <c r="S115" i="77" a="1"/>
  <c r="S64" i="75" a="1"/>
  <c r="S76" i="77" a="1"/>
  <c r="S74" i="75" a="1"/>
  <c r="R78" i="74" a="1"/>
  <c r="R120" i="77" a="1"/>
  <c r="S51" i="77" a="1"/>
  <c r="S121" i="77" a="1"/>
  <c r="R67" i="75" a="1"/>
  <c r="R104" i="67" a="1"/>
  <c r="S29" i="76" a="1"/>
  <c r="R46" i="77" a="1"/>
  <c r="S30" i="67" a="1"/>
  <c r="S107" i="75" a="1"/>
  <c r="S90" i="75" a="1"/>
  <c r="S83" i="77" a="1"/>
  <c r="R118" i="76" a="1"/>
  <c r="S78" i="74" a="1"/>
  <c r="R95" i="76" a="1"/>
  <c r="R29" i="67" a="1"/>
  <c r="R78" i="76" a="1"/>
  <c r="S92" i="76" a="1"/>
  <c r="R34" i="74" a="1"/>
  <c r="S24" i="77" a="1"/>
  <c r="S117" i="77" a="1"/>
  <c r="S50" i="75" a="1"/>
  <c r="S12" i="74" a="1"/>
  <c r="R15" i="67" a="1"/>
  <c r="S74" i="76" a="1"/>
  <c r="S100" i="74" a="1"/>
  <c r="S45" i="77" a="1"/>
  <c r="R108" i="67" a="1"/>
  <c r="R43" i="77" a="1"/>
  <c r="R19" i="75" a="1"/>
  <c r="S75" i="74" a="1"/>
  <c r="R86" i="67" a="1"/>
  <c r="R11" i="75" a="1"/>
  <c r="S69" i="76" a="1"/>
  <c r="S109" i="67" a="1"/>
  <c r="R67" i="76" a="1"/>
  <c r="S51" i="75" a="1"/>
  <c r="R17" i="75" a="1"/>
  <c r="S90" i="76" a="1"/>
  <c r="R29" i="74" a="1"/>
  <c r="S81" i="74" a="1"/>
  <c r="S57" i="67" a="1"/>
  <c r="S90" i="74" a="1"/>
  <c r="S37" i="77" a="1"/>
  <c r="S55" i="74" a="1"/>
  <c r="S108" i="76" a="1"/>
  <c r="R26" i="77" a="1"/>
  <c r="R93" i="76" a="1"/>
  <c r="R102" i="75" a="1"/>
  <c r="S40" i="75" a="1"/>
  <c r="S26" i="74" a="1"/>
  <c r="R76" i="76" a="1"/>
  <c r="R105" i="74" a="1"/>
  <c r="R54" i="67" a="1"/>
  <c r="S49" i="75" a="1"/>
  <c r="R107" i="67" a="1"/>
  <c r="S20" i="76" a="1"/>
  <c r="S25" i="75" a="1"/>
  <c r="R24" i="76" a="1"/>
  <c r="R118" i="67" a="1"/>
  <c r="S55" i="75" a="1"/>
  <c r="R21" i="76" a="1"/>
  <c r="R37" i="67" a="1"/>
  <c r="R95" i="67" a="1"/>
  <c r="R110" i="76" a="1"/>
  <c r="R107" i="74" a="1"/>
  <c r="S83" i="74" a="1"/>
  <c r="S119" i="67" a="1"/>
  <c r="R69" i="76" a="1"/>
  <c r="S92" i="74" a="1"/>
  <c r="S25" i="76" a="1"/>
  <c r="S70" i="77" a="1"/>
  <c r="R73" i="75" a="1"/>
  <c r="S78" i="67" a="1"/>
  <c r="S53" i="76" a="1"/>
  <c r="S34" i="76" a="1"/>
  <c r="R17" i="67" a="1"/>
  <c r="S48" i="77" a="1"/>
  <c r="S63" i="75" a="1"/>
  <c r="R29" i="75" a="1"/>
  <c r="S101" i="74" a="1"/>
  <c r="R66" i="77" a="1"/>
  <c r="S40" i="67" a="1"/>
  <c r="R61" i="75" a="1"/>
  <c r="S39" i="74" a="1"/>
  <c r="R99" i="74" a="1"/>
  <c r="S57" i="75" a="1"/>
  <c r="S87" i="67" a="1"/>
  <c r="S97" i="74" a="1"/>
  <c r="S85" i="74" a="1"/>
  <c r="S19" i="67" a="1"/>
  <c r="S52" i="75" a="1"/>
  <c r="R25" i="76" a="1"/>
  <c r="N16" i="71" a="1"/>
  <c r="S73" i="76" a="1"/>
  <c r="S86" i="67" a="1"/>
  <c r="S75" i="75" a="1"/>
  <c r="S88" i="77" a="1"/>
  <c r="S39" i="75" a="1"/>
  <c r="R39" i="77" a="1"/>
  <c r="S99" i="75" a="1"/>
  <c r="R98" i="76" a="1"/>
  <c r="R42" i="74" a="1"/>
  <c r="S12" i="75" a="1"/>
  <c r="S53" i="74" a="1"/>
  <c r="R108" i="75" a="1"/>
  <c r="R12" i="75" a="1"/>
  <c r="R64" i="75" a="1"/>
  <c r="S85" i="67" a="1"/>
  <c r="S26" i="77" a="1"/>
  <c r="R112" i="77" a="1"/>
  <c r="R119" i="75" a="1"/>
  <c r="S116" i="76" a="1"/>
  <c r="S36" i="75" a="1"/>
  <c r="S44" i="75" a="1"/>
  <c r="S36" i="74" a="1"/>
  <c r="R42" i="67" a="1"/>
  <c r="S117" i="67" a="1"/>
  <c r="R47" i="74" a="1"/>
  <c r="S17" i="77" a="1"/>
  <c r="S22" i="76" a="1"/>
  <c r="R89" i="74" a="1"/>
  <c r="R16" i="67" a="1"/>
  <c r="S112" i="76" a="1"/>
  <c r="R85" i="74" a="1"/>
  <c r="S87" i="74" a="1"/>
  <c r="R47" i="75" a="1"/>
  <c r="R50" i="74" a="1"/>
  <c r="R66" i="67" a="1"/>
  <c r="R50" i="76" a="1"/>
  <c r="R44" i="67" a="1"/>
  <c r="R94" i="77" a="1"/>
  <c r="R97" i="74" a="1"/>
  <c r="S96" i="76" a="1"/>
  <c r="R87" i="74" a="1"/>
  <c r="S21" i="75" a="1"/>
  <c r="S106" i="67" a="1"/>
  <c r="R24" i="75" a="1"/>
  <c r="R103" i="67" a="1"/>
  <c r="S46" i="76" a="1"/>
  <c r="S43" i="67" a="1"/>
  <c r="R11" i="77" a="1"/>
  <c r="S38" i="74" a="1"/>
  <c r="S68" i="76" a="1"/>
  <c r="R112" i="67" a="1"/>
  <c r="S95" i="75" a="1"/>
  <c r="S33" i="67" a="1"/>
  <c r="S23" i="74" a="1"/>
  <c r="R16" i="74" a="1"/>
  <c r="S28" i="77" a="1"/>
  <c r="S105" i="77" a="1"/>
  <c r="R49" i="74" a="1"/>
  <c r="S13" i="67" a="1"/>
  <c r="R103" i="74" a="1"/>
  <c r="R47" i="67" a="1"/>
  <c r="S21" i="74" a="1"/>
  <c r="R118" i="74" a="1"/>
  <c r="S60" i="74" a="1"/>
  <c r="R18" i="76" a="1"/>
  <c r="S58" i="76" a="1"/>
  <c r="R96" i="75" a="1"/>
  <c r="R69" i="75" a="1"/>
  <c r="S101" i="75" a="1"/>
  <c r="S69" i="67" a="1"/>
  <c r="S89" i="67" a="1"/>
  <c r="R46" i="75" a="1"/>
  <c r="S114" i="77" a="1"/>
  <c r="G15" i="104" l="1"/>
  <c r="J15" i="104" s="1"/>
  <c r="BH18" i="102"/>
  <c r="BP53" i="102"/>
  <c r="BX69" i="102"/>
  <c r="AZ68" i="102"/>
  <c r="AR74" i="102"/>
  <c r="AB130" i="102"/>
  <c r="L27" i="102"/>
  <c r="T26" i="102"/>
  <c r="CF212" i="102"/>
  <c r="T35" i="102"/>
  <c r="L99" i="102"/>
  <c r="CN190" i="102"/>
  <c r="L42" i="102"/>
  <c r="AZ165" i="102"/>
  <c r="T51" i="102"/>
  <c r="L61" i="102"/>
  <c r="T55" i="102"/>
  <c r="P66" i="103"/>
  <c r="G16" i="104"/>
  <c r="J16" i="104" s="1"/>
  <c r="G52" i="104"/>
  <c r="J52" i="104" s="1"/>
  <c r="G65" i="104"/>
  <c r="J65" i="104" s="1"/>
  <c r="BH32" i="102"/>
  <c r="AR59" i="102"/>
  <c r="AJ78" i="102"/>
  <c r="AZ53" i="102"/>
  <c r="L82" i="102"/>
  <c r="BP32" i="102"/>
  <c r="BX46" i="102"/>
  <c r="G62" i="104"/>
  <c r="J62" i="104" s="1"/>
  <c r="AR57" i="102"/>
  <c r="AZ22" i="102"/>
  <c r="BP82" i="102"/>
  <c r="BH61" i="102"/>
  <c r="BP42" i="102"/>
  <c r="AZ34" i="102"/>
  <c r="AZ60" i="102"/>
  <c r="BH60" i="102"/>
  <c r="AJ67" i="102"/>
  <c r="BP132" i="102"/>
  <c r="BX13" i="102"/>
  <c r="AR35" i="102"/>
  <c r="G73" i="104"/>
  <c r="AR71" i="102"/>
  <c r="AZ82" i="102"/>
  <c r="AR41" i="102"/>
  <c r="BP12" i="102"/>
  <c r="BH38" i="102"/>
  <c r="L63" i="102"/>
  <c r="AJ27" i="102"/>
  <c r="CN228" i="102"/>
  <c r="T134" i="102"/>
  <c r="V16" i="103"/>
  <c r="L120" i="102"/>
  <c r="BP15" i="102"/>
  <c r="L56" i="102"/>
  <c r="AB70" i="102"/>
  <c r="BP107" i="102"/>
  <c r="AB11" i="102"/>
  <c r="L71" i="102"/>
  <c r="T167" i="102"/>
  <c r="BP9" i="102"/>
  <c r="AB42" i="102"/>
  <c r="T40" i="102"/>
  <c r="BX145" i="102"/>
  <c r="AJ29" i="102"/>
  <c r="AB36" i="102"/>
  <c r="T201" i="102"/>
  <c r="V41" i="103"/>
  <c r="AZ70" i="102"/>
  <c r="AJ19" i="102"/>
  <c r="T13" i="102"/>
  <c r="CN221" i="102"/>
  <c r="BX182" i="102"/>
  <c r="BH175" i="102"/>
  <c r="L55" i="102"/>
  <c r="AR97" i="102"/>
  <c r="L43" i="102"/>
  <c r="T43" i="102"/>
  <c r="T41" i="102"/>
  <c r="BP142" i="102"/>
  <c r="AB112" i="102"/>
  <c r="Q10" i="103"/>
  <c r="BX31" i="102"/>
  <c r="CF188" i="102"/>
  <c r="BH207" i="102"/>
  <c r="L81" i="102"/>
  <c r="CN154" i="102"/>
  <c r="T56" i="102"/>
  <c r="AJ106" i="102"/>
  <c r="P31" i="103"/>
  <c r="BX93" i="102"/>
  <c r="T15" i="102"/>
  <c r="CN231" i="102"/>
  <c r="AB79" i="102"/>
  <c r="X51" i="103"/>
  <c r="AR83" i="102"/>
  <c r="AJ61" i="102"/>
  <c r="L76" i="102"/>
  <c r="BH93" i="102"/>
  <c r="CF207" i="102"/>
  <c r="L229" i="102"/>
  <c r="X72" i="103"/>
  <c r="T83" i="103"/>
  <c r="AA3" i="60"/>
  <c r="T170" i="102"/>
  <c r="Q75" i="103"/>
  <c r="BH98" i="102"/>
  <c r="V81" i="103"/>
  <c r="BH84" i="102"/>
  <c r="CN201" i="102"/>
  <c r="AB17" i="102"/>
  <c r="AB147" i="102"/>
  <c r="BP168" i="102"/>
  <c r="Q69" i="103"/>
  <c r="L79" i="102"/>
  <c r="AB94" i="102"/>
  <c r="BH214" i="102"/>
  <c r="T149" i="102"/>
  <c r="W25" i="103"/>
  <c r="G60" i="104"/>
  <c r="J60" i="104" s="1"/>
  <c r="BX78" i="102"/>
  <c r="BX70" i="102"/>
  <c r="AR53" i="102"/>
  <c r="L32" i="102"/>
  <c r="BH26" i="102"/>
  <c r="BX34" i="102"/>
  <c r="G80" i="104"/>
  <c r="J80" i="104" s="1"/>
  <c r="BX84" i="102"/>
  <c r="AR24" i="102"/>
  <c r="BH49" i="102"/>
  <c r="BH11" i="102"/>
  <c r="BH13" i="102"/>
  <c r="AR43" i="102"/>
  <c r="AZ26" i="102"/>
  <c r="BH42" i="102"/>
  <c r="BH30" i="102"/>
  <c r="BH99" i="102"/>
  <c r="BP78" i="102"/>
  <c r="AJ65" i="102"/>
  <c r="G63" i="104"/>
  <c r="J63" i="104" s="1"/>
  <c r="AJ30" i="102"/>
  <c r="AZ12" i="102"/>
  <c r="BX67" i="102"/>
  <c r="BH46" i="102"/>
  <c r="AZ65" i="102"/>
  <c r="CN163" i="102"/>
  <c r="AB26" i="102"/>
  <c r="CF122" i="102"/>
  <c r="T123" i="102"/>
  <c r="T67" i="103"/>
  <c r="L124" i="102"/>
  <c r="BP7" i="102"/>
  <c r="CN135" i="102"/>
  <c r="T45" i="102"/>
  <c r="AJ56" i="102"/>
  <c r="T36" i="102"/>
  <c r="CN164" i="102"/>
  <c r="X33" i="103"/>
  <c r="AR78" i="102"/>
  <c r="T84" i="102"/>
  <c r="L53" i="102"/>
  <c r="BX133" i="102"/>
  <c r="L83" i="102"/>
  <c r="AB69" i="102"/>
  <c r="L218" i="102"/>
  <c r="U75" i="103"/>
  <c r="AR68" i="102"/>
  <c r="AB29" i="102"/>
  <c r="L11" i="102"/>
  <c r="CN116" i="102"/>
  <c r="BP221" i="102"/>
  <c r="AB40" i="102"/>
  <c r="BX127" i="102"/>
  <c r="AJ103" i="102"/>
  <c r="CN209" i="102"/>
  <c r="CN218" i="102"/>
  <c r="L84" i="102"/>
  <c r="AZ181" i="102"/>
  <c r="T105" i="102"/>
  <c r="W63" i="103"/>
  <c r="BP14" i="102"/>
  <c r="CF180" i="102"/>
  <c r="BH199" i="102"/>
  <c r="CN93" i="102"/>
  <c r="CN130" i="102"/>
  <c r="L48" i="102"/>
  <c r="AJ226" i="102"/>
  <c r="P77" i="103"/>
  <c r="BP125" i="102"/>
  <c r="CN110" i="102"/>
  <c r="CF129" i="102"/>
  <c r="T61" i="102"/>
  <c r="AZ198" i="102"/>
  <c r="AR13" i="102"/>
  <c r="L73" i="102"/>
  <c r="CN227" i="102"/>
  <c r="T31" i="102"/>
  <c r="CF187" i="102"/>
  <c r="T59" i="103"/>
  <c r="AB178" i="102"/>
  <c r="R25" i="103"/>
  <c r="AA38" i="60"/>
  <c r="X61" i="103"/>
  <c r="S52" i="103"/>
  <c r="AZ41" i="102"/>
  <c r="BX23" i="102"/>
  <c r="G31" i="104"/>
  <c r="J31" i="104" s="1"/>
  <c r="AZ20" i="102"/>
  <c r="BX10" i="102"/>
  <c r="BP45" i="102"/>
  <c r="AZ221" i="102"/>
  <c r="BH121" i="102"/>
  <c r="AZ164" i="102"/>
  <c r="BX208" i="102"/>
  <c r="AJ45" i="102"/>
  <c r="L58" i="102"/>
  <c r="CF120" i="102"/>
  <c r="T65" i="103"/>
  <c r="L18" i="102"/>
  <c r="U30" i="103"/>
  <c r="AR142" i="102"/>
  <c r="G47" i="104"/>
  <c r="J47" i="104" s="1"/>
  <c r="G20" i="104"/>
  <c r="J20" i="104" s="1"/>
  <c r="G56" i="104"/>
  <c r="J56" i="104" s="1"/>
  <c r="G21" i="104"/>
  <c r="J21" i="104" s="1"/>
  <c r="AZ21" i="102"/>
  <c r="BP68" i="102"/>
  <c r="BP60" i="102"/>
  <c r="AR6" i="102"/>
  <c r="CN166" i="102"/>
  <c r="BX52" i="102"/>
  <c r="BP81" i="102"/>
  <c r="BX28" i="102"/>
  <c r="BX42" i="102"/>
  <c r="BX75" i="102"/>
  <c r="BH69" i="102"/>
  <c r="AZ58" i="102"/>
  <c r="AZ78" i="102"/>
  <c r="AJ52" i="102"/>
  <c r="AZ11" i="102"/>
  <c r="AZ46" i="102"/>
  <c r="AZ57" i="102"/>
  <c r="AJ10" i="102"/>
  <c r="BP6" i="102"/>
  <c r="BX61" i="102"/>
  <c r="G79" i="104"/>
  <c r="J79" i="104" s="1"/>
  <c r="BX22" i="102"/>
  <c r="AR49" i="102"/>
  <c r="BH6" i="102"/>
  <c r="AZ73" i="102"/>
  <c r="BH148" i="102"/>
  <c r="CF230" i="102"/>
  <c r="T68" i="102"/>
  <c r="CF103" i="102"/>
  <c r="V19" i="103"/>
  <c r="U40" i="103"/>
  <c r="R10" i="103"/>
  <c r="BH23" i="102"/>
  <c r="CF146" i="102"/>
  <c r="T39" i="102"/>
  <c r="AB43" i="102"/>
  <c r="T28" i="102"/>
  <c r="BH179" i="102"/>
  <c r="S75" i="103"/>
  <c r="AR47" i="102"/>
  <c r="T79" i="102"/>
  <c r="L64" i="102"/>
  <c r="BP220" i="102"/>
  <c r="CN156" i="102"/>
  <c r="AB7" i="102"/>
  <c r="Q48" i="103"/>
  <c r="X40" i="103"/>
  <c r="AR22" i="102"/>
  <c r="T52" i="102"/>
  <c r="L67" i="102"/>
  <c r="CF179" i="102"/>
  <c r="BP225" i="102"/>
  <c r="T67" i="102"/>
  <c r="BX131" i="102"/>
  <c r="W49" i="103"/>
  <c r="CN94" i="102"/>
  <c r="CN158" i="102"/>
  <c r="CN202" i="102"/>
  <c r="T111" i="102"/>
  <c r="P7" i="103"/>
  <c r="L183" i="102"/>
  <c r="BP10" i="102"/>
  <c r="CF184" i="102"/>
  <c r="AJ22" i="102"/>
  <c r="CN108" i="102"/>
  <c r="CF193" i="102"/>
  <c r="CF177" i="102"/>
  <c r="AB206" i="102"/>
  <c r="U18" i="103"/>
  <c r="BP129" i="102"/>
  <c r="CF164" i="102"/>
  <c r="CF130" i="102"/>
  <c r="CN215" i="102"/>
  <c r="AR101" i="102"/>
  <c r="BX41" i="102"/>
  <c r="CN230" i="102"/>
  <c r="CF153" i="102"/>
  <c r="CN146" i="102"/>
  <c r="BP188" i="102"/>
  <c r="P47" i="103"/>
  <c r="R59" i="103"/>
  <c r="T36" i="103"/>
  <c r="V26" i="103"/>
  <c r="AZ116" i="102"/>
  <c r="R16" i="103"/>
  <c r="G61" i="104"/>
  <c r="J61" i="104" s="1"/>
  <c r="BH79" i="102"/>
  <c r="BP74" i="102"/>
  <c r="BH29" i="102"/>
  <c r="BH41" i="102"/>
  <c r="BH39" i="102"/>
  <c r="L6" i="102"/>
  <c r="BP73" i="102"/>
  <c r="AJ75" i="102"/>
  <c r="AJ58" i="102"/>
  <c r="BP101" i="102"/>
  <c r="BH117" i="102"/>
  <c r="S80" i="103"/>
  <c r="G24" i="104"/>
  <c r="J24" i="104" s="1"/>
  <c r="AZ45" i="102"/>
  <c r="G42" i="104"/>
  <c r="J42" i="104" s="1"/>
  <c r="G76" i="104"/>
  <c r="J76" i="104" s="1"/>
  <c r="G28" i="104"/>
  <c r="J28" i="104" s="1"/>
  <c r="AR45" i="102"/>
  <c r="BP55" i="102"/>
  <c r="BP47" i="102"/>
  <c r="AJ80" i="102"/>
  <c r="CN213" i="102"/>
  <c r="BX64" i="102"/>
  <c r="BP23" i="102"/>
  <c r="BX40" i="102"/>
  <c r="BP75" i="102"/>
  <c r="BP41" i="102"/>
  <c r="AZ66" i="102"/>
  <c r="AZ79" i="102"/>
  <c r="AZ10" i="102"/>
  <c r="BX8" i="102"/>
  <c r="AR19" i="102"/>
  <c r="AZ23" i="102"/>
  <c r="AZ32" i="102"/>
  <c r="T24" i="102"/>
  <c r="BH59" i="102"/>
  <c r="BP24" i="102"/>
  <c r="G75" i="104"/>
  <c r="J75" i="104" s="1"/>
  <c r="BP57" i="102"/>
  <c r="AR9" i="102"/>
  <c r="BX60" i="102"/>
  <c r="AZ63" i="102"/>
  <c r="BH149" i="102"/>
  <c r="CF181" i="102"/>
  <c r="T19" i="102"/>
  <c r="BX217" i="102"/>
  <c r="R68" i="103"/>
  <c r="R61" i="103"/>
  <c r="AZ219" i="102"/>
  <c r="AJ49" i="102"/>
  <c r="BP203" i="102"/>
  <c r="L21" i="102"/>
  <c r="AB23" i="102"/>
  <c r="L46" i="102"/>
  <c r="AJ15" i="102"/>
  <c r="V43" i="103"/>
  <c r="AJ16" i="102"/>
  <c r="CN207" i="102"/>
  <c r="CN200" i="102"/>
  <c r="BP216" i="102"/>
  <c r="CN128" i="102"/>
  <c r="T71" i="102"/>
  <c r="T82" i="103"/>
  <c r="AR207" i="102"/>
  <c r="BX74" i="102"/>
  <c r="CN143" i="102"/>
  <c r="CN196" i="102"/>
  <c r="CF165" i="102"/>
  <c r="BH208" i="102"/>
  <c r="T63" i="102"/>
  <c r="BP206" i="102"/>
  <c r="S59" i="103"/>
  <c r="CF167" i="102"/>
  <c r="CF156" i="102"/>
  <c r="CN142" i="102"/>
  <c r="T128" i="102"/>
  <c r="P62" i="103"/>
  <c r="U27" i="103"/>
  <c r="BH67" i="102"/>
  <c r="CF162" i="102"/>
  <c r="AB56" i="102"/>
  <c r="CF192" i="102"/>
  <c r="BP97" i="102"/>
  <c r="BH205" i="102"/>
  <c r="T205" i="102"/>
  <c r="AR58" i="102"/>
  <c r="AJ47" i="102"/>
  <c r="BP177" i="102"/>
  <c r="BX213" i="102"/>
  <c r="CF95" i="102"/>
  <c r="AJ157" i="102"/>
  <c r="BP79" i="102"/>
  <c r="BX199" i="102"/>
  <c r="CF189" i="102"/>
  <c r="BX224" i="102"/>
  <c r="BP184" i="102"/>
  <c r="P55" i="103"/>
  <c r="Q9" i="103"/>
  <c r="P43" i="103"/>
  <c r="T195" i="102"/>
  <c r="P18" i="103"/>
  <c r="X59" i="103"/>
  <c r="BH80" i="102"/>
  <c r="BX45" i="102"/>
  <c r="AJ34" i="102"/>
  <c r="CN117" i="102"/>
  <c r="BP29" i="102"/>
  <c r="BP37" i="102"/>
  <c r="BX6" i="102"/>
  <c r="BH19" i="102"/>
  <c r="AZ55" i="102"/>
  <c r="AZ64" i="102"/>
  <c r="AR25" i="102"/>
  <c r="AR76" i="102"/>
  <c r="BP50" i="102"/>
  <c r="AJ44" i="102"/>
  <c r="AR44" i="102"/>
  <c r="AZ14" i="102"/>
  <c r="CN188" i="102"/>
  <c r="BH66" i="102"/>
  <c r="AZ75" i="102"/>
  <c r="BX30" i="102"/>
  <c r="BP46" i="102"/>
  <c r="BX82" i="102"/>
  <c r="BX11" i="102"/>
  <c r="AR30" i="102"/>
  <c r="AB25" i="102"/>
  <c r="BX172" i="102"/>
  <c r="CN175" i="102"/>
  <c r="BP135" i="102"/>
  <c r="T29" i="103"/>
  <c r="T12" i="103"/>
  <c r="T161" i="102"/>
  <c r="AJ23" i="102"/>
  <c r="AJ14" i="102"/>
  <c r="CF222" i="102"/>
  <c r="T70" i="102"/>
  <c r="CN220" i="102"/>
  <c r="AB68" i="102"/>
  <c r="U10" i="103"/>
  <c r="AJ21" i="102"/>
  <c r="CN179" i="102"/>
  <c r="CN107" i="102"/>
  <c r="BH106" i="102"/>
  <c r="CF223" i="102"/>
  <c r="L23" i="102"/>
  <c r="X57" i="103"/>
  <c r="AR181" i="102"/>
  <c r="BH62" i="102"/>
  <c r="CN224" i="102"/>
  <c r="CN99" i="102"/>
  <c r="BX170" i="102"/>
  <c r="BH120" i="102"/>
  <c r="L36" i="102"/>
  <c r="AZ197" i="102"/>
  <c r="X36" i="103"/>
  <c r="BP176" i="102"/>
  <c r="CF152" i="102"/>
  <c r="BP141" i="102"/>
  <c r="T193" i="102"/>
  <c r="W16" i="103"/>
  <c r="W71" i="103"/>
  <c r="BH16" i="102"/>
  <c r="BP185" i="102"/>
  <c r="AB30" i="102"/>
  <c r="BX227" i="102"/>
  <c r="BH221" i="102"/>
  <c r="AJ50" i="102"/>
  <c r="T129" i="102"/>
  <c r="AJ42" i="102"/>
  <c r="T16" i="102"/>
  <c r="AB20" i="102"/>
  <c r="BX110" i="102"/>
  <c r="AJ43" i="102"/>
  <c r="AB111" i="102"/>
  <c r="BH25" i="102"/>
  <c r="BP133" i="102"/>
  <c r="BX196" i="102"/>
  <c r="BP158" i="102"/>
  <c r="BH130" i="102"/>
  <c r="AZ193" i="102"/>
  <c r="Q28" i="103"/>
  <c r="W55" i="103"/>
  <c r="AJ126" i="102"/>
  <c r="T73" i="103"/>
  <c r="X20" i="103"/>
  <c r="G68" i="104"/>
  <c r="J68" i="104" s="1"/>
  <c r="G67" i="104"/>
  <c r="J67" i="104" s="1"/>
  <c r="T196" i="102"/>
  <c r="AZ52" i="102"/>
  <c r="BH55" i="102"/>
  <c r="AJ8" i="102"/>
  <c r="BH31" i="102"/>
  <c r="AZ15" i="102"/>
  <c r="BP80" i="102"/>
  <c r="BX50" i="102"/>
  <c r="AR75" i="102"/>
  <c r="CN160" i="102"/>
  <c r="AZ17" i="102"/>
  <c r="BP65" i="102"/>
  <c r="AZ56" i="102"/>
  <c r="BP18" i="102"/>
  <c r="BP51" i="102"/>
  <c r="AR27" i="102"/>
  <c r="T77" i="102"/>
  <c r="BX176" i="102"/>
  <c r="CF214" i="102"/>
  <c r="BH134" i="102"/>
  <c r="R75" i="103"/>
  <c r="AR99" i="102"/>
  <c r="L138" i="102"/>
  <c r="BX77" i="102"/>
  <c r="AB65" i="102"/>
  <c r="BP231" i="102"/>
  <c r="T18" i="102"/>
  <c r="CN192" i="102"/>
  <c r="L65" i="102"/>
  <c r="R31" i="103"/>
  <c r="AB59" i="102"/>
  <c r="CF105" i="102"/>
  <c r="CF154" i="102"/>
  <c r="AJ11" i="102"/>
  <c r="CF227" i="102"/>
  <c r="L74" i="102"/>
  <c r="W24" i="103"/>
  <c r="AB108" i="102"/>
  <c r="AZ67" i="102"/>
  <c r="BX128" i="102"/>
  <c r="CN184" i="102"/>
  <c r="BX222" i="102"/>
  <c r="AJ71" i="102"/>
  <c r="L41" i="102"/>
  <c r="AR159" i="102"/>
  <c r="R67" i="103"/>
  <c r="BP180" i="102"/>
  <c r="BP161" i="102"/>
  <c r="BP145" i="102"/>
  <c r="T113" i="102"/>
  <c r="W62" i="103"/>
  <c r="S37" i="103"/>
  <c r="AZ25" i="102"/>
  <c r="BH110" i="102"/>
  <c r="T83" i="102"/>
  <c r="BX183" i="102"/>
  <c r="AB44" i="102"/>
  <c r="AB18" i="102"/>
  <c r="S32" i="103"/>
  <c r="BX58" i="102"/>
  <c r="CN173" i="102"/>
  <c r="AB53" i="102"/>
  <c r="BP150" i="102"/>
  <c r="T81" i="102"/>
  <c r="L134" i="102"/>
  <c r="AZ48" i="102"/>
  <c r="BH220" i="102"/>
  <c r="BX118" i="102"/>
  <c r="AZ189" i="102"/>
  <c r="AZ179" i="102"/>
  <c r="AR154" i="102"/>
  <c r="R36" i="103"/>
  <c r="X56" i="103"/>
  <c r="T24" i="103"/>
  <c r="S15" i="103"/>
  <c r="S45" i="103"/>
  <c r="AR64" i="102"/>
  <c r="AR69" i="102"/>
  <c r="AZ36" i="102"/>
  <c r="AR21" i="102"/>
  <c r="BX51" i="102"/>
  <c r="AR40" i="102"/>
  <c r="AB151" i="102"/>
  <c r="BX209" i="102"/>
  <c r="T58" i="102"/>
  <c r="AB14" i="102"/>
  <c r="G48" i="104"/>
  <c r="J48" i="104" s="1"/>
  <c r="BH63" i="102"/>
  <c r="G17" i="104"/>
  <c r="J17" i="104" s="1"/>
  <c r="G37" i="104"/>
  <c r="J37" i="104" s="1"/>
  <c r="G71" i="104"/>
  <c r="J71" i="104" s="1"/>
  <c r="G38" i="104"/>
  <c r="J38" i="104" s="1"/>
  <c r="BX27" i="102"/>
  <c r="CF144" i="102"/>
  <c r="BH36" i="102"/>
  <c r="BH81" i="102"/>
  <c r="AZ24" i="102"/>
  <c r="AR33" i="102"/>
  <c r="AR18" i="102"/>
  <c r="BH22" i="102"/>
  <c r="AR29" i="102"/>
  <c r="AR11" i="102"/>
  <c r="G25" i="104"/>
  <c r="J25" i="104" s="1"/>
  <c r="G59" i="104"/>
  <c r="J59" i="104" s="1"/>
  <c r="G83" i="104"/>
  <c r="J83" i="104" s="1"/>
  <c r="G53" i="104"/>
  <c r="J53" i="104" s="1"/>
  <c r="BP11" i="102"/>
  <c r="AZ18" i="102"/>
  <c r="AZ44" i="102"/>
  <c r="AB78" i="102"/>
  <c r="BX135" i="102"/>
  <c r="AR20" i="102"/>
  <c r="AZ59" i="102"/>
  <c r="AR65" i="102"/>
  <c r="AR32" i="102"/>
  <c r="G14" i="104"/>
  <c r="J14" i="104" s="1"/>
  <c r="AJ84" i="102"/>
  <c r="AJ76" i="102"/>
  <c r="BP8" i="102"/>
  <c r="BH37" i="102"/>
  <c r="BP56" i="102"/>
  <c r="BX18" i="102"/>
  <c r="AJ20" i="102"/>
  <c r="CN120" i="102"/>
  <c r="AZ29" i="102"/>
  <c r="BX44" i="102"/>
  <c r="BP61" i="102"/>
  <c r="AR31" i="102"/>
  <c r="BH70" i="102"/>
  <c r="BP30" i="102"/>
  <c r="BX49" i="102"/>
  <c r="L69" i="102"/>
  <c r="BP110" i="102"/>
  <c r="BX156" i="102"/>
  <c r="AJ63" i="102"/>
  <c r="P17" i="103"/>
  <c r="AB175" i="102"/>
  <c r="P26" i="103"/>
  <c r="BX16" i="102"/>
  <c r="AB74" i="102"/>
  <c r="BH230" i="102"/>
  <c r="T47" i="102"/>
  <c r="CN229" i="102"/>
  <c r="CN105" i="102"/>
  <c r="R39" i="103"/>
  <c r="AB6" i="102"/>
  <c r="CF141" i="102"/>
  <c r="BP167" i="102"/>
  <c r="AB80" i="102"/>
  <c r="BX218" i="102"/>
  <c r="CN182" i="102"/>
  <c r="T45" i="103"/>
  <c r="AB104" i="102"/>
  <c r="AR46" i="102"/>
  <c r="BX225" i="102"/>
  <c r="CF94" i="102"/>
  <c r="BH183" i="102"/>
  <c r="AB13" i="102"/>
  <c r="CN206" i="102"/>
  <c r="AR145" i="102"/>
  <c r="V82" i="103"/>
  <c r="BH147" i="102"/>
  <c r="AJ31" i="102"/>
  <c r="BH128" i="102"/>
  <c r="L106" i="102"/>
  <c r="T81" i="103"/>
  <c r="S82" i="103"/>
  <c r="AZ51" i="102"/>
  <c r="AJ53" i="102"/>
  <c r="L20" i="102"/>
  <c r="BX171" i="102"/>
  <c r="AB77" i="102"/>
  <c r="T60" i="102"/>
  <c r="U43" i="103"/>
  <c r="BP54" i="102"/>
  <c r="CF131" i="102"/>
  <c r="L39" i="102"/>
  <c r="BP138" i="102"/>
  <c r="T20" i="102"/>
  <c r="T35" i="103"/>
  <c r="AJ60" i="102"/>
  <c r="BH213" i="102"/>
  <c r="AB62" i="102"/>
  <c r="AJ25" i="102"/>
  <c r="AZ136" i="102"/>
  <c r="AJ148" i="102"/>
  <c r="T44" i="103"/>
  <c r="V17" i="103"/>
  <c r="AZ169" i="102"/>
  <c r="T32" i="103"/>
  <c r="AA10" i="60"/>
  <c r="BP64" i="102"/>
  <c r="G64" i="104"/>
  <c r="Q7" i="103"/>
  <c r="BH163" i="102"/>
  <c r="G19" i="104"/>
  <c r="J19" i="104" s="1"/>
  <c r="AJ57" i="102"/>
  <c r="BP27" i="102"/>
  <c r="BP48" i="102"/>
  <c r="AB64" i="102"/>
  <c r="CF118" i="102"/>
  <c r="AZ9" i="102"/>
  <c r="BX56" i="102"/>
  <c r="AZ31" i="102"/>
  <c r="AJ33" i="102"/>
  <c r="AZ35" i="102"/>
  <c r="BH64" i="102"/>
  <c r="BX79" i="102"/>
  <c r="L68" i="102"/>
  <c r="AB75" i="102"/>
  <c r="BX116" i="102"/>
  <c r="AJ28" i="102"/>
  <c r="P25" i="103"/>
  <c r="T215" i="102"/>
  <c r="V35" i="103"/>
  <c r="BP40" i="102"/>
  <c r="T65" i="102"/>
  <c r="BH94" i="102"/>
  <c r="L19" i="102"/>
  <c r="CN219" i="102"/>
  <c r="CN125" i="102"/>
  <c r="AZ139" i="102"/>
  <c r="T34" i="102"/>
  <c r="CF96" i="102"/>
  <c r="BP187" i="102"/>
  <c r="T38" i="102"/>
  <c r="BP200" i="102"/>
  <c r="CF160" i="102"/>
  <c r="T53" i="103"/>
  <c r="T131" i="102"/>
  <c r="AR66" i="102"/>
  <c r="BX168" i="102"/>
  <c r="BX101" i="102"/>
  <c r="BH100" i="102"/>
  <c r="L70" i="102"/>
  <c r="CN136" i="102"/>
  <c r="T132" i="102"/>
  <c r="Q55" i="103"/>
  <c r="BH200" i="102"/>
  <c r="AB76" i="102"/>
  <c r="AB50" i="102"/>
  <c r="Q18" i="103"/>
  <c r="S12" i="103"/>
  <c r="X24" i="103"/>
  <c r="AR80" i="102"/>
  <c r="AB71" i="102"/>
  <c r="L25" i="102"/>
  <c r="BP117" i="102"/>
  <c r="AB16" i="102"/>
  <c r="L54" i="102"/>
  <c r="W80" i="103"/>
  <c r="BH10" i="102"/>
  <c r="CF107" i="102"/>
  <c r="L30" i="102"/>
  <c r="AB81" i="102"/>
  <c r="CN176" i="102"/>
  <c r="R76" i="103"/>
  <c r="BX68" i="102"/>
  <c r="BH102" i="102"/>
  <c r="T21" i="102"/>
  <c r="AB54" i="102"/>
  <c r="L211" i="102"/>
  <c r="AB200" i="102"/>
  <c r="P54" i="103"/>
  <c r="T84" i="103"/>
  <c r="AB136" i="102"/>
  <c r="X9" i="103"/>
  <c r="V38" i="103"/>
  <c r="AR15" i="102"/>
  <c r="BP229" i="102"/>
  <c r="G41" i="104"/>
  <c r="J41" i="104" s="1"/>
  <c r="AR8" i="102"/>
  <c r="G32" i="104"/>
  <c r="J32" i="104" s="1"/>
  <c r="BP20" i="102"/>
  <c r="AZ30" i="102"/>
  <c r="BH24" i="102"/>
  <c r="BP25" i="102"/>
  <c r="AB22" i="102"/>
  <c r="BX161" i="102"/>
  <c r="AR72" i="102"/>
  <c r="BH28" i="102"/>
  <c r="AZ16" i="102"/>
  <c r="BX29" i="102"/>
  <c r="AR54" i="102"/>
  <c r="BH58" i="102"/>
  <c r="BH33" i="102"/>
  <c r="CN106" i="102"/>
  <c r="T50" i="102"/>
  <c r="BP94" i="102"/>
  <c r="L78" i="102"/>
  <c r="AZ220" i="102"/>
  <c r="T107" i="102"/>
  <c r="R77" i="103"/>
  <c r="BH50" i="102"/>
  <c r="L10" i="102"/>
  <c r="AJ82" i="102"/>
  <c r="L75" i="102"/>
  <c r="BX96" i="102"/>
  <c r="BX215" i="102"/>
  <c r="AJ211" i="102"/>
  <c r="L24" i="102"/>
  <c r="BX192" i="102"/>
  <c r="BH166" i="102"/>
  <c r="T8" i="102"/>
  <c r="AB72" i="102"/>
  <c r="BX191" i="102"/>
  <c r="AR133" i="102"/>
  <c r="AJ131" i="102"/>
  <c r="AJ32" i="102"/>
  <c r="BP159" i="102"/>
  <c r="BP99" i="102"/>
  <c r="AB48" i="102"/>
  <c r="CN185" i="102"/>
  <c r="CF204" i="102"/>
  <c r="T185" i="102"/>
  <c r="AR196" i="102"/>
  <c r="AJ39" i="102"/>
  <c r="L57" i="102"/>
  <c r="T11" i="102"/>
  <c r="S29" i="103"/>
  <c r="AJ154" i="102"/>
  <c r="X32" i="103"/>
  <c r="AR10" i="102"/>
  <c r="T49" i="102"/>
  <c r="CN145" i="102"/>
  <c r="BH204" i="102"/>
  <c r="T57" i="102"/>
  <c r="CN159" i="102"/>
  <c r="T38" i="103"/>
  <c r="AR48" i="102"/>
  <c r="CF197" i="102"/>
  <c r="L40" i="102"/>
  <c r="AB45" i="102"/>
  <c r="CN165" i="102"/>
  <c r="R45" i="103"/>
  <c r="BH72" i="102"/>
  <c r="AB31" i="102"/>
  <c r="L29" i="102"/>
  <c r="T74" i="102"/>
  <c r="L112" i="102"/>
  <c r="X14" i="103"/>
  <c r="P34" i="103"/>
  <c r="X29" i="103"/>
  <c r="R40" i="103"/>
  <c r="Q34" i="103"/>
  <c r="X8" i="103"/>
  <c r="BH40" i="102"/>
  <c r="BX65" i="102"/>
  <c r="CN115" i="102"/>
  <c r="BP66" i="102"/>
  <c r="L31" i="102"/>
  <c r="BX12" i="102"/>
  <c r="AJ73" i="102"/>
  <c r="T76" i="102"/>
  <c r="L45" i="102"/>
  <c r="T211" i="102"/>
  <c r="T29" i="102"/>
  <c r="AJ72" i="102"/>
  <c r="G54" i="104"/>
  <c r="J54" i="104" s="1"/>
  <c r="BH48" i="102"/>
  <c r="G55" i="104"/>
  <c r="J55" i="104" s="1"/>
  <c r="BH82" i="102"/>
  <c r="AZ83" i="102"/>
  <c r="BX184" i="102"/>
  <c r="BX15" i="102"/>
  <c r="BX83" i="102"/>
  <c r="BP43" i="102"/>
  <c r="G22" i="104"/>
  <c r="G18" i="104"/>
  <c r="J18" i="104" s="1"/>
  <c r="G23" i="104"/>
  <c r="BH76" i="102"/>
  <c r="AZ54" i="102"/>
  <c r="AJ36" i="102"/>
  <c r="AJ81" i="102"/>
  <c r="L13" i="102"/>
  <c r="BX72" i="102"/>
  <c r="BP70" i="102"/>
  <c r="BP62" i="102"/>
  <c r="AR26" i="102"/>
  <c r="BP49" i="102"/>
  <c r="G77" i="104"/>
  <c r="J77" i="104" s="1"/>
  <c r="BH54" i="102"/>
  <c r="BP28" i="102"/>
  <c r="AZ61" i="102"/>
  <c r="AZ8" i="102"/>
  <c r="BH15" i="102"/>
  <c r="AR23" i="102"/>
  <c r="T22" i="102"/>
  <c r="BX62" i="102"/>
  <c r="AR82" i="102"/>
  <c r="AR81" i="102"/>
  <c r="AR63" i="102"/>
  <c r="BH78" i="102"/>
  <c r="BX73" i="102"/>
  <c r="AZ77" i="102"/>
  <c r="BH53" i="102"/>
  <c r="CF229" i="102"/>
  <c r="T33" i="102"/>
  <c r="BH206" i="102"/>
  <c r="CN169" i="102"/>
  <c r="AZ215" i="102"/>
  <c r="AZ94" i="102"/>
  <c r="Q61" i="103"/>
  <c r="AR34" i="102"/>
  <c r="CN95" i="102"/>
  <c r="T44" i="102"/>
  <c r="CN180" i="102"/>
  <c r="BH219" i="102"/>
  <c r="BX203" i="102"/>
  <c r="AJ124" i="102"/>
  <c r="L59" i="102"/>
  <c r="BX148" i="102"/>
  <c r="AJ17" i="102"/>
  <c r="L51" i="102"/>
  <c r="T30" i="102"/>
  <c r="BX139" i="102"/>
  <c r="AJ147" i="102"/>
  <c r="AJ146" i="102"/>
  <c r="AB27" i="102"/>
  <c r="BH186" i="102"/>
  <c r="BP162" i="102"/>
  <c r="AB10" i="102"/>
  <c r="CN205" i="102"/>
  <c r="CF200" i="102"/>
  <c r="R24" i="103"/>
  <c r="BH122" i="102"/>
  <c r="AB84" i="102"/>
  <c r="CN121" i="102"/>
  <c r="L80" i="102"/>
  <c r="V73" i="103"/>
  <c r="T177" i="102"/>
  <c r="BX36" i="102"/>
  <c r="AJ70" i="102"/>
  <c r="T25" i="102"/>
  <c r="BX198" i="102"/>
  <c r="BH197" i="102"/>
  <c r="L15" i="102"/>
  <c r="CN111" i="102"/>
  <c r="V74" i="103"/>
  <c r="AB63" i="102"/>
  <c r="BX122" i="102"/>
  <c r="CN150" i="102"/>
  <c r="CN203" i="102"/>
  <c r="CF134" i="102"/>
  <c r="Q12" i="103"/>
  <c r="BH7" i="102"/>
  <c r="T72" i="102"/>
  <c r="CN171" i="102"/>
  <c r="T10" i="102"/>
  <c r="W60" i="103"/>
  <c r="U65" i="103"/>
  <c r="U15" i="103"/>
  <c r="Q38" i="103"/>
  <c r="S84" i="103"/>
  <c r="T17" i="103"/>
  <c r="AJ197" i="102"/>
  <c r="AR51" i="102"/>
  <c r="AR36" i="102"/>
  <c r="G81" i="104"/>
  <c r="J81" i="104" s="1"/>
  <c r="AJ54" i="102"/>
  <c r="BH71" i="102"/>
  <c r="BH150" i="102"/>
  <c r="CF100" i="102"/>
  <c r="G57" i="104"/>
  <c r="J57" i="104" s="1"/>
  <c r="BP19" i="102"/>
  <c r="G36" i="104"/>
  <c r="J36" i="104" s="1"/>
  <c r="G66" i="104"/>
  <c r="J66" i="104" s="1"/>
  <c r="BH68" i="102"/>
  <c r="AZ40" i="102"/>
  <c r="AZ71" i="102"/>
  <c r="AB38" i="102"/>
  <c r="BX123" i="102"/>
  <c r="AJ51" i="102"/>
  <c r="BX37" i="102"/>
  <c r="AR42" i="102"/>
  <c r="G44" i="104"/>
  <c r="J44" i="104" s="1"/>
  <c r="BX66" i="102"/>
  <c r="BX39" i="102"/>
  <c r="AZ49" i="102"/>
  <c r="G49" i="104"/>
  <c r="J49" i="104" s="1"/>
  <c r="G34" i="104"/>
  <c r="J34" i="104" s="1"/>
  <c r="BX35" i="102"/>
  <c r="T53" i="102"/>
  <c r="BX47" i="102"/>
  <c r="AR70" i="102"/>
  <c r="BH12" i="102"/>
  <c r="G51" i="104"/>
  <c r="J51" i="104" s="1"/>
  <c r="G43" i="104"/>
  <c r="J43" i="104" s="1"/>
  <c r="G13" i="104"/>
  <c r="J13" i="104" s="1"/>
  <c r="AZ62" i="102"/>
  <c r="AZ43" i="102"/>
  <c r="BP17" i="102"/>
  <c r="AJ55" i="102"/>
  <c r="CN132" i="102"/>
  <c r="BX55" i="102"/>
  <c r="BP58" i="102"/>
  <c r="BP38" i="102"/>
  <c r="BX20" i="102"/>
  <c r="BP22" i="102"/>
  <c r="G69" i="104"/>
  <c r="J69" i="104" s="1"/>
  <c r="AZ81" i="102"/>
  <c r="BH56" i="102"/>
  <c r="BX33" i="102"/>
  <c r="AR67" i="102"/>
  <c r="AZ37" i="102"/>
  <c r="BX80" i="102"/>
  <c r="T17" i="102"/>
  <c r="BP52" i="102"/>
  <c r="AJ62" i="102"/>
  <c r="BX53" i="102"/>
  <c r="AJ41" i="102"/>
  <c r="AR62" i="102"/>
  <c r="BX17" i="102"/>
  <c r="AR77" i="102"/>
  <c r="AZ84" i="102"/>
  <c r="BX229" i="102"/>
  <c r="L8" i="102"/>
  <c r="AJ59" i="102"/>
  <c r="CF143" i="102"/>
  <c r="AJ206" i="102"/>
  <c r="AZ118" i="102"/>
  <c r="Q71" i="103"/>
  <c r="AJ48" i="102"/>
  <c r="CF169" i="102"/>
  <c r="T73" i="102"/>
  <c r="CN194" i="102"/>
  <c r="BH137" i="102"/>
  <c r="BX149" i="102"/>
  <c r="L174" i="102"/>
  <c r="CN212" i="102"/>
  <c r="BP223" i="102"/>
  <c r="CN172" i="102"/>
  <c r="CN193" i="102"/>
  <c r="T23" i="102"/>
  <c r="BH165" i="102"/>
  <c r="AB213" i="102"/>
  <c r="AZ39" i="102"/>
  <c r="T54" i="102"/>
  <c r="BH101" i="102"/>
  <c r="AJ79" i="102"/>
  <c r="T75" i="102"/>
  <c r="CF159" i="102"/>
  <c r="BP201" i="102"/>
  <c r="Q15" i="103"/>
  <c r="BH187" i="102"/>
  <c r="T7" i="102"/>
  <c r="CN141" i="102"/>
  <c r="CN223" i="102"/>
  <c r="R53" i="103"/>
  <c r="AZ209" i="102"/>
  <c r="BX48" i="102"/>
  <c r="AJ9" i="102"/>
  <c r="L50" i="102"/>
  <c r="BP116" i="102"/>
  <c r="BH97" i="102"/>
  <c r="L66" i="102"/>
  <c r="CN124" i="102"/>
  <c r="AZ161" i="102"/>
  <c r="T80" i="102"/>
  <c r="BP108" i="102"/>
  <c r="CN155" i="102"/>
  <c r="CF149" i="102"/>
  <c r="CF93" i="102"/>
  <c r="T217" i="102"/>
  <c r="AZ7" i="102"/>
  <c r="L22" i="102"/>
  <c r="CF202" i="102"/>
  <c r="L37" i="102"/>
  <c r="P59" i="103"/>
  <c r="R20" i="103"/>
  <c r="V84" i="103"/>
  <c r="V47" i="103"/>
  <c r="AR177" i="102"/>
  <c r="W36" i="103"/>
  <c r="AZ210" i="102"/>
  <c r="BP69" i="102"/>
  <c r="CF119" i="102"/>
  <c r="G40" i="104"/>
  <c r="J40" i="104" s="1"/>
  <c r="G35" i="104"/>
  <c r="J35" i="104" s="1"/>
  <c r="AR60" i="102"/>
  <c r="AR52" i="102"/>
  <c r="BH75" i="102"/>
  <c r="BX14" i="102"/>
  <c r="BP106" i="102"/>
  <c r="BP34" i="102"/>
  <c r="BH51" i="102"/>
  <c r="BP21" i="102"/>
  <c r="BX32" i="102"/>
  <c r="BH8" i="102"/>
  <c r="G72" i="104"/>
  <c r="J72" i="104" s="1"/>
  <c r="AR38" i="102"/>
  <c r="BH21" i="102"/>
  <c r="BP84" i="102"/>
  <c r="BX25" i="102"/>
  <c r="AZ19" i="102"/>
  <c r="BX9" i="102"/>
  <c r="L12" i="102"/>
  <c r="BP39" i="102"/>
  <c r="BX54" i="102"/>
  <c r="BX63" i="102"/>
  <c r="BX71" i="102"/>
  <c r="BX81" i="102"/>
  <c r="BP13" i="102"/>
  <c r="AR79" i="102"/>
  <c r="AZ50" i="102"/>
  <c r="BP154" i="102"/>
  <c r="L72" i="102"/>
  <c r="AJ13" i="102"/>
  <c r="BX138" i="102"/>
  <c r="AB121" i="102"/>
  <c r="AR172" i="102"/>
  <c r="S31" i="103"/>
  <c r="AB46" i="102"/>
  <c r="CF205" i="102"/>
  <c r="CN208" i="102"/>
  <c r="BX169" i="102"/>
  <c r="AJ40" i="102"/>
  <c r="BH228" i="102"/>
  <c r="S21" i="103"/>
  <c r="CN126" i="102"/>
  <c r="BP126" i="102"/>
  <c r="CN144" i="102"/>
  <c r="CN187" i="102"/>
  <c r="L9" i="102"/>
  <c r="AZ207" i="102"/>
  <c r="L185" i="102"/>
  <c r="AR61" i="102"/>
  <c r="L35" i="102"/>
  <c r="AJ64" i="102"/>
  <c r="AB33" i="102"/>
  <c r="L28" i="102"/>
  <c r="CF139" i="102"/>
  <c r="BP205" i="102"/>
  <c r="U66" i="103"/>
  <c r="AJ24" i="102"/>
  <c r="CN157" i="102"/>
  <c r="CN139" i="102"/>
  <c r="CN195" i="102"/>
  <c r="U67" i="103"/>
  <c r="AZ194" i="102"/>
  <c r="BX7" i="102"/>
  <c r="AB32" i="102"/>
  <c r="CN217" i="102"/>
  <c r="BH136" i="102"/>
  <c r="AJ69" i="102"/>
  <c r="CN198" i="102"/>
  <c r="BX100" i="102"/>
  <c r="AJ185" i="102"/>
  <c r="L14" i="102"/>
  <c r="BP197" i="102"/>
  <c r="BX119" i="102"/>
  <c r="BX143" i="102"/>
  <c r="BH123" i="102"/>
  <c r="AZ222" i="102"/>
  <c r="AR16" i="102"/>
  <c r="BP230" i="102"/>
  <c r="CF206" i="102"/>
  <c r="CN151" i="102"/>
  <c r="V79" i="103"/>
  <c r="AR217" i="102"/>
  <c r="R60" i="103"/>
  <c r="R18" i="103"/>
  <c r="AB192" i="102"/>
  <c r="T9" i="103"/>
  <c r="L204" i="102"/>
  <c r="AR28" i="102"/>
  <c r="AZ13" i="102"/>
  <c r="AZ74" i="102"/>
  <c r="G50" i="104"/>
  <c r="J50" i="104" s="1"/>
  <c r="AR7" i="102"/>
  <c r="AJ83" i="102"/>
  <c r="AZ33" i="102"/>
  <c r="BP72" i="102"/>
  <c r="BH153" i="102"/>
  <c r="BH44" i="102"/>
  <c r="BH34" i="102"/>
  <c r="BH43" i="102"/>
  <c r="BP35" i="102"/>
  <c r="BX76" i="102"/>
  <c r="G70" i="104"/>
  <c r="J70" i="104" s="1"/>
  <c r="AR39" i="102"/>
  <c r="AZ69" i="102"/>
  <c r="BP71" i="102"/>
  <c r="BP76" i="102"/>
  <c r="AR37" i="102"/>
  <c r="BH52" i="102"/>
  <c r="L17" i="102"/>
  <c r="BP36" i="102"/>
  <c r="BP44" i="102"/>
  <c r="BP16" i="102"/>
  <c r="BP83" i="102"/>
  <c r="BX24" i="102"/>
  <c r="BH57" i="102"/>
  <c r="BX59" i="102"/>
  <c r="AR17" i="102"/>
  <c r="BH173" i="102"/>
  <c r="CN103" i="102"/>
  <c r="AB67" i="102"/>
  <c r="BP213" i="102"/>
  <c r="AB125" i="102"/>
  <c r="AR115" i="102"/>
  <c r="AR56" i="102"/>
  <c r="AB55" i="102"/>
  <c r="CF98" i="102"/>
  <c r="CN226" i="102"/>
  <c r="BP228" i="102"/>
  <c r="AJ7" i="102"/>
  <c r="BH229" i="102"/>
  <c r="X30" i="103"/>
  <c r="CF226" i="102"/>
  <c r="BP136" i="102"/>
  <c r="CN162" i="102"/>
  <c r="BX173" i="102"/>
  <c r="CN177" i="102"/>
  <c r="AZ141" i="102"/>
  <c r="L159" i="102"/>
  <c r="AR14" i="102"/>
  <c r="CF178" i="102"/>
  <c r="AB51" i="102"/>
  <c r="T37" i="102"/>
  <c r="L33" i="102"/>
  <c r="BX154" i="102"/>
  <c r="BH104" i="102"/>
  <c r="P39" i="103"/>
  <c r="AJ18" i="102"/>
  <c r="BH127" i="102"/>
  <c r="CF99" i="102"/>
  <c r="CF121" i="102"/>
  <c r="T23" i="103"/>
  <c r="AJ164" i="102"/>
  <c r="BH20" i="102"/>
  <c r="AB37" i="102"/>
  <c r="CN96" i="102"/>
  <c r="AB52" i="102"/>
  <c r="AB15" i="102"/>
  <c r="CN181" i="102"/>
  <c r="BX117" i="102"/>
  <c r="AB168" i="102"/>
  <c r="CN186" i="102"/>
  <c r="BH143" i="102"/>
  <c r="BX107" i="102"/>
  <c r="BX103" i="102"/>
  <c r="AR201" i="102"/>
  <c r="AR151" i="102"/>
  <c r="AR12" i="102"/>
  <c r="BP109" i="102"/>
  <c r="BX157" i="102"/>
  <c r="BP195" i="102"/>
  <c r="Q64" i="103"/>
  <c r="AR205" i="102"/>
  <c r="S20" i="103"/>
  <c r="V6" i="103"/>
  <c r="X38" i="103"/>
  <c r="X16" i="103"/>
  <c r="AJ132" i="102"/>
  <c r="G78" i="104"/>
  <c r="J78" i="104" s="1"/>
  <c r="G82" i="104"/>
  <c r="J82" i="104" s="1"/>
  <c r="BH9" i="102"/>
  <c r="G26" i="104"/>
  <c r="J26" i="104" s="1"/>
  <c r="G29" i="104"/>
  <c r="J29" i="104" s="1"/>
  <c r="G33" i="104"/>
  <c r="G58" i="104"/>
  <c r="G27" i="104"/>
  <c r="J27" i="104" s="1"/>
  <c r="G30" i="104"/>
  <c r="J30" i="104" s="1"/>
  <c r="BX26" i="102"/>
  <c r="BH83" i="102"/>
  <c r="AZ6" i="102"/>
  <c r="BP77" i="102"/>
  <c r="AB28" i="102"/>
  <c r="BH74" i="102"/>
  <c r="AZ27" i="102"/>
  <c r="G46" i="104"/>
  <c r="J46" i="104" s="1"/>
  <c r="BH73" i="102"/>
  <c r="BP67" i="102"/>
  <c r="G74" i="104"/>
  <c r="J74" i="104" s="1"/>
  <c r="BX57" i="102"/>
  <c r="AZ72" i="102"/>
  <c r="BH17" i="102"/>
  <c r="BP63" i="102"/>
  <c r="AR50" i="102"/>
  <c r="AZ38" i="102"/>
  <c r="CN161" i="102"/>
  <c r="BH47" i="102"/>
  <c r="BP31" i="102"/>
  <c r="G39" i="104"/>
  <c r="J39" i="104" s="1"/>
  <c r="BH27" i="102"/>
  <c r="BP26" i="102"/>
  <c r="BH77" i="102"/>
  <c r="AZ28" i="102"/>
  <c r="AJ68" i="102"/>
  <c r="AJ26" i="102"/>
  <c r="CF142" i="102"/>
  <c r="T42" i="102"/>
  <c r="BH159" i="102"/>
  <c r="L104" i="102"/>
  <c r="AJ190" i="102"/>
  <c r="AJ46" i="102"/>
  <c r="T66" i="102"/>
  <c r="BX111" i="102"/>
  <c r="CF166" i="102"/>
  <c r="BP93" i="102"/>
  <c r="AB35" i="102"/>
  <c r="BH210" i="102"/>
  <c r="U74" i="103"/>
  <c r="BP119" i="102"/>
  <c r="AZ204" i="102"/>
  <c r="CF102" i="102"/>
  <c r="BP160" i="102"/>
  <c r="CN149" i="102"/>
  <c r="AR223" i="102"/>
  <c r="U35" i="103"/>
  <c r="BX43" i="102"/>
  <c r="BX137" i="102"/>
  <c r="AB39" i="102"/>
  <c r="T27" i="102"/>
  <c r="L34" i="102"/>
  <c r="BX206" i="102"/>
  <c r="AB73" i="102"/>
  <c r="V59" i="103"/>
  <c r="AB19" i="102"/>
  <c r="BH119" i="102"/>
  <c r="BX219" i="102"/>
  <c r="CF157" i="102"/>
  <c r="AR106" i="102"/>
  <c r="AJ200" i="102"/>
  <c r="AR73" i="102"/>
  <c r="T59" i="102"/>
  <c r="CF195" i="102"/>
  <c r="T12" i="102"/>
  <c r="T64" i="102"/>
  <c r="BX207" i="102"/>
  <c r="BP194" i="102"/>
  <c r="T97" i="102"/>
  <c r="CN133" i="102"/>
  <c r="AB24" i="102"/>
  <c r="BH140" i="102"/>
  <c r="BP222" i="102"/>
  <c r="AR189" i="102"/>
  <c r="AJ141" i="102"/>
  <c r="AB41" i="102"/>
  <c r="AJ6" i="102"/>
  <c r="BP211" i="102"/>
  <c r="BP96" i="102"/>
  <c r="AZ182" i="102"/>
  <c r="R29" i="103"/>
  <c r="S16" i="103"/>
  <c r="S66" i="103"/>
  <c r="Q84" i="103"/>
  <c r="T39" i="103"/>
  <c r="P9" i="103"/>
  <c r="AB61" i="102"/>
  <c r="BX19" i="102"/>
  <c r="G45" i="104"/>
  <c r="J45" i="104" s="1"/>
  <c r="AZ47" i="102"/>
  <c r="BH65" i="102"/>
  <c r="BH14" i="102"/>
  <c r="AR84" i="102"/>
  <c r="BX21" i="102"/>
  <c r="AB34" i="102"/>
  <c r="BP171" i="102"/>
  <c r="L16" i="102"/>
  <c r="BH105" i="102"/>
  <c r="L108" i="102"/>
  <c r="AB105" i="102"/>
  <c r="BX38" i="102"/>
  <c r="T9" i="102"/>
  <c r="BX115" i="102"/>
  <c r="BX112" i="102"/>
  <c r="BH195" i="102"/>
  <c r="T62" i="102"/>
  <c r="AB228" i="102"/>
  <c r="W54" i="103"/>
  <c r="BH227" i="102"/>
  <c r="AB83" i="102"/>
  <c r="CF219" i="102"/>
  <c r="BH184" i="102"/>
  <c r="BH115" i="102"/>
  <c r="AB164" i="102"/>
  <c r="Q45" i="103"/>
  <c r="BP33" i="102"/>
  <c r="BP196" i="102"/>
  <c r="T78" i="102"/>
  <c r="L62" i="102"/>
  <c r="CN222" i="102"/>
  <c r="BP140" i="102"/>
  <c r="AB82" i="102"/>
  <c r="R9" i="103"/>
  <c r="T46" i="102"/>
  <c r="AJ12" i="102"/>
  <c r="BX178" i="102"/>
  <c r="CF210" i="102"/>
  <c r="AJ216" i="102"/>
  <c r="AB216" i="102"/>
  <c r="AJ35" i="102"/>
  <c r="L44" i="102"/>
  <c r="BX97" i="102"/>
  <c r="L7" i="102"/>
  <c r="T14" i="102"/>
  <c r="BX211" i="102"/>
  <c r="BH118" i="102"/>
  <c r="R21" i="103"/>
  <c r="CF124" i="102"/>
  <c r="AB21" i="102"/>
  <c r="T32" i="102"/>
  <c r="BH124" i="102"/>
  <c r="AB142" i="102"/>
  <c r="AJ213" i="102"/>
  <c r="T48" i="102"/>
  <c r="AB66" i="102"/>
  <c r="BP215" i="102"/>
  <c r="BH126" i="102"/>
  <c r="AJ129" i="102"/>
  <c r="W38" i="103"/>
  <c r="V61" i="103"/>
  <c r="W42" i="103"/>
  <c r="T34" i="103"/>
  <c r="R57" i="103"/>
  <c r="R35" i="103"/>
  <c r="AB9" i="102"/>
  <c r="L47" i="102"/>
  <c r="BH169" i="102"/>
  <c r="W57" i="103"/>
  <c r="W40" i="103"/>
  <c r="AZ76" i="102"/>
  <c r="CN97" i="102"/>
  <c r="CN170" i="102"/>
  <c r="AZ111" i="102"/>
  <c r="AB49" i="102"/>
  <c r="CN129" i="102"/>
  <c r="AJ155" i="102"/>
  <c r="V49" i="103"/>
  <c r="X69" i="103"/>
  <c r="X55" i="103"/>
  <c r="U22" i="103"/>
  <c r="P69" i="103"/>
  <c r="P82" i="103"/>
  <c r="AB212" i="102"/>
  <c r="U45" i="103"/>
  <c r="P53" i="103"/>
  <c r="W83" i="103"/>
  <c r="R27" i="103"/>
  <c r="Q44" i="103"/>
  <c r="P57" i="103"/>
  <c r="U19" i="103"/>
  <c r="AJ172" i="102"/>
  <c r="L131" i="102"/>
  <c r="Q22" i="103"/>
  <c r="Q16" i="103"/>
  <c r="S68" i="103"/>
  <c r="AA20" i="60"/>
  <c r="Q68" i="103"/>
  <c r="AR166" i="102"/>
  <c r="R56" i="103"/>
  <c r="Q54" i="103"/>
  <c r="R80" i="103"/>
  <c r="S49" i="103"/>
  <c r="L140" i="102"/>
  <c r="T40" i="103"/>
  <c r="S44" i="103"/>
  <c r="W22" i="103"/>
  <c r="P30" i="103"/>
  <c r="T52" i="103"/>
  <c r="AJ136" i="102"/>
  <c r="U51" i="103"/>
  <c r="T229" i="102"/>
  <c r="S56" i="103"/>
  <c r="Q19" i="103"/>
  <c r="Q43" i="103"/>
  <c r="X82" i="103"/>
  <c r="P56" i="103"/>
  <c r="AR208" i="102"/>
  <c r="X79" i="103"/>
  <c r="T76" i="103"/>
  <c r="P38" i="103"/>
  <c r="X19" i="103"/>
  <c r="AB117" i="102"/>
  <c r="AR155" i="102"/>
  <c r="P50" i="103"/>
  <c r="S51" i="103"/>
  <c r="P11" i="103"/>
  <c r="P76" i="103"/>
  <c r="AA48" i="60"/>
  <c r="BX163" i="102"/>
  <c r="BX221" i="102"/>
  <c r="T218" i="102"/>
  <c r="CF209" i="102"/>
  <c r="BH161" i="102"/>
  <c r="BX175" i="102"/>
  <c r="BH139" i="102"/>
  <c r="CF213" i="102"/>
  <c r="CF110" i="102"/>
  <c r="BX105" i="102"/>
  <c r="BX195" i="102"/>
  <c r="BH216" i="102"/>
  <c r="BH191" i="102"/>
  <c r="BP128" i="102"/>
  <c r="CF228" i="102"/>
  <c r="BH181" i="102"/>
  <c r="BH222" i="102"/>
  <c r="CN189" i="102"/>
  <c r="AZ110" i="102"/>
  <c r="AJ118" i="102"/>
  <c r="T216" i="102"/>
  <c r="T226" i="102"/>
  <c r="K78" i="105"/>
  <c r="L78" i="105" s="1"/>
  <c r="AB198" i="102"/>
  <c r="L198" i="102"/>
  <c r="AJ120" i="102"/>
  <c r="AJ176" i="102"/>
  <c r="AB134" i="102"/>
  <c r="L193" i="102"/>
  <c r="AB217" i="102"/>
  <c r="AZ130" i="102"/>
  <c r="K49" i="105"/>
  <c r="L49" i="105" s="1"/>
  <c r="AB194" i="102"/>
  <c r="T159" i="102"/>
  <c r="T166" i="102"/>
  <c r="L153" i="102"/>
  <c r="AA42" i="60"/>
  <c r="BX106" i="102"/>
  <c r="BP137" i="102"/>
  <c r="AR186" i="102"/>
  <c r="AZ149" i="102"/>
  <c r="L203" i="102"/>
  <c r="L221" i="102"/>
  <c r="K47" i="105"/>
  <c r="L47" i="105" s="1"/>
  <c r="AR231" i="102"/>
  <c r="AJ169" i="102"/>
  <c r="AR179" i="102"/>
  <c r="L169" i="102"/>
  <c r="AJ229" i="102"/>
  <c r="AJ177" i="102"/>
  <c r="L114" i="102"/>
  <c r="AA51" i="60"/>
  <c r="BX202" i="102"/>
  <c r="AJ165" i="102"/>
  <c r="AJ149" i="102"/>
  <c r="T213" i="102"/>
  <c r="L123" i="102"/>
  <c r="T6" i="102"/>
  <c r="BH190" i="102"/>
  <c r="AZ230" i="102"/>
  <c r="AZ80" i="102"/>
  <c r="L49" i="102"/>
  <c r="CF172" i="102"/>
  <c r="T69" i="102"/>
  <c r="CN134" i="102"/>
  <c r="BH141" i="102"/>
  <c r="W33" i="103"/>
  <c r="AZ184" i="102"/>
  <c r="AZ42" i="102"/>
  <c r="BP170" i="102"/>
  <c r="CF104" i="102"/>
  <c r="AJ74" i="102"/>
  <c r="AB58" i="102"/>
  <c r="CF108" i="102"/>
  <c r="T187" i="102"/>
  <c r="S83" i="103"/>
  <c r="R12" i="103"/>
  <c r="X77" i="103"/>
  <c r="V46" i="103"/>
  <c r="W82" i="103"/>
  <c r="X53" i="103"/>
  <c r="AB149" i="102"/>
  <c r="AZ214" i="102"/>
  <c r="X25" i="103"/>
  <c r="V58" i="103"/>
  <c r="P40" i="103"/>
  <c r="Q81" i="103"/>
  <c r="W9" i="103"/>
  <c r="W59" i="103"/>
  <c r="AB123" i="102"/>
  <c r="R32" i="103"/>
  <c r="V31" i="103"/>
  <c r="Q67" i="103"/>
  <c r="T61" i="103"/>
  <c r="AA49" i="60"/>
  <c r="V10" i="103"/>
  <c r="AB103" i="102"/>
  <c r="R23" i="103"/>
  <c r="V13" i="103"/>
  <c r="W50" i="103"/>
  <c r="U60" i="103"/>
  <c r="T13" i="103"/>
  <c r="S7" i="103"/>
  <c r="R81" i="103"/>
  <c r="S77" i="103"/>
  <c r="U39" i="103"/>
  <c r="X84" i="103"/>
  <c r="AB208" i="102"/>
  <c r="T18" i="103"/>
  <c r="L103" i="102"/>
  <c r="R79" i="103"/>
  <c r="V28" i="103"/>
  <c r="Q31" i="103"/>
  <c r="T55" i="103"/>
  <c r="R7" i="103"/>
  <c r="AR164" i="102"/>
  <c r="S35" i="103"/>
  <c r="Q25" i="103"/>
  <c r="V77" i="103"/>
  <c r="Q36" i="103"/>
  <c r="W52" i="103"/>
  <c r="AJ192" i="102"/>
  <c r="W65" i="103"/>
  <c r="V29" i="103"/>
  <c r="R22" i="103"/>
  <c r="V8" i="103"/>
  <c r="CF225" i="102"/>
  <c r="BH133" i="102"/>
  <c r="BX177" i="102"/>
  <c r="T174" i="102"/>
  <c r="BP113" i="102"/>
  <c r="BH226" i="102"/>
  <c r="BX179" i="102"/>
  <c r="AZ127" i="102"/>
  <c r="BP224" i="102"/>
  <c r="BX201" i="102"/>
  <c r="BP164" i="102"/>
  <c r="BX151" i="102"/>
  <c r="CF182" i="102"/>
  <c r="CF220" i="102"/>
  <c r="BH152" i="102"/>
  <c r="BX104" i="102"/>
  <c r="AZ223" i="102"/>
  <c r="CN114" i="102"/>
  <c r="CF147" i="102"/>
  <c r="AZ166" i="102"/>
  <c r="AB109" i="102"/>
  <c r="L115" i="102"/>
  <c r="L225" i="102"/>
  <c r="BP149" i="102"/>
  <c r="AB133" i="102"/>
  <c r="L149" i="102"/>
  <c r="T136" i="102"/>
  <c r="AJ196" i="102"/>
  <c r="T137" i="102"/>
  <c r="AZ168" i="102"/>
  <c r="AB221" i="102"/>
  <c r="AZ107" i="102"/>
  <c r="K31" i="105"/>
  <c r="L31" i="105" s="1"/>
  <c r="T175" i="102"/>
  <c r="T176" i="102"/>
  <c r="T122" i="102"/>
  <c r="AZ117" i="102"/>
  <c r="AA23" i="60"/>
  <c r="BX158" i="102"/>
  <c r="CN123" i="102"/>
  <c r="AR123" i="102"/>
  <c r="AR182" i="102"/>
  <c r="AZ157" i="102"/>
  <c r="L105" i="102"/>
  <c r="K65" i="105"/>
  <c r="L65" i="105" s="1"/>
  <c r="AJ116" i="102"/>
  <c r="AJ205" i="102"/>
  <c r="AR228" i="102"/>
  <c r="L228" i="102"/>
  <c r="AB160" i="102"/>
  <c r="AB144" i="102"/>
  <c r="AR161" i="102"/>
  <c r="AA31" i="60"/>
  <c r="BX113" i="102"/>
  <c r="AB185" i="102"/>
  <c r="AB169" i="102"/>
  <c r="AR100" i="102"/>
  <c r="L143" i="102"/>
  <c r="U63" i="103"/>
  <c r="AZ202" i="102"/>
  <c r="T106" i="102"/>
  <c r="T74" i="103"/>
  <c r="P75" i="103"/>
  <c r="P37" i="103"/>
  <c r="S17" i="103"/>
  <c r="AB177" i="102"/>
  <c r="V18" i="103"/>
  <c r="T183" i="102"/>
  <c r="W43" i="103"/>
  <c r="X73" i="103"/>
  <c r="S60" i="103"/>
  <c r="Q63" i="103"/>
  <c r="P23" i="103"/>
  <c r="P28" i="103"/>
  <c r="U52" i="103"/>
  <c r="W26" i="103"/>
  <c r="U78" i="103"/>
  <c r="AA11" i="60"/>
  <c r="T181" i="102"/>
  <c r="Q39" i="103"/>
  <c r="X44" i="103"/>
  <c r="P49" i="103"/>
  <c r="S73" i="103"/>
  <c r="U76" i="103"/>
  <c r="R8" i="103"/>
  <c r="P63" i="103"/>
  <c r="AR210" i="102"/>
  <c r="W73" i="103"/>
  <c r="S71" i="103"/>
  <c r="R46" i="103"/>
  <c r="T8" i="103"/>
  <c r="V22" i="103"/>
  <c r="AJ212" i="102"/>
  <c r="AJ183" i="102"/>
  <c r="W37" i="103"/>
  <c r="V69" i="103"/>
  <c r="X13" i="103"/>
  <c r="BP121" i="102"/>
  <c r="AZ175" i="102"/>
  <c r="BX141" i="102"/>
  <c r="L157" i="102"/>
  <c r="BH96" i="102"/>
  <c r="AZ95" i="102"/>
  <c r="BP100" i="102"/>
  <c r="CN183" i="102"/>
  <c r="CF150" i="102"/>
  <c r="BP115" i="102"/>
  <c r="BH131" i="102"/>
  <c r="BH172" i="102"/>
  <c r="BX124" i="102"/>
  <c r="CF216" i="102"/>
  <c r="BX205" i="102"/>
  <c r="BP112" i="102"/>
  <c r="CF101" i="102"/>
  <c r="CF138" i="102"/>
  <c r="CF123" i="102"/>
  <c r="AR188" i="102"/>
  <c r="T142" i="102"/>
  <c r="AZ216" i="102"/>
  <c r="L130" i="102"/>
  <c r="BH95" i="102"/>
  <c r="T135" i="102"/>
  <c r="L111" i="102"/>
  <c r="L102" i="102"/>
  <c r="AB163" i="102"/>
  <c r="L177" i="102"/>
  <c r="AR157" i="102"/>
  <c r="AB229" i="102"/>
  <c r="AR138" i="102"/>
  <c r="K33" i="105"/>
  <c r="L33" i="105" s="1"/>
  <c r="T192" i="102"/>
  <c r="T109" i="102"/>
  <c r="T155" i="102"/>
  <c r="AR216" i="102"/>
  <c r="AA40" i="60"/>
  <c r="BP181" i="102"/>
  <c r="BX204" i="102"/>
  <c r="AJ160" i="102"/>
  <c r="AR194" i="102"/>
  <c r="AR213" i="102"/>
  <c r="L175" i="102"/>
  <c r="K76" i="105"/>
  <c r="L76" i="105" s="1"/>
  <c r="AJ152" i="102"/>
  <c r="AB152" i="102"/>
  <c r="AB209" i="102"/>
  <c r="AA39" i="60"/>
  <c r="AB95" i="102"/>
  <c r="L181" i="102"/>
  <c r="AJ186" i="102"/>
  <c r="AA24" i="60"/>
  <c r="BH223" i="102"/>
  <c r="AB189" i="102"/>
  <c r="AB173" i="102"/>
  <c r="AR117" i="102"/>
  <c r="AA44" i="60"/>
  <c r="CN138" i="102"/>
  <c r="AZ187" i="102"/>
  <c r="AJ221" i="102"/>
  <c r="AJ38" i="102"/>
  <c r="CF127" i="102"/>
  <c r="BX134" i="102"/>
  <c r="L77" i="102"/>
  <c r="CF201" i="102"/>
  <c r="AJ66" i="102"/>
  <c r="W81" i="103"/>
  <c r="T202" i="102"/>
  <c r="AR55" i="102"/>
  <c r="AB60" i="102"/>
  <c r="BP218" i="102"/>
  <c r="T82" i="102"/>
  <c r="L26" i="102"/>
  <c r="BP199" i="102"/>
  <c r="L195" i="102"/>
  <c r="S26" i="103"/>
  <c r="AZ133" i="102"/>
  <c r="Q37" i="103"/>
  <c r="U53" i="103"/>
  <c r="Q8" i="103"/>
  <c r="X17" i="103"/>
  <c r="AR108" i="102"/>
  <c r="AJ225" i="102"/>
  <c r="P80" i="103"/>
  <c r="P21" i="103"/>
  <c r="W74" i="103"/>
  <c r="P10" i="103"/>
  <c r="AT67" i="69"/>
  <c r="AV67" i="69" s="1"/>
  <c r="AZ206" i="102"/>
  <c r="T197" i="102"/>
  <c r="P42" i="103"/>
  <c r="X39" i="103"/>
  <c r="U83" i="103"/>
  <c r="X26" i="103"/>
  <c r="T116" i="102"/>
  <c r="V67" i="103"/>
  <c r="T133" i="102"/>
  <c r="W51" i="103"/>
  <c r="X37" i="103"/>
  <c r="V14" i="103"/>
  <c r="T20" i="103"/>
  <c r="P71" i="103"/>
  <c r="P36" i="103"/>
  <c r="L231" i="102"/>
  <c r="R72" i="103"/>
  <c r="W47" i="103"/>
  <c r="AC67" i="69"/>
  <c r="AE67" i="69" s="1"/>
  <c r="S24" i="103"/>
  <c r="Q47" i="103"/>
  <c r="V80" i="103"/>
  <c r="U58" i="103"/>
  <c r="P70" i="103"/>
  <c r="R44" i="103"/>
  <c r="T19" i="103"/>
  <c r="V32" i="103"/>
  <c r="T114" i="102"/>
  <c r="Q20" i="103"/>
  <c r="S33" i="103"/>
  <c r="S57" i="103"/>
  <c r="S14" i="103"/>
  <c r="AZ108" i="102"/>
  <c r="Q56" i="103"/>
  <c r="AJ94" i="102"/>
  <c r="U77" i="103"/>
  <c r="W28" i="103"/>
  <c r="T31" i="103"/>
  <c r="BP130" i="102"/>
  <c r="BP105" i="102"/>
  <c r="BP111" i="102"/>
  <c r="CN122" i="102"/>
  <c r="CN178" i="102"/>
  <c r="CF186" i="102"/>
  <c r="BH156" i="102"/>
  <c r="CN104" i="102"/>
  <c r="BX193" i="102"/>
  <c r="BP139" i="102"/>
  <c r="CF203" i="102"/>
  <c r="BH164" i="102"/>
  <c r="BH174" i="102"/>
  <c r="CF117" i="102"/>
  <c r="BP95" i="102"/>
  <c r="BH224" i="102"/>
  <c r="BX216" i="102"/>
  <c r="BX109" i="102"/>
  <c r="BX190" i="102"/>
  <c r="AJ134" i="102"/>
  <c r="L187" i="102"/>
  <c r="AR222" i="102"/>
  <c r="AA5" i="60"/>
  <c r="AR150" i="102"/>
  <c r="L182" i="102"/>
  <c r="AR221" i="102"/>
  <c r="AZ195" i="102"/>
  <c r="T153" i="102"/>
  <c r="L139" i="102"/>
  <c r="AR174" i="102"/>
  <c r="T98" i="102"/>
  <c r="AR178" i="102"/>
  <c r="K34" i="105"/>
  <c r="L34" i="105" s="1"/>
  <c r="L119" i="102"/>
  <c r="AZ147" i="102"/>
  <c r="L188" i="102"/>
  <c r="AB204" i="102"/>
  <c r="K22" i="105"/>
  <c r="L22" i="105" s="1"/>
  <c r="CF148" i="102"/>
  <c r="BX164" i="102"/>
  <c r="AJ180" i="102"/>
  <c r="AB220" i="102"/>
  <c r="AB180" i="102"/>
  <c r="L164" i="102"/>
  <c r="K46" i="105"/>
  <c r="L46" i="105" s="1"/>
  <c r="AB224" i="102"/>
  <c r="L163" i="102"/>
  <c r="AB114" i="102"/>
  <c r="AA4" i="60"/>
  <c r="T125" i="102"/>
  <c r="AR191" i="102"/>
  <c r="AB145" i="102"/>
  <c r="AA9" i="60"/>
  <c r="BH215" i="102"/>
  <c r="AB162" i="102"/>
  <c r="T141" i="102"/>
  <c r="AJ223" i="102"/>
  <c r="AA19" i="60"/>
  <c r="P51" i="103"/>
  <c r="S28" i="103"/>
  <c r="S72" i="103"/>
  <c r="AJ208" i="102"/>
  <c r="AZ142" i="102"/>
  <c r="L207" i="102"/>
  <c r="T75" i="103"/>
  <c r="T47" i="103"/>
  <c r="Q62" i="103"/>
  <c r="V68" i="103"/>
  <c r="T48" i="103"/>
  <c r="AZ190" i="102"/>
  <c r="U59" i="103"/>
  <c r="X34" i="103"/>
  <c r="X58" i="103"/>
  <c r="AA35" i="60"/>
  <c r="X70" i="103"/>
  <c r="AJ199" i="102"/>
  <c r="V54" i="103"/>
  <c r="S11" i="103"/>
  <c r="X43" i="103"/>
  <c r="W53" i="103"/>
  <c r="AA50" i="60"/>
  <c r="S53" i="103"/>
  <c r="Q59" i="103"/>
  <c r="W7" i="103"/>
  <c r="X42" i="103"/>
  <c r="W70" i="103"/>
  <c r="Q66" i="103"/>
  <c r="AJ202" i="102"/>
  <c r="T10" i="103"/>
  <c r="L222" i="102"/>
  <c r="P46" i="103"/>
  <c r="U41" i="103"/>
  <c r="X74" i="103"/>
  <c r="BH112" i="102"/>
  <c r="BH185" i="102"/>
  <c r="BP123" i="102"/>
  <c r="CF161" i="102"/>
  <c r="BX95" i="102"/>
  <c r="CF190" i="102"/>
  <c r="AZ191" i="102"/>
  <c r="CN100" i="102"/>
  <c r="BX226" i="102"/>
  <c r="AZ201" i="102"/>
  <c r="CF109" i="102"/>
  <c r="AZ213" i="102"/>
  <c r="AZ140" i="102"/>
  <c r="BP217" i="102"/>
  <c r="BP98" i="102"/>
  <c r="BH116" i="102"/>
  <c r="BP198" i="102"/>
  <c r="BP147" i="102"/>
  <c r="BP124" i="102"/>
  <c r="AJ101" i="102"/>
  <c r="AR160" i="102"/>
  <c r="AJ159" i="102"/>
  <c r="AA52" i="60"/>
  <c r="AR200" i="102"/>
  <c r="L168" i="102"/>
  <c r="AR193" i="102"/>
  <c r="AZ152" i="102"/>
  <c r="AA25" i="60"/>
  <c r="AZ125" i="102"/>
  <c r="AR114" i="102"/>
  <c r="L205" i="102"/>
  <c r="AJ201" i="102"/>
  <c r="K53" i="105"/>
  <c r="L53" i="105" s="1"/>
  <c r="AZ163" i="102"/>
  <c r="AZ148" i="102"/>
  <c r="L180" i="102"/>
  <c r="T227" i="102"/>
  <c r="K68" i="105"/>
  <c r="L68" i="105" s="1"/>
  <c r="BX194" i="102"/>
  <c r="BX114" i="102"/>
  <c r="L165" i="102"/>
  <c r="AB119" i="102"/>
  <c r="AB128" i="102"/>
  <c r="AA18" i="60"/>
  <c r="BX140" i="102"/>
  <c r="T184" i="102"/>
  <c r="AR229" i="102"/>
  <c r="T191" i="102"/>
  <c r="AA22" i="60"/>
  <c r="L173" i="102"/>
  <c r="AR165" i="102"/>
  <c r="AB127" i="102"/>
  <c r="AA15" i="60"/>
  <c r="AR137" i="102"/>
  <c r="L121" i="102"/>
  <c r="L184" i="102"/>
  <c r="AJ122" i="102"/>
  <c r="AA29" i="60"/>
  <c r="P68" i="103"/>
  <c r="R71" i="103"/>
  <c r="AB182" i="102"/>
  <c r="Q29" i="103"/>
  <c r="AR202" i="102"/>
  <c r="P44" i="103"/>
  <c r="V50" i="103"/>
  <c r="S18" i="103"/>
  <c r="L155" i="102"/>
  <c r="T169" i="102"/>
  <c r="L196" i="102"/>
  <c r="U29" i="103"/>
  <c r="U82" i="103"/>
  <c r="Q73" i="103"/>
  <c r="Q35" i="103"/>
  <c r="AJ228" i="102"/>
  <c r="AZ101" i="102"/>
  <c r="T16" i="103"/>
  <c r="R63" i="103"/>
  <c r="P83" i="103"/>
  <c r="R58" i="103"/>
  <c r="P27" i="103"/>
  <c r="X64" i="103"/>
  <c r="AJ145" i="102"/>
  <c r="Q80" i="103"/>
  <c r="U44" i="103"/>
  <c r="Q42" i="103"/>
  <c r="AA37" i="60"/>
  <c r="AZ173" i="102"/>
  <c r="AB166" i="102"/>
  <c r="U21" i="103"/>
  <c r="T64" i="103"/>
  <c r="P41" i="103"/>
  <c r="V11" i="103"/>
  <c r="AA14" i="60"/>
  <c r="S61" i="103"/>
  <c r="S10" i="103"/>
  <c r="T62" i="103"/>
  <c r="T80" i="103"/>
  <c r="V83" i="103"/>
  <c r="T22" i="103"/>
  <c r="T143" i="102"/>
  <c r="U49" i="103"/>
  <c r="P45" i="103"/>
  <c r="U55" i="103"/>
  <c r="X27" i="103"/>
  <c r="V39" i="103"/>
  <c r="CN153" i="102"/>
  <c r="BH157" i="102"/>
  <c r="BH138" i="102"/>
  <c r="CF116" i="102"/>
  <c r="BX99" i="102"/>
  <c r="BP219" i="102"/>
  <c r="CF170" i="102"/>
  <c r="CF218" i="102"/>
  <c r="BP127" i="102"/>
  <c r="BX188" i="102"/>
  <c r="BX129" i="102"/>
  <c r="AR227" i="102"/>
  <c r="CF231" i="102"/>
  <c r="CF163" i="102"/>
  <c r="BX150" i="102"/>
  <c r="CN214" i="102"/>
  <c r="BP186" i="102"/>
  <c r="BP151" i="102"/>
  <c r="BH151" i="102"/>
  <c r="AB100" i="102"/>
  <c r="AR116" i="102"/>
  <c r="AB154" i="102"/>
  <c r="AA6" i="60"/>
  <c r="AR158" i="102"/>
  <c r="L95" i="102"/>
  <c r="AJ175" i="102"/>
  <c r="AZ162" i="102"/>
  <c r="AA13" i="60"/>
  <c r="AR211" i="102"/>
  <c r="AJ187" i="102"/>
  <c r="L166" i="102"/>
  <c r="AJ168" i="102"/>
  <c r="K72" i="105"/>
  <c r="L72" i="105" s="1"/>
  <c r="AZ150" i="102"/>
  <c r="AR171" i="102"/>
  <c r="L142" i="102"/>
  <c r="L199" i="102"/>
  <c r="K71" i="105"/>
  <c r="L71" i="105" s="1"/>
  <c r="BP153" i="102"/>
  <c r="BH145" i="102"/>
  <c r="AZ134" i="102"/>
  <c r="T102" i="102"/>
  <c r="T163" i="102"/>
  <c r="AA28" i="60"/>
  <c r="BX144" i="102"/>
  <c r="L147" i="102"/>
  <c r="AB196" i="102"/>
  <c r="T208" i="102"/>
  <c r="AA34" i="60"/>
  <c r="AZ105" i="102"/>
  <c r="AR146" i="102"/>
  <c r="T127" i="102"/>
  <c r="K77" i="105"/>
  <c r="L77" i="105" s="1"/>
  <c r="AR125" i="102"/>
  <c r="AZ120" i="102"/>
  <c r="L192" i="102"/>
  <c r="T188" i="102"/>
  <c r="AA32" i="60"/>
  <c r="CN168" i="102"/>
  <c r="BX147" i="102"/>
  <c r="CN204" i="102"/>
  <c r="AR167" i="102"/>
  <c r="AJ105" i="102"/>
  <c r="BP59" i="102"/>
  <c r="CN109" i="102"/>
  <c r="AB57" i="102"/>
  <c r="CN167" i="102"/>
  <c r="BX180" i="102"/>
  <c r="AB8" i="102"/>
  <c r="R15" i="103"/>
  <c r="AR121" i="102"/>
  <c r="T190" i="102"/>
  <c r="V76" i="103"/>
  <c r="P13" i="103"/>
  <c r="R51" i="103"/>
  <c r="Q33" i="103"/>
  <c r="L190" i="102"/>
  <c r="V72" i="103"/>
  <c r="L101" i="102"/>
  <c r="X7" i="103"/>
  <c r="X83" i="103"/>
  <c r="U34" i="103"/>
  <c r="L98" i="102"/>
  <c r="L197" i="102"/>
  <c r="L158" i="102"/>
  <c r="U37" i="103"/>
  <c r="X65" i="103"/>
  <c r="U36" i="103"/>
  <c r="S46" i="103"/>
  <c r="X52" i="103"/>
  <c r="AR120" i="102"/>
  <c r="T66" i="103"/>
  <c r="U20" i="103"/>
  <c r="V55" i="103"/>
  <c r="W15" i="103"/>
  <c r="R38" i="103"/>
  <c r="W18" i="103"/>
  <c r="AB201" i="102"/>
  <c r="U50" i="103"/>
  <c r="S81" i="103"/>
  <c r="T77" i="103"/>
  <c r="AA53" i="60"/>
  <c r="AZ229" i="102"/>
  <c r="AB126" i="102"/>
  <c r="R42" i="103"/>
  <c r="L100" i="102"/>
  <c r="S79" i="103"/>
  <c r="W61" i="103"/>
  <c r="T117" i="102"/>
  <c r="AZ196" i="102"/>
  <c r="W64" i="103"/>
  <c r="P16" i="103"/>
  <c r="R48" i="103"/>
  <c r="T58" i="103"/>
  <c r="V33" i="103"/>
  <c r="T160" i="102"/>
  <c r="S74" i="103"/>
  <c r="U54" i="103"/>
  <c r="S8" i="103"/>
  <c r="V75" i="103"/>
  <c r="R49" i="103"/>
  <c r="BX174" i="102"/>
  <c r="BH107" i="102"/>
  <c r="BH203" i="102"/>
  <c r="BX200" i="102"/>
  <c r="BP174" i="102"/>
  <c r="BH198" i="102"/>
  <c r="CF174" i="102"/>
  <c r="BX102" i="102"/>
  <c r="BH154" i="102"/>
  <c r="BX98" i="102"/>
  <c r="BP204" i="102"/>
  <c r="AR197" i="102"/>
  <c r="CF114" i="102"/>
  <c r="BH167" i="102"/>
  <c r="BP189" i="102"/>
  <c r="BX223" i="102"/>
  <c r="CN131" i="102"/>
  <c r="BP104" i="102"/>
  <c r="AR214" i="102"/>
  <c r="T168" i="102"/>
  <c r="AJ138" i="102"/>
  <c r="AB158" i="102"/>
  <c r="AA8" i="60"/>
  <c r="AB188" i="102"/>
  <c r="AZ122" i="102"/>
  <c r="AB170" i="102"/>
  <c r="AR153" i="102"/>
  <c r="AA47" i="60"/>
  <c r="AR168" i="102"/>
  <c r="AJ130" i="102"/>
  <c r="AZ224" i="102"/>
  <c r="AB99" i="102"/>
  <c r="K63" i="105"/>
  <c r="L63" i="105" s="1"/>
  <c r="AR187" i="102"/>
  <c r="AJ162" i="102"/>
  <c r="AZ138" i="102"/>
  <c r="L145" i="102"/>
  <c r="K70" i="105"/>
  <c r="L70" i="105" s="1"/>
  <c r="BP157" i="102"/>
  <c r="AR192" i="102"/>
  <c r="AR176" i="102"/>
  <c r="T199" i="102"/>
  <c r="T212" i="102"/>
  <c r="K45" i="105"/>
  <c r="L45" i="105" s="1"/>
  <c r="BH202" i="102"/>
  <c r="AZ185" i="102"/>
  <c r="T179" i="102"/>
  <c r="T148" i="102"/>
  <c r="AA36" i="60"/>
  <c r="AR185" i="102"/>
  <c r="AB225" i="102"/>
  <c r="T144" i="102"/>
  <c r="K67" i="105"/>
  <c r="L67" i="105" s="1"/>
  <c r="AJ220" i="102"/>
  <c r="AR109" i="102"/>
  <c r="L137" i="102"/>
  <c r="T221" i="102"/>
  <c r="AA30" i="60"/>
  <c r="S43" i="103"/>
  <c r="V57" i="103"/>
  <c r="U32" i="103"/>
  <c r="V23" i="103"/>
  <c r="Q46" i="103"/>
  <c r="L128" i="102"/>
  <c r="AZ131" i="102"/>
  <c r="AR96" i="102"/>
  <c r="R26" i="103"/>
  <c r="Q30" i="103"/>
  <c r="X35" i="103"/>
  <c r="S25" i="103"/>
  <c r="W77" i="103"/>
  <c r="AZ93" i="102"/>
  <c r="L213" i="102"/>
  <c r="Q60" i="103"/>
  <c r="X60" i="103"/>
  <c r="W45" i="103"/>
  <c r="U26" i="103"/>
  <c r="AZ100" i="102"/>
  <c r="V27" i="103"/>
  <c r="R50" i="103"/>
  <c r="V21" i="103"/>
  <c r="Q49" i="103"/>
  <c r="R83" i="103"/>
  <c r="L189" i="102"/>
  <c r="AB102" i="102"/>
  <c r="W35" i="103"/>
  <c r="U25" i="103"/>
  <c r="X21" i="103"/>
  <c r="V9" i="103"/>
  <c r="AA27" i="60"/>
  <c r="W11" i="103"/>
  <c r="P6" i="103"/>
  <c r="P29" i="103"/>
  <c r="X62" i="103"/>
  <c r="V42" i="103"/>
  <c r="P84" i="103"/>
  <c r="BH135" i="102"/>
  <c r="CF112" i="102"/>
  <c r="AZ121" i="102"/>
  <c r="BP182" i="102"/>
  <c r="BP178" i="102"/>
  <c r="CN140" i="102"/>
  <c r="BX94" i="102"/>
  <c r="BP227" i="102"/>
  <c r="CF199" i="102"/>
  <c r="BH129" i="102"/>
  <c r="BH231" i="102"/>
  <c r="AB124" i="102"/>
  <c r="BX185" i="102"/>
  <c r="CF196" i="102"/>
  <c r="BP193" i="102"/>
  <c r="BH196" i="102"/>
  <c r="CF198" i="102"/>
  <c r="CN147" i="102"/>
  <c r="AR111" i="102"/>
  <c r="L179" i="102"/>
  <c r="AJ114" i="102"/>
  <c r="AB116" i="102"/>
  <c r="AA41" i="60"/>
  <c r="AB210" i="102"/>
  <c r="AZ178" i="102"/>
  <c r="AB174" i="102"/>
  <c r="AR141" i="102"/>
  <c r="AA17" i="60"/>
  <c r="AB148" i="102"/>
  <c r="AB106" i="102"/>
  <c r="AJ107" i="102"/>
  <c r="T120" i="102"/>
  <c r="BX228" i="102"/>
  <c r="AJ224" i="102"/>
  <c r="AB195" i="102"/>
  <c r="AR220" i="102"/>
  <c r="AZ99" i="102"/>
  <c r="K18" i="105"/>
  <c r="L18" i="105" s="1"/>
  <c r="BH144" i="102"/>
  <c r="AR148" i="102"/>
  <c r="AR132" i="102"/>
  <c r="T152" i="102"/>
  <c r="T126" i="102"/>
  <c r="K48" i="105"/>
  <c r="L48" i="105" s="1"/>
  <c r="AZ217" i="102"/>
  <c r="AZ171" i="102"/>
  <c r="L194" i="102"/>
  <c r="AZ126" i="102"/>
  <c r="K12" i="105"/>
  <c r="L12" i="105" s="1"/>
  <c r="AR173" i="102"/>
  <c r="T207" i="102"/>
  <c r="T209" i="102"/>
  <c r="K42" i="105"/>
  <c r="L42" i="105" s="1"/>
  <c r="AB215" i="102"/>
  <c r="AR95" i="102"/>
  <c r="AR127" i="102"/>
  <c r="T145" i="102"/>
  <c r="K75" i="105"/>
  <c r="L75" i="105" s="1"/>
  <c r="S67" i="103"/>
  <c r="X67" i="103"/>
  <c r="U48" i="103"/>
  <c r="V12" i="103"/>
  <c r="AR169" i="102"/>
  <c r="W79" i="103"/>
  <c r="P12" i="103"/>
  <c r="T42" i="103"/>
  <c r="R33" i="103"/>
  <c r="R82" i="103"/>
  <c r="T7" i="103"/>
  <c r="AZ104" i="102"/>
  <c r="AJ97" i="102"/>
  <c r="V71" i="103"/>
  <c r="Q74" i="103"/>
  <c r="U12" i="103"/>
  <c r="T71" i="103"/>
  <c r="AA21" i="60"/>
  <c r="AR102" i="102"/>
  <c r="V60" i="103"/>
  <c r="X12" i="103"/>
  <c r="R28" i="103"/>
  <c r="S55" i="103"/>
  <c r="AR112" i="102"/>
  <c r="AR118" i="102"/>
  <c r="R37" i="103"/>
  <c r="AZ231" i="102"/>
  <c r="S9" i="103"/>
  <c r="W58" i="103"/>
  <c r="U84" i="103"/>
  <c r="L117" i="102"/>
  <c r="AB143" i="102"/>
  <c r="T56" i="103"/>
  <c r="U71" i="103"/>
  <c r="R55" i="103"/>
  <c r="R19" i="103"/>
  <c r="AJ139" i="102"/>
  <c r="T21" i="103"/>
  <c r="AZ203" i="102"/>
  <c r="V63" i="103"/>
  <c r="S42" i="103"/>
  <c r="R52" i="103"/>
  <c r="R69" i="103"/>
  <c r="CN174" i="102"/>
  <c r="BX126" i="102"/>
  <c r="AZ200" i="102"/>
  <c r="BP120" i="102"/>
  <c r="CN197" i="102"/>
  <c r="CN112" i="102"/>
  <c r="BP179" i="102"/>
  <c r="BH109" i="102"/>
  <c r="BX153" i="102"/>
  <c r="CN119" i="102"/>
  <c r="BH155" i="102"/>
  <c r="T147" i="102"/>
  <c r="BP103" i="102"/>
  <c r="BX166" i="102"/>
  <c r="BH176" i="102"/>
  <c r="BX165" i="102"/>
  <c r="CF145" i="102"/>
  <c r="BX160" i="102"/>
  <c r="AJ156" i="102"/>
  <c r="AZ176" i="102"/>
  <c r="AB97" i="102"/>
  <c r="T124" i="102"/>
  <c r="K39" i="105"/>
  <c r="L39" i="105" s="1"/>
  <c r="T99" i="102"/>
  <c r="AR184" i="102"/>
  <c r="T140" i="102"/>
  <c r="AJ95" i="102"/>
  <c r="K41" i="105"/>
  <c r="L41" i="105" s="1"/>
  <c r="T223" i="102"/>
  <c r="T230" i="102"/>
  <c r="AB207" i="102"/>
  <c r="L135" i="102"/>
  <c r="BX130" i="102"/>
  <c r="AJ210" i="102"/>
  <c r="L162" i="102"/>
  <c r="AJ166" i="102"/>
  <c r="AZ102" i="102"/>
  <c r="K36" i="105"/>
  <c r="L36" i="105" s="1"/>
  <c r="BX231" i="102"/>
  <c r="AR131" i="102"/>
  <c r="AB113" i="102"/>
  <c r="L191" i="102"/>
  <c r="L202" i="102"/>
  <c r="K14" i="105"/>
  <c r="L14" i="105" s="1"/>
  <c r="AR128" i="102"/>
  <c r="AZ115" i="102"/>
  <c r="AZ153" i="102"/>
  <c r="AJ222" i="102"/>
  <c r="K55" i="105"/>
  <c r="L55" i="105" s="1"/>
  <c r="AR190" i="102"/>
  <c r="T164" i="102"/>
  <c r="T178" i="102"/>
  <c r="K82" i="105"/>
  <c r="L82" i="105" s="1"/>
  <c r="AB171" i="102"/>
  <c r="AJ204" i="102"/>
  <c r="AR224" i="102"/>
  <c r="L154" i="102"/>
  <c r="K57" i="105"/>
  <c r="L57" i="105" s="1"/>
  <c r="W10" i="103"/>
  <c r="AR129" i="102"/>
  <c r="P79" i="103"/>
  <c r="W6" i="103"/>
  <c r="W66" i="103"/>
  <c r="P74" i="103"/>
  <c r="X50" i="103"/>
  <c r="AZ155" i="102"/>
  <c r="T26" i="103"/>
  <c r="W27" i="103"/>
  <c r="V25" i="103"/>
  <c r="Q14" i="103"/>
  <c r="R65" i="103"/>
  <c r="AJ111" i="102"/>
  <c r="Q53" i="103"/>
  <c r="V52" i="103"/>
  <c r="S6" i="103"/>
  <c r="X75" i="103"/>
  <c r="Q21" i="103"/>
  <c r="R6" i="103"/>
  <c r="AB223" i="102"/>
  <c r="L200" i="102"/>
  <c r="W13" i="103"/>
  <c r="S38" i="103"/>
  <c r="Q65" i="103"/>
  <c r="U33" i="103"/>
  <c r="AA43" i="60"/>
  <c r="AR152" i="102"/>
  <c r="X11" i="103"/>
  <c r="S65" i="103"/>
  <c r="W56" i="103"/>
  <c r="U6" i="103"/>
  <c r="AJ191" i="102"/>
  <c r="AB156" i="102"/>
  <c r="Q78" i="103"/>
  <c r="AR204" i="102"/>
  <c r="S63" i="103"/>
  <c r="Q13" i="103"/>
  <c r="P60" i="103"/>
  <c r="L150" i="102"/>
  <c r="L171" i="102"/>
  <c r="AR140" i="102"/>
  <c r="R70" i="103"/>
  <c r="P8" i="103"/>
  <c r="X68" i="103"/>
  <c r="AB155" i="102"/>
  <c r="Q70" i="103"/>
  <c r="AR144" i="102"/>
  <c r="X80" i="103"/>
  <c r="S39" i="103"/>
  <c r="W84" i="103"/>
  <c r="S62" i="103"/>
  <c r="CF168" i="102"/>
  <c r="BH225" i="102"/>
  <c r="AZ96" i="102"/>
  <c r="BH217" i="102"/>
  <c r="BH178" i="102"/>
  <c r="CF211" i="102"/>
  <c r="BP183" i="102"/>
  <c r="CN127" i="102"/>
  <c r="BX162" i="102"/>
  <c r="CF158" i="102"/>
  <c r="CF135" i="102"/>
  <c r="T93" i="102"/>
  <c r="BH211" i="102"/>
  <c r="BP209" i="102"/>
  <c r="CF191" i="102"/>
  <c r="BP214" i="102"/>
  <c r="BP166" i="102"/>
  <c r="BP191" i="102"/>
  <c r="AB191" i="102"/>
  <c r="AR198" i="102"/>
  <c r="T204" i="102"/>
  <c r="T157" i="102"/>
  <c r="K59" i="105"/>
  <c r="L59" i="105" s="1"/>
  <c r="L223" i="102"/>
  <c r="AB172" i="102"/>
  <c r="T173" i="102"/>
  <c r="AB231" i="102"/>
  <c r="K17" i="105"/>
  <c r="L17" i="105" s="1"/>
  <c r="T180" i="102"/>
  <c r="T186" i="102"/>
  <c r="AB167" i="102"/>
  <c r="AA46" i="60"/>
  <c r="BP226" i="102"/>
  <c r="AB211" i="102"/>
  <c r="AZ112" i="102"/>
  <c r="AJ133" i="102"/>
  <c r="AR183" i="102"/>
  <c r="K54" i="105"/>
  <c r="L54" i="105" s="1"/>
  <c r="BP165" i="102"/>
  <c r="AJ170" i="102"/>
  <c r="T220" i="102"/>
  <c r="L129" i="102"/>
  <c r="L132" i="102"/>
  <c r="K37" i="105"/>
  <c r="L37" i="105" s="1"/>
  <c r="AR225" i="102"/>
  <c r="AR209" i="102"/>
  <c r="AZ119" i="102"/>
  <c r="AJ117" i="102"/>
  <c r="K32" i="105"/>
  <c r="L32" i="105" s="1"/>
  <c r="AR130" i="102"/>
  <c r="L133" i="102"/>
  <c r="L167" i="102"/>
  <c r="K24" i="105"/>
  <c r="L24" i="105" s="1"/>
  <c r="T198" i="102"/>
  <c r="AB199" i="102"/>
  <c r="AR180" i="102"/>
  <c r="AZ137" i="102"/>
  <c r="K60" i="105"/>
  <c r="L60" i="105" s="1"/>
  <c r="AB203" i="102"/>
  <c r="P20" i="103"/>
  <c r="Q76" i="103"/>
  <c r="X15" i="103"/>
  <c r="T41" i="103"/>
  <c r="W29" i="103"/>
  <c r="U61" i="103"/>
  <c r="AB132" i="102"/>
  <c r="U57" i="103"/>
  <c r="W21" i="103"/>
  <c r="T49" i="103"/>
  <c r="V20" i="103"/>
  <c r="V44" i="103"/>
  <c r="AA33" i="60"/>
  <c r="AB140" i="102"/>
  <c r="V65" i="103"/>
  <c r="P48" i="103"/>
  <c r="U9" i="103"/>
  <c r="V62" i="103"/>
  <c r="AB190" i="102"/>
  <c r="AB197" i="102"/>
  <c r="T27" i="103"/>
  <c r="AJ150" i="102"/>
  <c r="U17" i="103"/>
  <c r="P61" i="103"/>
  <c r="R11" i="103"/>
  <c r="U38" i="103"/>
  <c r="X41" i="103"/>
  <c r="AB214" i="102"/>
  <c r="U23" i="103"/>
  <c r="U62" i="103"/>
  <c r="R62" i="103"/>
  <c r="T138" i="102"/>
  <c r="X46" i="103"/>
  <c r="AB218" i="102"/>
  <c r="S69" i="103"/>
  <c r="T78" i="103"/>
  <c r="T60" i="103"/>
  <c r="X18" i="103"/>
  <c r="BP169" i="102"/>
  <c r="AZ159" i="102"/>
  <c r="AR206" i="102"/>
  <c r="BH189" i="102"/>
  <c r="CN211" i="102"/>
  <c r="CN199" i="102"/>
  <c r="BH182" i="102"/>
  <c r="CF125" i="102"/>
  <c r="BP208" i="102"/>
  <c r="BP163" i="102"/>
  <c r="CF133" i="102"/>
  <c r="L226" i="102"/>
  <c r="BH142" i="102"/>
  <c r="BH192" i="102"/>
  <c r="CF171" i="102"/>
  <c r="BP202" i="102"/>
  <c r="BH201" i="102"/>
  <c r="BH218" i="102"/>
  <c r="AB107" i="102"/>
  <c r="AJ140" i="102"/>
  <c r="T96" i="102"/>
  <c r="L141" i="102"/>
  <c r="K58" i="105"/>
  <c r="L58" i="105" s="1"/>
  <c r="L215" i="102"/>
  <c r="T151" i="102"/>
  <c r="T206" i="102"/>
  <c r="AB187" i="102"/>
  <c r="K74" i="105"/>
  <c r="L74" i="105" s="1"/>
  <c r="AZ227" i="102"/>
  <c r="T219" i="102"/>
  <c r="T150" i="102"/>
  <c r="AA26" i="60"/>
  <c r="BH209" i="102"/>
  <c r="L227" i="102"/>
  <c r="AR105" i="102"/>
  <c r="AB153" i="102"/>
  <c r="AJ137" i="102"/>
  <c r="K13" i="105"/>
  <c r="L13" i="105" s="1"/>
  <c r="BH111" i="102"/>
  <c r="AB129" i="102"/>
  <c r="T112" i="102"/>
  <c r="AZ156" i="102"/>
  <c r="AZ186" i="102"/>
  <c r="K28" i="105"/>
  <c r="L28" i="105" s="1"/>
  <c r="AJ207" i="102"/>
  <c r="AR226" i="102"/>
  <c r="AJ179" i="102"/>
  <c r="AB137" i="102"/>
  <c r="K35" i="105"/>
  <c r="L35" i="105" s="1"/>
  <c r="AJ127" i="102"/>
  <c r="AZ211" i="102"/>
  <c r="AZ124" i="102"/>
  <c r="K81" i="105"/>
  <c r="L81" i="105" s="1"/>
  <c r="T154" i="102"/>
  <c r="AB159" i="102"/>
  <c r="AR103" i="102"/>
  <c r="AZ103" i="102"/>
  <c r="K66" i="105"/>
  <c r="L66" i="105" s="1"/>
  <c r="W46" i="103"/>
  <c r="S22" i="103"/>
  <c r="Q32" i="103"/>
  <c r="AB96" i="102"/>
  <c r="V40" i="103"/>
  <c r="U7" i="103"/>
  <c r="P67" i="103"/>
  <c r="R54" i="103"/>
  <c r="S58" i="103"/>
  <c r="W12" i="103"/>
  <c r="T103" i="102"/>
  <c r="W8" i="103"/>
  <c r="AZ113" i="102"/>
  <c r="U80" i="103"/>
  <c r="S30" i="103"/>
  <c r="U64" i="103"/>
  <c r="AZ183" i="102"/>
  <c r="AB101" i="102"/>
  <c r="T37" i="103"/>
  <c r="P81" i="103"/>
  <c r="T63" i="103"/>
  <c r="X22" i="103"/>
  <c r="T156" i="102"/>
  <c r="T228" i="102"/>
  <c r="P72" i="103"/>
  <c r="U16" i="103"/>
  <c r="Q27" i="103"/>
  <c r="V56" i="103"/>
  <c r="W20" i="103"/>
  <c r="P78" i="103"/>
  <c r="T51" i="103"/>
  <c r="L219" i="102"/>
  <c r="T70" i="103"/>
  <c r="U14" i="103"/>
  <c r="R17" i="103"/>
  <c r="T171" i="102"/>
  <c r="P64" i="103"/>
  <c r="AB222" i="102"/>
  <c r="P22" i="103"/>
  <c r="U47" i="103"/>
  <c r="Q50" i="103"/>
  <c r="U28" i="103"/>
  <c r="BP173" i="102"/>
  <c r="CF113" i="102"/>
  <c r="AJ143" i="102"/>
  <c r="BH146" i="102"/>
  <c r="CN152" i="102"/>
  <c r="CF97" i="102"/>
  <c r="CN102" i="102"/>
  <c r="BX108" i="102"/>
  <c r="BP212" i="102"/>
  <c r="BP146" i="102"/>
  <c r="BX230" i="102"/>
  <c r="L148" i="102"/>
  <c r="CF175" i="102"/>
  <c r="BH162" i="102"/>
  <c r="BX186" i="102"/>
  <c r="CF176" i="102"/>
  <c r="CN191" i="102"/>
  <c r="AZ172" i="102"/>
  <c r="T231" i="102"/>
  <c r="AB135" i="102"/>
  <c r="AZ144" i="102"/>
  <c r="AZ180" i="102"/>
  <c r="K52" i="105"/>
  <c r="L52" i="105" s="1"/>
  <c r="L161" i="102"/>
  <c r="AZ135" i="102"/>
  <c r="L125" i="102"/>
  <c r="T214" i="102"/>
  <c r="K20" i="105"/>
  <c r="L20" i="105" s="1"/>
  <c r="AZ212" i="102"/>
  <c r="T110" i="102"/>
  <c r="T139" i="102"/>
  <c r="AA16" i="60"/>
  <c r="AZ143" i="102"/>
  <c r="L146" i="102"/>
  <c r="AR93" i="102"/>
  <c r="AB157" i="102"/>
  <c r="AJ173" i="102"/>
  <c r="BX121" i="102"/>
  <c r="BH103" i="102"/>
  <c r="AB110" i="102"/>
  <c r="AR170" i="102"/>
  <c r="AR122" i="102"/>
  <c r="AJ214" i="102"/>
  <c r="K23" i="105"/>
  <c r="L23" i="105" s="1"/>
  <c r="AB202" i="102"/>
  <c r="AB186" i="102"/>
  <c r="AJ110" i="102"/>
  <c r="AB141" i="102"/>
  <c r="K73" i="105"/>
  <c r="L73" i="105" s="1"/>
  <c r="AJ203" i="102"/>
  <c r="AR219" i="102"/>
  <c r="AZ167" i="102"/>
  <c r="K27" i="105"/>
  <c r="L27" i="105" s="1"/>
  <c r="L110" i="102"/>
  <c r="T182" i="102"/>
  <c r="AB161" i="102"/>
  <c r="AJ163" i="102"/>
  <c r="K38" i="105"/>
  <c r="L38" i="105" s="1"/>
  <c r="AB165" i="102"/>
  <c r="AJ119" i="102"/>
  <c r="P52" i="103"/>
  <c r="W76" i="103"/>
  <c r="Q83" i="103"/>
  <c r="T68" i="103"/>
  <c r="X49" i="103"/>
  <c r="AJ171" i="102"/>
  <c r="S23" i="103"/>
  <c r="W48" i="103"/>
  <c r="X31" i="103"/>
  <c r="L126" i="102"/>
  <c r="T54" i="103"/>
  <c r="V48" i="103"/>
  <c r="AJ112" i="102"/>
  <c r="Q24" i="103"/>
  <c r="Q51" i="103"/>
  <c r="Q11" i="103"/>
  <c r="P24" i="103"/>
  <c r="L144" i="102"/>
  <c r="X63" i="103"/>
  <c r="AJ209" i="102"/>
  <c r="P73" i="103"/>
  <c r="R74" i="103"/>
  <c r="S70" i="103"/>
  <c r="AR156" i="102"/>
  <c r="T100" i="102"/>
  <c r="P58" i="103"/>
  <c r="Q52" i="103"/>
  <c r="W17" i="103"/>
  <c r="T15" i="103"/>
  <c r="T104" i="102"/>
  <c r="L186" i="102"/>
  <c r="P33" i="103"/>
  <c r="Q26" i="103"/>
  <c r="T72" i="103"/>
  <c r="R14" i="103"/>
  <c r="W69" i="103"/>
  <c r="AZ106" i="102"/>
  <c r="X6" i="103"/>
  <c r="L152" i="102"/>
  <c r="W31" i="103"/>
  <c r="S27" i="103"/>
  <c r="W67" i="103"/>
  <c r="T115" i="102"/>
  <c r="Q17" i="103"/>
  <c r="T210" i="102"/>
  <c r="U69" i="103"/>
  <c r="Q57" i="103"/>
  <c r="V15" i="103"/>
  <c r="R73" i="103"/>
  <c r="BH160" i="102"/>
  <c r="BX197" i="102"/>
  <c r="AJ219" i="102"/>
  <c r="CF208" i="102"/>
  <c r="CF137" i="102"/>
  <c r="CF194" i="102"/>
  <c r="BX212" i="102"/>
  <c r="BP143" i="102"/>
  <c r="BP210" i="102"/>
  <c r="BX189" i="102"/>
  <c r="BP144" i="102"/>
  <c r="CN225" i="102"/>
  <c r="CF155" i="102"/>
  <c r="CN118" i="102"/>
  <c r="BX120" i="102"/>
  <c r="BX167" i="102"/>
  <c r="CN98" i="102"/>
  <c r="CF126" i="102"/>
  <c r="T130" i="102"/>
  <c r="T118" i="102"/>
  <c r="AJ217" i="102"/>
  <c r="AZ226" i="102"/>
  <c r="K29" i="105"/>
  <c r="L29" i="105" s="1"/>
  <c r="AZ151" i="102"/>
  <c r="AJ195" i="102"/>
  <c r="AZ129" i="102"/>
  <c r="L94" i="102"/>
  <c r="K79" i="105"/>
  <c r="L79" i="105" s="1"/>
  <c r="AR119" i="102"/>
  <c r="AR135" i="102"/>
  <c r="L160" i="102"/>
  <c r="K40" i="105"/>
  <c r="L40" i="105" s="1"/>
  <c r="AR163" i="102"/>
  <c r="AZ146" i="102"/>
  <c r="AJ188" i="102"/>
  <c r="AB181" i="102"/>
  <c r="AJ104" i="102"/>
  <c r="CN137" i="102"/>
  <c r="BH113" i="102"/>
  <c r="AZ192" i="102"/>
  <c r="AR107" i="102"/>
  <c r="AJ102" i="102"/>
  <c r="AJ109" i="102"/>
  <c r="K61" i="105"/>
  <c r="L61" i="105" s="1"/>
  <c r="AB146" i="102"/>
  <c r="T189" i="102"/>
  <c r="L214" i="102"/>
  <c r="AB120" i="102"/>
  <c r="K11" i="105"/>
  <c r="L11" i="105" s="1"/>
  <c r="AB122" i="102"/>
  <c r="AJ115" i="102"/>
  <c r="AJ227" i="102"/>
  <c r="K43" i="105"/>
  <c r="L43" i="105" s="1"/>
  <c r="AZ170" i="102"/>
  <c r="L172" i="102"/>
  <c r="T225" i="102"/>
  <c r="AJ96" i="102"/>
  <c r="K80" i="105"/>
  <c r="L80" i="105" s="1"/>
  <c r="X81" i="103"/>
  <c r="S64" i="103"/>
  <c r="V70" i="103"/>
  <c r="S13" i="103"/>
  <c r="R34" i="103"/>
  <c r="L118" i="102"/>
  <c r="S36" i="103"/>
  <c r="Q77" i="103"/>
  <c r="U31" i="103"/>
  <c r="AJ174" i="102"/>
  <c r="L210" i="102"/>
  <c r="W78" i="103"/>
  <c r="W14" i="103"/>
  <c r="X28" i="103"/>
  <c r="V34" i="103"/>
  <c r="AZ114" i="102"/>
  <c r="L116" i="102"/>
  <c r="AR175" i="102"/>
  <c r="W72" i="103"/>
  <c r="S34" i="103"/>
  <c r="W23" i="103"/>
  <c r="W19" i="103"/>
  <c r="AR195" i="102"/>
  <c r="T57" i="103"/>
  <c r="L156" i="102"/>
  <c r="S41" i="103"/>
  <c r="Q40" i="103"/>
  <c r="T25" i="103"/>
  <c r="AR110" i="102"/>
  <c r="AZ132" i="102"/>
  <c r="P15" i="103"/>
  <c r="R30" i="103"/>
  <c r="U11" i="103"/>
  <c r="X66" i="103"/>
  <c r="V36" i="103"/>
  <c r="CF217" i="102"/>
  <c r="BX152" i="102"/>
  <c r="AJ194" i="102"/>
  <c r="BX187" i="102"/>
  <c r="CF173" i="102"/>
  <c r="BX125" i="102"/>
  <c r="BP190" i="102"/>
  <c r="BH170" i="102"/>
  <c r="BH194" i="102"/>
  <c r="BH171" i="102"/>
  <c r="BP148" i="102"/>
  <c r="CF183" i="102"/>
  <c r="BX142" i="102"/>
  <c r="CF185" i="102"/>
  <c r="BP172" i="102"/>
  <c r="BX155" i="102"/>
  <c r="BX132" i="102"/>
  <c r="BX146" i="102"/>
  <c r="L220" i="102"/>
  <c r="T101" i="102"/>
  <c r="AJ128" i="102"/>
  <c r="AR203" i="102"/>
  <c r="K16" i="105"/>
  <c r="L16" i="105" s="1"/>
  <c r="AR124" i="102"/>
  <c r="AJ215" i="102"/>
  <c r="AR199" i="102"/>
  <c r="L96" i="102"/>
  <c r="AZ228" i="102"/>
  <c r="AJ151" i="102"/>
  <c r="AJ230" i="102"/>
  <c r="L93" i="102"/>
  <c r="K56" i="105"/>
  <c r="L56" i="105" s="1"/>
  <c r="AR212" i="102"/>
  <c r="AR143" i="102"/>
  <c r="AJ123" i="102"/>
  <c r="T194" i="102"/>
  <c r="AB176" i="102"/>
  <c r="CN216" i="102"/>
  <c r="CF140" i="102"/>
  <c r="AZ225" i="102"/>
  <c r="AJ144" i="102"/>
  <c r="AJ98" i="102"/>
  <c r="AJ181" i="102"/>
  <c r="K50" i="105"/>
  <c r="L50" i="105" s="1"/>
  <c r="T172" i="102"/>
  <c r="T222" i="102"/>
  <c r="L206" i="102"/>
  <c r="T162" i="102"/>
  <c r="AZ97" i="102"/>
  <c r="AB219" i="102"/>
  <c r="AJ135" i="102"/>
  <c r="AJ158" i="102"/>
  <c r="K25" i="105"/>
  <c r="L25" i="105" s="1"/>
  <c r="AZ174" i="102"/>
  <c r="AZ154" i="102"/>
  <c r="T94" i="102"/>
  <c r="AB150" i="102"/>
  <c r="K15" i="105"/>
  <c r="L15" i="105" s="1"/>
  <c r="Q6" i="103"/>
  <c r="AR134" i="102"/>
  <c r="S54" i="103"/>
  <c r="T203" i="102"/>
  <c r="P14" i="103"/>
  <c r="P19" i="103"/>
  <c r="R84" i="103"/>
  <c r="S78" i="103"/>
  <c r="W44" i="103"/>
  <c r="AR230" i="102"/>
  <c r="AB184" i="102"/>
  <c r="S76" i="103"/>
  <c r="V53" i="103"/>
  <c r="S19" i="103"/>
  <c r="AA45" i="60"/>
  <c r="V64" i="103"/>
  <c r="X54" i="103"/>
  <c r="T46" i="103"/>
  <c r="X45" i="103"/>
  <c r="U56" i="103"/>
  <c r="Q41" i="103"/>
  <c r="T121" i="102"/>
  <c r="V30" i="103"/>
  <c r="Q72" i="103"/>
  <c r="T14" i="103"/>
  <c r="R43" i="103"/>
  <c r="W75" i="103"/>
  <c r="AR113" i="102"/>
  <c r="W41" i="103"/>
  <c r="AR149" i="102"/>
  <c r="V51" i="103"/>
  <c r="X10" i="103"/>
  <c r="U70" i="103"/>
  <c r="V7" i="103"/>
  <c r="AB98" i="102"/>
  <c r="Q79" i="103"/>
  <c r="W30" i="103"/>
  <c r="U79" i="103"/>
  <c r="U68" i="103"/>
  <c r="P35" i="103"/>
  <c r="AJ182" i="102"/>
  <c r="AZ98" i="102"/>
  <c r="U24" i="103"/>
  <c r="W39" i="103"/>
  <c r="S48" i="103"/>
  <c r="X23" i="103"/>
  <c r="X47" i="103"/>
  <c r="CF128" i="102"/>
  <c r="BP134" i="102"/>
  <c r="AB138" i="102"/>
  <c r="BH212" i="102"/>
  <c r="BX220" i="102"/>
  <c r="BP118" i="102"/>
  <c r="BP114" i="102"/>
  <c r="BH158" i="102"/>
  <c r="CF224" i="102"/>
  <c r="BH114" i="102"/>
  <c r="BH168" i="102"/>
  <c r="BX136" i="102"/>
  <c r="BP156" i="102"/>
  <c r="CF221" i="102"/>
  <c r="BH108" i="102"/>
  <c r="BH188" i="102"/>
  <c r="BX181" i="102"/>
  <c r="BP131" i="102"/>
  <c r="L212" i="102"/>
  <c r="AZ188" i="102"/>
  <c r="AJ184" i="102"/>
  <c r="AJ99" i="102"/>
  <c r="K26" i="105"/>
  <c r="L26" i="105" s="1"/>
  <c r="AJ231" i="102"/>
  <c r="AJ178" i="102"/>
  <c r="AJ153" i="102"/>
  <c r="AZ208" i="102"/>
  <c r="AJ167" i="102"/>
  <c r="AB118" i="102"/>
  <c r="AJ125" i="102"/>
  <c r="AZ128" i="102"/>
  <c r="K44" i="105"/>
  <c r="L44" i="105" s="1"/>
  <c r="AR162" i="102"/>
  <c r="AR147" i="102"/>
  <c r="AB183" i="102"/>
  <c r="T119" i="102"/>
  <c r="T95" i="102"/>
  <c r="CF111" i="102"/>
  <c r="CF132" i="102"/>
  <c r="AZ109" i="102"/>
  <c r="AB131" i="102"/>
  <c r="AB230" i="102"/>
  <c r="AB205" i="102"/>
  <c r="K69" i="105"/>
  <c r="L69" i="105" s="1"/>
  <c r="L170" i="102"/>
  <c r="AZ145" i="102"/>
  <c r="L107" i="102"/>
  <c r="L216" i="102"/>
  <c r="AJ121" i="102"/>
  <c r="T158" i="102"/>
  <c r="L217" i="102"/>
  <c r="L113" i="102"/>
  <c r="K30" i="105"/>
  <c r="L30" i="105" s="1"/>
  <c r="AJ198" i="102"/>
  <c r="AZ158" i="102"/>
  <c r="L151" i="102"/>
  <c r="T165" i="102"/>
  <c r="K51" i="105"/>
  <c r="L51" i="105" s="1"/>
  <c r="AJ37" i="102"/>
  <c r="BP175" i="102"/>
  <c r="V37" i="103"/>
  <c r="BH35" i="102"/>
  <c r="AB47" i="102"/>
  <c r="L52" i="102"/>
  <c r="BH132" i="102"/>
  <c r="AB12" i="102"/>
  <c r="BP102" i="102"/>
  <c r="U46" i="103"/>
  <c r="W32" i="103"/>
  <c r="BH45" i="102"/>
  <c r="L60" i="102"/>
  <c r="L38" i="102"/>
  <c r="BH177" i="102"/>
  <c r="AJ77" i="102"/>
  <c r="CN113" i="102"/>
  <c r="AR104" i="102"/>
  <c r="L176" i="102"/>
  <c r="V24" i="103"/>
  <c r="U13" i="103"/>
  <c r="T11" i="103"/>
  <c r="L122" i="102"/>
  <c r="V45" i="103"/>
  <c r="AR126" i="102"/>
  <c r="R78" i="103"/>
  <c r="T43" i="103"/>
  <c r="T50" i="103"/>
  <c r="W68" i="103"/>
  <c r="Q58" i="103"/>
  <c r="S47" i="103"/>
  <c r="U72" i="103"/>
  <c r="AR136" i="102"/>
  <c r="T200" i="102"/>
  <c r="P65" i="103"/>
  <c r="T6" i="103"/>
  <c r="T30" i="103"/>
  <c r="AA12" i="60"/>
  <c r="Q23" i="103"/>
  <c r="R13" i="103"/>
  <c r="U81" i="103"/>
  <c r="Q82" i="103"/>
  <c r="U42" i="103"/>
  <c r="T79" i="103"/>
  <c r="L136" i="102"/>
  <c r="U73" i="103"/>
  <c r="W34" i="103"/>
  <c r="R66" i="103"/>
  <c r="T69" i="103"/>
  <c r="R41" i="103"/>
  <c r="AJ100" i="102"/>
  <c r="X78" i="103"/>
  <c r="AR94" i="102"/>
  <c r="V66" i="103"/>
  <c r="R64" i="103"/>
  <c r="P32" i="103"/>
  <c r="X48" i="103"/>
  <c r="T224" i="102"/>
  <c r="R47" i="103"/>
  <c r="S40" i="103"/>
  <c r="U8" i="103"/>
  <c r="T28" i="103"/>
  <c r="X76" i="103"/>
  <c r="AJ113" i="102"/>
  <c r="AR218" i="102"/>
  <c r="X71" i="103"/>
  <c r="V78" i="103"/>
  <c r="S50" i="103"/>
  <c r="T33" i="103"/>
  <c r="AA7" i="60"/>
  <c r="BX159" i="102"/>
  <c r="BP122" i="102"/>
  <c r="T108" i="102"/>
  <c r="CN210" i="102"/>
  <c r="BX210" i="102"/>
  <c r="BH125" i="102"/>
  <c r="BH193" i="102"/>
  <c r="CF215" i="102"/>
  <c r="CF106" i="102"/>
  <c r="CF151" i="102"/>
  <c r="CN148" i="102"/>
  <c r="BP192" i="102"/>
  <c r="BP152" i="102"/>
  <c r="BX214" i="102"/>
  <c r="CN101" i="102"/>
  <c r="BH180" i="102"/>
  <c r="BP207" i="102"/>
  <c r="BP155" i="102"/>
  <c r="L97" i="102"/>
  <c r="AZ199" i="102"/>
  <c r="AB115" i="102"/>
  <c r="AB227" i="102"/>
  <c r="K64" i="105"/>
  <c r="L64" i="105" s="1"/>
  <c r="AJ142" i="102"/>
  <c r="AB226" i="102"/>
  <c r="AJ189" i="102"/>
  <c r="AR139" i="102"/>
  <c r="AJ108" i="102"/>
  <c r="L201" i="102"/>
  <c r="AJ161" i="102"/>
  <c r="AZ177" i="102"/>
  <c r="K62" i="105"/>
  <c r="L62" i="105" s="1"/>
  <c r="AB193" i="102"/>
  <c r="AJ218" i="102"/>
  <c r="AB139" i="102"/>
  <c r="L208" i="102"/>
  <c r="L178" i="102"/>
  <c r="CF115" i="102"/>
  <c r="CF136" i="102"/>
  <c r="AZ123" i="102"/>
  <c r="AZ160" i="102"/>
  <c r="AB93" i="102"/>
  <c r="T146" i="102"/>
  <c r="K19" i="105"/>
  <c r="L19" i="105" s="1"/>
  <c r="AZ205" i="102"/>
  <c r="AR215" i="102"/>
  <c r="L127" i="102"/>
  <c r="L224" i="102"/>
  <c r="AJ193" i="102"/>
  <c r="AZ218" i="102"/>
  <c r="L209" i="102"/>
  <c r="L109" i="102"/>
  <c r="K21" i="105"/>
  <c r="L21" i="105" s="1"/>
  <c r="AJ93" i="102"/>
  <c r="AR98" i="102"/>
  <c r="AB179" i="102"/>
  <c r="L230" i="102"/>
  <c r="J64" i="104"/>
  <c r="J23" i="104"/>
  <c r="J58" i="104"/>
  <c r="K11" i="104"/>
  <c r="L11" i="104" s="1"/>
  <c r="K12" i="104"/>
  <c r="L12" i="104" s="1"/>
  <c r="J22" i="104"/>
  <c r="J73" i="104"/>
  <c r="J33" i="104"/>
  <c r="N30" i="105"/>
  <c r="N13" i="105"/>
  <c r="N70" i="105"/>
  <c r="N33" i="105"/>
  <c r="N56" i="105"/>
  <c r="N39" i="105"/>
  <c r="N67" i="105"/>
  <c r="N73" i="105"/>
  <c r="N48" i="105"/>
  <c r="N71" i="105"/>
  <c r="N63" i="105"/>
  <c r="N40" i="105"/>
  <c r="N66" i="105"/>
  <c r="N43" i="105"/>
  <c r="N50" i="105"/>
  <c r="N68" i="105"/>
  <c r="N72" i="105"/>
  <c r="N31" i="105"/>
  <c r="N79" i="105"/>
  <c r="N51" i="105"/>
  <c r="N27" i="105"/>
  <c r="N35" i="105"/>
  <c r="N46" i="105"/>
  <c r="N61" i="105"/>
  <c r="N45" i="105"/>
  <c r="N20" i="105"/>
  <c r="N41" i="105"/>
  <c r="N78" i="105"/>
  <c r="N58" i="105"/>
  <c r="N60" i="105"/>
  <c r="N81" i="105"/>
  <c r="N32" i="105"/>
  <c r="N76" i="105"/>
  <c r="N23" i="105"/>
  <c r="N49" i="105"/>
  <c r="N59" i="105"/>
  <c r="N15" i="105"/>
  <c r="N24" i="105"/>
  <c r="N77" i="105"/>
  <c r="N55" i="105"/>
  <c r="N28" i="105"/>
  <c r="N54" i="105"/>
  <c r="N62" i="105"/>
  <c r="N74" i="105"/>
  <c r="N26" i="105"/>
  <c r="N57" i="105"/>
  <c r="N82" i="105"/>
  <c r="N11" i="105"/>
  <c r="N12" i="105"/>
  <c r="N65" i="105"/>
  <c r="N36" i="105"/>
  <c r="N34" i="105"/>
  <c r="N44" i="105"/>
  <c r="N16" i="105"/>
  <c r="N38" i="105"/>
  <c r="N75" i="105"/>
  <c r="N21" i="105"/>
  <c r="N42" i="105"/>
  <c r="N47" i="105"/>
  <c r="N14" i="105"/>
  <c r="N18" i="105"/>
  <c r="N29" i="105"/>
  <c r="S55" i="67"/>
  <c r="R109" i="67"/>
  <c r="S95" i="67"/>
  <c r="R77" i="67"/>
  <c r="S63" i="67"/>
  <c r="R45" i="67"/>
  <c r="S31" i="67"/>
  <c r="S87" i="67"/>
  <c r="S119" i="67"/>
  <c r="R69" i="67"/>
  <c r="R117" i="67"/>
  <c r="S103" i="67"/>
  <c r="R85" i="67"/>
  <c r="S71" i="67"/>
  <c r="R53" i="67"/>
  <c r="S39" i="67"/>
  <c r="R101" i="67"/>
  <c r="R37" i="67"/>
  <c r="S111" i="67"/>
  <c r="R93" i="67"/>
  <c r="S79" i="67"/>
  <c r="R61" i="67"/>
  <c r="S47" i="67"/>
  <c r="R29" i="67"/>
  <c r="S23" i="67"/>
  <c r="R21" i="67"/>
  <c r="S15" i="67"/>
  <c r="R13" i="67"/>
  <c r="S120" i="67"/>
  <c r="R118" i="67"/>
  <c r="S112" i="67"/>
  <c r="R110" i="67"/>
  <c r="S104" i="67"/>
  <c r="R102" i="67"/>
  <c r="S96" i="67"/>
  <c r="R94" i="67"/>
  <c r="S88" i="67"/>
  <c r="R86" i="67"/>
  <c r="S80" i="67"/>
  <c r="R78" i="67"/>
  <c r="S72" i="67"/>
  <c r="R70" i="67"/>
  <c r="S64" i="67"/>
  <c r="R62" i="67"/>
  <c r="S56" i="67"/>
  <c r="R54" i="67"/>
  <c r="S48" i="67"/>
  <c r="R46" i="67"/>
  <c r="S40" i="67"/>
  <c r="R38" i="67"/>
  <c r="S32" i="67"/>
  <c r="R30" i="67"/>
  <c r="S24" i="67"/>
  <c r="R22" i="67"/>
  <c r="S16" i="67"/>
  <c r="R14" i="67"/>
  <c r="S121" i="67"/>
  <c r="R119" i="67"/>
  <c r="S113" i="67"/>
  <c r="R111" i="67"/>
  <c r="S105" i="67"/>
  <c r="R103" i="67"/>
  <c r="S97" i="67"/>
  <c r="R95" i="67"/>
  <c r="S89" i="67"/>
  <c r="R87" i="67"/>
  <c r="S81" i="67"/>
  <c r="R79" i="67"/>
  <c r="S73" i="67"/>
  <c r="R71" i="67"/>
  <c r="S65" i="67"/>
  <c r="R63" i="67"/>
  <c r="S57" i="67"/>
  <c r="R55" i="67"/>
  <c r="S49" i="67"/>
  <c r="R47" i="67"/>
  <c r="S41" i="67"/>
  <c r="R39" i="67"/>
  <c r="S33" i="67"/>
  <c r="R31" i="67"/>
  <c r="S25" i="67"/>
  <c r="R23" i="67"/>
  <c r="S17" i="67"/>
  <c r="R15" i="67"/>
  <c r="R120" i="67"/>
  <c r="S114" i="67"/>
  <c r="R112" i="67"/>
  <c r="S106" i="67"/>
  <c r="R104" i="67"/>
  <c r="S98" i="67"/>
  <c r="R96" i="67"/>
  <c r="S90" i="67"/>
  <c r="R88" i="67"/>
  <c r="S82" i="67"/>
  <c r="R80" i="67"/>
  <c r="S74" i="67"/>
  <c r="R72" i="67"/>
  <c r="S66" i="67"/>
  <c r="R64" i="67"/>
  <c r="S58" i="67"/>
  <c r="R56" i="67"/>
  <c r="S50" i="67"/>
  <c r="R48" i="67"/>
  <c r="S42" i="67"/>
  <c r="R40" i="67"/>
  <c r="S34" i="67"/>
  <c r="R32" i="67"/>
  <c r="S26" i="67"/>
  <c r="R24" i="67"/>
  <c r="S18" i="67"/>
  <c r="R16" i="67"/>
  <c r="R121" i="67"/>
  <c r="S115" i="67"/>
  <c r="R113" i="67"/>
  <c r="S107" i="67"/>
  <c r="R105" i="67"/>
  <c r="S99" i="67"/>
  <c r="R97" i="67"/>
  <c r="S91" i="67"/>
  <c r="R89" i="67"/>
  <c r="S83" i="67"/>
  <c r="R81" i="67"/>
  <c r="S75" i="67"/>
  <c r="R73" i="67"/>
  <c r="S67" i="67"/>
  <c r="R65" i="67"/>
  <c r="S59" i="67"/>
  <c r="R57" i="67"/>
  <c r="S51" i="67"/>
  <c r="R49" i="67"/>
  <c r="S43" i="67"/>
  <c r="R41" i="67"/>
  <c r="S35" i="67"/>
  <c r="R33" i="67"/>
  <c r="S27" i="67"/>
  <c r="R25" i="67"/>
  <c r="S19" i="67"/>
  <c r="R17" i="67"/>
  <c r="S116" i="67"/>
  <c r="R114" i="67"/>
  <c r="S108" i="67"/>
  <c r="R106" i="67"/>
  <c r="S100" i="67"/>
  <c r="R98" i="67"/>
  <c r="S92" i="67"/>
  <c r="R90" i="67"/>
  <c r="S84" i="67"/>
  <c r="R82" i="67"/>
  <c r="S76" i="67"/>
  <c r="R74" i="67"/>
  <c r="S68" i="67"/>
  <c r="R66" i="67"/>
  <c r="S60" i="67"/>
  <c r="R58" i="67"/>
  <c r="S52" i="67"/>
  <c r="R50" i="67"/>
  <c r="S44" i="67"/>
  <c r="R42" i="67"/>
  <c r="S36" i="67"/>
  <c r="R34" i="67"/>
  <c r="S28" i="67"/>
  <c r="R26" i="67"/>
  <c r="S20" i="67"/>
  <c r="R18" i="67"/>
  <c r="S12" i="67"/>
  <c r="S117" i="67"/>
  <c r="R115" i="67"/>
  <c r="S109" i="67"/>
  <c r="R107" i="67"/>
  <c r="S101" i="67"/>
  <c r="R99" i="67"/>
  <c r="S93" i="67"/>
  <c r="R91" i="67"/>
  <c r="S85" i="67"/>
  <c r="R83" i="67"/>
  <c r="S77" i="67"/>
  <c r="R75" i="67"/>
  <c r="S69" i="67"/>
  <c r="R67" i="67"/>
  <c r="S61" i="67"/>
  <c r="R59" i="67"/>
  <c r="S53" i="67"/>
  <c r="R51" i="67"/>
  <c r="S45" i="67"/>
  <c r="R43" i="67"/>
  <c r="S37" i="67"/>
  <c r="R35" i="67"/>
  <c r="S29" i="67"/>
  <c r="R27" i="67"/>
  <c r="S21" i="67"/>
  <c r="R19" i="67"/>
  <c r="S13" i="67"/>
  <c r="S118" i="67"/>
  <c r="R116" i="67"/>
  <c r="S110" i="67"/>
  <c r="R108" i="67"/>
  <c r="S102" i="67"/>
  <c r="R100" i="67"/>
  <c r="S94" i="67"/>
  <c r="R92" i="67"/>
  <c r="S86" i="67"/>
  <c r="R84" i="67"/>
  <c r="S78" i="67"/>
  <c r="R76" i="67"/>
  <c r="S70" i="67"/>
  <c r="R68" i="67"/>
  <c r="S62" i="67"/>
  <c r="R60" i="67"/>
  <c r="S54" i="67"/>
  <c r="R52" i="67"/>
  <c r="S46" i="67"/>
  <c r="R44" i="67"/>
  <c r="S38" i="67"/>
  <c r="R36" i="67"/>
  <c r="S30" i="67"/>
  <c r="R28" i="67"/>
  <c r="S22" i="67"/>
  <c r="R20" i="67"/>
  <c r="S14" i="67"/>
  <c r="R12" i="67"/>
  <c r="R11" i="67"/>
  <c r="S11" i="67"/>
  <c r="S120" i="77"/>
  <c r="R102" i="77"/>
  <c r="S88" i="77"/>
  <c r="R110" i="77"/>
  <c r="S96" i="77"/>
  <c r="R78" i="77"/>
  <c r="R118" i="77"/>
  <c r="S104" i="77"/>
  <c r="R86" i="77"/>
  <c r="S112" i="77"/>
  <c r="R94" i="77"/>
  <c r="S80" i="77"/>
  <c r="S64" i="77"/>
  <c r="S16" i="77"/>
  <c r="S119" i="77"/>
  <c r="R117" i="77"/>
  <c r="S111" i="77"/>
  <c r="R109" i="77"/>
  <c r="S103" i="77"/>
  <c r="R101" i="77"/>
  <c r="S95" i="77"/>
  <c r="R93" i="77"/>
  <c r="S87" i="77"/>
  <c r="R85" i="77"/>
  <c r="S79" i="77"/>
  <c r="R77" i="77"/>
  <c r="S71" i="77"/>
  <c r="R69" i="77"/>
  <c r="S63" i="77"/>
  <c r="R61" i="77"/>
  <c r="S55" i="77"/>
  <c r="R53" i="77"/>
  <c r="S47" i="77"/>
  <c r="R45" i="77"/>
  <c r="S39" i="77"/>
  <c r="R37" i="77"/>
  <c r="S31" i="77"/>
  <c r="R29" i="77"/>
  <c r="S23" i="77"/>
  <c r="R21" i="77"/>
  <c r="S15" i="77"/>
  <c r="R13" i="77"/>
  <c r="S121" i="77"/>
  <c r="R119" i="77"/>
  <c r="S113" i="77"/>
  <c r="R111" i="77"/>
  <c r="S105" i="77"/>
  <c r="R103" i="77"/>
  <c r="S97" i="77"/>
  <c r="R95" i="77"/>
  <c r="S89" i="77"/>
  <c r="R87" i="77"/>
  <c r="S81" i="77"/>
  <c r="R79" i="77"/>
  <c r="S73" i="77"/>
  <c r="R71" i="77"/>
  <c r="S65" i="77"/>
  <c r="R63" i="77"/>
  <c r="S57" i="77"/>
  <c r="R55" i="77"/>
  <c r="S49" i="77"/>
  <c r="R47" i="77"/>
  <c r="S41" i="77"/>
  <c r="R39" i="77"/>
  <c r="S33" i="77"/>
  <c r="R31" i="77"/>
  <c r="S25" i="77"/>
  <c r="R23" i="77"/>
  <c r="S17" i="77"/>
  <c r="R15" i="77"/>
  <c r="R54" i="77"/>
  <c r="S32" i="77"/>
  <c r="R22" i="77"/>
  <c r="R120" i="77"/>
  <c r="S114" i="77"/>
  <c r="R112" i="77"/>
  <c r="S106" i="77"/>
  <c r="R104" i="77"/>
  <c r="S98" i="77"/>
  <c r="R96" i="77"/>
  <c r="S90" i="77"/>
  <c r="R88" i="77"/>
  <c r="S82" i="77"/>
  <c r="R80" i="77"/>
  <c r="S74" i="77"/>
  <c r="R72" i="77"/>
  <c r="S66" i="77"/>
  <c r="R64" i="77"/>
  <c r="S58" i="77"/>
  <c r="R56" i="77"/>
  <c r="S50" i="77"/>
  <c r="R48" i="77"/>
  <c r="S42" i="77"/>
  <c r="R40" i="77"/>
  <c r="S34" i="77"/>
  <c r="R32" i="77"/>
  <c r="S26" i="77"/>
  <c r="R24" i="77"/>
  <c r="S18" i="77"/>
  <c r="R16" i="77"/>
  <c r="S40" i="77"/>
  <c r="S24" i="77"/>
  <c r="R121" i="77"/>
  <c r="S115" i="77"/>
  <c r="R113" i="77"/>
  <c r="S107" i="77"/>
  <c r="R105" i="77"/>
  <c r="S99" i="77"/>
  <c r="R97" i="77"/>
  <c r="S91" i="77"/>
  <c r="R89" i="77"/>
  <c r="S83" i="77"/>
  <c r="R81" i="77"/>
  <c r="S75" i="77"/>
  <c r="R73" i="77"/>
  <c r="S67" i="77"/>
  <c r="R65" i="77"/>
  <c r="S59" i="77"/>
  <c r="R57" i="77"/>
  <c r="S51" i="77"/>
  <c r="R49" i="77"/>
  <c r="S43" i="77"/>
  <c r="R41" i="77"/>
  <c r="S35" i="77"/>
  <c r="R33" i="77"/>
  <c r="S27" i="77"/>
  <c r="R25" i="77"/>
  <c r="S19" i="77"/>
  <c r="R17" i="77"/>
  <c r="S72" i="77"/>
  <c r="S48" i="77"/>
  <c r="R14" i="77"/>
  <c r="S116" i="77"/>
  <c r="R114" i="77"/>
  <c r="S108" i="77"/>
  <c r="R106" i="77"/>
  <c r="S100" i="77"/>
  <c r="R98" i="77"/>
  <c r="S92" i="77"/>
  <c r="R90" i="77"/>
  <c r="S84" i="77"/>
  <c r="R82" i="77"/>
  <c r="S76" i="77"/>
  <c r="R74" i="77"/>
  <c r="S68" i="77"/>
  <c r="R66" i="77"/>
  <c r="S60" i="77"/>
  <c r="R58" i="77"/>
  <c r="S52" i="77"/>
  <c r="R50" i="77"/>
  <c r="S44" i="77"/>
  <c r="R42" i="77"/>
  <c r="S36" i="77"/>
  <c r="R34" i="77"/>
  <c r="S28" i="77"/>
  <c r="R26" i="77"/>
  <c r="S20" i="77"/>
  <c r="R18" i="77"/>
  <c r="S12" i="77"/>
  <c r="R62" i="77"/>
  <c r="R38" i="77"/>
  <c r="R30" i="77"/>
  <c r="S117" i="77"/>
  <c r="R115" i="77"/>
  <c r="S109" i="77"/>
  <c r="R107" i="77"/>
  <c r="S101" i="77"/>
  <c r="R99" i="77"/>
  <c r="S93" i="77"/>
  <c r="R91" i="77"/>
  <c r="S85" i="77"/>
  <c r="R83" i="77"/>
  <c r="S77" i="77"/>
  <c r="R75" i="77"/>
  <c r="S69" i="77"/>
  <c r="R67" i="77"/>
  <c r="S61" i="77"/>
  <c r="R59" i="77"/>
  <c r="S53" i="77"/>
  <c r="R51" i="77"/>
  <c r="S45" i="77"/>
  <c r="R43" i="77"/>
  <c r="S37" i="77"/>
  <c r="R35" i="77"/>
  <c r="S29" i="77"/>
  <c r="R27" i="77"/>
  <c r="S21" i="77"/>
  <c r="R19" i="77"/>
  <c r="S13" i="77"/>
  <c r="R70" i="77"/>
  <c r="S56" i="77"/>
  <c r="R46" i="77"/>
  <c r="S118" i="77"/>
  <c r="R116" i="77"/>
  <c r="S110" i="77"/>
  <c r="R108" i="77"/>
  <c r="S102" i="77"/>
  <c r="R100" i="77"/>
  <c r="S94" i="77"/>
  <c r="R92" i="77"/>
  <c r="S86" i="77"/>
  <c r="R84" i="77"/>
  <c r="S78" i="77"/>
  <c r="R76" i="77"/>
  <c r="S70" i="77"/>
  <c r="R68" i="77"/>
  <c r="S62" i="77"/>
  <c r="R60" i="77"/>
  <c r="S54" i="77"/>
  <c r="R52" i="77"/>
  <c r="S46" i="77"/>
  <c r="R44" i="77"/>
  <c r="S38" i="77"/>
  <c r="R36" i="77"/>
  <c r="S30" i="77"/>
  <c r="R28" i="77"/>
  <c r="S22" i="77"/>
  <c r="R20" i="77"/>
  <c r="S14" i="77"/>
  <c r="R12" i="77"/>
  <c r="S91" i="74"/>
  <c r="S75" i="74"/>
  <c r="R113" i="74"/>
  <c r="R97" i="74"/>
  <c r="R81" i="74"/>
  <c r="R65" i="74"/>
  <c r="R49" i="74"/>
  <c r="S119" i="74"/>
  <c r="S103" i="74"/>
  <c r="S87" i="74"/>
  <c r="S71" i="74"/>
  <c r="S55" i="74"/>
  <c r="R109" i="74"/>
  <c r="R93" i="74"/>
  <c r="R77" i="74"/>
  <c r="R61" i="74"/>
  <c r="R45" i="74"/>
  <c r="S59" i="74"/>
  <c r="S115" i="74"/>
  <c r="S99" i="74"/>
  <c r="S83" i="74"/>
  <c r="S67" i="74"/>
  <c r="S51" i="74"/>
  <c r="S39" i="74"/>
  <c r="R121" i="74"/>
  <c r="R105" i="74"/>
  <c r="R89" i="74"/>
  <c r="R73" i="74"/>
  <c r="R57" i="74"/>
  <c r="S107" i="74"/>
  <c r="S111" i="74"/>
  <c r="S95" i="74"/>
  <c r="S79" i="74"/>
  <c r="S63" i="74"/>
  <c r="S47" i="74"/>
  <c r="R117" i="74"/>
  <c r="R101" i="74"/>
  <c r="R85" i="74"/>
  <c r="R69" i="74"/>
  <c r="R53" i="74"/>
  <c r="S31" i="74"/>
  <c r="S23" i="74"/>
  <c r="R21" i="74"/>
  <c r="R13" i="74"/>
  <c r="S120" i="74"/>
  <c r="R118" i="74"/>
  <c r="S112" i="74"/>
  <c r="R110" i="74"/>
  <c r="S104" i="74"/>
  <c r="R102" i="74"/>
  <c r="S96" i="74"/>
  <c r="R94" i="74"/>
  <c r="S88" i="74"/>
  <c r="R86" i="74"/>
  <c r="S80" i="74"/>
  <c r="R78" i="74"/>
  <c r="S72" i="74"/>
  <c r="R70" i="74"/>
  <c r="S64" i="74"/>
  <c r="R62" i="74"/>
  <c r="S56" i="74"/>
  <c r="R54" i="74"/>
  <c r="S48" i="74"/>
  <c r="R46" i="74"/>
  <c r="S40" i="74"/>
  <c r="R38" i="74"/>
  <c r="S32" i="74"/>
  <c r="R30" i="74"/>
  <c r="S24" i="74"/>
  <c r="R22" i="74"/>
  <c r="S16" i="74"/>
  <c r="R14" i="74"/>
  <c r="R37" i="74"/>
  <c r="S15" i="74"/>
  <c r="S121" i="74"/>
  <c r="R119" i="74"/>
  <c r="S113" i="74"/>
  <c r="R111" i="74"/>
  <c r="S105" i="74"/>
  <c r="R103" i="74"/>
  <c r="S97" i="74"/>
  <c r="R95" i="74"/>
  <c r="S89" i="74"/>
  <c r="R87" i="74"/>
  <c r="S81" i="74"/>
  <c r="R79" i="74"/>
  <c r="S73" i="74"/>
  <c r="R71" i="74"/>
  <c r="S65" i="74"/>
  <c r="R63" i="74"/>
  <c r="S57" i="74"/>
  <c r="R55" i="74"/>
  <c r="S49" i="74"/>
  <c r="R47" i="74"/>
  <c r="S41" i="74"/>
  <c r="R39" i="74"/>
  <c r="S33" i="74"/>
  <c r="R31" i="74"/>
  <c r="S25" i="74"/>
  <c r="R23" i="74"/>
  <c r="S17" i="74"/>
  <c r="R15" i="74"/>
  <c r="R29" i="74"/>
  <c r="R120" i="74"/>
  <c r="S114" i="74"/>
  <c r="R112" i="74"/>
  <c r="S106" i="74"/>
  <c r="R104" i="74"/>
  <c r="S98" i="74"/>
  <c r="R96" i="74"/>
  <c r="S90" i="74"/>
  <c r="R88" i="74"/>
  <c r="S82" i="74"/>
  <c r="R80" i="74"/>
  <c r="S74" i="74"/>
  <c r="R72" i="74"/>
  <c r="S66" i="74"/>
  <c r="R64" i="74"/>
  <c r="S58" i="74"/>
  <c r="R56" i="74"/>
  <c r="S50" i="74"/>
  <c r="R48" i="74"/>
  <c r="S42" i="74"/>
  <c r="R40" i="74"/>
  <c r="S34" i="74"/>
  <c r="R32" i="74"/>
  <c r="S26" i="74"/>
  <c r="R24" i="74"/>
  <c r="S18" i="74"/>
  <c r="R16" i="74"/>
  <c r="R17" i="74"/>
  <c r="S43" i="74"/>
  <c r="S27" i="74"/>
  <c r="R25" i="74"/>
  <c r="S116" i="74"/>
  <c r="R114" i="74"/>
  <c r="S108" i="74"/>
  <c r="R106" i="74"/>
  <c r="S100" i="74"/>
  <c r="R98" i="74"/>
  <c r="S92" i="74"/>
  <c r="R90" i="74"/>
  <c r="S84" i="74"/>
  <c r="R82" i="74"/>
  <c r="S76" i="74"/>
  <c r="R74" i="74"/>
  <c r="S68" i="74"/>
  <c r="R66" i="74"/>
  <c r="S60" i="74"/>
  <c r="R58" i="74"/>
  <c r="S52" i="74"/>
  <c r="R50" i="74"/>
  <c r="S44" i="74"/>
  <c r="R42" i="74"/>
  <c r="S36" i="74"/>
  <c r="R34" i="74"/>
  <c r="S28" i="74"/>
  <c r="R26" i="74"/>
  <c r="S20" i="74"/>
  <c r="R18" i="74"/>
  <c r="S12" i="74"/>
  <c r="R41" i="74"/>
  <c r="R33" i="74"/>
  <c r="S117" i="74"/>
  <c r="R115" i="74"/>
  <c r="S109" i="74"/>
  <c r="R107" i="74"/>
  <c r="S101" i="74"/>
  <c r="R99" i="74"/>
  <c r="S93" i="74"/>
  <c r="R91" i="74"/>
  <c r="S85" i="74"/>
  <c r="R83" i="74"/>
  <c r="S77" i="74"/>
  <c r="R75" i="74"/>
  <c r="S69" i="74"/>
  <c r="R67" i="74"/>
  <c r="S61" i="74"/>
  <c r="R59" i="74"/>
  <c r="S53" i="74"/>
  <c r="R51" i="74"/>
  <c r="S45" i="74"/>
  <c r="R43" i="74"/>
  <c r="S37" i="74"/>
  <c r="R35" i="74"/>
  <c r="S29" i="74"/>
  <c r="R27" i="74"/>
  <c r="S21" i="74"/>
  <c r="R19" i="74"/>
  <c r="S13" i="74"/>
  <c r="S35" i="74"/>
  <c r="S19" i="74"/>
  <c r="S118" i="74"/>
  <c r="R116" i="74"/>
  <c r="S110" i="74"/>
  <c r="R108" i="74"/>
  <c r="S102" i="74"/>
  <c r="R100" i="74"/>
  <c r="S94" i="74"/>
  <c r="R92" i="74"/>
  <c r="S86" i="74"/>
  <c r="R84" i="74"/>
  <c r="S78" i="74"/>
  <c r="R76" i="74"/>
  <c r="S70" i="74"/>
  <c r="R68" i="74"/>
  <c r="S62" i="74"/>
  <c r="R60" i="74"/>
  <c r="S54" i="74"/>
  <c r="R52" i="74"/>
  <c r="S46" i="74"/>
  <c r="R44" i="74"/>
  <c r="S38" i="74"/>
  <c r="R36" i="74"/>
  <c r="S30" i="74"/>
  <c r="R28" i="74"/>
  <c r="S22" i="74"/>
  <c r="R20" i="74"/>
  <c r="S14" i="74"/>
  <c r="R12" i="74"/>
  <c r="S11" i="74"/>
  <c r="R11" i="74"/>
  <c r="R11" i="77"/>
  <c r="S11" i="77"/>
  <c r="S87" i="76"/>
  <c r="S119" i="76"/>
  <c r="R69" i="76"/>
  <c r="S55" i="76"/>
  <c r="S95" i="76"/>
  <c r="R77" i="76"/>
  <c r="S63" i="76"/>
  <c r="R109" i="76"/>
  <c r="R117" i="76"/>
  <c r="S103" i="76"/>
  <c r="R85" i="76"/>
  <c r="S71" i="76"/>
  <c r="R101" i="76"/>
  <c r="S111" i="76"/>
  <c r="R93" i="76"/>
  <c r="S79" i="76"/>
  <c r="R61" i="76"/>
  <c r="R37" i="76"/>
  <c r="R29" i="76"/>
  <c r="R21" i="76"/>
  <c r="R13" i="76"/>
  <c r="S120" i="76"/>
  <c r="R118" i="76"/>
  <c r="S112" i="76"/>
  <c r="R110" i="76"/>
  <c r="S104" i="76"/>
  <c r="R102" i="76"/>
  <c r="S96" i="76"/>
  <c r="R94" i="76"/>
  <c r="S88" i="76"/>
  <c r="R86" i="76"/>
  <c r="S80" i="76"/>
  <c r="R78" i="76"/>
  <c r="S72" i="76"/>
  <c r="R70" i="76"/>
  <c r="S64" i="76"/>
  <c r="R62" i="76"/>
  <c r="S56" i="76"/>
  <c r="R54" i="76"/>
  <c r="S48" i="76"/>
  <c r="R46" i="76"/>
  <c r="S40" i="76"/>
  <c r="R38" i="76"/>
  <c r="S32" i="76"/>
  <c r="R30" i="76"/>
  <c r="S24" i="76"/>
  <c r="R22" i="76"/>
  <c r="S16" i="76"/>
  <c r="R14" i="76"/>
  <c r="S15" i="76"/>
  <c r="S121" i="76"/>
  <c r="R119" i="76"/>
  <c r="S113" i="76"/>
  <c r="R111" i="76"/>
  <c r="S105" i="76"/>
  <c r="R103" i="76"/>
  <c r="S97" i="76"/>
  <c r="R95" i="76"/>
  <c r="S89" i="76"/>
  <c r="R87" i="76"/>
  <c r="S81" i="76"/>
  <c r="R79" i="76"/>
  <c r="S73" i="76"/>
  <c r="R71" i="76"/>
  <c r="S65" i="76"/>
  <c r="R63" i="76"/>
  <c r="S57" i="76"/>
  <c r="R55" i="76"/>
  <c r="S49" i="76"/>
  <c r="R47" i="76"/>
  <c r="S41" i="76"/>
  <c r="R39" i="76"/>
  <c r="S33" i="76"/>
  <c r="R31" i="76"/>
  <c r="S25" i="76"/>
  <c r="R23" i="76"/>
  <c r="S17" i="76"/>
  <c r="R15" i="76"/>
  <c r="S47" i="76"/>
  <c r="S39" i="76"/>
  <c r="S31" i="76"/>
  <c r="R120" i="76"/>
  <c r="S114" i="76"/>
  <c r="R112" i="76"/>
  <c r="S106" i="76"/>
  <c r="R104" i="76"/>
  <c r="S98" i="76"/>
  <c r="R96" i="76"/>
  <c r="S90" i="76"/>
  <c r="R88" i="76"/>
  <c r="S82" i="76"/>
  <c r="R80" i="76"/>
  <c r="S74" i="76"/>
  <c r="R72" i="76"/>
  <c r="S66" i="76"/>
  <c r="R64" i="76"/>
  <c r="S58" i="76"/>
  <c r="R56" i="76"/>
  <c r="S50" i="76"/>
  <c r="R48" i="76"/>
  <c r="S42" i="76"/>
  <c r="R40" i="76"/>
  <c r="S34" i="76"/>
  <c r="R32" i="76"/>
  <c r="S26" i="76"/>
  <c r="R24" i="76"/>
  <c r="S18" i="76"/>
  <c r="R16" i="76"/>
  <c r="S115" i="76"/>
  <c r="S107" i="76"/>
  <c r="R105" i="76"/>
  <c r="S99" i="76"/>
  <c r="R97" i="76"/>
  <c r="S91" i="76"/>
  <c r="R89" i="76"/>
  <c r="S83" i="76"/>
  <c r="R81" i="76"/>
  <c r="S75" i="76"/>
  <c r="R73" i="76"/>
  <c r="S67" i="76"/>
  <c r="R65" i="76"/>
  <c r="S59" i="76"/>
  <c r="R57" i="76"/>
  <c r="S51" i="76"/>
  <c r="R49" i="76"/>
  <c r="S43" i="76"/>
  <c r="R41" i="76"/>
  <c r="S35" i="76"/>
  <c r="R33" i="76"/>
  <c r="S27" i="76"/>
  <c r="R25" i="76"/>
  <c r="S19" i="76"/>
  <c r="R17" i="76"/>
  <c r="R53" i="76"/>
  <c r="R113" i="76"/>
  <c r="S116" i="76"/>
  <c r="R114" i="76"/>
  <c r="S108" i="76"/>
  <c r="R106" i="76"/>
  <c r="S100" i="76"/>
  <c r="R98" i="76"/>
  <c r="S92" i="76"/>
  <c r="R90" i="76"/>
  <c r="S84" i="76"/>
  <c r="R82" i="76"/>
  <c r="S76" i="76"/>
  <c r="R74" i="76"/>
  <c r="S68" i="76"/>
  <c r="R66" i="76"/>
  <c r="S60" i="76"/>
  <c r="R58" i="76"/>
  <c r="S52" i="76"/>
  <c r="R50" i="76"/>
  <c r="S44" i="76"/>
  <c r="R42" i="76"/>
  <c r="S36" i="76"/>
  <c r="R34" i="76"/>
  <c r="S28" i="76"/>
  <c r="R26" i="76"/>
  <c r="S20" i="76"/>
  <c r="R18" i="76"/>
  <c r="S12" i="76"/>
  <c r="S23" i="76"/>
  <c r="S117" i="76"/>
  <c r="R115" i="76"/>
  <c r="S109" i="76"/>
  <c r="R107" i="76"/>
  <c r="S101" i="76"/>
  <c r="R99" i="76"/>
  <c r="S93" i="76"/>
  <c r="R91" i="76"/>
  <c r="S85" i="76"/>
  <c r="R83" i="76"/>
  <c r="S77" i="76"/>
  <c r="R75" i="76"/>
  <c r="S69" i="76"/>
  <c r="R67" i="76"/>
  <c r="S61" i="76"/>
  <c r="R59" i="76"/>
  <c r="S53" i="76"/>
  <c r="R51" i="76"/>
  <c r="S45" i="76"/>
  <c r="R43" i="76"/>
  <c r="S37" i="76"/>
  <c r="R35" i="76"/>
  <c r="S29" i="76"/>
  <c r="R27" i="76"/>
  <c r="S21" i="76"/>
  <c r="R19" i="76"/>
  <c r="S13" i="76"/>
  <c r="R45" i="76"/>
  <c r="R121" i="76"/>
  <c r="S118" i="76"/>
  <c r="R116" i="76"/>
  <c r="S110" i="76"/>
  <c r="R108" i="76"/>
  <c r="S102" i="76"/>
  <c r="R100" i="76"/>
  <c r="S94" i="76"/>
  <c r="R92" i="76"/>
  <c r="S86" i="76"/>
  <c r="R84" i="76"/>
  <c r="S78" i="76"/>
  <c r="R76" i="76"/>
  <c r="S70" i="76"/>
  <c r="R68" i="76"/>
  <c r="S62" i="76"/>
  <c r="R60" i="76"/>
  <c r="S54" i="76"/>
  <c r="R52" i="76"/>
  <c r="S46" i="76"/>
  <c r="R44" i="76"/>
  <c r="S38" i="76"/>
  <c r="R36" i="76"/>
  <c r="S30" i="76"/>
  <c r="R28" i="76"/>
  <c r="S22" i="76"/>
  <c r="R20" i="76"/>
  <c r="S14" i="76"/>
  <c r="R12" i="76"/>
  <c r="R11" i="76"/>
  <c r="S11" i="76"/>
  <c r="S119" i="75"/>
  <c r="S87" i="75"/>
  <c r="R69" i="75"/>
  <c r="S55" i="75"/>
  <c r="R37" i="75"/>
  <c r="R101" i="75"/>
  <c r="R109" i="75"/>
  <c r="S95" i="75"/>
  <c r="R77" i="75"/>
  <c r="S63" i="75"/>
  <c r="R45" i="75"/>
  <c r="S31" i="75"/>
  <c r="S71" i="75"/>
  <c r="R53" i="75"/>
  <c r="R117" i="75"/>
  <c r="S103" i="75"/>
  <c r="R85" i="75"/>
  <c r="S39" i="75"/>
  <c r="S111" i="75"/>
  <c r="R93" i="75"/>
  <c r="S79" i="75"/>
  <c r="R61" i="75"/>
  <c r="S47" i="75"/>
  <c r="R29" i="75"/>
  <c r="S23" i="75"/>
  <c r="R21" i="75"/>
  <c r="S15" i="75"/>
  <c r="R13" i="75"/>
  <c r="S120" i="75"/>
  <c r="R118" i="75"/>
  <c r="S112" i="75"/>
  <c r="R110" i="75"/>
  <c r="S104" i="75"/>
  <c r="R102" i="75"/>
  <c r="S96" i="75"/>
  <c r="R94" i="75"/>
  <c r="S88" i="75"/>
  <c r="R86" i="75"/>
  <c r="S80" i="75"/>
  <c r="R78" i="75"/>
  <c r="S72" i="75"/>
  <c r="R70" i="75"/>
  <c r="S64" i="75"/>
  <c r="R62" i="75"/>
  <c r="S56" i="75"/>
  <c r="R54" i="75"/>
  <c r="S48" i="75"/>
  <c r="R46" i="75"/>
  <c r="S40" i="75"/>
  <c r="R38" i="75"/>
  <c r="S32" i="75"/>
  <c r="R30" i="75"/>
  <c r="S24" i="75"/>
  <c r="R22" i="75"/>
  <c r="S16" i="75"/>
  <c r="R14" i="75"/>
  <c r="R95" i="75"/>
  <c r="S89" i="75"/>
  <c r="R87" i="75"/>
  <c r="S81" i="75"/>
  <c r="R79" i="75"/>
  <c r="S73" i="75"/>
  <c r="R71" i="75"/>
  <c r="S65" i="75"/>
  <c r="R63" i="75"/>
  <c r="S57" i="75"/>
  <c r="R55" i="75"/>
  <c r="S49" i="75"/>
  <c r="R47" i="75"/>
  <c r="S41" i="75"/>
  <c r="R39" i="75"/>
  <c r="S33" i="75"/>
  <c r="R31" i="75"/>
  <c r="S25" i="75"/>
  <c r="R23" i="75"/>
  <c r="S17" i="75"/>
  <c r="R15" i="75"/>
  <c r="S113" i="75"/>
  <c r="S106" i="75"/>
  <c r="S98" i="75"/>
  <c r="R96" i="75"/>
  <c r="S90" i="75"/>
  <c r="R88" i="75"/>
  <c r="S82" i="75"/>
  <c r="R80" i="75"/>
  <c r="S74" i="75"/>
  <c r="R72" i="75"/>
  <c r="S66" i="75"/>
  <c r="R64" i="75"/>
  <c r="S58" i="75"/>
  <c r="R56" i="75"/>
  <c r="S50" i="75"/>
  <c r="R48" i="75"/>
  <c r="S42" i="75"/>
  <c r="R40" i="75"/>
  <c r="S34" i="75"/>
  <c r="R32" i="75"/>
  <c r="S26" i="75"/>
  <c r="R24" i="75"/>
  <c r="S18" i="75"/>
  <c r="R16" i="75"/>
  <c r="S121" i="75"/>
  <c r="S105" i="75"/>
  <c r="R120" i="75"/>
  <c r="R104" i="75"/>
  <c r="R121" i="75"/>
  <c r="S115" i="75"/>
  <c r="R113" i="75"/>
  <c r="S107" i="75"/>
  <c r="R105" i="75"/>
  <c r="S99" i="75"/>
  <c r="R97" i="75"/>
  <c r="S91" i="75"/>
  <c r="R89" i="75"/>
  <c r="S83" i="75"/>
  <c r="R81" i="75"/>
  <c r="S75" i="75"/>
  <c r="R73" i="75"/>
  <c r="S67" i="75"/>
  <c r="R65" i="75"/>
  <c r="S59" i="75"/>
  <c r="R57" i="75"/>
  <c r="S51" i="75"/>
  <c r="R49" i="75"/>
  <c r="S43" i="75"/>
  <c r="R41" i="75"/>
  <c r="S35" i="75"/>
  <c r="R33" i="75"/>
  <c r="S27" i="75"/>
  <c r="R25" i="75"/>
  <c r="S19" i="75"/>
  <c r="R17" i="75"/>
  <c r="R119" i="75"/>
  <c r="S97" i="75"/>
  <c r="R112" i="75"/>
  <c r="S116" i="75"/>
  <c r="R114" i="75"/>
  <c r="S108" i="75"/>
  <c r="R106" i="75"/>
  <c r="S100" i="75"/>
  <c r="R98" i="75"/>
  <c r="S92" i="75"/>
  <c r="R90" i="75"/>
  <c r="S84" i="75"/>
  <c r="R82" i="75"/>
  <c r="S76" i="75"/>
  <c r="R74" i="75"/>
  <c r="S68" i="75"/>
  <c r="R66" i="75"/>
  <c r="S60" i="75"/>
  <c r="R58" i="75"/>
  <c r="S52" i="75"/>
  <c r="R50" i="75"/>
  <c r="S44" i="75"/>
  <c r="R42" i="75"/>
  <c r="S36" i="75"/>
  <c r="R34" i="75"/>
  <c r="S28" i="75"/>
  <c r="R26" i="75"/>
  <c r="S20" i="75"/>
  <c r="R18" i="75"/>
  <c r="S12" i="75"/>
  <c r="R111" i="75"/>
  <c r="R103" i="75"/>
  <c r="S114" i="75"/>
  <c r="S117" i="75"/>
  <c r="R115" i="75"/>
  <c r="S109" i="75"/>
  <c r="R107" i="75"/>
  <c r="S101" i="75"/>
  <c r="R99" i="75"/>
  <c r="S93" i="75"/>
  <c r="R91" i="75"/>
  <c r="S85" i="75"/>
  <c r="R83" i="75"/>
  <c r="S77" i="75"/>
  <c r="R75" i="75"/>
  <c r="S69" i="75"/>
  <c r="R67" i="75"/>
  <c r="S61" i="75"/>
  <c r="R59" i="75"/>
  <c r="S53" i="75"/>
  <c r="R51" i="75"/>
  <c r="S45" i="75"/>
  <c r="R43" i="75"/>
  <c r="S37" i="75"/>
  <c r="R35" i="75"/>
  <c r="S29" i="75"/>
  <c r="R27" i="75"/>
  <c r="S21" i="75"/>
  <c r="R19" i="75"/>
  <c r="S13" i="75"/>
  <c r="S118" i="75"/>
  <c r="R116" i="75"/>
  <c r="S110" i="75"/>
  <c r="R108" i="75"/>
  <c r="S102" i="75"/>
  <c r="R100" i="75"/>
  <c r="S94" i="75"/>
  <c r="R92" i="75"/>
  <c r="S86" i="75"/>
  <c r="R84" i="75"/>
  <c r="S78" i="75"/>
  <c r="R76" i="75"/>
  <c r="S70" i="75"/>
  <c r="R68" i="75"/>
  <c r="S62" i="75"/>
  <c r="R60" i="75"/>
  <c r="S54" i="75"/>
  <c r="R52" i="75"/>
  <c r="S46" i="75"/>
  <c r="R44" i="75"/>
  <c r="S38" i="75"/>
  <c r="R36" i="75"/>
  <c r="S30" i="75"/>
  <c r="R28" i="75"/>
  <c r="S22" i="75"/>
  <c r="R20" i="75"/>
  <c r="S14" i="75"/>
  <c r="R12" i="75"/>
  <c r="S11" i="75"/>
  <c r="R11" i="75"/>
  <c r="M77" i="71"/>
  <c r="N51" i="71"/>
  <c r="N37" i="71"/>
  <c r="N16" i="71"/>
  <c r="F11" i="51"/>
  <c r="O38" i="58"/>
  <c r="O39" i="58"/>
  <c r="O40" i="58"/>
  <c r="O41" i="58"/>
  <c r="O42" i="58"/>
  <c r="O43" i="58"/>
  <c r="O44" i="58"/>
  <c r="O45" i="58"/>
  <c r="O46" i="58"/>
  <c r="O47" i="58"/>
  <c r="O48" i="58"/>
  <c r="O49" i="58"/>
  <c r="O50" i="58"/>
  <c r="O51" i="58"/>
  <c r="O52" i="58"/>
  <c r="O53" i="58"/>
  <c r="O54" i="58"/>
  <c r="O55" i="58"/>
  <c r="O56" i="58"/>
  <c r="P38" i="58"/>
  <c r="P39" i="58" s="1"/>
  <c r="P40" i="58" s="1"/>
  <c r="P41" i="58" s="1"/>
  <c r="P42" i="58" s="1"/>
  <c r="P43" i="58" s="1"/>
  <c r="P44" i="58" s="1"/>
  <c r="P45" i="58" s="1"/>
  <c r="P46" i="58" s="1"/>
  <c r="P47" i="58" s="1"/>
  <c r="P48" i="58" s="1"/>
  <c r="P49" i="58" s="1"/>
  <c r="P50" i="58" s="1"/>
  <c r="P51" i="58" s="1"/>
  <c r="P52" i="58" s="1"/>
  <c r="P53" i="58" s="1"/>
  <c r="P54" i="58" s="1"/>
  <c r="P55" i="58" s="1"/>
  <c r="P56" i="58" s="1"/>
  <c r="P37" i="58"/>
  <c r="P28" i="58"/>
  <c r="P29" i="58" s="1"/>
  <c r="P30" i="58" s="1"/>
  <c r="P27" i="58"/>
  <c r="P20" i="58"/>
  <c r="P19" i="58"/>
  <c r="P12" i="58"/>
  <c r="N61" i="58" s="1"/>
  <c r="O37" i="58"/>
  <c r="O28" i="58"/>
  <c r="O29" i="58"/>
  <c r="O30" i="58"/>
  <c r="O27" i="58"/>
  <c r="O20" i="58"/>
  <c r="O19" i="58"/>
  <c r="O12" i="58"/>
  <c r="D35" i="81"/>
  <c r="F20" i="59"/>
  <c r="G21" i="59"/>
  <c r="G19" i="59"/>
  <c r="F18" i="59"/>
  <c r="K15" i="104" a="1"/>
  <c r="M61" i="102" a="1"/>
  <c r="BQ82" i="102" a="1"/>
  <c r="M63" i="102" a="1"/>
  <c r="BY145" i="102" a="1"/>
  <c r="BQ142" i="102" a="1"/>
  <c r="AS83" i="102" a="1"/>
  <c r="AC147" i="102" a="1"/>
  <c r="BY84" i="102" a="1"/>
  <c r="BI46" i="102" a="1"/>
  <c r="U84" i="102" a="1"/>
  <c r="CO218" i="102" a="1"/>
  <c r="U61" i="102" a="1"/>
  <c r="BA20" i="102" a="1"/>
  <c r="K56" i="104" a="1"/>
  <c r="BA11" i="102" a="1"/>
  <c r="CG184" i="102" a="1"/>
  <c r="BQ188" i="102" a="1"/>
  <c r="AK58" i="102" a="1"/>
  <c r="BY40" i="102" a="1"/>
  <c r="BY60" i="102" a="1"/>
  <c r="AK16" i="102" a="1"/>
  <c r="CG167" i="102" a="1"/>
  <c r="BY213" i="102" a="1"/>
  <c r="AK34" i="102" a="1"/>
  <c r="BA75" i="102" a="1"/>
  <c r="U70" i="102" a="1"/>
  <c r="BI120" i="102" a="1"/>
  <c r="U129" i="102" a="1"/>
  <c r="BA56" i="102" a="1"/>
  <c r="M65" i="102" a="1"/>
  <c r="AS159" i="102" a="1"/>
  <c r="CO173" i="102" a="1"/>
  <c r="AS64" i="102" a="1"/>
  <c r="BY27" i="102" a="1"/>
  <c r="BA44" i="102" a="1"/>
  <c r="BA29" i="102" a="1"/>
  <c r="BI230" i="102" a="1"/>
  <c r="BI183" i="102" a="1"/>
  <c r="U60" i="102" a="1"/>
  <c r="BA169" i="102" a="1"/>
  <c r="AK33" i="102" a="1"/>
  <c r="CO125" i="102" a="1"/>
  <c r="U132" i="102" a="1"/>
  <c r="CG107" i="102" a="1"/>
  <c r="AS15" i="102" a="1"/>
  <c r="BI58" i="102" a="1"/>
  <c r="M24" i="102" a="1"/>
  <c r="AK39" i="102" a="1"/>
  <c r="AC45" i="102" a="1"/>
  <c r="CO115" i="102" a="1"/>
  <c r="BY15" i="102" a="1"/>
  <c r="K77" i="104" a="1"/>
  <c r="CG229" i="102" a="1"/>
  <c r="AK17" i="102" a="1"/>
  <c r="M80" i="102" a="1"/>
  <c r="BI71" i="102" a="1"/>
  <c r="BY66" i="102" a="1"/>
  <c r="AK55" i="102" a="1"/>
  <c r="AK62" i="102" a="1"/>
  <c r="U73" i="102" a="1"/>
  <c r="U75" i="102" a="1"/>
  <c r="CO124" i="102" a="1"/>
  <c r="AS177" i="102" a="1"/>
  <c r="BI8" i="102" a="1"/>
  <c r="BA50" i="102" a="1"/>
  <c r="BQ126" i="102" a="1"/>
  <c r="CO139" i="102" a="1"/>
  <c r="BI123" i="102" a="1"/>
  <c r="K50" i="104" a="1"/>
  <c r="AS37" i="102" a="1"/>
  <c r="AS115" i="102" a="1"/>
  <c r="AS14" i="102" a="1"/>
  <c r="CO96" i="102" a="1"/>
  <c r="BY26" i="102" a="1"/>
  <c r="BA38" i="102" a="1"/>
  <c r="AK46" i="102" a="1"/>
  <c r="BY137" i="102" a="1"/>
  <c r="U12" i="102" a="1"/>
  <c r="M16" i="102" a="1"/>
  <c r="BI115" i="102" a="1"/>
  <c r="AC216" i="102" a="1"/>
  <c r="AC66" i="102" a="1"/>
  <c r="CO97" i="102" a="1"/>
  <c r="M140" i="102" a="1"/>
  <c r="BI139" i="102" a="1"/>
  <c r="M78" i="105" a="1"/>
  <c r="BQ137" i="102" a="1"/>
  <c r="AK149" i="102" a="1"/>
  <c r="CG104" i="102" a="1"/>
  <c r="BQ224" i="102" a="1"/>
  <c r="AC133" i="102" a="1"/>
  <c r="AS123" i="102" a="1"/>
  <c r="AS100" i="102" a="1"/>
  <c r="CO183" i="102" a="1"/>
  <c r="BI95" i="102" a="1"/>
  <c r="BY204" i="102" a="1"/>
  <c r="AC173" i="102" a="1"/>
  <c r="BQ218" i="102" a="1"/>
  <c r="BY193" i="102" a="1"/>
  <c r="M182" i="102" a="1"/>
  <c r="AK180" i="102" a="1"/>
  <c r="AK223" i="102" a="1"/>
  <c r="BA213" i="102" a="1"/>
  <c r="BI138" i="102" a="1"/>
  <c r="BI151" i="102" a="1"/>
  <c r="AS171" i="102" a="1"/>
  <c r="AS146" i="102" a="1"/>
  <c r="CO167" i="102" a="1"/>
  <c r="M98" i="102" a="1"/>
  <c r="BY98" i="102" a="1"/>
  <c r="AC170" i="102" a="1"/>
  <c r="U199" i="102" a="1"/>
  <c r="BI129" i="102" a="1"/>
  <c r="AC174" i="102" a="1"/>
  <c r="U152" i="102" a="1"/>
  <c r="M75" i="105" a="1"/>
  <c r="AC143" i="102" a="1"/>
  <c r="CO197" i="102" a="1"/>
  <c r="AC97" i="102" a="1"/>
  <c r="BA102" i="102" a="1"/>
  <c r="M82" i="105" a="1"/>
  <c r="V87" i="103" a="1"/>
  <c r="V86" i="103" a="1"/>
  <c r="BQ183" i="102" a="1"/>
  <c r="M59" i="105" a="1"/>
  <c r="BQ165" i="102" a="1"/>
  <c r="AC199" i="102" a="1"/>
  <c r="AC214" i="102" a="1"/>
  <c r="CO199" i="102" a="1"/>
  <c r="M141" i="102" a="1"/>
  <c r="M13" i="105" a="1"/>
  <c r="U154" i="102" a="1"/>
  <c r="CG113" i="102" a="1"/>
  <c r="BA172" i="102" a="1"/>
  <c r="M146" i="102" a="1"/>
  <c r="AK203" i="102" a="1"/>
  <c r="AK171" i="102" a="1"/>
  <c r="CG137" i="102" a="1"/>
  <c r="AK217" i="102" a="1"/>
  <c r="AK104" i="102" a="1"/>
  <c r="M43" i="105" a="1"/>
  <c r="M210" i="102" a="1"/>
  <c r="BI170" i="102" a="1"/>
  <c r="AS124" i="102" a="1"/>
  <c r="BA225" i="102" a="1"/>
  <c r="U94" i="102" a="1"/>
  <c r="BI18" i="102" a="1"/>
  <c r="U55" i="102" a="1"/>
  <c r="BI61" i="102" a="1"/>
  <c r="AK27" i="102" a="1"/>
  <c r="AK29" i="102" a="1"/>
  <c r="AC112" i="102" a="1"/>
  <c r="AK61" i="102" a="1"/>
  <c r="BQ168" i="102" a="1"/>
  <c r="AS24" i="102" a="1"/>
  <c r="BA65" i="102" a="1"/>
  <c r="M53" i="102" a="1"/>
  <c r="M84" i="102" a="1"/>
  <c r="BA198" i="102" a="1"/>
  <c r="BY10" i="102" a="1"/>
  <c r="K21" i="104" a="1"/>
  <c r="BA46" i="102" a="1"/>
  <c r="AS22" i="102" a="1"/>
  <c r="AK22" i="102" a="1"/>
  <c r="BQ101" i="102" a="1"/>
  <c r="BQ75" i="102" a="1"/>
  <c r="BA63" i="102" a="1"/>
  <c r="CO207" i="102" a="1"/>
  <c r="CG156" i="102" a="1"/>
  <c r="CG95" i="102" a="1"/>
  <c r="CO117" i="102" a="1"/>
  <c r="BY30" i="102" a="1"/>
  <c r="CO220" i="102" a="1"/>
  <c r="M36" i="102" a="1"/>
  <c r="AK42" i="102" a="1"/>
  <c r="BQ18" i="102" a="1"/>
  <c r="AC53" i="102" a="1"/>
  <c r="AS69" i="102" a="1"/>
  <c r="CG144" i="102" a="1"/>
  <c r="AC78" i="102" a="1"/>
  <c r="BY44" i="102" a="1"/>
  <c r="U47" i="102" a="1"/>
  <c r="AC13" i="102" a="1"/>
  <c r="BA35" i="102" a="1"/>
  <c r="BA139" i="102" a="1"/>
  <c r="M30" i="102" a="1"/>
  <c r="BQ229" i="102" a="1"/>
  <c r="BI33" i="102" a="1"/>
  <c r="BY192" i="102" a="1"/>
  <c r="M57" i="102" a="1"/>
  <c r="CO165" i="102" a="1"/>
  <c r="BQ66" i="102" a="1"/>
  <c r="BY83" i="102" a="1"/>
  <c r="BI54" i="102" a="1"/>
  <c r="U33" i="102" a="1"/>
  <c r="M51" i="102" a="1"/>
  <c r="BI7" i="102" a="1"/>
  <c r="BI150" i="102" a="1"/>
  <c r="BY39" i="102" a="1"/>
  <c r="CO132" i="102" a="1"/>
  <c r="BY53" i="102" a="1"/>
  <c r="CO194" i="102" a="1"/>
  <c r="CG159" i="102" a="1"/>
  <c r="BA161" i="102" a="1"/>
  <c r="K72" i="104" a="1"/>
  <c r="BQ154" i="102" a="1"/>
  <c r="CO144" i="102" a="1"/>
  <c r="CO195" i="102" a="1"/>
  <c r="BA222" i="102" a="1"/>
  <c r="AS7" i="102" a="1"/>
  <c r="BI52" i="102" a="1"/>
  <c r="AS56" i="102" a="1"/>
  <c r="CG178" i="102" a="1"/>
  <c r="AC52" i="102" a="1"/>
  <c r="AS205" i="102" a="1"/>
  <c r="BI83" i="102" a="1"/>
  <c r="CO161" i="102" a="1"/>
  <c r="U66" i="102" a="1"/>
  <c r="AC39" i="102" a="1"/>
  <c r="U64" i="102" a="1"/>
  <c r="BI105" i="102" a="1"/>
  <c r="AC164" i="102" a="1"/>
  <c r="AK35" i="102" a="1"/>
  <c r="BQ215" i="102" a="1"/>
  <c r="CO170" i="102" a="1"/>
  <c r="CG213" i="102" a="1"/>
  <c r="AC198" i="102" a="1"/>
  <c r="AS186" i="102" a="1"/>
  <c r="U213" i="102" a="1"/>
  <c r="AK74" i="102" a="1"/>
  <c r="BY201" i="102" a="1"/>
  <c r="M149" i="102" a="1"/>
  <c r="AS182" i="102" a="1"/>
  <c r="M143" i="102" a="1"/>
  <c r="CG150" i="102" a="1"/>
  <c r="U135" i="102" a="1"/>
  <c r="AK160" i="102" a="1"/>
  <c r="AS117" i="102" a="1"/>
  <c r="U82" i="102" a="1"/>
  <c r="M231" i="102" a="1"/>
  <c r="S86" i="103" a="1"/>
  <c r="S87" i="103" a="1"/>
  <c r="BQ139" i="102" a="1"/>
  <c r="AS221" i="102" a="1"/>
  <c r="AC220" i="102" a="1"/>
  <c r="M222" i="102" a="1"/>
  <c r="BA140" i="102" a="1"/>
  <c r="BA125" i="102" a="1"/>
  <c r="BY140" i="102" a="1"/>
  <c r="AC182" i="102" a="1"/>
  <c r="CG116" i="102" a="1"/>
  <c r="AC100" i="102" a="1"/>
  <c r="M142" i="102" a="1"/>
  <c r="U127" i="102" a="1"/>
  <c r="BY180" i="102" a="1"/>
  <c r="M197" i="102" a="1"/>
  <c r="U160" i="102" a="1"/>
  <c r="BQ204" i="102" a="1"/>
  <c r="AS153" i="102" a="1"/>
  <c r="U212" i="102" a="1"/>
  <c r="BI231" i="102" a="1"/>
  <c r="AS141" i="102" a="1"/>
  <c r="U126" i="102" a="1"/>
  <c r="CO112" i="102" a="1"/>
  <c r="U124" i="102" a="1"/>
  <c r="M36" i="105" a="1"/>
  <c r="AC171" i="102" a="1"/>
  <c r="AS152" i="102" a="1"/>
  <c r="CO127" i="102" a="1"/>
  <c r="M223" i="102" a="1"/>
  <c r="AK170" i="102" a="1"/>
  <c r="AS180" i="102" a="1"/>
  <c r="BQ53" i="102" a="1"/>
  <c r="BQ42" i="102" a="1"/>
  <c r="CO228" i="102" a="1"/>
  <c r="AC36" i="102" a="1"/>
  <c r="M76" i="102" a="1"/>
  <c r="BI49" i="102" a="1"/>
  <c r="CO163" i="102" a="1"/>
  <c r="BY133" i="102" a="1"/>
  <c r="BA181" i="102" a="1"/>
  <c r="AS13" i="102" a="1"/>
  <c r="BQ45" i="102" a="1"/>
  <c r="BA21" i="102" a="1"/>
  <c r="BA57" i="102" a="1"/>
  <c r="BI23" i="102" a="1"/>
  <c r="U52" i="102" a="1"/>
  <c r="CO108" i="102" a="1"/>
  <c r="BI117" i="102" a="1"/>
  <c r="BQ41" i="102" a="1"/>
  <c r="BI149" i="102" a="1"/>
  <c r="CO200" i="102" a="1"/>
  <c r="CO142" i="102" a="1"/>
  <c r="AK157" i="102" a="1"/>
  <c r="BQ29" i="102" a="1"/>
  <c r="BQ46" i="102" a="1"/>
  <c r="AC68" i="102" a="1"/>
  <c r="BA197" i="102" a="1"/>
  <c r="U16" i="102" a="1"/>
  <c r="K68" i="104" a="1"/>
  <c r="BQ51" i="102" a="1"/>
  <c r="AC59" i="102" a="1"/>
  <c r="BQ180" i="102" a="1"/>
  <c r="BQ150" i="102" a="1"/>
  <c r="BA36" i="102" a="1"/>
  <c r="BI36" i="102" a="1"/>
  <c r="BY135" i="102" a="1"/>
  <c r="BQ61" i="102" a="1"/>
  <c r="CO229" i="102" a="1"/>
  <c r="CO206" i="102" a="1"/>
  <c r="BQ54" i="102" a="1"/>
  <c r="BI64" i="102" a="1"/>
  <c r="U34" i="102" a="1"/>
  <c r="BI200" i="102" a="1"/>
  <c r="AC81" i="102" a="1"/>
  <c r="K41" i="104" a="1"/>
  <c r="CO106" i="102" a="1"/>
  <c r="BI166" i="102" a="1"/>
  <c r="U11" i="102" a="1"/>
  <c r="M31" i="102" a="1"/>
  <c r="BQ43" i="102" a="1"/>
  <c r="BQ28" i="102" a="1"/>
  <c r="BI206" i="102" a="1"/>
  <c r="U30" i="102" a="1"/>
  <c r="U177" i="102" a="1"/>
  <c r="U72" i="102" a="1"/>
  <c r="CG100" i="102" a="1"/>
  <c r="BA49" i="102" a="1"/>
  <c r="BY55" i="102" a="1"/>
  <c r="AK41" i="102" a="1"/>
  <c r="BI137" i="102" a="1"/>
  <c r="BQ201" i="102" a="1"/>
  <c r="U80" i="102" a="1"/>
  <c r="BA210" i="102" a="1"/>
  <c r="AS38" i="102" a="1"/>
  <c r="M72" i="102" a="1"/>
  <c r="CO187" i="102" a="1"/>
  <c r="AS16" i="102" a="1"/>
  <c r="AK83" i="102" a="1"/>
  <c r="M17" i="102" a="1"/>
  <c r="AC55" i="102" a="1"/>
  <c r="AC51" i="102" a="1"/>
  <c r="AC15" i="102" a="1"/>
  <c r="BA6" i="102" a="1"/>
  <c r="BI47" i="102" a="1"/>
  <c r="BY111" i="102" a="1"/>
  <c r="U27" i="102" a="1"/>
  <c r="BY207" i="102" a="1"/>
  <c r="M108" i="102" a="1"/>
  <c r="M44" i="102" a="1"/>
  <c r="BI126" i="102" a="1"/>
  <c r="BA111" i="102" a="1"/>
  <c r="CG110" i="102" a="1"/>
  <c r="M198" i="102" a="1"/>
  <c r="BA149" i="102" a="1"/>
  <c r="M123" i="102" a="1"/>
  <c r="AC58" i="102" a="1"/>
  <c r="BQ164" i="102" a="1"/>
  <c r="U136" i="102" a="1"/>
  <c r="BA157" i="102" a="1"/>
  <c r="BQ115" i="102" a="1"/>
  <c r="M111" i="102" a="1"/>
  <c r="AS194" i="102" a="1"/>
  <c r="M26" i="102" a="1"/>
  <c r="BA206" i="102" a="1"/>
  <c r="BA108" i="102" a="1"/>
  <c r="CG203" i="102" a="1"/>
  <c r="BA195" i="102" a="1"/>
  <c r="AC180" i="102" a="1"/>
  <c r="BQ217" i="102" a="1"/>
  <c r="AS114" i="102" a="1"/>
  <c r="U184" i="102" a="1"/>
  <c r="BY99" i="102" a="1"/>
  <c r="AS116" i="102" a="1"/>
  <c r="M199" i="102" a="1"/>
  <c r="M77" i="105" a="1"/>
  <c r="AC8" i="102" a="1"/>
  <c r="M158" i="102" a="1"/>
  <c r="AS197" i="102" a="1"/>
  <c r="M45" i="105" a="1"/>
  <c r="AC124" i="102" a="1"/>
  <c r="M48" i="105" a="1"/>
  <c r="BQ179" i="102" a="1"/>
  <c r="M39" i="105" a="1"/>
  <c r="BY231" i="102" a="1"/>
  <c r="AK204" i="102" a="1"/>
  <c r="BY162" i="102" a="1"/>
  <c r="AC172" i="102" a="1"/>
  <c r="U220" i="102" a="1"/>
  <c r="BA137" i="102" a="1"/>
  <c r="AC140" i="102" a="1"/>
  <c r="CG125" i="102" a="1"/>
  <c r="M215" i="102" a="1"/>
  <c r="AC129" i="102" a="1"/>
  <c r="AS103" i="102" a="1"/>
  <c r="BI146" i="102" a="1"/>
  <c r="AC135" i="102" a="1"/>
  <c r="AC157" i="102" a="1"/>
  <c r="BA167" i="102" a="1"/>
  <c r="AS156" i="102" a="1"/>
  <c r="BY212" i="102" a="1"/>
  <c r="M29" i="105" a="1"/>
  <c r="BI113" i="102" a="1"/>
  <c r="M172" i="102" a="1"/>
  <c r="AS110" i="102" a="1"/>
  <c r="BI171" i="102" a="1"/>
  <c r="AS199" i="102" a="1"/>
  <c r="BY69" i="102" a="1"/>
  <c r="K16" i="104" a="1"/>
  <c r="BA34" i="102" a="1"/>
  <c r="U134" i="102" a="1"/>
  <c r="U201" i="102" a="1"/>
  <c r="BY31" i="102" a="1"/>
  <c r="BI93" i="102" a="1"/>
  <c r="M79" i="102" a="1"/>
  <c r="BI11" i="102" a="1"/>
  <c r="AC26" i="102" a="1"/>
  <c r="M83" i="102" a="1"/>
  <c r="U105" i="102" a="1"/>
  <c r="M73" i="102" a="1"/>
  <c r="BA221" i="102" a="1"/>
  <c r="BQ68" i="102" a="1"/>
  <c r="AK10" i="102" a="1"/>
  <c r="CG146" i="102" a="1"/>
  <c r="M67" i="102" a="1"/>
  <c r="CG193" i="102" a="1"/>
  <c r="BA66" i="102" a="1"/>
  <c r="CG181" i="102" a="1"/>
  <c r="BQ216" i="102" a="1"/>
  <c r="U128" i="102" a="1"/>
  <c r="BQ79" i="102" a="1"/>
  <c r="BQ37" i="102" a="1"/>
  <c r="BY82" i="102" a="1"/>
  <c r="X87" i="103" a="1"/>
  <c r="X86" i="103" a="1"/>
  <c r="AC20" i="102" a="1"/>
  <c r="K67" i="104" a="1"/>
  <c r="AS27" i="102" a="1"/>
  <c r="CG105" i="102" a="1"/>
  <c r="BQ161" i="102" a="1"/>
  <c r="U81" i="102" a="1"/>
  <c r="AS21" i="102" a="1"/>
  <c r="BI81" i="102" a="1"/>
  <c r="AS20" i="102" a="1"/>
  <c r="AS31" i="102" a="1"/>
  <c r="CO105" i="102" a="1"/>
  <c r="AS145" i="102" a="1"/>
  <c r="CG131" i="102" a="1"/>
  <c r="BQ64" i="102" a="1"/>
  <c r="BY79" i="102" a="1"/>
  <c r="CG96" i="102" a="1"/>
  <c r="AC76" i="102" a="1"/>
  <c r="CO176" i="102" a="1"/>
  <c r="AS8" i="102" a="1"/>
  <c r="U50" i="102" a="1"/>
  <c r="U8" i="102" a="1"/>
  <c r="BI72" i="102" a="1"/>
  <c r="BY12" i="102" a="1"/>
  <c r="BA61" i="102" a="1"/>
  <c r="CO169" i="102" a="1"/>
  <c r="BY139" i="102" a="1"/>
  <c r="BY36" i="102" a="1"/>
  <c r="CO171" i="102" a="1"/>
  <c r="K57" i="104" a="1"/>
  <c r="K49" i="104" a="1"/>
  <c r="BQ58" i="102" a="1"/>
  <c r="AS62" i="102" a="1"/>
  <c r="BY149" i="102" a="1"/>
  <c r="BQ108" i="102" a="1"/>
  <c r="BQ69" i="102" a="1"/>
  <c r="BI21" i="102" a="1"/>
  <c r="AK13" i="102" a="1"/>
  <c r="M9" i="102" a="1"/>
  <c r="BA194" i="102" a="1"/>
  <c r="BQ230" i="102" a="1"/>
  <c r="BA33" i="102" a="1"/>
  <c r="BQ36" i="102" a="1"/>
  <c r="CG98" i="102" a="1"/>
  <c r="U37" i="102" a="1"/>
  <c r="CO181" i="102" a="1"/>
  <c r="BQ77" i="102" a="1"/>
  <c r="BQ31" i="102" a="1"/>
  <c r="CG166" i="102" a="1"/>
  <c r="M34" i="102" a="1"/>
  <c r="BQ194" i="102" a="1"/>
  <c r="AC105" i="102" a="1"/>
  <c r="BQ33" i="102" a="1"/>
  <c r="BY97" i="102" a="1"/>
  <c r="AK129" i="102" a="1"/>
  <c r="AC49" i="102" a="1"/>
  <c r="AC117" i="102" a="1"/>
  <c r="BY105" i="102" a="1"/>
  <c r="AK120" i="102" a="1"/>
  <c r="M203" i="102" a="1"/>
  <c r="U6" i="102" a="1"/>
  <c r="CG108" i="102" a="1"/>
  <c r="AC123" i="102" a="1"/>
  <c r="AK192" i="102" a="1"/>
  <c r="BY151" i="102" a="1"/>
  <c r="AK196" i="102" a="1"/>
  <c r="M105" i="102" a="1"/>
  <c r="BA202" i="102" a="1"/>
  <c r="BI131" i="102" a="1"/>
  <c r="M102" i="102" a="1"/>
  <c r="AS213" i="102" a="1"/>
  <c r="CO138" i="102" a="1"/>
  <c r="BQ199" i="102" a="1"/>
  <c r="U197" i="102" a="1"/>
  <c r="BI164" i="102" a="1"/>
  <c r="U153" i="102" a="1"/>
  <c r="M164" i="102" a="1"/>
  <c r="AK199" i="102" a="1"/>
  <c r="BQ98" i="102" a="1"/>
  <c r="M205" i="102" a="1"/>
  <c r="AS229" i="102" a="1"/>
  <c r="AS202" i="102" a="1"/>
  <c r="BQ219" i="102" a="1"/>
  <c r="AC154" i="102" a="1"/>
  <c r="M71" i="105" a="1"/>
  <c r="AS125" i="102" a="1"/>
  <c r="CG114" i="102" a="1"/>
  <c r="AS168" i="102" a="1"/>
  <c r="BI202" i="102" a="1"/>
  <c r="BY185" i="102" a="1"/>
  <c r="AC148" i="102" a="1"/>
  <c r="BA217" i="102" a="1"/>
  <c r="AS102" i="102" a="1"/>
  <c r="BI109" i="102" a="1"/>
  <c r="U99" i="102" a="1"/>
  <c r="AS131" i="102" a="1"/>
  <c r="AS224" i="102" a="1"/>
  <c r="AK111" i="102" a="1"/>
  <c r="AC155" i="102" a="1"/>
  <c r="CG158" i="102" a="1"/>
  <c r="U173" i="102" a="1"/>
  <c r="M129" i="102" a="1"/>
  <c r="M60" i="105" a="1"/>
  <c r="BQ208" i="102" a="1"/>
  <c r="U151" i="102" a="1"/>
  <c r="U112" i="102" a="1"/>
  <c r="BA103" i="102" a="1"/>
  <c r="CO152" i="102" a="1"/>
  <c r="BA144" i="102" a="1"/>
  <c r="AK173" i="102" a="1"/>
  <c r="M27" i="105" a="1"/>
  <c r="U100" i="102" a="1"/>
  <c r="BQ143" i="102" a="1"/>
  <c r="BA151" i="102" a="1"/>
  <c r="BA192" i="102" a="1"/>
  <c r="U225" i="102" a="1"/>
  <c r="BA68" i="102" a="1"/>
  <c r="K52" i="104" a="1"/>
  <c r="BA60" i="102" a="1"/>
  <c r="CG188" i="102" a="1"/>
  <c r="CG207" i="102" a="1"/>
  <c r="AC94" i="102" a="1"/>
  <c r="BI13" i="102" a="1"/>
  <c r="CG122" i="102" a="1"/>
  <c r="AC69" i="102" a="1"/>
  <c r="CO227" i="102" a="1"/>
  <c r="BI121" i="102" a="1"/>
  <c r="BQ60" i="102" a="1"/>
  <c r="BQ6" i="102" a="1"/>
  <c r="U39" i="102" a="1"/>
  <c r="CG179" i="102" a="1"/>
  <c r="CG177" i="102" a="1"/>
  <c r="K24" i="104" a="1"/>
  <c r="BA79" i="102" a="1"/>
  <c r="U19" i="102" a="1"/>
  <c r="CO128" i="102" a="1"/>
  <c r="BY199" i="102" a="1"/>
  <c r="BY6" i="102" a="1"/>
  <c r="BY11" i="102" a="1"/>
  <c r="AK21" i="102" a="1"/>
  <c r="BQ176" i="102" a="1"/>
  <c r="BY110" i="102" a="1"/>
  <c r="U196" i="102" a="1"/>
  <c r="U77" i="102" a="1"/>
  <c r="CG154" i="102" a="1"/>
  <c r="BQ145" i="102" a="1"/>
  <c r="M134" i="102" a="1"/>
  <c r="BY51" i="102" a="1"/>
  <c r="BA24" i="102" a="1"/>
  <c r="BA59" i="102" a="1"/>
  <c r="BI70" i="102" a="1"/>
  <c r="M39" i="102" a="1"/>
  <c r="M68" i="102" a="1"/>
  <c r="BQ187" i="102" a="1"/>
  <c r="AC50" i="102" a="1"/>
  <c r="K32" i="104" a="1"/>
  <c r="BQ94" i="102" a="1"/>
  <c r="AC72" i="102" a="1"/>
  <c r="AK154" i="102" a="1"/>
  <c r="AC31" i="102" a="1"/>
  <c r="AK73" i="102" a="1"/>
  <c r="K18" i="104" a="1"/>
  <c r="BA8" i="102" a="1"/>
  <c r="BA215" i="102" a="1"/>
  <c r="AK147" i="102" a="1"/>
  <c r="AK70" i="102" a="1"/>
  <c r="U10" i="102" a="1"/>
  <c r="BQ19" i="102" a="1"/>
  <c r="K34" i="104" a="1"/>
  <c r="BQ38" i="102" a="1"/>
  <c r="BY17" i="102" a="1"/>
  <c r="M174" i="102" a="1"/>
  <c r="BI187" i="102" a="1"/>
  <c r="CO155" i="102" a="1"/>
  <c r="CG119" i="102" a="1"/>
  <c r="BQ84" i="102" a="1"/>
  <c r="BY138" i="102" a="1"/>
  <c r="BA207" i="102" a="1"/>
  <c r="BY7" i="102" a="1"/>
  <c r="CG206" i="102" a="1"/>
  <c r="BQ72" i="102" a="1"/>
  <c r="BQ44" i="102" a="1"/>
  <c r="CO226" i="102" a="1"/>
  <c r="M33" i="102" a="1"/>
  <c r="BY117" i="102" a="1"/>
  <c r="AC28" i="102" a="1"/>
  <c r="K39" i="104" a="1"/>
  <c r="BQ93" i="102" a="1"/>
  <c r="BY206" i="102" a="1"/>
  <c r="U97" i="102" a="1"/>
  <c r="BY38" i="102" a="1"/>
  <c r="BQ196" i="102" a="1"/>
  <c r="M7" i="102" a="1"/>
  <c r="CO129" i="102" a="1"/>
  <c r="AK172" i="102" a="1"/>
  <c r="AS155" i="102" a="1"/>
  <c r="BY195" i="102" a="1"/>
  <c r="AK176" i="102" a="1"/>
  <c r="M221" i="102" a="1"/>
  <c r="BI190" i="102" a="1"/>
  <c r="U187" i="102" a="1"/>
  <c r="CG182" i="102" a="1"/>
  <c r="U137" i="102" a="1"/>
  <c r="M65" i="105" a="1"/>
  <c r="U106" i="102" a="1"/>
  <c r="AK212" i="102" a="1"/>
  <c r="BI172" i="102" a="1"/>
  <c r="AC163" i="102" a="1"/>
  <c r="M175" i="102" a="1"/>
  <c r="BA187" i="102" a="1"/>
  <c r="M195" i="102" a="1"/>
  <c r="AK94" i="102" a="1"/>
  <c r="BI174" i="102" a="1"/>
  <c r="M139" i="102" a="1"/>
  <c r="M46" i="105" a="1"/>
  <c r="BI116" i="102" a="1"/>
  <c r="AK201" i="102" a="1"/>
  <c r="U191" i="102" a="1"/>
  <c r="CG170" i="102" a="1"/>
  <c r="BQ153" i="102" a="1"/>
  <c r="BA120" i="102" a="1"/>
  <c r="AS121" i="102" a="1"/>
  <c r="BA229" i="102" a="1"/>
  <c r="BI167" i="102" a="1"/>
  <c r="AK130" i="102" a="1"/>
  <c r="BA185" i="102" a="1"/>
  <c r="BA100" i="102" a="1"/>
  <c r="CG196" i="102" a="1"/>
  <c r="AC106" i="102" a="1"/>
  <c r="BA171" i="102" a="1"/>
  <c r="BY153" i="102" a="1"/>
  <c r="AS184" i="102" a="1"/>
  <c r="AC113" i="102" a="1"/>
  <c r="M154" i="102" a="1"/>
  <c r="CG135" i="102" a="1"/>
  <c r="AC231" i="102" a="1"/>
  <c r="M132" i="102" a="1"/>
  <c r="AC203" i="102" a="1"/>
  <c r="U138" i="102" a="1"/>
  <c r="BQ163" i="102" a="1"/>
  <c r="U206" i="102" a="1"/>
  <c r="BA156" i="102" a="1"/>
  <c r="M66" i="105" a="1"/>
  <c r="M219" i="102" a="1"/>
  <c r="CG97" i="102" a="1"/>
  <c r="BA180" i="102" a="1"/>
  <c r="BY121" i="102" a="1"/>
  <c r="M110" i="102" a="1"/>
  <c r="M126" i="102" a="1"/>
  <c r="BQ210" i="102" a="1"/>
  <c r="AK195" i="102" a="1"/>
  <c r="AS107" i="102" a="1"/>
  <c r="AK96" i="102" a="1"/>
  <c r="CG183" i="102" a="1"/>
  <c r="BA228" i="102" a="1"/>
  <c r="M50" i="105" a="1"/>
  <c r="AS134" i="102" a="1"/>
  <c r="AC138" i="102" a="1"/>
  <c r="M212" i="102" a="1"/>
  <c r="AC183" i="102" a="1"/>
  <c r="M217" i="102" a="1"/>
  <c r="BQ102" i="102" a="1"/>
  <c r="AS126" i="102" a="1"/>
  <c r="AS74" i="102" a="1"/>
  <c r="K65" i="104" a="1"/>
  <c r="BI60" i="102" a="1"/>
  <c r="M120" i="102" a="1"/>
  <c r="BA70" i="102" a="1"/>
  <c r="BI207" i="102" a="1"/>
  <c r="M229" i="102" a="1"/>
  <c r="BI214" i="102" a="1"/>
  <c r="AS43" i="102" a="1"/>
  <c r="U123" i="102" a="1"/>
  <c r="M218" i="102" a="1"/>
  <c r="BQ14" i="102" a="1"/>
  <c r="U31" i="102" a="1"/>
  <c r="BA164" i="102" a="1"/>
  <c r="AS6" i="102" a="1"/>
  <c r="BY61" i="102" a="1"/>
  <c r="AC43" i="102" a="1"/>
  <c r="BQ225" i="102" a="1"/>
  <c r="AC206" i="102" a="1"/>
  <c r="BA116" i="102" a="1"/>
  <c r="BA45" i="102" a="1"/>
  <c r="BA10" i="102" a="1"/>
  <c r="BY217" i="102" a="1"/>
  <c r="U71" i="102" a="1"/>
  <c r="CG189" i="102" a="1"/>
  <c r="BI19" i="102" a="1"/>
  <c r="AS30" i="102" a="1"/>
  <c r="CO179" i="102" a="1"/>
  <c r="CG152" i="102" a="1"/>
  <c r="AK43" i="102" a="1"/>
  <c r="BA52" i="102" a="1"/>
  <c r="BY176" i="102" a="1"/>
  <c r="AK11" i="102" a="1"/>
  <c r="U113" i="102" a="1"/>
  <c r="BA48" i="102" a="1"/>
  <c r="AS40" i="102" a="1"/>
  <c r="AS33" i="102" a="1"/>
  <c r="AS65" i="102" a="1"/>
  <c r="BQ30" i="102" a="1"/>
  <c r="AC6" i="102" a="1"/>
  <c r="BI147" i="102" a="1"/>
  <c r="BQ138" i="102" a="1"/>
  <c r="AC75" i="102" a="1"/>
  <c r="U38" i="102" a="1"/>
  <c r="BY68" i="102" a="1"/>
  <c r="BQ20" i="102" a="1"/>
  <c r="M78" i="102" a="1"/>
  <c r="BY191" i="102" a="1"/>
  <c r="M29" i="102" a="1"/>
  <c r="U76" i="102" a="1"/>
  <c r="BI15" i="102" a="1"/>
  <c r="BA94" i="102" a="1"/>
  <c r="AK146" i="102" a="1"/>
  <c r="U25" i="102" a="1"/>
  <c r="K36" i="104" a="1"/>
  <c r="BY35" i="102" a="1"/>
  <c r="BY20" i="102" a="1"/>
  <c r="AS77" i="102" a="1"/>
  <c r="CO212" i="102" a="1"/>
  <c r="U7" i="102" a="1"/>
  <c r="CG149" i="102" a="1"/>
  <c r="K40" i="104" a="1"/>
  <c r="BY25" i="102" a="1"/>
  <c r="AC121" i="102" a="1"/>
  <c r="M185" i="102" a="1"/>
  <c r="AC32" i="102" a="1"/>
  <c r="CO151" i="102" a="1"/>
  <c r="BI153" i="102" a="1"/>
  <c r="BQ16" i="102" a="1"/>
  <c r="BQ228" i="102" a="1"/>
  <c r="BY154" i="102" a="1"/>
  <c r="AC168" i="102" a="1"/>
  <c r="BI74" i="102" a="1"/>
  <c r="BI27" i="102" a="1"/>
  <c r="AC35" i="102" a="1"/>
  <c r="AC73" i="102" a="1"/>
  <c r="CO133" i="102" a="1"/>
  <c r="U9" i="102" a="1"/>
  <c r="U78" i="102" a="1"/>
  <c r="U14" i="102" a="1"/>
  <c r="AK155" i="102" a="1"/>
  <c r="M131" i="102" a="1"/>
  <c r="BI216" i="102" a="1"/>
  <c r="AC134" i="102" a="1"/>
  <c r="M47" i="105" a="1"/>
  <c r="BA230" i="102" a="1"/>
  <c r="AC130" i="102" a="1"/>
  <c r="BI32" i="102" a="1"/>
  <c r="AK67" i="102" a="1"/>
  <c r="BQ15" i="102" a="1"/>
  <c r="AK19" i="102" a="1"/>
  <c r="M81" i="102" a="1"/>
  <c r="U149" i="102" a="1"/>
  <c r="BA26" i="102" a="1"/>
  <c r="CG180" i="102" a="1"/>
  <c r="CG187" i="102" a="1"/>
  <c r="BY208" i="102" a="1"/>
  <c r="CO166" i="102" a="1"/>
  <c r="K79" i="104" a="1"/>
  <c r="U28" i="102" a="1"/>
  <c r="U67" i="102" a="1"/>
  <c r="K42" i="104" a="1"/>
  <c r="BY8" i="102" a="1"/>
  <c r="BI67" i="102" a="1"/>
  <c r="BY224" i="102" a="1"/>
  <c r="BA55" i="102" a="1"/>
  <c r="AC25" i="102" a="1"/>
  <c r="CO107" i="102" a="1"/>
  <c r="BQ141" i="102" a="1"/>
  <c r="AC111" i="102" a="1"/>
  <c r="BI55" i="102" a="1"/>
  <c r="CG214" i="102" a="1"/>
  <c r="CG227" i="102" a="1"/>
  <c r="BI220" i="102" a="1"/>
  <c r="AC151" i="102" a="1"/>
  <c r="AS18" i="102" a="1"/>
  <c r="AS32" i="102" a="1"/>
  <c r="BY49" i="102" a="1"/>
  <c r="CG141" i="102" a="1"/>
  <c r="AK31" i="102" a="1"/>
  <c r="U20" i="102" a="1"/>
  <c r="BI163" i="102" a="1"/>
  <c r="BY116" i="102" a="1"/>
  <c r="BQ200" i="102" a="1"/>
  <c r="BI102" i="102" a="1"/>
  <c r="BA30" i="102" a="1"/>
  <c r="BA220" i="102" a="1"/>
  <c r="AS133" i="102" a="1"/>
  <c r="AS10" i="102" a="1"/>
  <c r="U74" i="102" a="1"/>
  <c r="M45" i="102" a="1"/>
  <c r="BI76" i="102" a="1"/>
  <c r="AS23" i="102" a="1"/>
  <c r="AC27" i="102" a="1"/>
  <c r="BY198" i="102" a="1"/>
  <c r="K66" i="104" a="1"/>
  <c r="U53" i="102" a="1"/>
  <c r="BQ22" i="102" a="1"/>
  <c r="BA84" i="102" a="1"/>
  <c r="BQ223" i="102" a="1"/>
  <c r="CO141" i="102" a="1"/>
  <c r="CG93" i="102" a="1"/>
  <c r="K35" i="104" a="1"/>
  <c r="BA19" i="102" a="1"/>
  <c r="AS172" i="102" a="1"/>
  <c r="AS61" i="102" a="1"/>
  <c r="CO217" i="102" a="1"/>
  <c r="BI44" i="102" a="1"/>
  <c r="BQ83" i="102" a="1"/>
  <c r="AK7" i="102" a="1"/>
  <c r="BI104" i="102" a="1"/>
  <c r="CO186" i="102" a="1"/>
  <c r="AK132" i="102" a="1"/>
  <c r="BA27" i="102" a="1"/>
  <c r="BQ26" i="102" a="1"/>
  <c r="BI210" i="102" a="1"/>
  <c r="AC24" i="102" a="1"/>
  <c r="AC61" i="102" a="1"/>
  <c r="BY115" i="102" a="1"/>
  <c r="M62" i="102" a="1"/>
  <c r="BY211" i="102" a="1"/>
  <c r="AK136" i="102" a="1"/>
  <c r="BI191" i="102" a="1"/>
  <c r="M193" i="102" a="1"/>
  <c r="AS231" i="102" a="1"/>
  <c r="BA80" i="102" a="1"/>
  <c r="BI152" i="102" a="1"/>
  <c r="AC221" i="102" a="1"/>
  <c r="AK205" i="102" a="1"/>
  <c r="U181" i="102" a="1"/>
  <c r="CG216" i="102" a="1"/>
  <c r="AS157" i="102" a="1"/>
  <c r="AK152" i="102" a="1"/>
  <c r="AK38" i="102" a="1"/>
  <c r="BA133" i="102" a="1"/>
  <c r="BQ95" i="102" a="1"/>
  <c r="U98" i="102" a="1"/>
  <c r="M163" i="102" a="1"/>
  <c r="BA142" i="102" a="1"/>
  <c r="BI185" i="102" a="1"/>
  <c r="BQ147" i="102" a="1"/>
  <c r="BA163" i="102" a="1"/>
  <c r="M173" i="102" a="1"/>
  <c r="AK145" i="102" a="1"/>
  <c r="BQ127" i="102" a="1"/>
  <c r="M95" i="102" a="1"/>
  <c r="BA134" i="102" a="1"/>
  <c r="U188" i="102" a="1"/>
  <c r="BY223" i="102" a="1"/>
  <c r="AC99" i="102" a="1"/>
  <c r="U148" i="102" a="1"/>
  <c r="M128" i="102" a="1"/>
  <c r="BI196" i="102" a="1"/>
  <c r="U120" i="102" a="1"/>
  <c r="BA126" i="102" a="1"/>
  <c r="BI155" i="102" a="1"/>
  <c r="AK95" i="102" a="1"/>
  <c r="M202" i="102" a="1"/>
  <c r="AK191" i="102" a="1"/>
  <c r="BI211" i="102" a="1"/>
  <c r="U180" i="102" a="1"/>
  <c r="AS225" i="102" a="1"/>
  <c r="AC218" i="102" a="1"/>
  <c r="M226" i="102" a="1"/>
  <c r="M74" i="105" a="1"/>
  <c r="M28" i="105" a="1"/>
  <c r="AC101" i="102" a="1"/>
  <c r="BY108" i="102" a="1"/>
  <c r="M161" i="102" a="1"/>
  <c r="AC110" i="102" a="1"/>
  <c r="AC161" i="102" a="1"/>
  <c r="BQ144" i="102" a="1"/>
  <c r="M94" i="102" a="1"/>
  <c r="AK109" i="102" a="1"/>
  <c r="M116" i="102" a="1"/>
  <c r="CG185" i="102" a="1"/>
  <c r="AK230" i="102" a="1"/>
  <c r="U222" i="102" a="1"/>
  <c r="U203" i="102" a="1"/>
  <c r="BY220" i="102" a="1"/>
  <c r="AK184" i="102" a="1"/>
  <c r="U95" i="102" a="1"/>
  <c r="M30" i="105" a="1"/>
  <c r="BY210" i="102" a="1"/>
  <c r="AC115" i="102" a="1"/>
  <c r="M178" i="102" a="1"/>
  <c r="M21" i="105" a="1"/>
  <c r="M27" i="102" a="1"/>
  <c r="AS59" i="102" a="1"/>
  <c r="BQ132" i="102" a="1"/>
  <c r="M56" i="102" a="1"/>
  <c r="U13" i="102" a="1"/>
  <c r="CO154" i="102" a="1"/>
  <c r="BI42" i="102" a="1"/>
  <c r="M124" i="102" a="1"/>
  <c r="AS68" i="102" a="1"/>
  <c r="BI199" i="102" a="1"/>
  <c r="AK45" i="102" a="1"/>
  <c r="BY52" i="102" a="1"/>
  <c r="BY22" i="102" a="1"/>
  <c r="BI179" i="102" a="1"/>
  <c r="BY131" i="102" a="1"/>
  <c r="BQ129" i="102" a="1"/>
  <c r="K61" i="104" a="1"/>
  <c r="K76" i="104" a="1"/>
  <c r="AS19" i="102" a="1"/>
  <c r="AS207" i="102" a="1"/>
  <c r="CG162" i="102" a="1"/>
  <c r="BQ184" i="102" a="1"/>
  <c r="BA64" i="102" a="1"/>
  <c r="BY172" i="102" a="1"/>
  <c r="BI106" i="102" a="1"/>
  <c r="U193" i="102" a="1"/>
  <c r="BI25" i="102" a="1"/>
  <c r="AK8" i="102" a="1"/>
  <c r="BI134" i="102" a="1"/>
  <c r="M74" i="102" a="1"/>
  <c r="BY118" i="102" a="1"/>
  <c r="BY209" i="102" a="1"/>
  <c r="BI22" i="102" a="1"/>
  <c r="K14" i="104" a="1"/>
  <c r="M69" i="102" a="1"/>
  <c r="BQ167" i="102" a="1"/>
  <c r="BI128" i="102" a="1"/>
  <c r="K19" i="104" a="1"/>
  <c r="AK28" i="102" a="1"/>
  <c r="CG160" i="102" a="1"/>
  <c r="U21" i="102" a="1"/>
  <c r="BI24" i="102" a="1"/>
  <c r="U107" i="102" a="1"/>
  <c r="AK131" i="102" a="1"/>
  <c r="U49" i="102" a="1"/>
  <c r="M112" i="102" a="1"/>
  <c r="U211" i="102" a="1"/>
  <c r="BA54" i="102" a="1"/>
  <c r="U22" i="102" a="1"/>
  <c r="AS34" i="102" a="1"/>
  <c r="BI186" i="102" a="1"/>
  <c r="BI197" i="102" a="1"/>
  <c r="BI68" i="102" a="1"/>
  <c r="BY47" i="102" a="1"/>
  <c r="K69" i="104" a="1"/>
  <c r="BY229" i="102" a="1"/>
  <c r="CO172" i="102" a="1"/>
  <c r="CO223" i="102" a="1"/>
  <c r="U217" i="102" a="1"/>
  <c r="AS60" i="102" a="1"/>
  <c r="BY9" i="102" a="1"/>
  <c r="M35" i="102" a="1"/>
  <c r="BI136" i="102" a="1"/>
  <c r="AS217" i="102" a="1"/>
  <c r="BI34" i="102" a="1"/>
  <c r="BY24" i="102" a="1"/>
  <c r="BI229" i="102" a="1"/>
  <c r="BI143" i="102" a="1"/>
  <c r="K78" i="104" a="1"/>
  <c r="K46" i="104" a="1"/>
  <c r="BI77" i="102" a="1"/>
  <c r="AC19" i="102" a="1"/>
  <c r="BI140" i="102" a="1"/>
  <c r="BY19" i="102" a="1"/>
  <c r="BY112" i="102" a="1"/>
  <c r="CO222" i="102" a="1"/>
  <c r="BI118" i="102" a="1"/>
  <c r="BQ128" i="102" a="1"/>
  <c r="AC217" i="102" a="1"/>
  <c r="AK169" i="102" a="1"/>
  <c r="M49" i="102" a="1"/>
  <c r="M103" i="102" a="1"/>
  <c r="BY104" i="102" a="1"/>
  <c r="BA107" i="102" a="1"/>
  <c r="AS228" i="102" a="1"/>
  <c r="BY205" i="102" a="1"/>
  <c r="AC229" i="102" a="1"/>
  <c r="AC152" i="102" a="1"/>
  <c r="CG127" i="102" a="1"/>
  <c r="BI224" i="102" a="1"/>
  <c r="AS178" i="102" a="1"/>
  <c r="AC114" i="102" a="1"/>
  <c r="M207" i="102" a="1"/>
  <c r="BQ123" i="102" a="1"/>
  <c r="BQ124" i="102" a="1"/>
  <c r="BA148" i="102" a="1"/>
  <c r="AS165" i="102" a="1"/>
  <c r="M155" i="102" a="1"/>
  <c r="BY188" i="102" a="1"/>
  <c r="AK175" i="102" a="1"/>
  <c r="U102" i="102" a="1"/>
  <c r="M100" i="102" a="1"/>
  <c r="BY174" i="102" a="1"/>
  <c r="CO131" i="102" a="1"/>
  <c r="M63" i="105" a="1"/>
  <c r="BA131" i="102" a="1"/>
  <c r="BI135" i="102" a="1"/>
  <c r="CG198" i="102" a="1"/>
  <c r="BY228" i="102" a="1"/>
  <c r="M12" i="105" a="1"/>
  <c r="BA203" i="102" a="1"/>
  <c r="U147" i="102" a="1"/>
  <c r="M41" i="105" a="1"/>
  <c r="M14" i="105" a="1"/>
  <c r="AS129" i="102" a="1"/>
  <c r="AC156" i="102" a="1"/>
  <c r="BQ209" i="102" a="1"/>
  <c r="U186" i="102" a="1"/>
  <c r="AS209" i="102" a="1"/>
  <c r="AC190" i="102" a="1"/>
  <c r="BI142" i="102" a="1"/>
  <c r="BA227" i="102" a="1"/>
  <c r="AK207" i="102" a="1"/>
  <c r="BQ212" i="102" a="1"/>
  <c r="BA135" i="102" a="1"/>
  <c r="AS170" i="102" a="1"/>
  <c r="AK163" i="102" a="1"/>
  <c r="AK112" i="102" a="1"/>
  <c r="U210" i="102" a="1"/>
  <c r="CO225" i="102" a="1"/>
  <c r="M79" i="105" a="1"/>
  <c r="M61" i="105" a="1"/>
  <c r="AS175" i="102" a="1"/>
  <c r="BQ172" i="102" a="1"/>
  <c r="M93" i="102" a="1"/>
  <c r="M206" i="102" a="1"/>
  <c r="W87" i="103" a="1"/>
  <c r="W86" i="103" a="1"/>
  <c r="BQ118" i="102" a="1"/>
  <c r="AK99" i="102" a="1"/>
  <c r="CG111" i="102" a="1"/>
  <c r="AK198" i="102" a="1"/>
  <c r="BI45" i="102" a="1"/>
  <c r="BI125" i="102" a="1"/>
  <c r="AC227" i="102" a="1"/>
  <c r="CG115" i="102" a="1"/>
  <c r="AK93" i="102" a="1"/>
  <c r="U26" i="102" a="1"/>
  <c r="AK78" i="102" a="1"/>
  <c r="BY13" i="102" a="1"/>
  <c r="AC70" i="102" a="1"/>
  <c r="CO221" i="102" a="1"/>
  <c r="U56" i="102" a="1"/>
  <c r="K60" i="104" a="1"/>
  <c r="BI30" i="102" a="1"/>
  <c r="BQ7" i="102" a="1"/>
  <c r="AC29" i="102" a="1"/>
  <c r="CO93" i="102" a="1"/>
  <c r="AC178" i="102" a="1"/>
  <c r="M58" i="102" a="1"/>
  <c r="BQ81" i="102" a="1"/>
  <c r="AS49" i="102" a="1"/>
  <c r="CG164" i="102" a="1"/>
  <c r="BI79" i="102" a="1"/>
  <c r="K28" i="104" a="1"/>
  <c r="BA23" i="102" a="1"/>
  <c r="BA219" i="102" a="1"/>
  <c r="BY74" i="102" a="1"/>
  <c r="AC56" i="102" a="1"/>
  <c r="AS25" i="102" a="1"/>
  <c r="CO175" i="102" a="1"/>
  <c r="CG223" i="102" a="1"/>
  <c r="BQ133" i="102" a="1"/>
  <c r="BI31" i="102" a="1"/>
  <c r="BA25" i="102" a="1"/>
  <c r="BA189" i="102" a="1"/>
  <c r="U58" i="102" a="1"/>
  <c r="AS29" i="102" a="1"/>
  <c r="AK84" i="102" a="1"/>
  <c r="BQ110" i="102" a="1"/>
  <c r="AC80" i="102" a="1"/>
  <c r="M106" i="102" a="1"/>
  <c r="AK60" i="102" a="1"/>
  <c r="AK57" i="102" a="1"/>
  <c r="AS80" i="102" a="1"/>
  <c r="AC54" i="102" a="1"/>
  <c r="BQ25" i="102" a="1"/>
  <c r="AK32" i="102" a="1"/>
  <c r="CO145" i="102" a="1"/>
  <c r="U29" i="102" a="1"/>
  <c r="AK36" i="102" a="1"/>
  <c r="BY62" i="102" a="1"/>
  <c r="CO95" i="102" a="1"/>
  <c r="BQ162" i="102" a="1"/>
  <c r="M15" i="102" a="1"/>
  <c r="BA40" i="102" a="1"/>
  <c r="AS70" i="102" a="1"/>
  <c r="BA81" i="102" a="1"/>
  <c r="M8" i="102" a="1"/>
  <c r="CO193" i="102" a="1"/>
  <c r="BA7" i="102" a="1"/>
  <c r="AS52" i="102" a="1"/>
  <c r="M12" i="102" a="1"/>
  <c r="AC46" i="102" a="1"/>
  <c r="AK64" i="102" a="1"/>
  <c r="AK69" i="102" a="1"/>
  <c r="BI43" i="102" a="1"/>
  <c r="BI57" i="102" a="1"/>
  <c r="AK18" i="102" a="1"/>
  <c r="BY107" i="102" a="1"/>
  <c r="K82" i="104" a="1"/>
  <c r="BI73" i="102" a="1"/>
  <c r="BA28" i="102" a="1"/>
  <c r="BQ119" i="102" a="1"/>
  <c r="BI119" i="102" a="1"/>
  <c r="BQ222" i="102" a="1"/>
  <c r="K45" i="104" a="1"/>
  <c r="BI195" i="102" a="1"/>
  <c r="BQ140" i="102" a="1"/>
  <c r="U229" i="102" a="1"/>
  <c r="CG228" i="102" a="1"/>
  <c r="BA130" i="102" a="1"/>
  <c r="AS179" i="102" a="1"/>
  <c r="CG172" i="102" a="1"/>
  <c r="CG225" i="102" a="1"/>
  <c r="BA223" i="102" a="1"/>
  <c r="M31" i="105" a="1"/>
  <c r="M228" i="102" a="1"/>
  <c r="BQ112" i="102" a="1"/>
  <c r="AS138" i="102" a="1"/>
  <c r="AC209" i="102" a="1"/>
  <c r="BY134" i="102" a="1"/>
  <c r="U116" i="102" a="1"/>
  <c r="BQ130" i="102" a="1"/>
  <c r="BY216" i="102" a="1"/>
  <c r="M34" i="105" a="1"/>
  <c r="CG161" i="102" a="1"/>
  <c r="AK101" i="102" a="1"/>
  <c r="M180" i="102" a="1"/>
  <c r="AC127" i="102" a="1"/>
  <c r="U169" i="102" a="1"/>
  <c r="U143" i="102" a="1"/>
  <c r="BY129" i="102" a="1"/>
  <c r="BA162" i="102" a="1"/>
  <c r="U163" i="102" a="1"/>
  <c r="CO168" i="102" a="1"/>
  <c r="AS120" i="102" a="1"/>
  <c r="BI107" i="102" a="1"/>
  <c r="BQ104" i="102" a="1"/>
  <c r="AS187" i="102" a="1"/>
  <c r="AS185" i="102" a="1"/>
  <c r="AS96" i="102" a="1"/>
  <c r="CG112" i="102" a="1"/>
  <c r="CO147" i="102" a="1"/>
  <c r="AK224" i="102" a="1"/>
  <c r="AS173" i="102" a="1"/>
  <c r="AS112" i="102" a="1"/>
  <c r="BQ103" i="102" a="1"/>
  <c r="U223" i="102" a="1"/>
  <c r="AS128" i="102" a="1"/>
  <c r="CG191" i="102" a="1"/>
  <c r="AC167" i="102" a="1"/>
  <c r="BA119" i="102" a="1"/>
  <c r="AC197" i="102" a="1"/>
  <c r="BI192" i="102" a="1"/>
  <c r="U219" i="102" a="1"/>
  <c r="AS226" i="102" a="1"/>
  <c r="AC96" i="102" a="1"/>
  <c r="U171" i="102" a="1"/>
  <c r="BQ146" i="102" a="1"/>
  <c r="M125" i="102" a="1"/>
  <c r="AS122" i="102" a="1"/>
  <c r="M38" i="105" a="1"/>
  <c r="U104" i="102" a="1"/>
  <c r="CG155" i="102" a="1"/>
  <c r="AS119" i="102" a="1"/>
  <c r="AC146" i="102" a="1"/>
  <c r="BY155" i="102" a="1"/>
  <c r="M56" i="105" a="1"/>
  <c r="CG212" i="102" a="1"/>
  <c r="BA53" i="102" a="1"/>
  <c r="AS35" i="102" a="1"/>
  <c r="BQ107" i="102" a="1"/>
  <c r="BY182" i="102" a="1"/>
  <c r="AK106" i="102" a="1"/>
  <c r="U170" i="102" a="1"/>
  <c r="BY78" i="102" a="1"/>
  <c r="BI99" i="102" a="1"/>
  <c r="CO135" i="102" a="1"/>
  <c r="M11" i="102" a="1"/>
  <c r="CO130" i="102" a="1"/>
  <c r="CG120" i="102" a="1"/>
  <c r="BY28" i="102" a="1"/>
  <c r="BI6" i="102" a="1"/>
  <c r="AS47" i="102" a="1"/>
  <c r="CO94" i="102" a="1"/>
  <c r="CG130" i="102" a="1"/>
  <c r="BQ74" i="102" a="1"/>
  <c r="AS45" i="102" a="1"/>
  <c r="BA32" i="102" a="1"/>
  <c r="AK49" i="102" a="1"/>
  <c r="CO143" i="102" a="1"/>
  <c r="CG192" i="102" a="1"/>
  <c r="Q86" i="103" a="1"/>
  <c r="Q87" i="103" a="1"/>
  <c r="AS76" i="102" a="1"/>
  <c r="BQ135" i="102" a="1"/>
  <c r="M23" i="102" a="1"/>
  <c r="BY196" i="102" a="1"/>
  <c r="BA15" i="102" a="1"/>
  <c r="AS99" i="102" a="1"/>
  <c r="AC108" i="102" a="1"/>
  <c r="BI110" i="102" a="1"/>
  <c r="BA179" i="102" a="1"/>
  <c r="AC14" i="102" a="1"/>
  <c r="AS11" i="102" a="1"/>
  <c r="AK76" i="102" a="1"/>
  <c r="BY156" i="102" a="1"/>
  <c r="BY218" i="102" a="1"/>
  <c r="BI213" i="102" a="1"/>
  <c r="BQ27" i="102" a="1"/>
  <c r="U215" i="102" a="1"/>
  <c r="U131" i="102" a="1"/>
  <c r="AC71" i="102" a="1"/>
  <c r="M211" i="102" a="1"/>
  <c r="AC22" i="102" a="1"/>
  <c r="BI50" i="102" a="1"/>
  <c r="BQ159" i="102" a="1"/>
  <c r="BI204" i="102" a="1"/>
  <c r="AK72" i="102" a="1"/>
  <c r="AK81" i="102" a="1"/>
  <c r="AS82" i="102" a="1"/>
  <c r="U44" i="102" a="1"/>
  <c r="AC10" i="102" a="1"/>
  <c r="CO111" i="102" a="1"/>
  <c r="BA71" i="102" a="1"/>
  <c r="BI12" i="102" a="1"/>
  <c r="BI56" i="102" a="1"/>
  <c r="AK59" i="102" a="1"/>
  <c r="U23" i="102" a="1"/>
  <c r="BA209" i="102" a="1"/>
  <c r="M22" i="102" a="1"/>
  <c r="BI75" i="102" a="1"/>
  <c r="BQ39" i="102" a="1"/>
  <c r="CG205" i="102" a="1"/>
  <c r="AC33" i="102" a="1"/>
  <c r="CO198" i="102" a="1"/>
  <c r="BQ35" i="102" a="1"/>
  <c r="BY59" i="102" a="1"/>
  <c r="CG226" i="102" a="1"/>
  <c r="BI127" i="102" a="1"/>
  <c r="BY103" i="102" a="1"/>
  <c r="BI9" i="102" a="1"/>
  <c r="BQ67" i="102" a="1"/>
  <c r="AK68" i="102" a="1"/>
  <c r="BA204" i="102" a="1"/>
  <c r="BY219" i="102" a="1"/>
  <c r="AS189" i="102" a="1"/>
  <c r="BA47" i="102" a="1"/>
  <c r="U62" i="102" a="1"/>
  <c r="AC82" i="102" a="1"/>
  <c r="CG124" i="102" a="1"/>
  <c r="BI181" i="102" a="1"/>
  <c r="M49" i="105" a="1"/>
  <c r="M169" i="102" a="1"/>
  <c r="U69" i="102" a="1"/>
  <c r="BI133" i="102" a="1"/>
  <c r="CO114" i="102" a="1"/>
  <c r="U175" i="102" a="1"/>
  <c r="AC160" i="102" a="1"/>
  <c r="AC177" i="102" a="1"/>
  <c r="BQ121" i="102" a="1"/>
  <c r="CG101" i="102" a="1"/>
  <c r="M33" i="105" a="1"/>
  <c r="M77" i="102" a="1"/>
  <c r="BQ105" i="102" a="1"/>
  <c r="BY109" i="102" a="1"/>
  <c r="M119" i="102" a="1"/>
  <c r="U125" i="102" a="1"/>
  <c r="BY95" i="102" a="1"/>
  <c r="AS160" i="102" a="1"/>
  <c r="U227" i="102" a="1"/>
  <c r="M196" i="102" a="1"/>
  <c r="AS227" i="102" a="1"/>
  <c r="BY147" i="102" a="1"/>
  <c r="BI203" i="102" a="1"/>
  <c r="AS214" i="102" a="1"/>
  <c r="AK162" i="102" a="1"/>
  <c r="AC225" i="102" a="1"/>
  <c r="BA121" i="102" a="1"/>
  <c r="AS111" i="102" a="1"/>
  <c r="AC195" i="102" a="1"/>
  <c r="U207" i="102" a="1"/>
  <c r="AS118" i="102" a="1"/>
  <c r="BY166" i="102" a="1"/>
  <c r="U230" i="102" a="1"/>
  <c r="BA115" i="102" a="1"/>
  <c r="AS204" i="102" a="1"/>
  <c r="BQ214" i="102" a="1"/>
  <c r="AK117" i="102" a="1"/>
  <c r="CG171" i="102" a="1"/>
  <c r="U150" i="102" a="1"/>
  <c r="AK179" i="102" a="1"/>
  <c r="BY230" i="102" a="1"/>
  <c r="U214" i="102" a="1"/>
  <c r="AK214" i="102" a="1"/>
  <c r="AC165" i="102" a="1"/>
  <c r="M186" i="102" a="1"/>
  <c r="CO118" i="102" a="1"/>
  <c r="AS135" i="102" a="1"/>
  <c r="U189" i="102" a="1"/>
  <c r="CG217" i="102" a="1"/>
  <c r="BY132" i="102" a="1"/>
  <c r="AS212" i="102" a="1"/>
  <c r="BA97" i="102" a="1"/>
  <c r="BI158" i="102" a="1"/>
  <c r="AK231" i="102" a="1"/>
  <c r="BA109" i="102" a="1"/>
  <c r="U35" i="102" a="1"/>
  <c r="M82" i="102" a="1"/>
  <c r="AC11" i="102" a="1"/>
  <c r="BI175" i="102" a="1"/>
  <c r="BY70" i="102" a="1"/>
  <c r="BQ78" i="102" a="1"/>
  <c r="U45" i="102" a="1"/>
  <c r="CO116" i="102" a="1"/>
  <c r="M48" i="102" a="1"/>
  <c r="BY42" i="102" a="1"/>
  <c r="BA73" i="102" a="1"/>
  <c r="U79" i="102" a="1"/>
  <c r="CO158" i="102" a="1"/>
  <c r="CO215" i="102" a="1"/>
  <c r="BI29" i="102" a="1"/>
  <c r="BQ55" i="102" a="1"/>
  <c r="U24" i="102" a="1"/>
  <c r="BQ203" i="102" a="1"/>
  <c r="CO196" i="102" a="1"/>
  <c r="BQ97" i="102" a="1"/>
  <c r="BQ50" i="102" a="1"/>
  <c r="BI16" i="102" a="1"/>
  <c r="BQ158" i="102" a="1"/>
  <c r="BQ80" i="102" a="1"/>
  <c r="M138" i="102" a="1"/>
  <c r="BA67" i="102" a="1"/>
  <c r="U83" i="102" a="1"/>
  <c r="AS154" i="102" a="1"/>
  <c r="K48" i="104" a="1"/>
  <c r="K25" i="104" a="1"/>
  <c r="BQ8" i="102" a="1"/>
  <c r="AK63" i="102" a="1"/>
  <c r="CO182" i="102" a="1"/>
  <c r="AC62" i="102" a="1"/>
  <c r="BQ48" i="102" a="1"/>
  <c r="AS66" i="102" a="1"/>
  <c r="M25" i="102" a="1"/>
  <c r="AC200" i="102" a="1"/>
  <c r="BY161" i="102" a="1"/>
  <c r="M10" i="102" a="1"/>
  <c r="BQ99" i="102" a="1"/>
  <c r="U57" i="102" a="1"/>
  <c r="K54" i="104" a="1"/>
  <c r="M13" i="102" a="1"/>
  <c r="AS81" i="102" a="1"/>
  <c r="CO180" i="102" a="1"/>
  <c r="CO205" i="102" a="1"/>
  <c r="T87" i="103" a="1"/>
  <c r="T86" i="103" a="1"/>
  <c r="AC38" i="102" a="1"/>
  <c r="K51" i="104" a="1"/>
  <c r="BY33" i="102" a="1"/>
  <c r="CG143" i="102" a="1"/>
  <c r="BI165" i="102" a="1"/>
  <c r="BY48" i="102" a="1"/>
  <c r="CG202" i="102" a="1"/>
  <c r="BY14" i="102" a="1"/>
  <c r="BY54" i="102" a="1"/>
  <c r="CO208" i="102" a="1"/>
  <c r="M28" i="102" a="1"/>
  <c r="BY100" i="102" a="1"/>
  <c r="AC192" i="102" a="1"/>
  <c r="BY76" i="102" a="1"/>
  <c r="AS17" i="102" a="1"/>
  <c r="BQ136" i="102" a="1"/>
  <c r="CG99" i="102" a="1"/>
  <c r="AS201" i="102" a="1"/>
  <c r="K26" i="104" a="1"/>
  <c r="K74" i="104" a="1"/>
  <c r="AK26" i="102" a="1"/>
  <c r="CG102" i="102" a="1"/>
  <c r="CG157" i="102" a="1"/>
  <c r="AK141" i="102" a="1"/>
  <c r="BI65" i="102" a="1"/>
  <c r="AC228" i="102" a="1"/>
  <c r="AC21" i="102" a="1"/>
  <c r="AC9" i="102" a="1"/>
  <c r="BY163" i="102" a="1"/>
  <c r="BI222" i="102" a="1"/>
  <c r="AC194" i="102" a="1"/>
  <c r="AK229" i="102" a="1"/>
  <c r="CO134" i="102" a="1"/>
  <c r="AC103" i="102" a="1"/>
  <c r="BY177" i="102" a="1"/>
  <c r="CG147" i="102" a="1"/>
  <c r="U176" i="102" a="1"/>
  <c r="AC144" i="102" a="1"/>
  <c r="BA175" i="102" a="1"/>
  <c r="CG138" i="102" a="1"/>
  <c r="U192" i="102" a="1"/>
  <c r="AC95" i="102" a="1"/>
  <c r="CG201" i="102" a="1"/>
  <c r="U133" i="102" a="1"/>
  <c r="BQ111" i="102" a="1"/>
  <c r="BY190" i="102" a="1"/>
  <c r="BA147" i="102" a="1"/>
  <c r="AS191" i="102" a="1"/>
  <c r="CG190" i="102" a="1"/>
  <c r="AK159" i="102" a="1"/>
  <c r="M68" i="105" a="1"/>
  <c r="AS137" i="102" a="1"/>
  <c r="CG231" i="102" a="1"/>
  <c r="AS211" i="102" a="1"/>
  <c r="BY144" i="102" a="1"/>
  <c r="CO204" i="102" a="1"/>
  <c r="M190" i="102" a="1"/>
  <c r="U117" i="102" a="1"/>
  <c r="BY200" i="102" a="1"/>
  <c r="U168" i="102" a="1"/>
  <c r="BA138" i="102" a="1"/>
  <c r="U144" i="102" a="1"/>
  <c r="M189" i="102" a="1"/>
  <c r="BQ182" i="102" a="1"/>
  <c r="M179" i="102" a="1"/>
  <c r="AS220" i="102" a="1"/>
  <c r="U209" i="102" a="1"/>
  <c r="BI176" i="102" a="1"/>
  <c r="AC207" i="102" a="1"/>
  <c r="BA153" i="102" a="1"/>
  <c r="AC223" i="102" a="1"/>
  <c r="CG168" i="102" a="1"/>
  <c r="BQ166" i="102" a="1"/>
  <c r="BQ226" i="102" a="1"/>
  <c r="M32" i="105" a="1"/>
  <c r="AK150" i="102" a="1"/>
  <c r="BQ202" i="102" a="1"/>
  <c r="AC137" i="102" a="1"/>
  <c r="AC222" i="102" a="1"/>
  <c r="M148" i="102" a="1"/>
  <c r="M20" i="105" a="1"/>
  <c r="M23" i="105" a="1"/>
  <c r="AK119" i="102" a="1"/>
  <c r="BY120" i="102" a="1"/>
  <c r="M160" i="102" a="1"/>
  <c r="M214" i="102" a="1"/>
  <c r="BY152" i="102" a="1"/>
  <c r="BY146" i="102" a="1"/>
  <c r="AS143" i="102" a="1"/>
  <c r="AC219" i="102" a="1"/>
  <c r="CG224" i="102" a="1"/>
  <c r="AK178" i="102" a="1"/>
  <c r="AC131" i="102" a="1"/>
  <c r="U165" i="102" a="1"/>
  <c r="BI177" i="102" a="1"/>
  <c r="CG106" i="102" a="1"/>
  <c r="AC226" i="102" a="1"/>
  <c r="BA160" i="102" a="1"/>
  <c r="M230" i="102" a="1"/>
  <c r="M99" i="102" a="1"/>
  <c r="BQ32" i="102" a="1"/>
  <c r="AS71" i="102" a="1"/>
  <c r="M71" i="102" a="1"/>
  <c r="M55" i="102" a="1"/>
  <c r="BY93" i="102" a="1"/>
  <c r="BI98" i="102" a="1"/>
  <c r="AS53" i="102" a="1"/>
  <c r="AK65" i="102" a="1"/>
  <c r="AK56" i="102" a="1"/>
  <c r="BQ221" i="102" a="1"/>
  <c r="AK226" i="102" a="1"/>
  <c r="M18" i="102" a="1"/>
  <c r="BY75" i="102" a="1"/>
  <c r="BI148" i="102" a="1"/>
  <c r="M64" i="102" a="1"/>
  <c r="CO202" i="102" a="1"/>
  <c r="AS101" i="102" a="1"/>
  <c r="BI41" i="102" a="1"/>
  <c r="BQ47" i="102" a="1"/>
  <c r="BI59" i="102" a="1"/>
  <c r="M21" i="102" a="1"/>
  <c r="CG165" i="102" a="1"/>
  <c r="BI205" i="102" a="1"/>
  <c r="U195" i="102" a="1"/>
  <c r="AK44" i="102" a="1"/>
  <c r="AS181" i="102" a="1"/>
  <c r="BQ185" i="102" a="1"/>
  <c r="BI130" i="102" a="1"/>
  <c r="BY50" i="102" a="1"/>
  <c r="BY77" i="102" a="1"/>
  <c r="BY128" i="102" a="1"/>
  <c r="BY183" i="102" a="1"/>
  <c r="BI63" i="102" a="1"/>
  <c r="K59" i="104" a="1"/>
  <c r="BI37" i="102" a="1"/>
  <c r="BA51" i="102" a="1"/>
  <c r="AK25" i="102" a="1"/>
  <c r="AC64" i="102" a="1"/>
  <c r="BQ40" i="102" a="1"/>
  <c r="BY168" i="102" a="1"/>
  <c r="BQ117" i="102" a="1"/>
  <c r="AS72" i="102" a="1"/>
  <c r="AK82" i="102" a="1"/>
  <c r="AC48" i="102" a="1"/>
  <c r="CO159" i="102" a="1"/>
  <c r="BI48" i="102" a="1"/>
  <c r="BY72" i="102" a="1"/>
  <c r="AS63" i="102" a="1"/>
  <c r="BI219" i="102" a="1"/>
  <c r="CG200" i="102" a="1"/>
  <c r="AC63" i="102" a="1"/>
  <c r="AK197" i="102" a="1"/>
  <c r="BY123" i="102" a="1"/>
  <c r="K43" i="104" a="1"/>
  <c r="AS67" i="102" a="1"/>
  <c r="AK206" i="102" a="1"/>
  <c r="AC213" i="102" a="1"/>
  <c r="AK9" i="102" a="1"/>
  <c r="M37" i="102" a="1"/>
  <c r="BQ106" i="102" a="1"/>
  <c r="BY63" i="102" a="1"/>
  <c r="BY169" i="102" a="1"/>
  <c r="CG139" i="102" a="1"/>
  <c r="AK185" i="102" a="1"/>
  <c r="K70" i="104" a="1"/>
  <c r="BI173" i="102" a="1"/>
  <c r="CO162" i="102" a="1"/>
  <c r="CG121" i="102" a="1"/>
  <c r="AS151" i="102" a="1"/>
  <c r="K29" i="104" a="1"/>
  <c r="BY57" i="102" a="1"/>
  <c r="CG142" i="102" a="1"/>
  <c r="BQ160" i="102" a="1"/>
  <c r="AS106" i="102" a="1"/>
  <c r="AC41" i="102" a="1"/>
  <c r="BI14" i="102" a="1"/>
  <c r="U46" i="102" a="1"/>
  <c r="U32" i="102" a="1"/>
  <c r="M47" i="102" a="1"/>
  <c r="AS166" i="102" a="1"/>
  <c r="BY221" i="102" a="1"/>
  <c r="CO189" i="102" a="1"/>
  <c r="U159" i="102" a="1"/>
  <c r="AK177" i="102" a="1"/>
  <c r="BI141" i="102" a="1"/>
  <c r="AC149" i="102" a="1"/>
  <c r="U174" i="102" a="1"/>
  <c r="BA166" i="102" a="1"/>
  <c r="U122" i="102" a="1"/>
  <c r="AS161" i="102" a="1"/>
  <c r="U183" i="102" a="1"/>
  <c r="BY141" i="102" a="1"/>
  <c r="CG123" i="102" a="1"/>
  <c r="U109" i="102" a="1"/>
  <c r="M181" i="102" a="1"/>
  <c r="AK66" i="102" a="1"/>
  <c r="AS108" i="102" a="1"/>
  <c r="CO122" i="102" a="1"/>
  <c r="AK134" i="102" a="1"/>
  <c r="M188" i="102" a="1"/>
  <c r="AC145" i="102" a="1"/>
  <c r="BA191" i="102" a="1"/>
  <c r="BY194" i="102" a="1"/>
  <c r="M121" i="102" a="1"/>
  <c r="BA173" i="102" a="1"/>
  <c r="CG163" i="102" a="1"/>
  <c r="AK187" i="102" a="1"/>
  <c r="M147" i="102" a="1"/>
  <c r="AS167" i="102" a="1"/>
  <c r="BA196" i="102" a="1"/>
  <c r="BQ174" i="102" a="1"/>
  <c r="AK138" i="102" a="1"/>
  <c r="M145" i="102" a="1"/>
  <c r="M67" i="105" a="1"/>
  <c r="AC102" i="102" a="1"/>
  <c r="BQ178" i="102" a="1"/>
  <c r="AK114" i="102" a="1"/>
  <c r="BA99" i="102" a="1"/>
  <c r="M42" i="105" a="1"/>
  <c r="BA231" i="102" a="1"/>
  <c r="BY165" i="102" a="1"/>
  <c r="M135" i="102" a="1"/>
  <c r="AK222" i="102" a="1"/>
  <c r="M200" i="102" a="1"/>
  <c r="BI225" i="102" a="1"/>
  <c r="BQ191" i="102" a="1"/>
  <c r="AC211" i="102" a="1"/>
  <c r="AS130" i="102" a="1"/>
  <c r="AC132" i="102" a="1"/>
  <c r="BQ169" i="102" a="1"/>
  <c r="BI201" i="102" a="1"/>
  <c r="BI209" i="102" a="1"/>
  <c r="M35" i="105" a="1"/>
  <c r="U156" i="102" a="1"/>
  <c r="CG175" i="102" a="1"/>
  <c r="BA212" i="102" a="1"/>
  <c r="AC202" i="102" a="1"/>
  <c r="BY167" i="102" a="1"/>
  <c r="M40" i="105" a="1"/>
  <c r="AC120" i="102" a="1"/>
  <c r="M118" i="102" a="1"/>
  <c r="AK194" i="102" a="1"/>
  <c r="M220" i="102" a="1"/>
  <c r="AK123" i="102" a="1"/>
  <c r="AK135" i="102" a="1"/>
  <c r="AK182" i="102" a="1"/>
  <c r="BI114" i="102" a="1"/>
  <c r="AK153" i="102" a="1"/>
  <c r="AC230" i="102" a="1"/>
  <c r="CO190" i="102" a="1"/>
  <c r="BY46" i="102" a="1"/>
  <c r="BA82" i="102" a="1"/>
  <c r="U167" i="102" a="1"/>
  <c r="AS97" i="102" a="1"/>
  <c r="U15" i="102" a="1"/>
  <c r="M32" i="102" a="1"/>
  <c r="K63" i="104" a="1"/>
  <c r="U36" i="102" a="1"/>
  <c r="AC40" i="102" a="1"/>
  <c r="BI69" i="102" a="1"/>
  <c r="CG230" i="102" a="1"/>
  <c r="BQ220" i="102" a="1"/>
  <c r="U111" i="102" a="1"/>
  <c r="BY41" i="102" a="1"/>
  <c r="BI39" i="102" a="1"/>
  <c r="AK80" i="102" a="1"/>
  <c r="BQ24" i="102" a="1"/>
  <c r="AC23" i="102" a="1"/>
  <c r="BI208" i="102" a="1"/>
  <c r="U205" i="102" a="1"/>
  <c r="AS44" i="102" a="1"/>
  <c r="U161" i="102" a="1"/>
  <c r="BI62" i="102" a="1"/>
  <c r="AC30" i="102" a="1"/>
  <c r="BA193" i="102" a="1"/>
  <c r="AS75" i="102" a="1"/>
  <c r="AC65" i="102" a="1"/>
  <c r="CO184" i="102" a="1"/>
  <c r="AC44" i="102" a="1"/>
  <c r="K17" i="104" a="1"/>
  <c r="K83" i="104" a="1"/>
  <c r="BQ56" i="102" a="1"/>
  <c r="AC175" i="102" a="1"/>
  <c r="AC104" i="102" a="1"/>
  <c r="AK53" i="102" a="1"/>
  <c r="BA136" i="102" a="1"/>
  <c r="CG118" i="102" a="1"/>
  <c r="U65" i="102" a="1"/>
  <c r="BY101" i="102" a="1"/>
  <c r="AC16" i="102" a="1"/>
  <c r="BI28" i="102" a="1"/>
  <c r="M75" i="102" a="1"/>
  <c r="CO185" i="102" a="1"/>
  <c r="K55" i="104" a="1"/>
  <c r="BQ70" i="102" a="1"/>
  <c r="BI78" i="102" a="1"/>
  <c r="BY203" i="102" a="1"/>
  <c r="BY122" i="102" a="1"/>
  <c r="AS51" i="102" a="1"/>
  <c r="AK51" i="102" a="1"/>
  <c r="K13" i="104" a="1"/>
  <c r="BA37" i="102" a="1"/>
  <c r="BA118" i="102" a="1"/>
  <c r="BA39" i="102" a="1"/>
  <c r="M50" i="102" a="1"/>
  <c r="BQ34" i="102" a="1"/>
  <c r="BY71" i="102" a="1"/>
  <c r="AK40" i="102" a="1"/>
  <c r="BQ205" i="102" a="1"/>
  <c r="M14" i="102" a="1"/>
  <c r="M204" i="102" a="1"/>
  <c r="AS39" i="102" a="1"/>
  <c r="CO103" i="102" a="1"/>
  <c r="BY173" i="102" a="1"/>
  <c r="AS12" i="102" a="1"/>
  <c r="BA72" i="102" a="1"/>
  <c r="U42" i="102" a="1"/>
  <c r="CO149" i="102" a="1"/>
  <c r="AK200" i="102" a="1"/>
  <c r="AK6" i="102" a="1"/>
  <c r="AS84" i="102" a="1"/>
  <c r="BI227" i="102" a="1"/>
  <c r="AK12" i="102" a="1"/>
  <c r="BI124" i="102" a="1"/>
  <c r="BI169" i="102" a="1"/>
  <c r="AC212" i="102" a="1"/>
  <c r="U218" i="102" a="1"/>
  <c r="BA110" i="102" a="1"/>
  <c r="U166" i="102" a="1"/>
  <c r="M114" i="102" a="1"/>
  <c r="BA214" i="102" a="1"/>
  <c r="BQ113" i="102" a="1"/>
  <c r="AC109" i="102" a="1"/>
  <c r="BA117" i="102" a="1"/>
  <c r="M157" i="102" a="1"/>
  <c r="AS188" i="102" a="1"/>
  <c r="U155" i="102" a="1"/>
  <c r="AK186" i="102" a="1"/>
  <c r="AK225" i="102" a="1"/>
  <c r="CO178" i="102" a="1"/>
  <c r="M187" i="102" a="1"/>
  <c r="AC204" i="102" a="1"/>
  <c r="CO100" i="102" a="1"/>
  <c r="AS200" i="102" a="1"/>
  <c r="BY114" i="102" a="1"/>
  <c r="M184" i="102" a="1"/>
  <c r="AC166" i="102" a="1"/>
  <c r="BY150" i="102" a="1"/>
  <c r="M166" i="102" a="1"/>
  <c r="AC196" i="102" a="1"/>
  <c r="AK105" i="102" a="1"/>
  <c r="M101" i="102" a="1"/>
  <c r="BI198" i="102" a="1"/>
  <c r="AC158" i="102" a="1"/>
  <c r="M70" i="105" a="1"/>
  <c r="AK220" i="102" a="1"/>
  <c r="CO140" i="102" a="1"/>
  <c r="AC116" i="102" a="1"/>
  <c r="M18" i="105" a="1"/>
  <c r="AC215" i="102" a="1"/>
  <c r="BA104" i="102" a="1"/>
  <c r="CO174" i="102" a="1"/>
  <c r="CG145" i="102" a="1"/>
  <c r="BY130" i="102" a="1"/>
  <c r="M55" i="105" a="1"/>
  <c r="BA96" i="102" a="1"/>
  <c r="AC191" i="102" a="1"/>
  <c r="BA112" i="102" a="1"/>
  <c r="M133" i="102" a="1"/>
  <c r="BA159" i="102" a="1"/>
  <c r="BI218" i="102" a="1"/>
  <c r="M227" i="102" a="1"/>
  <c r="AK127" i="102" a="1"/>
  <c r="U228" i="102" a="1"/>
  <c r="BI162" i="102" a="1"/>
  <c r="U110" i="102" a="1"/>
  <c r="AC186" i="102" a="1"/>
  <c r="M144" i="102" a="1"/>
  <c r="BI160" i="102" a="1"/>
  <c r="CO98" i="102" a="1"/>
  <c r="AS163" i="102" a="1"/>
  <c r="M11" i="105" a="1"/>
  <c r="AS195" i="102" a="1"/>
  <c r="BY187" i="102" a="1"/>
  <c r="U101" i="102" a="1"/>
  <c r="U194" i="102" a="1"/>
  <c r="AK158" i="102" a="1"/>
  <c r="AS230" i="102" a="1"/>
  <c r="BA98" i="102" a="1"/>
  <c r="BI168" i="102" a="1"/>
  <c r="BA208" i="102" a="1"/>
  <c r="AC205" i="102" a="1"/>
  <c r="AK37" i="102" a="1"/>
  <c r="CO113" i="102" a="1"/>
  <c r="AS136" i="102" a="1"/>
  <c r="AS218" i="102" a="1"/>
  <c r="CO148" i="102" a="1"/>
  <c r="AS139" i="102" a="1"/>
  <c r="U146" i="102" a="1"/>
  <c r="BA165" i="102" a="1"/>
  <c r="AS57" i="102" a="1"/>
  <c r="BQ12" i="102" a="1"/>
  <c r="AC42" i="102" a="1"/>
  <c r="U43" i="102" a="1"/>
  <c r="AC79" i="102" a="1"/>
  <c r="CO201" i="102" a="1"/>
  <c r="BY34" i="102" a="1"/>
  <c r="BA12" i="102" a="1"/>
  <c r="AK103" i="102" a="1"/>
  <c r="CO110" i="102" a="1"/>
  <c r="BY23" i="102" a="1"/>
  <c r="K47" i="104" a="1"/>
  <c r="BA78" i="102" a="1"/>
  <c r="CG103" i="102" a="1"/>
  <c r="AC7" i="102" a="1"/>
  <c r="M183" i="102" a="1"/>
  <c r="CG153" i="102" a="1"/>
  <c r="BQ73" i="102" a="1"/>
  <c r="BY64" i="102" a="1"/>
  <c r="BQ57" i="102" a="1"/>
  <c r="AK15" i="102" a="1"/>
  <c r="BQ206" i="102" a="1"/>
  <c r="AK47" i="102" a="1"/>
  <c r="BI80" i="102" a="1"/>
  <c r="CO188" i="102" a="1"/>
  <c r="AK14" i="102" a="1"/>
  <c r="CO99" i="102" a="1"/>
  <c r="BI221" i="102" a="1"/>
  <c r="BA17" i="102" a="1"/>
  <c r="U18" i="102" a="1"/>
  <c r="AK71" i="102" a="1"/>
  <c r="K71" i="104" a="1"/>
  <c r="BQ11" i="102" a="1"/>
  <c r="AK20" i="102" a="1"/>
  <c r="BY16" i="102" a="1"/>
  <c r="BY225" i="102" a="1"/>
  <c r="BY171" i="102" a="1"/>
  <c r="BY56" i="102" a="1"/>
  <c r="M19" i="102" a="1"/>
  <c r="M70" i="102" a="1"/>
  <c r="BY29" i="102" a="1"/>
  <c r="BY215" i="102" a="1"/>
  <c r="U185" i="102" a="1"/>
  <c r="CG197" i="102" a="1"/>
  <c r="BI40" i="102" a="1"/>
  <c r="BA83" i="102" a="1"/>
  <c r="AS26" i="102" a="1"/>
  <c r="BA77" i="102" a="1"/>
  <c r="M59" i="102" a="1"/>
  <c r="AC84" i="102" a="1"/>
  <c r="CO203" i="102" a="1"/>
  <c r="K81" i="104" a="1"/>
  <c r="AS42" i="102" a="1"/>
  <c r="BA43" i="102" a="1"/>
  <c r="U17" i="102" a="1"/>
  <c r="AK48" i="102" a="1"/>
  <c r="BI101" i="102" a="1"/>
  <c r="BI97" i="102" a="1"/>
  <c r="BQ21" i="102" a="1"/>
  <c r="BQ13" i="102" a="1"/>
  <c r="AK24" i="102" a="1"/>
  <c r="BY119" i="102" a="1"/>
  <c r="BA13" i="102" a="1"/>
  <c r="BQ71" i="102" a="1"/>
  <c r="BQ213" i="102" a="1"/>
  <c r="BA141" i="102" a="1"/>
  <c r="BI20" i="102" a="1"/>
  <c r="BY157" i="102" a="1"/>
  <c r="K27" i="104" a="1"/>
  <c r="BQ63" i="102" a="1"/>
  <c r="M104" i="102" a="1"/>
  <c r="U59" i="102" a="1"/>
  <c r="BQ96" i="102" a="1"/>
  <c r="AC34" i="102" a="1"/>
  <c r="CG219" i="102" a="1"/>
  <c r="CG210" i="102" a="1"/>
  <c r="AK213" i="102" a="1"/>
  <c r="AS208" i="102" a="1"/>
  <c r="BI161" i="102" a="1"/>
  <c r="U216" i="102" a="1"/>
  <c r="BY202" i="102" a="1"/>
  <c r="BA42" i="102" a="1"/>
  <c r="BY179" i="102" a="1"/>
  <c r="M225" i="102" a="1"/>
  <c r="BY158" i="102" a="1"/>
  <c r="AC185" i="102" a="1"/>
  <c r="AS210" i="102" a="1"/>
  <c r="BA95" i="102" a="1"/>
  <c r="BA216" i="102" a="1"/>
  <c r="BI223" i="102" a="1"/>
  <c r="AS55" i="102" a="1"/>
  <c r="BI156" i="102" a="1"/>
  <c r="CG148" i="102" a="1"/>
  <c r="AC162" i="102" a="1"/>
  <c r="BA201" i="102" a="1"/>
  <c r="AS193" i="102" a="1"/>
  <c r="AC119" i="102" a="1"/>
  <c r="AK228" i="102" a="1"/>
  <c r="CO153" i="102" a="1"/>
  <c r="BQ186" i="102" a="1"/>
  <c r="M72" i="105" a="1"/>
  <c r="CO109" i="102" a="1"/>
  <c r="BY102" i="102" a="1"/>
  <c r="AC188" i="102" a="1"/>
  <c r="AS192" i="102" a="1"/>
  <c r="M137" i="102" a="1"/>
  <c r="BA93" i="102" a="1"/>
  <c r="BQ227" i="102" a="1"/>
  <c r="AC210" i="102" a="1"/>
  <c r="AS148" i="102" a="1"/>
  <c r="AS127" i="102" a="1"/>
  <c r="BA200" i="102" a="1"/>
  <c r="AK156" i="102" a="1"/>
  <c r="M162" i="102" a="1"/>
  <c r="U164" i="102" a="1"/>
  <c r="U51" i="102" a="1"/>
  <c r="BA22" i="102" a="1"/>
  <c r="BI38" i="102" a="1"/>
  <c r="U40" i="102" a="1"/>
  <c r="U41" i="102" a="1"/>
  <c r="AC17" i="102" a="1"/>
  <c r="K80" i="104" a="1"/>
  <c r="BY67" i="102" a="1"/>
  <c r="AS78" i="102" a="1"/>
  <c r="CO209" i="102" a="1"/>
  <c r="CG129" i="102" a="1"/>
  <c r="K31" i="104" a="1"/>
  <c r="K20" i="104" a="1"/>
  <c r="AK52" i="102" a="1"/>
  <c r="BQ10" i="102" a="1"/>
  <c r="CO146" i="102" a="1"/>
  <c r="AK75" i="102" a="1"/>
  <c r="BQ23" i="102" a="1"/>
  <c r="AS9" i="102" a="1"/>
  <c r="BQ177" i="102" a="1"/>
  <c r="BY45" i="102" a="1"/>
  <c r="BI66" i="102" a="1"/>
  <c r="CG222" i="102" a="1"/>
  <c r="BY170" i="102" a="1"/>
  <c r="AK50" i="102" a="1"/>
  <c r="AK126" i="102" a="1"/>
  <c r="BQ65" i="102" a="1"/>
  <c r="CO192" i="102" a="1"/>
  <c r="M41" i="102" a="1"/>
  <c r="BY58" i="102" a="1"/>
  <c r="K38" i="104" a="1"/>
  <c r="BA18" i="102" a="1"/>
  <c r="CO120" i="102" a="1"/>
  <c r="AC74" i="102" a="1"/>
  <c r="CG94" i="102" a="1"/>
  <c r="AC77" i="102" a="1"/>
  <c r="BA31" i="102" a="1"/>
  <c r="CO219" i="102" a="1"/>
  <c r="CO136" i="102" a="1"/>
  <c r="BI10" i="102" a="1"/>
  <c r="AS54" i="102" a="1"/>
  <c r="AK211" i="102" a="1"/>
  <c r="AS196" i="102" a="1"/>
  <c r="M40" i="102" a="1"/>
  <c r="BY65" i="102" a="1"/>
  <c r="BY184" i="102" a="1"/>
  <c r="BQ49" i="102" a="1"/>
  <c r="BI53" i="102" a="1"/>
  <c r="BY148" i="102" a="1"/>
  <c r="CO121" i="102" a="1"/>
  <c r="CG134" i="102" a="1"/>
  <c r="AK54" i="102" a="1"/>
  <c r="K44" i="104" a="1"/>
  <c r="BQ17" i="102" a="1"/>
  <c r="BQ52" i="102" a="1"/>
  <c r="CG169" i="102" a="1"/>
  <c r="AK79" i="102" a="1"/>
  <c r="M66" i="102" a="1"/>
  <c r="BY32" i="102" a="1"/>
  <c r="AS79" i="102" a="1"/>
  <c r="CO126" i="102" a="1"/>
  <c r="CO157" i="102" a="1"/>
  <c r="BY143" i="102" a="1"/>
  <c r="BA74" i="102" a="1"/>
  <c r="BQ76" i="102" a="1"/>
  <c r="AC125" i="102" a="1"/>
  <c r="M159" i="102" a="1"/>
  <c r="AC37" i="102" a="1"/>
  <c r="BQ195" i="102" a="1"/>
  <c r="K30" i="104" a="1"/>
  <c r="AS50" i="102" a="1"/>
  <c r="AK190" i="102" a="1"/>
  <c r="BY43" i="102" a="1"/>
  <c r="CG195" i="102" a="1"/>
  <c r="BA182" i="102" a="1"/>
  <c r="BQ171" i="102" a="1"/>
  <c r="BI184" i="102" a="1"/>
  <c r="AK216" i="102" a="1"/>
  <c r="U48" i="102" a="1"/>
  <c r="BA76" i="102" a="1"/>
  <c r="BY175" i="102" a="1"/>
  <c r="U226" i="102" a="1"/>
  <c r="BY106" i="102" a="1"/>
  <c r="AK165" i="102" a="1"/>
  <c r="BQ170" i="102" a="1"/>
  <c r="BA127" i="102" a="1"/>
  <c r="BQ149" i="102" a="1"/>
  <c r="CO123" i="102" a="1"/>
  <c r="AC169" i="102" a="1"/>
  <c r="BQ100" i="102" a="1"/>
  <c r="M130" i="102" a="1"/>
  <c r="BQ181" i="102" a="1"/>
  <c r="AC189" i="102" a="1"/>
  <c r="AC60" i="102" a="1"/>
  <c r="CO104" i="102" a="1"/>
  <c r="AS150" i="102" a="1"/>
  <c r="BY164" i="102" a="1"/>
  <c r="U141" i="102" a="1"/>
  <c r="AK202" i="102" a="1"/>
  <c r="CG109" i="102" a="1"/>
  <c r="BA152" i="102" a="1"/>
  <c r="AC128" i="102" a="1"/>
  <c r="BA101" i="102" a="1"/>
  <c r="BI157" i="102" a="1"/>
  <c r="BQ151" i="102" a="1"/>
  <c r="BA150" i="102" a="1"/>
  <c r="BA105" i="102" a="1"/>
  <c r="AC57" i="102" a="1"/>
  <c r="AC201" i="102" a="1"/>
  <c r="BI154" i="102" a="1"/>
  <c r="BA122" i="102" a="1"/>
  <c r="AS176" i="102" a="1"/>
  <c r="U221" i="102" a="1"/>
  <c r="M213" i="102" a="1"/>
  <c r="CG199" i="102" a="1"/>
  <c r="BA178" i="102" a="1"/>
  <c r="AS132" i="102" a="1"/>
  <c r="U145" i="102" a="1"/>
  <c r="M117" i="102" a="1"/>
  <c r="BQ120" i="102" a="1"/>
  <c r="BA176" i="102" a="1"/>
  <c r="AK166" i="102" a="1"/>
  <c r="U178" i="102" a="1"/>
  <c r="AS140" i="102" a="1"/>
  <c r="CG211" i="102" a="1"/>
  <c r="U157" i="102" a="1"/>
  <c r="M54" i="105" a="1"/>
  <c r="U198" i="102" a="1"/>
  <c r="CO211" i="102" a="1"/>
  <c r="U96" i="102" a="1"/>
  <c r="AK137" i="102" a="1"/>
  <c r="M81" i="105" a="1"/>
  <c r="U103" i="102" a="1"/>
  <c r="BQ173" i="102" a="1"/>
  <c r="CO191" i="102" a="1"/>
  <c r="BA143" i="102" a="1"/>
  <c r="M73" i="105" a="1"/>
  <c r="BA106" i="102" a="1"/>
  <c r="CG208" i="102" a="1"/>
  <c r="U118" i="102" a="1"/>
  <c r="AC181" i="102" a="1"/>
  <c r="AK227" i="102" a="1"/>
  <c r="AK174" i="102" a="1"/>
  <c r="BQ190" i="102" a="1"/>
  <c r="M16" i="105" a="1"/>
  <c r="CG140" i="102" a="1"/>
  <c r="BA154" i="102" a="1"/>
  <c r="CG221" i="102" a="1"/>
  <c r="AK125" i="102" a="1"/>
  <c r="AS149" i="102" a="1"/>
  <c r="BI108" i="102" a="1"/>
  <c r="BA128" i="102" a="1"/>
  <c r="M107" i="102" a="1"/>
  <c r="AC47" i="102" a="1"/>
  <c r="AS94" i="102" a="1"/>
  <c r="CO101" i="102" a="1"/>
  <c r="BA177" i="102" a="1"/>
  <c r="BI182" i="102" a="1"/>
  <c r="M58" i="105" a="1"/>
  <c r="BI111" i="102" a="1"/>
  <c r="AC159" i="102" a="1"/>
  <c r="BA113" i="102" a="1"/>
  <c r="AK143" i="102" a="1"/>
  <c r="U231" i="102" a="1"/>
  <c r="AS93" i="102" a="1"/>
  <c r="AS219" i="102" a="1"/>
  <c r="M152" i="102" a="1"/>
  <c r="CG194" i="102" a="1"/>
  <c r="BA226" i="102" a="1"/>
  <c r="CO137" i="102" a="1"/>
  <c r="BA170" i="102" a="1"/>
  <c r="BI194" i="102" a="1"/>
  <c r="AK215" i="102" a="1"/>
  <c r="AK144" i="102" a="1"/>
  <c r="AC150" i="102" a="1"/>
  <c r="BI188" i="102" a="1"/>
  <c r="M44" i="105" a="1"/>
  <c r="M216" i="102" a="1"/>
  <c r="M52" i="102" a="1"/>
  <c r="BI180" i="102" a="1"/>
  <c r="M62" i="105" a="1"/>
  <c r="M224" i="102" a="1"/>
  <c r="AK98" i="102" a="1"/>
  <c r="M15" i="105" a="1"/>
  <c r="CG128" i="102" a="1"/>
  <c r="BY181" i="102" a="1"/>
  <c r="AS162" i="102" a="1"/>
  <c r="AK121" i="102" a="1"/>
  <c r="BI132" i="102" a="1"/>
  <c r="M122" i="102" a="1"/>
  <c r="BY159" i="102" a="1"/>
  <c r="BA132" i="102" a="1"/>
  <c r="BQ148" i="102" a="1"/>
  <c r="M96" i="102" a="1"/>
  <c r="AK181" i="102" a="1"/>
  <c r="BQ134" i="102" a="1"/>
  <c r="BQ131" i="102" a="1"/>
  <c r="AS147" i="102" a="1"/>
  <c r="U158" i="102" a="1"/>
  <c r="AC12" i="102" a="1"/>
  <c r="BQ122" i="102" a="1"/>
  <c r="BQ155" i="102" a="1"/>
  <c r="AK218" i="102" a="1"/>
  <c r="U108" i="102" a="1"/>
  <c r="M97" i="102" a="1"/>
  <c r="AC139" i="102" a="1"/>
  <c r="M209" i="102" a="1"/>
  <c r="AC208" i="102" a="1"/>
  <c r="CG220" i="102" a="1"/>
  <c r="BA168" i="102" a="1"/>
  <c r="AK116" i="102" a="1"/>
  <c r="AK183" i="102" a="1"/>
  <c r="U162" i="102" a="1"/>
  <c r="U121" i="102" a="1"/>
  <c r="BQ114" i="102" a="1"/>
  <c r="M151" i="102" a="1"/>
  <c r="M38" i="102" a="1"/>
  <c r="M51" i="105" a="1"/>
  <c r="AK77" i="102" a="1"/>
  <c r="AK113" i="102" a="1"/>
  <c r="CG151" i="102" a="1"/>
  <c r="AK189" i="102" a="1"/>
  <c r="AC93" i="102" a="1"/>
  <c r="M42" i="102" a="1"/>
  <c r="K62" i="104" a="1"/>
  <c r="AS41" i="102" a="1"/>
  <c r="BQ9" i="102" a="1"/>
  <c r="M43" i="102" a="1"/>
  <c r="CO231" i="102" a="1"/>
  <c r="BI84" i="102" a="1"/>
  <c r="BI26" i="102" a="1"/>
  <c r="AK30" i="102" a="1"/>
  <c r="CO164" i="102" a="1"/>
  <c r="BY127" i="102" a="1"/>
  <c r="BQ125" i="102" a="1"/>
  <c r="BA41" i="102" a="1"/>
  <c r="AS142" i="102" a="1"/>
  <c r="BA58" i="102" a="1"/>
  <c r="U68" i="102" a="1"/>
  <c r="CO156" i="102" a="1"/>
  <c r="P87" i="103" a="1"/>
  <c r="P86" i="103" a="1"/>
  <c r="CO230" i="102" a="1"/>
  <c r="M6" i="102" a="1"/>
  <c r="CO213" i="102" a="1"/>
  <c r="K75" i="104" a="1"/>
  <c r="M46" i="102" a="1"/>
  <c r="U63" i="102" a="1"/>
  <c r="AS58" i="102" a="1"/>
  <c r="M171" i="102" a="1"/>
  <c r="BI178" i="102" a="1"/>
  <c r="U204" i="102" a="1"/>
  <c r="AS183" i="102" a="1"/>
  <c r="M24" i="105" a="1"/>
  <c r="BI189" i="102" a="1"/>
  <c r="AK140" i="102" a="1"/>
  <c r="AC153" i="102" a="1"/>
  <c r="BA124" i="102" a="1"/>
  <c r="M127" i="102" a="1"/>
  <c r="K53" i="104" a="1"/>
  <c r="D18" i="51" a="1"/>
  <c r="D50" i="51" a="1"/>
  <c r="E7" i="73" a="1"/>
  <c r="M113" i="102" a="1"/>
  <c r="K64" i="104" a="1"/>
  <c r="D42" i="51" a="1"/>
  <c r="D49" i="51" a="1"/>
  <c r="D38" i="51" a="1"/>
  <c r="U119" i="102" a="1"/>
  <c r="D41" i="51" a="1"/>
  <c r="BQ207" i="102" a="1"/>
  <c r="AC193" i="102" a="1"/>
  <c r="AK193" i="102" a="1"/>
  <c r="K23" i="104" a="1"/>
  <c r="D23" i="51" a="1"/>
  <c r="D14" i="51" a="1"/>
  <c r="D33" i="81" a="1"/>
  <c r="BA199" i="102" a="1"/>
  <c r="BA218" i="102" a="1"/>
  <c r="K58" i="104" a="1"/>
  <c r="H32" i="73" a="1"/>
  <c r="D52" i="51" a="1"/>
  <c r="D12" i="51" a="1"/>
  <c r="H24" i="73" a="1"/>
  <c r="BI212" i="102" a="1"/>
  <c r="D34" i="51" a="1"/>
  <c r="M12" i="104" a="1"/>
  <c r="D60" i="51" a="1"/>
  <c r="D17" i="51" a="1"/>
  <c r="D58" i="51" a="1"/>
  <c r="D32" i="58" a="1"/>
  <c r="D53" i="51" a="1"/>
  <c r="D34" i="81" a="1"/>
  <c r="BA188" i="102" a="1"/>
  <c r="BY124" i="102" a="1"/>
  <c r="M177" i="102" a="1"/>
  <c r="M76" i="105" a="1"/>
  <c r="AK221" i="102" a="1"/>
  <c r="CG117" i="102" a="1"/>
  <c r="AS174" i="102" a="1"/>
  <c r="AC224" i="102" a="1"/>
  <c r="AK208" i="102" a="1"/>
  <c r="BI112" i="102" a="1"/>
  <c r="BQ198" i="102" a="1"/>
  <c r="M53" i="105" a="1"/>
  <c r="CG218" i="102" a="1"/>
  <c r="AS158" i="102" a="1"/>
  <c r="BI145" i="102" a="1"/>
  <c r="M192" i="102" a="1"/>
  <c r="U190" i="102" a="1"/>
  <c r="AC126" i="102" a="1"/>
  <c r="BQ189" i="102" a="1"/>
  <c r="BA224" i="102" a="1"/>
  <c r="U179" i="102" a="1"/>
  <c r="BQ193" i="102" a="1"/>
  <c r="AK107" i="102" a="1"/>
  <c r="M194" i="102" a="1"/>
  <c r="AS169" i="102" a="1"/>
  <c r="AK139" i="102" a="1"/>
  <c r="CO119" i="102" a="1"/>
  <c r="U140" i="102" a="1"/>
  <c r="M191" i="102" a="1"/>
  <c r="M57" i="105" a="1"/>
  <c r="AS144" i="102" a="1"/>
  <c r="U93" i="102" a="1"/>
  <c r="M17" i="105" a="1"/>
  <c r="M37" i="105" a="1"/>
  <c r="CG133" i="102" a="1"/>
  <c r="AC187" i="102" a="1"/>
  <c r="BA186" i="102" a="1"/>
  <c r="BA183" i="102" a="1"/>
  <c r="CO102" i="102" a="1"/>
  <c r="M52" i="105" a="1"/>
  <c r="BI103" i="102" a="1"/>
  <c r="U182" i="102" a="1"/>
  <c r="U115" i="102" a="1"/>
  <c r="BY189" i="102" a="1"/>
  <c r="BA129" i="102" a="1"/>
  <c r="AK102" i="102" a="1"/>
  <c r="M80" i="105" a="1"/>
  <c r="BA114" i="102" a="1"/>
  <c r="BY142" i="102" a="1"/>
  <c r="AK151" i="102" a="1"/>
  <c r="U172" i="102" a="1"/>
  <c r="AC98" i="102" a="1"/>
  <c r="U224" i="102" a="1"/>
  <c r="CO210" i="102" a="1"/>
  <c r="M208" i="102" a="1"/>
  <c r="M109" i="102" a="1"/>
  <c r="M11" i="104" a="1"/>
  <c r="K22" i="104" a="1"/>
  <c r="D59" i="51" a="1"/>
  <c r="K73" i="104" a="1"/>
  <c r="D55" i="51" a="1"/>
  <c r="D15" i="51" a="1"/>
  <c r="D48" i="51" a="1"/>
  <c r="D57" i="51" a="1"/>
  <c r="M26" i="105" a="1"/>
  <c r="CG132" i="102" a="1"/>
  <c r="BA158" i="102" a="1"/>
  <c r="M60" i="102" a="1"/>
  <c r="M136" i="102" a="1"/>
  <c r="BI193" i="102" a="1"/>
  <c r="M64" i="105" a="1"/>
  <c r="CG136" i="102" a="1"/>
  <c r="AS98" i="102" a="1"/>
  <c r="K33" i="104" a="1"/>
  <c r="D43" i="51" a="1"/>
  <c r="D13" i="51" a="1"/>
  <c r="CG215" i="102" a="1"/>
  <c r="AK142" i="102" a="1"/>
  <c r="BA123" i="102" a="1"/>
  <c r="AC179" i="102" a="1"/>
  <c r="D51" i="51" a="1"/>
  <c r="D27" i="51" a="1"/>
  <c r="BI226" i="102" a="1"/>
  <c r="AK97" i="102" a="1"/>
  <c r="D20" i="51" a="1"/>
  <c r="H28" i="73" a="1"/>
  <c r="U142" i="102" a="1"/>
  <c r="D54" i="51" a="1"/>
  <c r="D44" i="51" a="1"/>
  <c r="D37" i="51" a="1"/>
  <c r="D40" i="51" a="1"/>
  <c r="AS95" i="102" a="1"/>
  <c r="BY126" i="102" a="1"/>
  <c r="BA155" i="102" a="1"/>
  <c r="D45" i="51" a="1"/>
  <c r="D46" i="51" a="1"/>
  <c r="D29" i="51" a="1"/>
  <c r="E14" i="73" a="1"/>
  <c r="I34" i="58" a="1"/>
  <c r="BA14" i="102" a="1"/>
  <c r="AK23" i="102" a="1"/>
  <c r="CO224" i="102" a="1"/>
  <c r="BY227" i="102" a="1"/>
  <c r="CO160" i="102" a="1"/>
  <c r="BQ231" i="102" a="1"/>
  <c r="BY222" i="102" a="1"/>
  <c r="AC18" i="102" a="1"/>
  <c r="K37" i="104" a="1"/>
  <c r="BY18" i="102" a="1"/>
  <c r="AS46" i="102" a="1"/>
  <c r="M20" i="102" a="1"/>
  <c r="AK148" i="102" a="1"/>
  <c r="BA9" i="102" a="1"/>
  <c r="BI94" i="102" a="1"/>
  <c r="BI100" i="102" a="1"/>
  <c r="M54" i="102" a="1"/>
  <c r="AC136" i="102" a="1"/>
  <c r="BA16" i="102" a="1"/>
  <c r="BY96" i="102" a="1"/>
  <c r="CG204" i="102" a="1"/>
  <c r="AS48" i="102" a="1"/>
  <c r="BI82" i="102" a="1"/>
  <c r="BQ62" i="102" a="1"/>
  <c r="BY73" i="102" a="1"/>
  <c r="AK124" i="102" a="1"/>
  <c r="BI122" i="102" a="1"/>
  <c r="CO150" i="102" a="1"/>
  <c r="AS36" i="102" a="1"/>
  <c r="BY37" i="102" a="1"/>
  <c r="BA62" i="102" a="1"/>
  <c r="BY80" i="102" a="1"/>
  <c r="U54" i="102" a="1"/>
  <c r="BQ116" i="102" a="1"/>
  <c r="BI51" i="102" a="1"/>
  <c r="BY81" i="102" a="1"/>
  <c r="BI228" i="102" a="1"/>
  <c r="BQ197" i="102" a="1"/>
  <c r="AS28" i="102" a="1"/>
  <c r="BA69" i="102" a="1"/>
  <c r="AC67" i="102" a="1"/>
  <c r="CO177" i="102" a="1"/>
  <c r="AK164" i="102" a="1"/>
  <c r="BQ109" i="102" a="1"/>
  <c r="BI17" i="102" a="1"/>
  <c r="BI159" i="102" a="1"/>
  <c r="AS223" i="102" a="1"/>
  <c r="AS73" i="102" a="1"/>
  <c r="BQ211" i="102" a="1"/>
  <c r="BY21" i="102" a="1"/>
  <c r="AC83" i="102" a="1"/>
  <c r="BY178" i="102" a="1"/>
  <c r="AC142" i="102" a="1"/>
  <c r="CG209" i="102" a="1"/>
  <c r="M153" i="102" a="1"/>
  <c r="BA184" i="102" a="1"/>
  <c r="AS164" i="102" a="1"/>
  <c r="M115" i="102" a="1"/>
  <c r="BY113" i="102" a="1"/>
  <c r="BI96" i="102" a="1"/>
  <c r="AS216" i="102" a="1"/>
  <c r="U202" i="102" a="1"/>
  <c r="U114" i="102" a="1"/>
  <c r="CG186" i="102" a="1"/>
  <c r="AS222" i="102" a="1"/>
  <c r="M22" i="105" a="1"/>
  <c r="BI215" i="102" a="1"/>
  <c r="BA190" i="102" a="1"/>
  <c r="BY226" i="102" a="1"/>
  <c r="M168" i="102" a="1"/>
  <c r="M165" i="102" a="1"/>
  <c r="AK122" i="102" a="1"/>
  <c r="U87" i="103" a="1"/>
  <c r="U86" i="103" a="1"/>
  <c r="CO214" i="102" a="1"/>
  <c r="AK168" i="102" a="1"/>
  <c r="U208" i="102" a="1"/>
  <c r="BQ59" i="102" a="1"/>
  <c r="CG174" i="102" a="1"/>
  <c r="BQ157" i="102" a="1"/>
  <c r="AS109" i="102" a="1"/>
  <c r="BY94" i="102" a="1"/>
  <c r="BI144" i="102" a="1"/>
  <c r="BY160" i="102" a="1"/>
  <c r="M150" i="102" a="1"/>
  <c r="CG176" i="102" a="1"/>
  <c r="AC141" i="102" a="1"/>
  <c r="AK209" i="102" a="1"/>
  <c r="AK219" i="102" a="1"/>
  <c r="U130" i="102" a="1"/>
  <c r="AK188" i="102" a="1"/>
  <c r="AK115" i="102" a="1"/>
  <c r="M156" i="102" a="1"/>
  <c r="BY125" i="102" a="1"/>
  <c r="AS203" i="102" a="1"/>
  <c r="CO216" i="102" a="1"/>
  <c r="BA174" i="102" a="1"/>
  <c r="AS113" i="102" a="1"/>
  <c r="BQ156" i="102" a="1"/>
  <c r="AC118" i="102" a="1"/>
  <c r="M170" i="102" a="1"/>
  <c r="M176" i="102" a="1"/>
  <c r="AK100" i="102" a="1"/>
  <c r="BQ152" i="102" a="1"/>
  <c r="M201" i="102" a="1"/>
  <c r="BA205" i="102" a="1"/>
  <c r="BA145" i="102" a="1"/>
  <c r="BI35" i="102" a="1"/>
  <c r="BY214" i="102" a="1"/>
  <c r="AK161" i="102" a="1"/>
  <c r="AS215" i="102" a="1"/>
  <c r="D32" i="51" a="1"/>
  <c r="D19" i="51" a="1"/>
  <c r="D26" i="51" a="1"/>
  <c r="D61" i="51" a="1"/>
  <c r="D28" i="51" a="1"/>
  <c r="D56" i="51" a="1"/>
  <c r="D21" i="51" a="1"/>
  <c r="CG126" i="102" a="1"/>
  <c r="D35" i="51" a="1"/>
  <c r="AC176" i="102" a="1"/>
  <c r="AK128" i="102" a="1"/>
  <c r="D25" i="51" a="1"/>
  <c r="AC122" i="102" a="1"/>
  <c r="BA146" i="102" a="1"/>
  <c r="D36" i="51" a="1"/>
  <c r="CG173" i="102" a="1"/>
  <c r="D30" i="51" a="1"/>
  <c r="AK167" i="102" a="1"/>
  <c r="D11" i="51" a="1"/>
  <c r="D39" i="51" a="1"/>
  <c r="BQ175" i="102" a="1"/>
  <c r="M19" i="105" a="1"/>
  <c r="BA211" i="102" a="1"/>
  <c r="BQ192" i="102" a="1"/>
  <c r="D47" i="51" a="1"/>
  <c r="D33" i="51" a="1"/>
  <c r="AS105" i="102" a="1"/>
  <c r="M69" i="105" a="1"/>
  <c r="D16" i="51" a="1"/>
  <c r="AC107" i="102" a="1"/>
  <c r="AS104" i="102" a="1"/>
  <c r="AC184" i="102" a="1"/>
  <c r="AK108" i="102" a="1"/>
  <c r="D22" i="51" a="1"/>
  <c r="AK118" i="102" a="1"/>
  <c r="AK210" i="102" a="1"/>
  <c r="AS190" i="102" a="1"/>
  <c r="BI217" i="102" a="1"/>
  <c r="AS198" i="102" a="1"/>
  <c r="AK133" i="102" a="1"/>
  <c r="M167" i="102" a="1"/>
  <c r="R87" i="103" a="1"/>
  <c r="R86" i="103" a="1"/>
  <c r="AS206" i="102" a="1"/>
  <c r="BY186" i="102" a="1"/>
  <c r="U139" i="102" a="1"/>
  <c r="AK110" i="102" a="1"/>
  <c r="BY197" i="102" a="1"/>
  <c r="M25" i="105" a="1"/>
  <c r="BY136" i="102" a="1"/>
  <c r="U200" i="102" a="1"/>
  <c r="D24" i="51" a="1"/>
  <c r="D31" i="51" a="1"/>
  <c r="U200" i="102" l="1"/>
  <c r="W200" i="102" s="1"/>
  <c r="BY136" i="102"/>
  <c r="CA136" i="102" s="1"/>
  <c r="M25" i="105"/>
  <c r="O25" i="105" s="1"/>
  <c r="BY197" i="102"/>
  <c r="CA197" i="102" s="1"/>
  <c r="AK110" i="102"/>
  <c r="AM110" i="102" s="1"/>
  <c r="U139" i="102"/>
  <c r="W139" i="102" s="1"/>
  <c r="BY186" i="102"/>
  <c r="CA186" i="102" s="1"/>
  <c r="AS206" i="102"/>
  <c r="AU206" i="102" s="1"/>
  <c r="R86" i="103"/>
  <c r="R87" i="103"/>
  <c r="M167" i="102"/>
  <c r="O167" i="102" s="1"/>
  <c r="AK133" i="102"/>
  <c r="AM133" i="102" s="1"/>
  <c r="AS198" i="102"/>
  <c r="AU198" i="102" s="1"/>
  <c r="BI217" i="102"/>
  <c r="BK217" i="102" s="1"/>
  <c r="AS190" i="102"/>
  <c r="AU190" i="102" s="1"/>
  <c r="AK210" i="102"/>
  <c r="AM210" i="102" s="1"/>
  <c r="AK118" i="102"/>
  <c r="AM118" i="102" s="1"/>
  <c r="AK108" i="102"/>
  <c r="AM108" i="102" s="1"/>
  <c r="AC184" i="102"/>
  <c r="AE184" i="102" s="1"/>
  <c r="AS104" i="102"/>
  <c r="AU104" i="102" s="1"/>
  <c r="AC107" i="102"/>
  <c r="AE107" i="102" s="1"/>
  <c r="M69" i="105"/>
  <c r="O69" i="105" s="1"/>
  <c r="AS105" i="102"/>
  <c r="AU105" i="102" s="1"/>
  <c r="BQ192" i="102"/>
  <c r="BS192" i="102" s="1"/>
  <c r="BA211" i="102"/>
  <c r="BC211" i="102" s="1"/>
  <c r="M19" i="105"/>
  <c r="O19" i="105" s="1"/>
  <c r="BQ175" i="102"/>
  <c r="BS175" i="102" s="1"/>
  <c r="AK167" i="102"/>
  <c r="AM167" i="102" s="1"/>
  <c r="CG173" i="102"/>
  <c r="CI173" i="102" s="1"/>
  <c r="BA146" i="102"/>
  <c r="BC146" i="102" s="1"/>
  <c r="AC122" i="102"/>
  <c r="AE122" i="102" s="1"/>
  <c r="AK128" i="102"/>
  <c r="AM128" i="102" s="1"/>
  <c r="AC176" i="102"/>
  <c r="AE176" i="102" s="1"/>
  <c r="CG126" i="102"/>
  <c r="CI126" i="102" s="1"/>
  <c r="AS215" i="102"/>
  <c r="AU215" i="102" s="1"/>
  <c r="AK161" i="102"/>
  <c r="AM161" i="102" s="1"/>
  <c r="BY214" i="102"/>
  <c r="CA214" i="102" s="1"/>
  <c r="BI35" i="102"/>
  <c r="BK35" i="102" s="1"/>
  <c r="BA145" i="102"/>
  <c r="BC145" i="102" s="1"/>
  <c r="BA205" i="102"/>
  <c r="BC205" i="102" s="1"/>
  <c r="M201" i="102"/>
  <c r="O201" i="102" s="1"/>
  <c r="BQ152" i="102"/>
  <c r="BS152" i="102" s="1"/>
  <c r="AK100" i="102"/>
  <c r="AM100" i="102" s="1"/>
  <c r="M176" i="102"/>
  <c r="O176" i="102" s="1"/>
  <c r="M170" i="102"/>
  <c r="O170" i="102" s="1"/>
  <c r="AC118" i="102"/>
  <c r="AE118" i="102" s="1"/>
  <c r="BQ156" i="102"/>
  <c r="BS156" i="102" s="1"/>
  <c r="AS113" i="102"/>
  <c r="AU113" i="102" s="1"/>
  <c r="BA174" i="102"/>
  <c r="BC174" i="102" s="1"/>
  <c r="CO216" i="102"/>
  <c r="CQ216" i="102" s="1"/>
  <c r="AS203" i="102"/>
  <c r="AU203" i="102" s="1"/>
  <c r="BY125" i="102"/>
  <c r="CA125" i="102" s="1"/>
  <c r="M156" i="102"/>
  <c r="O156" i="102" s="1"/>
  <c r="AK115" i="102"/>
  <c r="AM115" i="102" s="1"/>
  <c r="AK188" i="102"/>
  <c r="AM188" i="102" s="1"/>
  <c r="U130" i="102"/>
  <c r="W130" i="102" s="1"/>
  <c r="AK219" i="102"/>
  <c r="AM219" i="102" s="1"/>
  <c r="AK209" i="102"/>
  <c r="AM209" i="102" s="1"/>
  <c r="AC141" i="102"/>
  <c r="AE141" i="102" s="1"/>
  <c r="CG176" i="102"/>
  <c r="CI176" i="102" s="1"/>
  <c r="M150" i="102"/>
  <c r="O150" i="102" s="1"/>
  <c r="BY160" i="102"/>
  <c r="CA160" i="102" s="1"/>
  <c r="BI144" i="102"/>
  <c r="BK144" i="102" s="1"/>
  <c r="BY94" i="102"/>
  <c r="CA94" i="102" s="1"/>
  <c r="AS109" i="102"/>
  <c r="AU109" i="102" s="1"/>
  <c r="BQ157" i="102"/>
  <c r="BS157" i="102" s="1"/>
  <c r="CG174" i="102"/>
  <c r="CI174" i="102" s="1"/>
  <c r="BQ59" i="102"/>
  <c r="BS59" i="102" s="1"/>
  <c r="U208" i="102"/>
  <c r="W208" i="102" s="1"/>
  <c r="AK168" i="102"/>
  <c r="AM168" i="102" s="1"/>
  <c r="CO214" i="102"/>
  <c r="CQ214" i="102" s="1"/>
  <c r="U86" i="103"/>
  <c r="U87" i="103"/>
  <c r="AK122" i="102"/>
  <c r="AM122" i="102" s="1"/>
  <c r="M165" i="102"/>
  <c r="O165" i="102" s="1"/>
  <c r="M168" i="102"/>
  <c r="O168" i="102" s="1"/>
  <c r="BY226" i="102"/>
  <c r="CA226" i="102" s="1"/>
  <c r="BA190" i="102"/>
  <c r="BC190" i="102" s="1"/>
  <c r="BI215" i="102"/>
  <c r="BK215" i="102" s="1"/>
  <c r="M22" i="105"/>
  <c r="O22" i="105" s="1"/>
  <c r="AS222" i="102"/>
  <c r="AU222" i="102" s="1"/>
  <c r="CG186" i="102"/>
  <c r="CI186" i="102" s="1"/>
  <c r="U114" i="102"/>
  <c r="W114" i="102" s="1"/>
  <c r="U202" i="102"/>
  <c r="W202" i="102" s="1"/>
  <c r="AS216" i="102"/>
  <c r="AU216" i="102" s="1"/>
  <c r="BI96" i="102"/>
  <c r="BK96" i="102" s="1"/>
  <c r="BY113" i="102"/>
  <c r="CA113" i="102" s="1"/>
  <c r="M115" i="102"/>
  <c r="O115" i="102" s="1"/>
  <c r="AS164" i="102"/>
  <c r="AU164" i="102" s="1"/>
  <c r="BA184" i="102"/>
  <c r="BC184" i="102" s="1"/>
  <c r="M153" i="102"/>
  <c r="O153" i="102" s="1"/>
  <c r="CG209" i="102"/>
  <c r="CI209" i="102" s="1"/>
  <c r="AC142" i="102"/>
  <c r="AE142" i="102" s="1"/>
  <c r="BY178" i="102"/>
  <c r="CA178" i="102" s="1"/>
  <c r="AC83" i="102"/>
  <c r="AE83" i="102" s="1"/>
  <c r="BY21" i="102"/>
  <c r="CA21" i="102" s="1"/>
  <c r="BQ211" i="102"/>
  <c r="BS211" i="102" s="1"/>
  <c r="AS73" i="102"/>
  <c r="AU73" i="102" s="1"/>
  <c r="AS223" i="102"/>
  <c r="AU223" i="102" s="1"/>
  <c r="BI159" i="102"/>
  <c r="BK159" i="102" s="1"/>
  <c r="BI17" i="102"/>
  <c r="BK17" i="102" s="1"/>
  <c r="BQ109" i="102"/>
  <c r="BS109" i="102" s="1"/>
  <c r="AK164" i="102"/>
  <c r="AM164" i="102" s="1"/>
  <c r="CO177" i="102"/>
  <c r="CQ177" i="102" s="1"/>
  <c r="AC67" i="102"/>
  <c r="AE67" i="102" s="1"/>
  <c r="BA69" i="102"/>
  <c r="BC69" i="102" s="1"/>
  <c r="AS28" i="102"/>
  <c r="AU28" i="102" s="1"/>
  <c r="BQ197" i="102"/>
  <c r="BS197" i="102" s="1"/>
  <c r="BI228" i="102"/>
  <c r="BK228" i="102" s="1"/>
  <c r="BY81" i="102"/>
  <c r="CA81" i="102" s="1"/>
  <c r="BI51" i="102"/>
  <c r="BK51" i="102" s="1"/>
  <c r="BQ116" i="102"/>
  <c r="BS116" i="102" s="1"/>
  <c r="U54" i="102"/>
  <c r="W54" i="102" s="1"/>
  <c r="BY80" i="102"/>
  <c r="CA80" i="102" s="1"/>
  <c r="BA62" i="102"/>
  <c r="BC62" i="102" s="1"/>
  <c r="BY37" i="102"/>
  <c r="CA37" i="102" s="1"/>
  <c r="AS36" i="102"/>
  <c r="AU36" i="102" s="1"/>
  <c r="CO150" i="102"/>
  <c r="CQ150" i="102" s="1"/>
  <c r="BI122" i="102"/>
  <c r="BK122" i="102" s="1"/>
  <c r="AK124" i="102"/>
  <c r="AM124" i="102" s="1"/>
  <c r="BY73" i="102"/>
  <c r="CA73" i="102" s="1"/>
  <c r="BQ62" i="102"/>
  <c r="BS62" i="102" s="1"/>
  <c r="BI82" i="102"/>
  <c r="BK82" i="102" s="1"/>
  <c r="AS48" i="102"/>
  <c r="AU48" i="102" s="1"/>
  <c r="CG204" i="102"/>
  <c r="CI204" i="102" s="1"/>
  <c r="BY96" i="102"/>
  <c r="CA96" i="102" s="1"/>
  <c r="BA16" i="102"/>
  <c r="BC16" i="102" s="1"/>
  <c r="AC136" i="102"/>
  <c r="AE136" i="102" s="1"/>
  <c r="M54" i="102"/>
  <c r="O54" i="102" s="1"/>
  <c r="BI100" i="102"/>
  <c r="BK100" i="102" s="1"/>
  <c r="BI94" i="102"/>
  <c r="BK94" i="102" s="1"/>
  <c r="BA9" i="102"/>
  <c r="BC9" i="102" s="1"/>
  <c r="AK148" i="102"/>
  <c r="AM148" i="102" s="1"/>
  <c r="M20" i="102"/>
  <c r="O20" i="102" s="1"/>
  <c r="AS46" i="102"/>
  <c r="AU46" i="102" s="1"/>
  <c r="BY18" i="102"/>
  <c r="CA18" i="102" s="1"/>
  <c r="K37" i="104"/>
  <c r="L37" i="104" s="1"/>
  <c r="AC18" i="102"/>
  <c r="AE18" i="102" s="1"/>
  <c r="BY222" i="102"/>
  <c r="CA222" i="102" s="1"/>
  <c r="BQ231" i="102"/>
  <c r="BS231" i="102" s="1"/>
  <c r="CO160" i="102"/>
  <c r="CQ160" i="102" s="1"/>
  <c r="BY227" i="102"/>
  <c r="CA227" i="102" s="1"/>
  <c r="CO224" i="102"/>
  <c r="CQ224" i="102" s="1"/>
  <c r="AK23" i="102"/>
  <c r="AM23" i="102" s="1"/>
  <c r="BA14" i="102"/>
  <c r="BC14" i="102" s="1"/>
  <c r="BA155" i="102"/>
  <c r="BC155" i="102" s="1"/>
  <c r="BY126" i="102"/>
  <c r="CA126" i="102" s="1"/>
  <c r="AS95" i="102"/>
  <c r="AU95" i="102" s="1"/>
  <c r="U142" i="102"/>
  <c r="W142" i="102" s="1"/>
  <c r="AK97" i="102"/>
  <c r="AM97" i="102" s="1"/>
  <c r="BI226" i="102"/>
  <c r="BK226" i="102" s="1"/>
  <c r="AC179" i="102"/>
  <c r="AE179" i="102" s="1"/>
  <c r="BA123" i="102"/>
  <c r="BC123" i="102" s="1"/>
  <c r="AK142" i="102"/>
  <c r="AM142" i="102" s="1"/>
  <c r="CG215" i="102"/>
  <c r="CI215" i="102" s="1"/>
  <c r="AS98" i="102"/>
  <c r="AU98" i="102" s="1"/>
  <c r="CG136" i="102"/>
  <c r="CI136" i="102" s="1"/>
  <c r="M64" i="105"/>
  <c r="O64" i="105" s="1"/>
  <c r="BI193" i="102"/>
  <c r="BK193" i="102" s="1"/>
  <c r="M136" i="102"/>
  <c r="O136" i="102" s="1"/>
  <c r="M60" i="102"/>
  <c r="O60" i="102" s="1"/>
  <c r="BA158" i="102"/>
  <c r="BC158" i="102" s="1"/>
  <c r="CG132" i="102"/>
  <c r="CI132" i="102" s="1"/>
  <c r="M26" i="105"/>
  <c r="O26" i="105" s="1"/>
  <c r="M109" i="102"/>
  <c r="O109" i="102" s="1"/>
  <c r="M208" i="102"/>
  <c r="O208" i="102" s="1"/>
  <c r="CO210" i="102"/>
  <c r="CQ210" i="102" s="1"/>
  <c r="U224" i="102"/>
  <c r="W224" i="102" s="1"/>
  <c r="AC98" i="102"/>
  <c r="AE98" i="102" s="1"/>
  <c r="U172" i="102"/>
  <c r="W172" i="102" s="1"/>
  <c r="AK151" i="102"/>
  <c r="AM151" i="102" s="1"/>
  <c r="BY142" i="102"/>
  <c r="CA142" i="102" s="1"/>
  <c r="BA114" i="102"/>
  <c r="BC114" i="102" s="1"/>
  <c r="M80" i="105"/>
  <c r="O80" i="105" s="1"/>
  <c r="AK102" i="102"/>
  <c r="AM102" i="102" s="1"/>
  <c r="BA129" i="102"/>
  <c r="BC129" i="102" s="1"/>
  <c r="BY189" i="102"/>
  <c r="CA189" i="102" s="1"/>
  <c r="U115" i="102"/>
  <c r="W115" i="102" s="1"/>
  <c r="U182" i="102"/>
  <c r="W182" i="102" s="1"/>
  <c r="BI103" i="102"/>
  <c r="BK103" i="102" s="1"/>
  <c r="M52" i="105"/>
  <c r="O52" i="105" s="1"/>
  <c r="CO102" i="102"/>
  <c r="CQ102" i="102" s="1"/>
  <c r="BA183" i="102"/>
  <c r="BC183" i="102" s="1"/>
  <c r="BA186" i="102"/>
  <c r="BC186" i="102" s="1"/>
  <c r="AC187" i="102"/>
  <c r="AE187" i="102" s="1"/>
  <c r="CG133" i="102"/>
  <c r="CI133" i="102" s="1"/>
  <c r="M37" i="105"/>
  <c r="O37" i="105" s="1"/>
  <c r="M17" i="105"/>
  <c r="O17" i="105" s="1"/>
  <c r="U93" i="102"/>
  <c r="W93" i="102" s="1"/>
  <c r="AS144" i="102"/>
  <c r="AU144" i="102" s="1"/>
  <c r="M57" i="105"/>
  <c r="O57" i="105" s="1"/>
  <c r="M191" i="102"/>
  <c r="O191" i="102" s="1"/>
  <c r="U140" i="102"/>
  <c r="W140" i="102" s="1"/>
  <c r="CO119" i="102"/>
  <c r="CQ119" i="102" s="1"/>
  <c r="AK139" i="102"/>
  <c r="AM139" i="102" s="1"/>
  <c r="AS169" i="102"/>
  <c r="AU169" i="102" s="1"/>
  <c r="M194" i="102"/>
  <c r="O194" i="102" s="1"/>
  <c r="AK107" i="102"/>
  <c r="AM107" i="102" s="1"/>
  <c r="BQ193" i="102"/>
  <c r="BS193" i="102" s="1"/>
  <c r="U179" i="102"/>
  <c r="W179" i="102" s="1"/>
  <c r="BA224" i="102"/>
  <c r="BC224" i="102" s="1"/>
  <c r="BQ189" i="102"/>
  <c r="BS189" i="102" s="1"/>
  <c r="AC126" i="102"/>
  <c r="AE126" i="102" s="1"/>
  <c r="U190" i="102"/>
  <c r="W190" i="102" s="1"/>
  <c r="M192" i="102"/>
  <c r="O192" i="102" s="1"/>
  <c r="BI145" i="102"/>
  <c r="BK145" i="102" s="1"/>
  <c r="AS158" i="102"/>
  <c r="AU158" i="102" s="1"/>
  <c r="CG218" i="102"/>
  <c r="CI218" i="102" s="1"/>
  <c r="M53" i="105"/>
  <c r="O53" i="105" s="1"/>
  <c r="BQ198" i="102"/>
  <c r="BS198" i="102" s="1"/>
  <c r="BI112" i="102"/>
  <c r="BK112" i="102" s="1"/>
  <c r="AK208" i="102"/>
  <c r="AM208" i="102" s="1"/>
  <c r="AC224" i="102"/>
  <c r="AE224" i="102" s="1"/>
  <c r="AS174" i="102"/>
  <c r="AU174" i="102" s="1"/>
  <c r="CG117" i="102"/>
  <c r="CI117" i="102" s="1"/>
  <c r="AK221" i="102"/>
  <c r="AM221" i="102" s="1"/>
  <c r="M76" i="105"/>
  <c r="O76" i="105" s="1"/>
  <c r="M177" i="102"/>
  <c r="O177" i="102" s="1"/>
  <c r="BY124" i="102"/>
  <c r="CA124" i="102" s="1"/>
  <c r="BA188" i="102"/>
  <c r="BC188" i="102" s="1"/>
  <c r="BI212" i="102"/>
  <c r="BK212" i="102" s="1"/>
  <c r="BA218" i="102"/>
  <c r="BC218" i="102" s="1"/>
  <c r="BA199" i="102"/>
  <c r="BC199" i="102" s="1"/>
  <c r="AK193" i="102"/>
  <c r="AM193" i="102" s="1"/>
  <c r="AC193" i="102"/>
  <c r="AE193" i="102" s="1"/>
  <c r="BQ207" i="102"/>
  <c r="BS207" i="102" s="1"/>
  <c r="U119" i="102"/>
  <c r="W119" i="102" s="1"/>
  <c r="M113" i="102"/>
  <c r="O113" i="102" s="1"/>
  <c r="M127" i="102"/>
  <c r="O127" i="102" s="1"/>
  <c r="BA124" i="102"/>
  <c r="BC124" i="102" s="1"/>
  <c r="AC153" i="102"/>
  <c r="AE153" i="102" s="1"/>
  <c r="AK140" i="102"/>
  <c r="AM140" i="102" s="1"/>
  <c r="BI189" i="102"/>
  <c r="BK189" i="102" s="1"/>
  <c r="M24" i="105"/>
  <c r="O24" i="105" s="1"/>
  <c r="AS183" i="102"/>
  <c r="AU183" i="102" s="1"/>
  <c r="U204" i="102"/>
  <c r="W204" i="102" s="1"/>
  <c r="BI178" i="102"/>
  <c r="BK178" i="102" s="1"/>
  <c r="M171" i="102"/>
  <c r="O171" i="102" s="1"/>
  <c r="AS58" i="102"/>
  <c r="AU58" i="102" s="1"/>
  <c r="U63" i="102"/>
  <c r="W63" i="102" s="1"/>
  <c r="M46" i="102"/>
  <c r="O46" i="102" s="1"/>
  <c r="K75" i="104"/>
  <c r="L75" i="104" s="1"/>
  <c r="CO213" i="102"/>
  <c r="CQ213" i="102" s="1"/>
  <c r="M6" i="102"/>
  <c r="O6" i="102" s="1"/>
  <c r="CO230" i="102"/>
  <c r="CQ230" i="102" s="1"/>
  <c r="P86" i="103"/>
  <c r="P87" i="103"/>
  <c r="CO156" i="102"/>
  <c r="CQ156" i="102" s="1"/>
  <c r="U68" i="102"/>
  <c r="W68" i="102" s="1"/>
  <c r="BA58" i="102"/>
  <c r="BC58" i="102" s="1"/>
  <c r="AS142" i="102"/>
  <c r="AU142" i="102" s="1"/>
  <c r="BA41" i="102"/>
  <c r="BC41" i="102" s="1"/>
  <c r="BQ125" i="102"/>
  <c r="BS125" i="102" s="1"/>
  <c r="BY127" i="102"/>
  <c r="CA127" i="102" s="1"/>
  <c r="CO164" i="102"/>
  <c r="CQ164" i="102" s="1"/>
  <c r="AK30" i="102"/>
  <c r="AM30" i="102" s="1"/>
  <c r="BI26" i="102"/>
  <c r="BK26" i="102" s="1"/>
  <c r="BI84" i="102"/>
  <c r="BK84" i="102" s="1"/>
  <c r="CO231" i="102"/>
  <c r="CQ231" i="102" s="1"/>
  <c r="M43" i="102"/>
  <c r="O43" i="102" s="1"/>
  <c r="BQ9" i="102"/>
  <c r="BS9" i="102" s="1"/>
  <c r="AS41" i="102"/>
  <c r="AU41" i="102" s="1"/>
  <c r="K62" i="104"/>
  <c r="L62" i="104" s="1"/>
  <c r="M42" i="102"/>
  <c r="O42" i="102" s="1"/>
  <c r="AC93" i="102"/>
  <c r="AE93" i="102" s="1"/>
  <c r="AK189" i="102"/>
  <c r="AM189" i="102" s="1"/>
  <c r="CG151" i="102"/>
  <c r="CI151" i="102" s="1"/>
  <c r="AK113" i="102"/>
  <c r="AM113" i="102" s="1"/>
  <c r="AK77" i="102"/>
  <c r="AM77" i="102" s="1"/>
  <c r="M51" i="105"/>
  <c r="O51" i="105" s="1"/>
  <c r="M38" i="102"/>
  <c r="O38" i="102" s="1"/>
  <c r="M151" i="102"/>
  <c r="O151" i="102" s="1"/>
  <c r="BQ114" i="102"/>
  <c r="BS114" i="102" s="1"/>
  <c r="U121" i="102"/>
  <c r="W121" i="102" s="1"/>
  <c r="U162" i="102"/>
  <c r="W162" i="102" s="1"/>
  <c r="AK183" i="102"/>
  <c r="AM183" i="102" s="1"/>
  <c r="AK116" i="102"/>
  <c r="AM116" i="102" s="1"/>
  <c r="BA168" i="102"/>
  <c r="BC168" i="102" s="1"/>
  <c r="CG220" i="102"/>
  <c r="CI220" i="102" s="1"/>
  <c r="AC208" i="102"/>
  <c r="AE208" i="102" s="1"/>
  <c r="M209" i="102"/>
  <c r="O209" i="102" s="1"/>
  <c r="AC139" i="102"/>
  <c r="AE139" i="102" s="1"/>
  <c r="M97" i="102"/>
  <c r="O97" i="102" s="1"/>
  <c r="U108" i="102"/>
  <c r="W108" i="102" s="1"/>
  <c r="AK218" i="102"/>
  <c r="AM218" i="102" s="1"/>
  <c r="BQ155" i="102"/>
  <c r="BS155" i="102" s="1"/>
  <c r="BQ122" i="102"/>
  <c r="BS122" i="102" s="1"/>
  <c r="AC12" i="102"/>
  <c r="AE12" i="102" s="1"/>
  <c r="U158" i="102"/>
  <c r="W158" i="102" s="1"/>
  <c r="AS147" i="102"/>
  <c r="AU147" i="102" s="1"/>
  <c r="BQ131" i="102"/>
  <c r="BS131" i="102" s="1"/>
  <c r="BQ134" i="102"/>
  <c r="BS134" i="102" s="1"/>
  <c r="AK181" i="102"/>
  <c r="AM181" i="102" s="1"/>
  <c r="M96" i="102"/>
  <c r="O96" i="102" s="1"/>
  <c r="BQ148" i="102"/>
  <c r="BS148" i="102" s="1"/>
  <c r="BA132" i="102"/>
  <c r="BC132" i="102" s="1"/>
  <c r="BY159" i="102"/>
  <c r="CA159" i="102" s="1"/>
  <c r="M122" i="102"/>
  <c r="O122" i="102" s="1"/>
  <c r="BI132" i="102"/>
  <c r="BK132" i="102" s="1"/>
  <c r="AK121" i="102"/>
  <c r="AM121" i="102" s="1"/>
  <c r="AS162" i="102"/>
  <c r="AU162" i="102" s="1"/>
  <c r="BY181" i="102"/>
  <c r="CA181" i="102" s="1"/>
  <c r="CG128" i="102"/>
  <c r="CI128" i="102" s="1"/>
  <c r="M15" i="105"/>
  <c r="O15" i="105" s="1"/>
  <c r="AK98" i="102"/>
  <c r="AM98" i="102" s="1"/>
  <c r="M224" i="102"/>
  <c r="O224" i="102" s="1"/>
  <c r="M62" i="105"/>
  <c r="O62" i="105" s="1"/>
  <c r="BI180" i="102"/>
  <c r="BK180" i="102" s="1"/>
  <c r="M52" i="102"/>
  <c r="O52" i="102" s="1"/>
  <c r="M216" i="102"/>
  <c r="O216" i="102" s="1"/>
  <c r="M44" i="105"/>
  <c r="O44" i="105" s="1"/>
  <c r="BI188" i="102"/>
  <c r="BK188" i="102" s="1"/>
  <c r="AC150" i="102"/>
  <c r="AE150" i="102" s="1"/>
  <c r="AK144" i="102"/>
  <c r="AM144" i="102" s="1"/>
  <c r="AK215" i="102"/>
  <c r="AM215" i="102" s="1"/>
  <c r="BI194" i="102"/>
  <c r="BK194" i="102" s="1"/>
  <c r="BA170" i="102"/>
  <c r="BC170" i="102" s="1"/>
  <c r="CO137" i="102"/>
  <c r="CQ137" i="102" s="1"/>
  <c r="BA226" i="102"/>
  <c r="BC226" i="102" s="1"/>
  <c r="CG194" i="102"/>
  <c r="CI194" i="102" s="1"/>
  <c r="M152" i="102"/>
  <c r="O152" i="102" s="1"/>
  <c r="AS219" i="102"/>
  <c r="AU219" i="102" s="1"/>
  <c r="AS93" i="102"/>
  <c r="AU93" i="102" s="1"/>
  <c r="U231" i="102"/>
  <c r="W231" i="102" s="1"/>
  <c r="AK143" i="102"/>
  <c r="AM143" i="102" s="1"/>
  <c r="BA113" i="102"/>
  <c r="BC113" i="102" s="1"/>
  <c r="AC159" i="102"/>
  <c r="AE159" i="102" s="1"/>
  <c r="BI111" i="102"/>
  <c r="BK111" i="102" s="1"/>
  <c r="M58" i="105"/>
  <c r="O58" i="105" s="1"/>
  <c r="BI182" i="102"/>
  <c r="BK182" i="102" s="1"/>
  <c r="BA177" i="102"/>
  <c r="BC177" i="102" s="1"/>
  <c r="CO101" i="102"/>
  <c r="CQ101" i="102" s="1"/>
  <c r="AS94" i="102"/>
  <c r="AU94" i="102" s="1"/>
  <c r="AC47" i="102"/>
  <c r="AE47" i="102" s="1"/>
  <c r="M107" i="102"/>
  <c r="O107" i="102" s="1"/>
  <c r="BA128" i="102"/>
  <c r="BC128" i="102" s="1"/>
  <c r="BI108" i="102"/>
  <c r="BK108" i="102" s="1"/>
  <c r="AS149" i="102"/>
  <c r="AU149" i="102" s="1"/>
  <c r="AK125" i="102"/>
  <c r="AM125" i="102" s="1"/>
  <c r="CG221" i="102"/>
  <c r="CI221" i="102" s="1"/>
  <c r="BA154" i="102"/>
  <c r="BC154" i="102" s="1"/>
  <c r="CG140" i="102"/>
  <c r="CI140" i="102" s="1"/>
  <c r="M16" i="105"/>
  <c r="O16" i="105" s="1"/>
  <c r="BQ190" i="102"/>
  <c r="BS190" i="102" s="1"/>
  <c r="AK174" i="102"/>
  <c r="AM174" i="102" s="1"/>
  <c r="AK227" i="102"/>
  <c r="AM227" i="102" s="1"/>
  <c r="AC181" i="102"/>
  <c r="AE181" i="102" s="1"/>
  <c r="U118" i="102"/>
  <c r="W118" i="102" s="1"/>
  <c r="CG208" i="102"/>
  <c r="CI208" i="102" s="1"/>
  <c r="BA106" i="102"/>
  <c r="BC106" i="102" s="1"/>
  <c r="M73" i="105"/>
  <c r="O73" i="105" s="1"/>
  <c r="BA143" i="102"/>
  <c r="BC143" i="102" s="1"/>
  <c r="CO191" i="102"/>
  <c r="CQ191" i="102" s="1"/>
  <c r="BQ173" i="102"/>
  <c r="BS173" i="102" s="1"/>
  <c r="U103" i="102"/>
  <c r="W103" i="102" s="1"/>
  <c r="M81" i="105"/>
  <c r="O81" i="105" s="1"/>
  <c r="AK137" i="102"/>
  <c r="AM137" i="102" s="1"/>
  <c r="U96" i="102"/>
  <c r="W96" i="102" s="1"/>
  <c r="CO211" i="102"/>
  <c r="CQ211" i="102" s="1"/>
  <c r="U198" i="102"/>
  <c r="W198" i="102" s="1"/>
  <c r="M54" i="105"/>
  <c r="O54" i="105" s="1"/>
  <c r="U157" i="102"/>
  <c r="W157" i="102" s="1"/>
  <c r="CG211" i="102"/>
  <c r="CI211" i="102" s="1"/>
  <c r="AS140" i="102"/>
  <c r="AU140" i="102" s="1"/>
  <c r="U178" i="102"/>
  <c r="W178" i="102" s="1"/>
  <c r="AK166" i="102"/>
  <c r="AM166" i="102" s="1"/>
  <c r="BA176" i="102"/>
  <c r="BC176" i="102" s="1"/>
  <c r="BQ120" i="102"/>
  <c r="BS120" i="102" s="1"/>
  <c r="M117" i="102"/>
  <c r="O117" i="102" s="1"/>
  <c r="U145" i="102"/>
  <c r="W145" i="102" s="1"/>
  <c r="AS132" i="102"/>
  <c r="AU132" i="102" s="1"/>
  <c r="BA178" i="102"/>
  <c r="BC178" i="102" s="1"/>
  <c r="CG199" i="102"/>
  <c r="CI199" i="102" s="1"/>
  <c r="M213" i="102"/>
  <c r="O213" i="102" s="1"/>
  <c r="U221" i="102"/>
  <c r="W221" i="102" s="1"/>
  <c r="AS176" i="102"/>
  <c r="AU176" i="102" s="1"/>
  <c r="BA122" i="102"/>
  <c r="BC122" i="102" s="1"/>
  <c r="BI154" i="102"/>
  <c r="BK154" i="102" s="1"/>
  <c r="AC201" i="102"/>
  <c r="AE201" i="102" s="1"/>
  <c r="AC57" i="102"/>
  <c r="AE57" i="102" s="1"/>
  <c r="BA105" i="102"/>
  <c r="BC105" i="102" s="1"/>
  <c r="BA150" i="102"/>
  <c r="BC150" i="102" s="1"/>
  <c r="BQ151" i="102"/>
  <c r="BS151" i="102" s="1"/>
  <c r="BI157" i="102"/>
  <c r="BK157" i="102" s="1"/>
  <c r="BA101" i="102"/>
  <c r="BC101" i="102" s="1"/>
  <c r="AC128" i="102"/>
  <c r="AE128" i="102" s="1"/>
  <c r="BA152" i="102"/>
  <c r="BC152" i="102" s="1"/>
  <c r="CG109" i="102"/>
  <c r="CI109" i="102" s="1"/>
  <c r="AK202" i="102"/>
  <c r="AM202" i="102" s="1"/>
  <c r="U141" i="102"/>
  <c r="W141" i="102" s="1"/>
  <c r="BY164" i="102"/>
  <c r="CA164" i="102" s="1"/>
  <c r="AS150" i="102"/>
  <c r="AU150" i="102" s="1"/>
  <c r="CO104" i="102"/>
  <c r="CQ104" i="102" s="1"/>
  <c r="AC60" i="102"/>
  <c r="AE60" i="102" s="1"/>
  <c r="AC189" i="102"/>
  <c r="AE189" i="102" s="1"/>
  <c r="BQ181" i="102"/>
  <c r="BS181" i="102" s="1"/>
  <c r="M130" i="102"/>
  <c r="O130" i="102" s="1"/>
  <c r="BQ100" i="102"/>
  <c r="BS100" i="102" s="1"/>
  <c r="AC169" i="102"/>
  <c r="AE169" i="102" s="1"/>
  <c r="CO123" i="102"/>
  <c r="CQ123" i="102" s="1"/>
  <c r="BQ149" i="102"/>
  <c r="BS149" i="102" s="1"/>
  <c r="BA127" i="102"/>
  <c r="BC127" i="102" s="1"/>
  <c r="BQ170" i="102"/>
  <c r="BS170" i="102" s="1"/>
  <c r="AK165" i="102"/>
  <c r="AM165" i="102" s="1"/>
  <c r="BY106" i="102"/>
  <c r="CA106" i="102" s="1"/>
  <c r="U226" i="102"/>
  <c r="W226" i="102" s="1"/>
  <c r="BY175" i="102"/>
  <c r="CA175" i="102" s="1"/>
  <c r="BA76" i="102"/>
  <c r="BC76" i="102" s="1"/>
  <c r="U48" i="102"/>
  <c r="W48" i="102" s="1"/>
  <c r="AK216" i="102"/>
  <c r="AM216" i="102" s="1"/>
  <c r="BI184" i="102"/>
  <c r="BK184" i="102" s="1"/>
  <c r="BQ171" i="102"/>
  <c r="BS171" i="102" s="1"/>
  <c r="BA182" i="102"/>
  <c r="BC182" i="102" s="1"/>
  <c r="CG195" i="102"/>
  <c r="CI195" i="102" s="1"/>
  <c r="BY43" i="102"/>
  <c r="CA43" i="102" s="1"/>
  <c r="AK190" i="102"/>
  <c r="AM190" i="102" s="1"/>
  <c r="AS50" i="102"/>
  <c r="AU50" i="102" s="1"/>
  <c r="K30" i="104"/>
  <c r="L30" i="104" s="1"/>
  <c r="BQ195" i="102"/>
  <c r="BS195" i="102" s="1"/>
  <c r="AC37" i="102"/>
  <c r="AE37" i="102" s="1"/>
  <c r="M159" i="102"/>
  <c r="O159" i="102" s="1"/>
  <c r="AC125" i="102"/>
  <c r="AE125" i="102" s="1"/>
  <c r="BQ76" i="102"/>
  <c r="BS76" i="102" s="1"/>
  <c r="BA74" i="102"/>
  <c r="BC74" i="102" s="1"/>
  <c r="BY143" i="102"/>
  <c r="CA143" i="102" s="1"/>
  <c r="CO157" i="102"/>
  <c r="CQ157" i="102" s="1"/>
  <c r="CO126" i="102"/>
  <c r="CQ126" i="102" s="1"/>
  <c r="AS79" i="102"/>
  <c r="AU79" i="102" s="1"/>
  <c r="BY32" i="102"/>
  <c r="CA32" i="102" s="1"/>
  <c r="M66" i="102"/>
  <c r="O66" i="102" s="1"/>
  <c r="AK79" i="102"/>
  <c r="AM79" i="102" s="1"/>
  <c r="CG169" i="102"/>
  <c r="CI169" i="102" s="1"/>
  <c r="BQ52" i="102"/>
  <c r="BS52" i="102" s="1"/>
  <c r="BQ17" i="102"/>
  <c r="BS17" i="102" s="1"/>
  <c r="K44" i="104"/>
  <c r="L44" i="104" s="1"/>
  <c r="AK54" i="102"/>
  <c r="AM54" i="102" s="1"/>
  <c r="CG134" i="102"/>
  <c r="CI134" i="102" s="1"/>
  <c r="CO121" i="102"/>
  <c r="CQ121" i="102" s="1"/>
  <c r="BY148" i="102"/>
  <c r="CA148" i="102" s="1"/>
  <c r="BI53" i="102"/>
  <c r="BK53" i="102" s="1"/>
  <c r="BQ49" i="102"/>
  <c r="BS49" i="102" s="1"/>
  <c r="BY184" i="102"/>
  <c r="CA184" i="102" s="1"/>
  <c r="BY65" i="102"/>
  <c r="CA65" i="102" s="1"/>
  <c r="M40" i="102"/>
  <c r="O40" i="102" s="1"/>
  <c r="AS196" i="102"/>
  <c r="AU196" i="102" s="1"/>
  <c r="AK211" i="102"/>
  <c r="AM211" i="102" s="1"/>
  <c r="AS54" i="102"/>
  <c r="AU54" i="102" s="1"/>
  <c r="BI10" i="102"/>
  <c r="BK10" i="102" s="1"/>
  <c r="CO136" i="102"/>
  <c r="CQ136" i="102" s="1"/>
  <c r="CO219" i="102"/>
  <c r="CQ219" i="102" s="1"/>
  <c r="BA31" i="102"/>
  <c r="BC31" i="102" s="1"/>
  <c r="AC77" i="102"/>
  <c r="AE77" i="102" s="1"/>
  <c r="CG94" i="102"/>
  <c r="CI94" i="102" s="1"/>
  <c r="AC74" i="102"/>
  <c r="AE74" i="102" s="1"/>
  <c r="CO120" i="102"/>
  <c r="CQ120" i="102" s="1"/>
  <c r="BA18" i="102"/>
  <c r="BC18" i="102" s="1"/>
  <c r="K38" i="104"/>
  <c r="L38" i="104" s="1"/>
  <c r="BY58" i="102"/>
  <c r="CA58" i="102" s="1"/>
  <c r="M41" i="102"/>
  <c r="O41" i="102" s="1"/>
  <c r="CO192" i="102"/>
  <c r="CQ192" i="102" s="1"/>
  <c r="BQ65" i="102"/>
  <c r="BS65" i="102" s="1"/>
  <c r="AK126" i="102"/>
  <c r="AM126" i="102" s="1"/>
  <c r="AK50" i="102"/>
  <c r="AM50" i="102" s="1"/>
  <c r="BY170" i="102"/>
  <c r="CA170" i="102" s="1"/>
  <c r="CG222" i="102"/>
  <c r="CI222" i="102" s="1"/>
  <c r="BI66" i="102"/>
  <c r="BK66" i="102" s="1"/>
  <c r="BY45" i="102"/>
  <c r="CA45" i="102" s="1"/>
  <c r="BQ177" i="102"/>
  <c r="BS177" i="102" s="1"/>
  <c r="AS9" i="102"/>
  <c r="AU9" i="102" s="1"/>
  <c r="BQ23" i="102"/>
  <c r="BS23" i="102" s="1"/>
  <c r="AK75" i="102"/>
  <c r="AM75" i="102" s="1"/>
  <c r="CO146" i="102"/>
  <c r="CQ146" i="102" s="1"/>
  <c r="BQ10" i="102"/>
  <c r="BS10" i="102" s="1"/>
  <c r="AK52" i="102"/>
  <c r="AM52" i="102" s="1"/>
  <c r="K20" i="104"/>
  <c r="L20" i="104" s="1"/>
  <c r="K31" i="104"/>
  <c r="L31" i="104" s="1"/>
  <c r="CG129" i="102"/>
  <c r="CI129" i="102" s="1"/>
  <c r="CO209" i="102"/>
  <c r="CQ209" i="102" s="1"/>
  <c r="AS78" i="102"/>
  <c r="AU78" i="102" s="1"/>
  <c r="BY67" i="102"/>
  <c r="CA67" i="102" s="1"/>
  <c r="K80" i="104"/>
  <c r="L80" i="104" s="1"/>
  <c r="AC17" i="102"/>
  <c r="AE17" i="102" s="1"/>
  <c r="U41" i="102"/>
  <c r="W41" i="102" s="1"/>
  <c r="U40" i="102"/>
  <c r="W40" i="102" s="1"/>
  <c r="BI38" i="102"/>
  <c r="BK38" i="102" s="1"/>
  <c r="BA22" i="102"/>
  <c r="BC22" i="102" s="1"/>
  <c r="U51" i="102"/>
  <c r="W51" i="102" s="1"/>
  <c r="U164" i="102"/>
  <c r="W164" i="102" s="1"/>
  <c r="M162" i="102"/>
  <c r="O162" i="102" s="1"/>
  <c r="AK156" i="102"/>
  <c r="AM156" i="102" s="1"/>
  <c r="BA200" i="102"/>
  <c r="BC200" i="102" s="1"/>
  <c r="AS127" i="102"/>
  <c r="AU127" i="102" s="1"/>
  <c r="AS148" i="102"/>
  <c r="AU148" i="102" s="1"/>
  <c r="AC210" i="102"/>
  <c r="AE210" i="102" s="1"/>
  <c r="BQ227" i="102"/>
  <c r="BS227" i="102" s="1"/>
  <c r="BA93" i="102"/>
  <c r="BC93" i="102" s="1"/>
  <c r="M137" i="102"/>
  <c r="O137" i="102" s="1"/>
  <c r="AS192" i="102"/>
  <c r="AU192" i="102" s="1"/>
  <c r="AC188" i="102"/>
  <c r="AE188" i="102" s="1"/>
  <c r="BY102" i="102"/>
  <c r="CA102" i="102" s="1"/>
  <c r="CO109" i="102"/>
  <c r="CQ109" i="102" s="1"/>
  <c r="M72" i="105"/>
  <c r="O72" i="105" s="1"/>
  <c r="BQ186" i="102"/>
  <c r="BS186" i="102" s="1"/>
  <c r="CO153" i="102"/>
  <c r="CQ153" i="102" s="1"/>
  <c r="AK228" i="102"/>
  <c r="AM228" i="102" s="1"/>
  <c r="AC119" i="102"/>
  <c r="AE119" i="102" s="1"/>
  <c r="AS193" i="102"/>
  <c r="AU193" i="102" s="1"/>
  <c r="BA201" i="102"/>
  <c r="BC201" i="102" s="1"/>
  <c r="AC162" i="102"/>
  <c r="AE162" i="102" s="1"/>
  <c r="CG148" i="102"/>
  <c r="CI148" i="102" s="1"/>
  <c r="BI156" i="102"/>
  <c r="BK156" i="102" s="1"/>
  <c r="AS55" i="102"/>
  <c r="AU55" i="102" s="1"/>
  <c r="BI223" i="102"/>
  <c r="BK223" i="102" s="1"/>
  <c r="BA216" i="102"/>
  <c r="BC216" i="102" s="1"/>
  <c r="BA95" i="102"/>
  <c r="BC95" i="102" s="1"/>
  <c r="AS210" i="102"/>
  <c r="AU210" i="102" s="1"/>
  <c r="AC185" i="102"/>
  <c r="AE185" i="102" s="1"/>
  <c r="BY158" i="102"/>
  <c r="CA158" i="102" s="1"/>
  <c r="M225" i="102"/>
  <c r="O225" i="102" s="1"/>
  <c r="BY179" i="102"/>
  <c r="CA179" i="102" s="1"/>
  <c r="BA42" i="102"/>
  <c r="BC42" i="102" s="1"/>
  <c r="BY202" i="102"/>
  <c r="CA202" i="102" s="1"/>
  <c r="U216" i="102"/>
  <c r="W216" i="102" s="1"/>
  <c r="BI161" i="102"/>
  <c r="BK161" i="102" s="1"/>
  <c r="AS208" i="102"/>
  <c r="AU208" i="102" s="1"/>
  <c r="AK213" i="102"/>
  <c r="AM213" i="102" s="1"/>
  <c r="CG210" i="102"/>
  <c r="CI210" i="102" s="1"/>
  <c r="CG219" i="102"/>
  <c r="CI219" i="102" s="1"/>
  <c r="AC34" i="102"/>
  <c r="AE34" i="102" s="1"/>
  <c r="BQ96" i="102"/>
  <c r="BS96" i="102" s="1"/>
  <c r="U59" i="102"/>
  <c r="W59" i="102" s="1"/>
  <c r="M104" i="102"/>
  <c r="O104" i="102" s="1"/>
  <c r="BQ63" i="102"/>
  <c r="BS63" i="102" s="1"/>
  <c r="K27" i="104"/>
  <c r="L27" i="104" s="1"/>
  <c r="BY157" i="102"/>
  <c r="CA157" i="102" s="1"/>
  <c r="BI20" i="102"/>
  <c r="BK20" i="102" s="1"/>
  <c r="BA141" i="102"/>
  <c r="BC141" i="102" s="1"/>
  <c r="BQ213" i="102"/>
  <c r="BS213" i="102" s="1"/>
  <c r="BQ71" i="102"/>
  <c r="BS71" i="102" s="1"/>
  <c r="BA13" i="102"/>
  <c r="BC13" i="102" s="1"/>
  <c r="BY119" i="102"/>
  <c r="CA119" i="102" s="1"/>
  <c r="AK24" i="102"/>
  <c r="AM24" i="102" s="1"/>
  <c r="BQ13" i="102"/>
  <c r="BS13" i="102" s="1"/>
  <c r="BQ21" i="102"/>
  <c r="BS21" i="102" s="1"/>
  <c r="BI97" i="102"/>
  <c r="BK97" i="102" s="1"/>
  <c r="BI101" i="102"/>
  <c r="BK101" i="102" s="1"/>
  <c r="AK48" i="102"/>
  <c r="AM48" i="102" s="1"/>
  <c r="U17" i="102"/>
  <c r="W17" i="102" s="1"/>
  <c r="BA43" i="102"/>
  <c r="BC43" i="102" s="1"/>
  <c r="AS42" i="102"/>
  <c r="AU42" i="102" s="1"/>
  <c r="K81" i="104"/>
  <c r="L81" i="104" s="1"/>
  <c r="CO203" i="102"/>
  <c r="CQ203" i="102" s="1"/>
  <c r="AC84" i="102"/>
  <c r="AE84" i="102" s="1"/>
  <c r="M59" i="102"/>
  <c r="O59" i="102" s="1"/>
  <c r="BA77" i="102"/>
  <c r="BC77" i="102" s="1"/>
  <c r="AS26" i="102"/>
  <c r="AU26" i="102" s="1"/>
  <c r="BA83" i="102"/>
  <c r="BC83" i="102" s="1"/>
  <c r="BI40" i="102"/>
  <c r="BK40" i="102" s="1"/>
  <c r="CG197" i="102"/>
  <c r="CI197" i="102" s="1"/>
  <c r="U185" i="102"/>
  <c r="W185" i="102" s="1"/>
  <c r="BY215" i="102"/>
  <c r="CA215" i="102" s="1"/>
  <c r="BY29" i="102"/>
  <c r="CA29" i="102" s="1"/>
  <c r="M70" i="102"/>
  <c r="O70" i="102" s="1"/>
  <c r="M19" i="102"/>
  <c r="O19" i="102" s="1"/>
  <c r="BY56" i="102"/>
  <c r="CA56" i="102" s="1"/>
  <c r="BY171" i="102"/>
  <c r="CA171" i="102" s="1"/>
  <c r="BY225" i="102"/>
  <c r="CA225" i="102" s="1"/>
  <c r="BY16" i="102"/>
  <c r="CA16" i="102" s="1"/>
  <c r="AK20" i="102"/>
  <c r="AM20" i="102" s="1"/>
  <c r="BQ11" i="102"/>
  <c r="BS11" i="102" s="1"/>
  <c r="K71" i="104"/>
  <c r="L71" i="104" s="1"/>
  <c r="AK71" i="102"/>
  <c r="AM71" i="102" s="1"/>
  <c r="U18" i="102"/>
  <c r="W18" i="102" s="1"/>
  <c r="BA17" i="102"/>
  <c r="BC17" i="102" s="1"/>
  <c r="BI221" i="102"/>
  <c r="BK221" i="102" s="1"/>
  <c r="CO99" i="102"/>
  <c r="CQ99" i="102" s="1"/>
  <c r="AK14" i="102"/>
  <c r="AM14" i="102" s="1"/>
  <c r="CO188" i="102"/>
  <c r="CQ188" i="102" s="1"/>
  <c r="BI80" i="102"/>
  <c r="BK80" i="102" s="1"/>
  <c r="AK47" i="102"/>
  <c r="AM47" i="102" s="1"/>
  <c r="BQ206" i="102"/>
  <c r="BS206" i="102" s="1"/>
  <c r="AK15" i="102"/>
  <c r="AM15" i="102" s="1"/>
  <c r="BQ57" i="102"/>
  <c r="BS57" i="102" s="1"/>
  <c r="BY64" i="102"/>
  <c r="CA64" i="102" s="1"/>
  <c r="BQ73" i="102"/>
  <c r="BS73" i="102" s="1"/>
  <c r="CG153" i="102"/>
  <c r="CI153" i="102" s="1"/>
  <c r="M183" i="102"/>
  <c r="O183" i="102" s="1"/>
  <c r="AC7" i="102"/>
  <c r="AE7" i="102" s="1"/>
  <c r="CG103" i="102"/>
  <c r="CI103" i="102" s="1"/>
  <c r="BA78" i="102"/>
  <c r="BC78" i="102" s="1"/>
  <c r="K47" i="104"/>
  <c r="L47" i="104" s="1"/>
  <c r="BY23" i="102"/>
  <c r="CA23" i="102" s="1"/>
  <c r="CO110" i="102"/>
  <c r="CQ110" i="102" s="1"/>
  <c r="AK103" i="102"/>
  <c r="AM103" i="102" s="1"/>
  <c r="BA12" i="102"/>
  <c r="BC12" i="102" s="1"/>
  <c r="BY34" i="102"/>
  <c r="CA34" i="102" s="1"/>
  <c r="CO201" i="102"/>
  <c r="CQ201" i="102" s="1"/>
  <c r="AC79" i="102"/>
  <c r="AE79" i="102" s="1"/>
  <c r="U43" i="102"/>
  <c r="W43" i="102" s="1"/>
  <c r="AC42" i="102"/>
  <c r="AE42" i="102" s="1"/>
  <c r="BQ12" i="102"/>
  <c r="BS12" i="102" s="1"/>
  <c r="AS57" i="102"/>
  <c r="AU57" i="102" s="1"/>
  <c r="BA165" i="102"/>
  <c r="BC165" i="102" s="1"/>
  <c r="U146" i="102"/>
  <c r="W146" i="102" s="1"/>
  <c r="AS139" i="102"/>
  <c r="AU139" i="102" s="1"/>
  <c r="CO148" i="102"/>
  <c r="CQ148" i="102" s="1"/>
  <c r="AS218" i="102"/>
  <c r="AU218" i="102" s="1"/>
  <c r="AS136" i="102"/>
  <c r="AU136" i="102" s="1"/>
  <c r="CO113" i="102"/>
  <c r="CQ113" i="102" s="1"/>
  <c r="AK37" i="102"/>
  <c r="AM37" i="102" s="1"/>
  <c r="AC205" i="102"/>
  <c r="AE205" i="102" s="1"/>
  <c r="BA208" i="102"/>
  <c r="BC208" i="102" s="1"/>
  <c r="BI168" i="102"/>
  <c r="BK168" i="102" s="1"/>
  <c r="BA98" i="102"/>
  <c r="BC98" i="102" s="1"/>
  <c r="AS230" i="102"/>
  <c r="AU230" i="102" s="1"/>
  <c r="AK158" i="102"/>
  <c r="AM158" i="102" s="1"/>
  <c r="U194" i="102"/>
  <c r="W194" i="102" s="1"/>
  <c r="U101" i="102"/>
  <c r="W101" i="102" s="1"/>
  <c r="BY187" i="102"/>
  <c r="CA187" i="102" s="1"/>
  <c r="AS195" i="102"/>
  <c r="AU195" i="102" s="1"/>
  <c r="M11" i="105"/>
  <c r="O11" i="105" s="1"/>
  <c r="AS163" i="102"/>
  <c r="AU163" i="102" s="1"/>
  <c r="CO98" i="102"/>
  <c r="CQ98" i="102" s="1"/>
  <c r="BI160" i="102"/>
  <c r="BK160" i="102" s="1"/>
  <c r="M144" i="102"/>
  <c r="O144" i="102" s="1"/>
  <c r="AC186" i="102"/>
  <c r="AE186" i="102" s="1"/>
  <c r="U110" i="102"/>
  <c r="W110" i="102" s="1"/>
  <c r="BI162" i="102"/>
  <c r="BK162" i="102" s="1"/>
  <c r="U228" i="102"/>
  <c r="W228" i="102" s="1"/>
  <c r="AK127" i="102"/>
  <c r="AM127" i="102" s="1"/>
  <c r="M227" i="102"/>
  <c r="O227" i="102" s="1"/>
  <c r="BI218" i="102"/>
  <c r="BK218" i="102" s="1"/>
  <c r="BA159" i="102"/>
  <c r="BC159" i="102" s="1"/>
  <c r="M133" i="102"/>
  <c r="O133" i="102" s="1"/>
  <c r="BA112" i="102"/>
  <c r="BC112" i="102" s="1"/>
  <c r="AC191" i="102"/>
  <c r="AE191" i="102" s="1"/>
  <c r="BA96" i="102"/>
  <c r="BC96" i="102" s="1"/>
  <c r="M55" i="105"/>
  <c r="O55" i="105" s="1"/>
  <c r="BY130" i="102"/>
  <c r="CA130" i="102" s="1"/>
  <c r="CG145" i="102"/>
  <c r="CI145" i="102" s="1"/>
  <c r="CO174" i="102"/>
  <c r="CQ174" i="102" s="1"/>
  <c r="BA104" i="102"/>
  <c r="BC104" i="102" s="1"/>
  <c r="AC215" i="102"/>
  <c r="AE215" i="102" s="1"/>
  <c r="M18" i="105"/>
  <c r="O18" i="105" s="1"/>
  <c r="AC116" i="102"/>
  <c r="AE116" i="102" s="1"/>
  <c r="CO140" i="102"/>
  <c r="CQ140" i="102" s="1"/>
  <c r="AK220" i="102"/>
  <c r="AM220" i="102" s="1"/>
  <c r="M70" i="105"/>
  <c r="O70" i="105" s="1"/>
  <c r="AC158" i="102"/>
  <c r="AE158" i="102" s="1"/>
  <c r="BI198" i="102"/>
  <c r="BK198" i="102" s="1"/>
  <c r="M101" i="102"/>
  <c r="O101" i="102" s="1"/>
  <c r="AK105" i="102"/>
  <c r="AM105" i="102" s="1"/>
  <c r="AC196" i="102"/>
  <c r="AE196" i="102" s="1"/>
  <c r="M166" i="102"/>
  <c r="O166" i="102" s="1"/>
  <c r="BY150" i="102"/>
  <c r="CA150" i="102" s="1"/>
  <c r="AC166" i="102"/>
  <c r="AE166" i="102" s="1"/>
  <c r="M184" i="102"/>
  <c r="O184" i="102" s="1"/>
  <c r="BY114" i="102"/>
  <c r="CA114" i="102" s="1"/>
  <c r="AS200" i="102"/>
  <c r="AU200" i="102" s="1"/>
  <c r="CO100" i="102"/>
  <c r="CQ100" i="102" s="1"/>
  <c r="AC204" i="102"/>
  <c r="AE204" i="102" s="1"/>
  <c r="M187" i="102"/>
  <c r="O187" i="102" s="1"/>
  <c r="CO178" i="102"/>
  <c r="CQ178" i="102" s="1"/>
  <c r="AK225" i="102"/>
  <c r="AM225" i="102" s="1"/>
  <c r="AK186" i="102"/>
  <c r="AM186" i="102" s="1"/>
  <c r="U155" i="102"/>
  <c r="W155" i="102" s="1"/>
  <c r="AS188" i="102"/>
  <c r="AU188" i="102" s="1"/>
  <c r="M157" i="102"/>
  <c r="O157" i="102" s="1"/>
  <c r="BA117" i="102"/>
  <c r="BC117" i="102" s="1"/>
  <c r="AC109" i="102"/>
  <c r="AE109" i="102" s="1"/>
  <c r="BQ113" i="102"/>
  <c r="BS113" i="102" s="1"/>
  <c r="BA214" i="102"/>
  <c r="BC214" i="102" s="1"/>
  <c r="M114" i="102"/>
  <c r="O114" i="102" s="1"/>
  <c r="U166" i="102"/>
  <c r="W166" i="102" s="1"/>
  <c r="BA110" i="102"/>
  <c r="BC110" i="102" s="1"/>
  <c r="U218" i="102"/>
  <c r="W218" i="102" s="1"/>
  <c r="AC212" i="102"/>
  <c r="AE212" i="102" s="1"/>
  <c r="BI169" i="102"/>
  <c r="BK169" i="102" s="1"/>
  <c r="BI124" i="102"/>
  <c r="BK124" i="102" s="1"/>
  <c r="AK12" i="102"/>
  <c r="AM12" i="102" s="1"/>
  <c r="BI227" i="102"/>
  <c r="BK227" i="102" s="1"/>
  <c r="AS84" i="102"/>
  <c r="AU84" i="102" s="1"/>
  <c r="AK6" i="102"/>
  <c r="AM6" i="102" s="1"/>
  <c r="AK200" i="102"/>
  <c r="AM200" i="102" s="1"/>
  <c r="CO149" i="102"/>
  <c r="CQ149" i="102" s="1"/>
  <c r="U42" i="102"/>
  <c r="W42" i="102" s="1"/>
  <c r="BA72" i="102"/>
  <c r="BC72" i="102" s="1"/>
  <c r="AS12" i="102"/>
  <c r="AU12" i="102" s="1"/>
  <c r="BY173" i="102"/>
  <c r="CA173" i="102" s="1"/>
  <c r="CO103" i="102"/>
  <c r="CQ103" i="102" s="1"/>
  <c r="AS39" i="102"/>
  <c r="AU39" i="102" s="1"/>
  <c r="M204" i="102"/>
  <c r="O204" i="102" s="1"/>
  <c r="M14" i="102"/>
  <c r="O14" i="102" s="1"/>
  <c r="BQ205" i="102"/>
  <c r="BS205" i="102" s="1"/>
  <c r="AK40" i="102"/>
  <c r="AM40" i="102" s="1"/>
  <c r="BY71" i="102"/>
  <c r="CA71" i="102" s="1"/>
  <c r="BQ34" i="102"/>
  <c r="BS34" i="102" s="1"/>
  <c r="M50" i="102"/>
  <c r="O50" i="102" s="1"/>
  <c r="BA39" i="102"/>
  <c r="BC39" i="102" s="1"/>
  <c r="BA118" i="102"/>
  <c r="BC118" i="102" s="1"/>
  <c r="BA37" i="102"/>
  <c r="BC37" i="102" s="1"/>
  <c r="K13" i="104"/>
  <c r="L13" i="104" s="1"/>
  <c r="AK51" i="102"/>
  <c r="AM51" i="102" s="1"/>
  <c r="AS51" i="102"/>
  <c r="AU51" i="102" s="1"/>
  <c r="BY122" i="102"/>
  <c r="CA122" i="102" s="1"/>
  <c r="BY203" i="102"/>
  <c r="CA203" i="102" s="1"/>
  <c r="BI78" i="102"/>
  <c r="BK78" i="102" s="1"/>
  <c r="BQ70" i="102"/>
  <c r="BS70" i="102" s="1"/>
  <c r="K55" i="104"/>
  <c r="L55" i="104" s="1"/>
  <c r="CO185" i="102"/>
  <c r="CQ185" i="102" s="1"/>
  <c r="M75" i="102"/>
  <c r="O75" i="102" s="1"/>
  <c r="BI28" i="102"/>
  <c r="BK28" i="102" s="1"/>
  <c r="AC16" i="102"/>
  <c r="AE16" i="102" s="1"/>
  <c r="BY101" i="102"/>
  <c r="CA101" i="102" s="1"/>
  <c r="U65" i="102"/>
  <c r="W65" i="102" s="1"/>
  <c r="CG118" i="102"/>
  <c r="CI118" i="102" s="1"/>
  <c r="BA136" i="102"/>
  <c r="BC136" i="102" s="1"/>
  <c r="AK53" i="102"/>
  <c r="AM53" i="102" s="1"/>
  <c r="AC104" i="102"/>
  <c r="AE104" i="102" s="1"/>
  <c r="AC175" i="102"/>
  <c r="AE175" i="102" s="1"/>
  <c r="BQ56" i="102"/>
  <c r="BS56" i="102" s="1"/>
  <c r="K83" i="104"/>
  <c r="L83" i="104" s="1"/>
  <c r="K17" i="104"/>
  <c r="L17" i="104" s="1"/>
  <c r="AC44" i="102"/>
  <c r="AE44" i="102" s="1"/>
  <c r="CO184" i="102"/>
  <c r="CQ184" i="102" s="1"/>
  <c r="AC65" i="102"/>
  <c r="AE65" i="102" s="1"/>
  <c r="AS75" i="102"/>
  <c r="AU75" i="102" s="1"/>
  <c r="BA193" i="102"/>
  <c r="BC193" i="102" s="1"/>
  <c r="AC30" i="102"/>
  <c r="AE30" i="102" s="1"/>
  <c r="BI62" i="102"/>
  <c r="BK62" i="102" s="1"/>
  <c r="U161" i="102"/>
  <c r="W161" i="102" s="1"/>
  <c r="AS44" i="102"/>
  <c r="AU44" i="102" s="1"/>
  <c r="U205" i="102"/>
  <c r="W205" i="102" s="1"/>
  <c r="BI208" i="102"/>
  <c r="BK208" i="102" s="1"/>
  <c r="AC23" i="102"/>
  <c r="AE23" i="102" s="1"/>
  <c r="BQ24" i="102"/>
  <c r="BS24" i="102" s="1"/>
  <c r="AK80" i="102"/>
  <c r="AM80" i="102" s="1"/>
  <c r="BI39" i="102"/>
  <c r="BK39" i="102" s="1"/>
  <c r="BY41" i="102"/>
  <c r="CA41" i="102" s="1"/>
  <c r="U111" i="102"/>
  <c r="W111" i="102" s="1"/>
  <c r="BQ220" i="102"/>
  <c r="BS220" i="102" s="1"/>
  <c r="CG230" i="102"/>
  <c r="CI230" i="102" s="1"/>
  <c r="BI69" i="102"/>
  <c r="BK69" i="102" s="1"/>
  <c r="AC40" i="102"/>
  <c r="AE40" i="102" s="1"/>
  <c r="U36" i="102"/>
  <c r="W36" i="102" s="1"/>
  <c r="K63" i="104"/>
  <c r="L63" i="104" s="1"/>
  <c r="M32" i="102"/>
  <c r="O32" i="102" s="1"/>
  <c r="U15" i="102"/>
  <c r="W15" i="102" s="1"/>
  <c r="AS97" i="102"/>
  <c r="AU97" i="102" s="1"/>
  <c r="U167" i="102"/>
  <c r="W167" i="102" s="1"/>
  <c r="BA82" i="102"/>
  <c r="BC82" i="102" s="1"/>
  <c r="BY46" i="102"/>
  <c r="CA46" i="102" s="1"/>
  <c r="CO190" i="102"/>
  <c r="CQ190" i="102" s="1"/>
  <c r="AC230" i="102"/>
  <c r="AE230" i="102" s="1"/>
  <c r="AK153" i="102"/>
  <c r="AM153" i="102" s="1"/>
  <c r="BI114" i="102"/>
  <c r="BK114" i="102" s="1"/>
  <c r="AK182" i="102"/>
  <c r="AM182" i="102" s="1"/>
  <c r="AK135" i="102"/>
  <c r="AM135" i="102" s="1"/>
  <c r="AK123" i="102"/>
  <c r="AM123" i="102" s="1"/>
  <c r="M220" i="102"/>
  <c r="O220" i="102" s="1"/>
  <c r="AK194" i="102"/>
  <c r="AM194" i="102" s="1"/>
  <c r="M118" i="102"/>
  <c r="O118" i="102" s="1"/>
  <c r="AC120" i="102"/>
  <c r="AE120" i="102" s="1"/>
  <c r="M40" i="105"/>
  <c r="O40" i="105" s="1"/>
  <c r="BY167" i="102"/>
  <c r="CA167" i="102" s="1"/>
  <c r="AC202" i="102"/>
  <c r="AE202" i="102" s="1"/>
  <c r="BA212" i="102"/>
  <c r="BC212" i="102" s="1"/>
  <c r="CG175" i="102"/>
  <c r="CI175" i="102" s="1"/>
  <c r="U156" i="102"/>
  <c r="W156" i="102" s="1"/>
  <c r="M35" i="105"/>
  <c r="O35" i="105" s="1"/>
  <c r="BI209" i="102"/>
  <c r="BK209" i="102" s="1"/>
  <c r="BI201" i="102"/>
  <c r="BK201" i="102" s="1"/>
  <c r="BQ169" i="102"/>
  <c r="BS169" i="102" s="1"/>
  <c r="AC132" i="102"/>
  <c r="AE132" i="102" s="1"/>
  <c r="AS130" i="102"/>
  <c r="AU130" i="102" s="1"/>
  <c r="AC211" i="102"/>
  <c r="AE211" i="102" s="1"/>
  <c r="BQ191" i="102"/>
  <c r="BS191" i="102" s="1"/>
  <c r="BI225" i="102"/>
  <c r="BK225" i="102" s="1"/>
  <c r="M200" i="102"/>
  <c r="O200" i="102" s="1"/>
  <c r="AK222" i="102"/>
  <c r="AM222" i="102" s="1"/>
  <c r="M135" i="102"/>
  <c r="O135" i="102" s="1"/>
  <c r="BY165" i="102"/>
  <c r="CA165" i="102" s="1"/>
  <c r="BA231" i="102"/>
  <c r="BC231" i="102" s="1"/>
  <c r="M42" i="105"/>
  <c r="O42" i="105" s="1"/>
  <c r="BA99" i="102"/>
  <c r="BC99" i="102" s="1"/>
  <c r="AK114" i="102"/>
  <c r="AM114" i="102" s="1"/>
  <c r="BQ178" i="102"/>
  <c r="BS178" i="102" s="1"/>
  <c r="AC102" i="102"/>
  <c r="AE102" i="102" s="1"/>
  <c r="M67" i="105"/>
  <c r="O67" i="105" s="1"/>
  <c r="M145" i="102"/>
  <c r="O145" i="102" s="1"/>
  <c r="AK138" i="102"/>
  <c r="AM138" i="102" s="1"/>
  <c r="BQ174" i="102"/>
  <c r="BS174" i="102" s="1"/>
  <c r="BA196" i="102"/>
  <c r="BC196" i="102" s="1"/>
  <c r="AS167" i="102"/>
  <c r="AU167" i="102" s="1"/>
  <c r="M147" i="102"/>
  <c r="O147" i="102" s="1"/>
  <c r="AK187" i="102"/>
  <c r="AM187" i="102" s="1"/>
  <c r="CG163" i="102"/>
  <c r="CI163" i="102" s="1"/>
  <c r="BA173" i="102"/>
  <c r="BC173" i="102" s="1"/>
  <c r="M121" i="102"/>
  <c r="O121" i="102" s="1"/>
  <c r="BY194" i="102"/>
  <c r="CA194" i="102" s="1"/>
  <c r="BA191" i="102"/>
  <c r="BC191" i="102" s="1"/>
  <c r="AC145" i="102"/>
  <c r="AE145" i="102" s="1"/>
  <c r="M188" i="102"/>
  <c r="O188" i="102" s="1"/>
  <c r="AK134" i="102"/>
  <c r="AM134" i="102" s="1"/>
  <c r="CO122" i="102"/>
  <c r="CQ122" i="102" s="1"/>
  <c r="AS108" i="102"/>
  <c r="AU108" i="102" s="1"/>
  <c r="AK66" i="102"/>
  <c r="AM66" i="102" s="1"/>
  <c r="M181" i="102"/>
  <c r="O181" i="102" s="1"/>
  <c r="U109" i="102"/>
  <c r="W109" i="102" s="1"/>
  <c r="CG123" i="102"/>
  <c r="CI123" i="102" s="1"/>
  <c r="BY141" i="102"/>
  <c r="CA141" i="102" s="1"/>
  <c r="U183" i="102"/>
  <c r="W183" i="102" s="1"/>
  <c r="AS161" i="102"/>
  <c r="AU161" i="102" s="1"/>
  <c r="U122" i="102"/>
  <c r="W122" i="102" s="1"/>
  <c r="BA166" i="102"/>
  <c r="BC166" i="102" s="1"/>
  <c r="U174" i="102"/>
  <c r="W174" i="102" s="1"/>
  <c r="AC149" i="102"/>
  <c r="AE149" i="102" s="1"/>
  <c r="BI141" i="102"/>
  <c r="BK141" i="102" s="1"/>
  <c r="AK177" i="102"/>
  <c r="AM177" i="102" s="1"/>
  <c r="U159" i="102"/>
  <c r="W159" i="102" s="1"/>
  <c r="CO189" i="102"/>
  <c r="CQ189" i="102" s="1"/>
  <c r="BY221" i="102"/>
  <c r="CA221" i="102" s="1"/>
  <c r="AS166" i="102"/>
  <c r="AU166" i="102" s="1"/>
  <c r="M47" i="102"/>
  <c r="O47" i="102" s="1"/>
  <c r="U32" i="102"/>
  <c r="W32" i="102" s="1"/>
  <c r="U46" i="102"/>
  <c r="W46" i="102" s="1"/>
  <c r="BI14" i="102"/>
  <c r="BK14" i="102" s="1"/>
  <c r="AC41" i="102"/>
  <c r="AE41" i="102" s="1"/>
  <c r="AS106" i="102"/>
  <c r="AU106" i="102" s="1"/>
  <c r="BQ160" i="102"/>
  <c r="BS160" i="102" s="1"/>
  <c r="CG142" i="102"/>
  <c r="CI142" i="102" s="1"/>
  <c r="BY57" i="102"/>
  <c r="CA57" i="102" s="1"/>
  <c r="K29" i="104"/>
  <c r="L29" i="104" s="1"/>
  <c r="AS151" i="102"/>
  <c r="AU151" i="102" s="1"/>
  <c r="CG121" i="102"/>
  <c r="CI121" i="102" s="1"/>
  <c r="CO162" i="102"/>
  <c r="CQ162" i="102" s="1"/>
  <c r="BI173" i="102"/>
  <c r="BK173" i="102" s="1"/>
  <c r="K70" i="104"/>
  <c r="L70" i="104" s="1"/>
  <c r="AK185" i="102"/>
  <c r="AM185" i="102" s="1"/>
  <c r="CG139" i="102"/>
  <c r="CI139" i="102" s="1"/>
  <c r="BY169" i="102"/>
  <c r="CA169" i="102" s="1"/>
  <c r="BY63" i="102"/>
  <c r="CA63" i="102" s="1"/>
  <c r="BQ106" i="102"/>
  <c r="BS106" i="102" s="1"/>
  <c r="M37" i="102"/>
  <c r="O37" i="102" s="1"/>
  <c r="AK9" i="102"/>
  <c r="AM9" i="102" s="1"/>
  <c r="AC213" i="102"/>
  <c r="AE213" i="102" s="1"/>
  <c r="AK206" i="102"/>
  <c r="AM206" i="102" s="1"/>
  <c r="AS67" i="102"/>
  <c r="AU67" i="102" s="1"/>
  <c r="K43" i="104"/>
  <c r="L43" i="104" s="1"/>
  <c r="BY123" i="102"/>
  <c r="CA123" i="102" s="1"/>
  <c r="AK197" i="102"/>
  <c r="AM197" i="102" s="1"/>
  <c r="AC63" i="102"/>
  <c r="AE63" i="102" s="1"/>
  <c r="CG200" i="102"/>
  <c r="CI200" i="102" s="1"/>
  <c r="BI219" i="102"/>
  <c r="BK219" i="102" s="1"/>
  <c r="AS63" i="102"/>
  <c r="AU63" i="102" s="1"/>
  <c r="BY72" i="102"/>
  <c r="CA72" i="102" s="1"/>
  <c r="BI48" i="102"/>
  <c r="BK48" i="102" s="1"/>
  <c r="CO159" i="102"/>
  <c r="CQ159" i="102" s="1"/>
  <c r="AC48" i="102"/>
  <c r="AE48" i="102" s="1"/>
  <c r="AK82" i="102"/>
  <c r="AM82" i="102" s="1"/>
  <c r="AS72" i="102"/>
  <c r="AU72" i="102" s="1"/>
  <c r="BQ117" i="102"/>
  <c r="BS117" i="102" s="1"/>
  <c r="BY168" i="102"/>
  <c r="CA168" i="102" s="1"/>
  <c r="BQ40" i="102"/>
  <c r="BS40" i="102" s="1"/>
  <c r="AC64" i="102"/>
  <c r="AE64" i="102" s="1"/>
  <c r="AK25" i="102"/>
  <c r="AM25" i="102" s="1"/>
  <c r="BA51" i="102"/>
  <c r="BC51" i="102" s="1"/>
  <c r="BI37" i="102"/>
  <c r="BK37" i="102" s="1"/>
  <c r="K59" i="104"/>
  <c r="L59" i="104" s="1"/>
  <c r="BI63" i="102"/>
  <c r="BK63" i="102" s="1"/>
  <c r="BY183" i="102"/>
  <c r="CA183" i="102" s="1"/>
  <c r="BY128" i="102"/>
  <c r="CA128" i="102" s="1"/>
  <c r="BY77" i="102"/>
  <c r="CA77" i="102" s="1"/>
  <c r="BY50" i="102"/>
  <c r="CA50" i="102" s="1"/>
  <c r="BI130" i="102"/>
  <c r="BK130" i="102" s="1"/>
  <c r="BQ185" i="102"/>
  <c r="BS185" i="102" s="1"/>
  <c r="AS181" i="102"/>
  <c r="AU181" i="102" s="1"/>
  <c r="AK44" i="102"/>
  <c r="AM44" i="102" s="1"/>
  <c r="U195" i="102"/>
  <c r="W195" i="102" s="1"/>
  <c r="BI205" i="102"/>
  <c r="BK205" i="102" s="1"/>
  <c r="CG165" i="102"/>
  <c r="CI165" i="102" s="1"/>
  <c r="M21" i="102"/>
  <c r="O21" i="102" s="1"/>
  <c r="BI59" i="102"/>
  <c r="BK59" i="102" s="1"/>
  <c r="BQ47" i="102"/>
  <c r="BS47" i="102" s="1"/>
  <c r="BI41" i="102"/>
  <c r="BK41" i="102" s="1"/>
  <c r="AS101" i="102"/>
  <c r="AU101" i="102" s="1"/>
  <c r="CO202" i="102"/>
  <c r="CQ202" i="102" s="1"/>
  <c r="M64" i="102"/>
  <c r="O64" i="102" s="1"/>
  <c r="BI148" i="102"/>
  <c r="BK148" i="102" s="1"/>
  <c r="BY75" i="102"/>
  <c r="CA75" i="102" s="1"/>
  <c r="M18" i="102"/>
  <c r="O18" i="102" s="1"/>
  <c r="AK226" i="102"/>
  <c r="AM226" i="102" s="1"/>
  <c r="BQ221" i="102"/>
  <c r="BS221" i="102" s="1"/>
  <c r="AK56" i="102"/>
  <c r="AM56" i="102" s="1"/>
  <c r="AK65" i="102"/>
  <c r="AM65" i="102" s="1"/>
  <c r="AS53" i="102"/>
  <c r="AU53" i="102" s="1"/>
  <c r="BI98" i="102"/>
  <c r="BK98" i="102" s="1"/>
  <c r="BY93" i="102"/>
  <c r="CA93" i="102" s="1"/>
  <c r="M55" i="102"/>
  <c r="O55" i="102" s="1"/>
  <c r="M71" i="102"/>
  <c r="O71" i="102" s="1"/>
  <c r="AS71" i="102"/>
  <c r="AU71" i="102" s="1"/>
  <c r="BQ32" i="102"/>
  <c r="BS32" i="102" s="1"/>
  <c r="M99" i="102"/>
  <c r="O99" i="102" s="1"/>
  <c r="M230" i="102"/>
  <c r="O230" i="102" s="1"/>
  <c r="BA160" i="102"/>
  <c r="BC160" i="102" s="1"/>
  <c r="AC226" i="102"/>
  <c r="AE226" i="102" s="1"/>
  <c r="CG106" i="102"/>
  <c r="CI106" i="102" s="1"/>
  <c r="BI177" i="102"/>
  <c r="BK177" i="102" s="1"/>
  <c r="U165" i="102"/>
  <c r="W165" i="102" s="1"/>
  <c r="AC131" i="102"/>
  <c r="AE131" i="102" s="1"/>
  <c r="AK178" i="102"/>
  <c r="AM178" i="102" s="1"/>
  <c r="CG224" i="102"/>
  <c r="CI224" i="102" s="1"/>
  <c r="AC219" i="102"/>
  <c r="AE219" i="102" s="1"/>
  <c r="AS143" i="102"/>
  <c r="AU143" i="102" s="1"/>
  <c r="BY146" i="102"/>
  <c r="CA146" i="102" s="1"/>
  <c r="BY152" i="102"/>
  <c r="CA152" i="102" s="1"/>
  <c r="M214" i="102"/>
  <c r="O214" i="102" s="1"/>
  <c r="M160" i="102"/>
  <c r="O160" i="102" s="1"/>
  <c r="BY120" i="102"/>
  <c r="CA120" i="102" s="1"/>
  <c r="AK119" i="102"/>
  <c r="AM119" i="102" s="1"/>
  <c r="M23" i="105"/>
  <c r="O23" i="105" s="1"/>
  <c r="M20" i="105"/>
  <c r="O20" i="105" s="1"/>
  <c r="M148" i="102"/>
  <c r="O148" i="102" s="1"/>
  <c r="AC222" i="102"/>
  <c r="AE222" i="102" s="1"/>
  <c r="AC137" i="102"/>
  <c r="AE137" i="102" s="1"/>
  <c r="BQ202" i="102"/>
  <c r="BS202" i="102" s="1"/>
  <c r="AK150" i="102"/>
  <c r="AM150" i="102" s="1"/>
  <c r="M32" i="105"/>
  <c r="O32" i="105" s="1"/>
  <c r="BQ226" i="102"/>
  <c r="BS226" i="102" s="1"/>
  <c r="BQ166" i="102"/>
  <c r="BS166" i="102" s="1"/>
  <c r="CG168" i="102"/>
  <c r="CI168" i="102" s="1"/>
  <c r="AC223" i="102"/>
  <c r="AE223" i="102" s="1"/>
  <c r="BA153" i="102"/>
  <c r="BC153" i="102" s="1"/>
  <c r="AC207" i="102"/>
  <c r="AE207" i="102" s="1"/>
  <c r="BI176" i="102"/>
  <c r="BK176" i="102" s="1"/>
  <c r="U209" i="102"/>
  <c r="W209" i="102" s="1"/>
  <c r="AS220" i="102"/>
  <c r="AU220" i="102" s="1"/>
  <c r="M179" i="102"/>
  <c r="O179" i="102" s="1"/>
  <c r="BQ182" i="102"/>
  <c r="BS182" i="102" s="1"/>
  <c r="M189" i="102"/>
  <c r="O189" i="102" s="1"/>
  <c r="U144" i="102"/>
  <c r="W144" i="102" s="1"/>
  <c r="BA138" i="102"/>
  <c r="BC138" i="102" s="1"/>
  <c r="U168" i="102"/>
  <c r="W168" i="102" s="1"/>
  <c r="BY200" i="102"/>
  <c r="CA200" i="102" s="1"/>
  <c r="U117" i="102"/>
  <c r="W117" i="102" s="1"/>
  <c r="M190" i="102"/>
  <c r="O190" i="102" s="1"/>
  <c r="CO204" i="102"/>
  <c r="CQ204" i="102" s="1"/>
  <c r="BY144" i="102"/>
  <c r="CA144" i="102" s="1"/>
  <c r="AS211" i="102"/>
  <c r="AU211" i="102" s="1"/>
  <c r="CG231" i="102"/>
  <c r="CI231" i="102" s="1"/>
  <c r="AS137" i="102"/>
  <c r="AU137" i="102" s="1"/>
  <c r="M68" i="105"/>
  <c r="O68" i="105" s="1"/>
  <c r="AK159" i="102"/>
  <c r="AM159" i="102" s="1"/>
  <c r="CG190" i="102"/>
  <c r="CI190" i="102" s="1"/>
  <c r="AS191" i="102"/>
  <c r="AU191" i="102" s="1"/>
  <c r="BA147" i="102"/>
  <c r="BC147" i="102" s="1"/>
  <c r="BY190" i="102"/>
  <c r="CA190" i="102" s="1"/>
  <c r="BQ111" i="102"/>
  <c r="BS111" i="102" s="1"/>
  <c r="U133" i="102"/>
  <c r="W133" i="102" s="1"/>
  <c r="CG201" i="102"/>
  <c r="CI201" i="102" s="1"/>
  <c r="AC95" i="102"/>
  <c r="AE95" i="102" s="1"/>
  <c r="U192" i="102"/>
  <c r="W192" i="102" s="1"/>
  <c r="CG138" i="102"/>
  <c r="CI138" i="102" s="1"/>
  <c r="BA175" i="102"/>
  <c r="BC175" i="102" s="1"/>
  <c r="AC144" i="102"/>
  <c r="AE144" i="102" s="1"/>
  <c r="U176" i="102"/>
  <c r="W176" i="102" s="1"/>
  <c r="CG147" i="102"/>
  <c r="CI147" i="102" s="1"/>
  <c r="BY177" i="102"/>
  <c r="CA177" i="102" s="1"/>
  <c r="AC103" i="102"/>
  <c r="AE103" i="102" s="1"/>
  <c r="CO134" i="102"/>
  <c r="CQ134" i="102" s="1"/>
  <c r="AK229" i="102"/>
  <c r="AM229" i="102" s="1"/>
  <c r="AC194" i="102"/>
  <c r="AE194" i="102" s="1"/>
  <c r="BI222" i="102"/>
  <c r="BK222" i="102" s="1"/>
  <c r="BY163" i="102"/>
  <c r="CA163" i="102" s="1"/>
  <c r="AC9" i="102"/>
  <c r="AE9" i="102" s="1"/>
  <c r="AC21" i="102"/>
  <c r="AE21" i="102" s="1"/>
  <c r="AC228" i="102"/>
  <c r="AE228" i="102" s="1"/>
  <c r="BI65" i="102"/>
  <c r="BK65" i="102" s="1"/>
  <c r="AK141" i="102"/>
  <c r="AM141" i="102" s="1"/>
  <c r="CG157" i="102"/>
  <c r="CI157" i="102" s="1"/>
  <c r="CG102" i="102"/>
  <c r="CI102" i="102" s="1"/>
  <c r="AK26" i="102"/>
  <c r="AM26" i="102" s="1"/>
  <c r="K74" i="104"/>
  <c r="L74" i="104" s="1"/>
  <c r="K26" i="104"/>
  <c r="L26" i="104" s="1"/>
  <c r="AS201" i="102"/>
  <c r="AU201" i="102" s="1"/>
  <c r="CG99" i="102"/>
  <c r="CI99" i="102" s="1"/>
  <c r="BQ136" i="102"/>
  <c r="BS136" i="102" s="1"/>
  <c r="AS17" i="102"/>
  <c r="AU17" i="102" s="1"/>
  <c r="BY76" i="102"/>
  <c r="CA76" i="102" s="1"/>
  <c r="AC192" i="102"/>
  <c r="AE192" i="102" s="1"/>
  <c r="BY100" i="102"/>
  <c r="CA100" i="102" s="1"/>
  <c r="M28" i="102"/>
  <c r="O28" i="102" s="1"/>
  <c r="CO208" i="102"/>
  <c r="CQ208" i="102" s="1"/>
  <c r="BY54" i="102"/>
  <c r="CA54" i="102" s="1"/>
  <c r="BY14" i="102"/>
  <c r="CA14" i="102" s="1"/>
  <c r="CG202" i="102"/>
  <c r="CI202" i="102" s="1"/>
  <c r="BY48" i="102"/>
  <c r="CA48" i="102" s="1"/>
  <c r="BI165" i="102"/>
  <c r="BK165" i="102" s="1"/>
  <c r="CG143" i="102"/>
  <c r="CI143" i="102" s="1"/>
  <c r="BY33" i="102"/>
  <c r="CA33" i="102" s="1"/>
  <c r="K51" i="104"/>
  <c r="L51" i="104" s="1"/>
  <c r="AC38" i="102"/>
  <c r="AE38" i="102" s="1"/>
  <c r="T86" i="103"/>
  <c r="T87" i="103"/>
  <c r="CO205" i="102"/>
  <c r="CQ205" i="102" s="1"/>
  <c r="CO180" i="102"/>
  <c r="CQ180" i="102" s="1"/>
  <c r="AS81" i="102"/>
  <c r="AU81" i="102" s="1"/>
  <c r="M13" i="102"/>
  <c r="O13" i="102" s="1"/>
  <c r="K54" i="104"/>
  <c r="L54" i="104" s="1"/>
  <c r="U57" i="102"/>
  <c r="W57" i="102" s="1"/>
  <c r="BQ99" i="102"/>
  <c r="BS99" i="102" s="1"/>
  <c r="M10" i="102"/>
  <c r="O10" i="102" s="1"/>
  <c r="BY161" i="102"/>
  <c r="CA161" i="102" s="1"/>
  <c r="AC200" i="102"/>
  <c r="AE200" i="102" s="1"/>
  <c r="M25" i="102"/>
  <c r="O25" i="102" s="1"/>
  <c r="AS66" i="102"/>
  <c r="AU66" i="102" s="1"/>
  <c r="BQ48" i="102"/>
  <c r="BS48" i="102" s="1"/>
  <c r="AC62" i="102"/>
  <c r="AE62" i="102" s="1"/>
  <c r="CO182" i="102"/>
  <c r="CQ182" i="102" s="1"/>
  <c r="AK63" i="102"/>
  <c r="AM63" i="102" s="1"/>
  <c r="BQ8" i="102"/>
  <c r="BS8" i="102" s="1"/>
  <c r="K25" i="104"/>
  <c r="L25" i="104" s="1"/>
  <c r="K48" i="104"/>
  <c r="L48" i="104" s="1"/>
  <c r="AS154" i="102"/>
  <c r="AU154" i="102" s="1"/>
  <c r="U83" i="102"/>
  <c r="W83" i="102" s="1"/>
  <c r="BA67" i="102"/>
  <c r="BC67" i="102" s="1"/>
  <c r="M138" i="102"/>
  <c r="O138" i="102" s="1"/>
  <c r="BQ80" i="102"/>
  <c r="BS80" i="102" s="1"/>
  <c r="BQ158" i="102"/>
  <c r="BS158" i="102" s="1"/>
  <c r="BI16" i="102"/>
  <c r="BK16" i="102" s="1"/>
  <c r="BQ50" i="102"/>
  <c r="BS50" i="102" s="1"/>
  <c r="BQ97" i="102"/>
  <c r="BS97" i="102" s="1"/>
  <c r="CO196" i="102"/>
  <c r="CQ196" i="102" s="1"/>
  <c r="BQ203" i="102"/>
  <c r="BS203" i="102" s="1"/>
  <c r="U24" i="102"/>
  <c r="W24" i="102" s="1"/>
  <c r="BQ55" i="102"/>
  <c r="BS55" i="102" s="1"/>
  <c r="BI29" i="102"/>
  <c r="BK29" i="102" s="1"/>
  <c r="CO215" i="102"/>
  <c r="CQ215" i="102" s="1"/>
  <c r="CO158" i="102"/>
  <c r="CQ158" i="102" s="1"/>
  <c r="U79" i="102"/>
  <c r="W79" i="102" s="1"/>
  <c r="BA73" i="102"/>
  <c r="BC73" i="102" s="1"/>
  <c r="BY42" i="102"/>
  <c r="CA42" i="102" s="1"/>
  <c r="M48" i="102"/>
  <c r="O48" i="102" s="1"/>
  <c r="CO116" i="102"/>
  <c r="CQ116" i="102" s="1"/>
  <c r="U45" i="102"/>
  <c r="W45" i="102" s="1"/>
  <c r="BQ78" i="102"/>
  <c r="BS78" i="102" s="1"/>
  <c r="BY70" i="102"/>
  <c r="CA70" i="102" s="1"/>
  <c r="BI175" i="102"/>
  <c r="BK175" i="102" s="1"/>
  <c r="AC11" i="102"/>
  <c r="AE11" i="102" s="1"/>
  <c r="M82" i="102"/>
  <c r="O82" i="102" s="1"/>
  <c r="U35" i="102"/>
  <c r="W35" i="102" s="1"/>
  <c r="BA109" i="102"/>
  <c r="BC109" i="102" s="1"/>
  <c r="AK231" i="102"/>
  <c r="AM231" i="102" s="1"/>
  <c r="BI158" i="102"/>
  <c r="BK158" i="102" s="1"/>
  <c r="BA97" i="102"/>
  <c r="BC97" i="102" s="1"/>
  <c r="AS212" i="102"/>
  <c r="AU212" i="102" s="1"/>
  <c r="BY132" i="102"/>
  <c r="CA132" i="102" s="1"/>
  <c r="CG217" i="102"/>
  <c r="CI217" i="102" s="1"/>
  <c r="U189" i="102"/>
  <c r="W189" i="102" s="1"/>
  <c r="AS135" i="102"/>
  <c r="AU135" i="102" s="1"/>
  <c r="CO118" i="102"/>
  <c r="CQ118" i="102" s="1"/>
  <c r="M186" i="102"/>
  <c r="O186" i="102" s="1"/>
  <c r="AC165" i="102"/>
  <c r="AE165" i="102" s="1"/>
  <c r="AK214" i="102"/>
  <c r="AM214" i="102" s="1"/>
  <c r="U214" i="102"/>
  <c r="W214" i="102" s="1"/>
  <c r="BY230" i="102"/>
  <c r="CA230" i="102" s="1"/>
  <c r="AK179" i="102"/>
  <c r="AM179" i="102" s="1"/>
  <c r="U150" i="102"/>
  <c r="W150" i="102" s="1"/>
  <c r="CG171" i="102"/>
  <c r="CI171" i="102" s="1"/>
  <c r="AK117" i="102"/>
  <c r="AM117" i="102" s="1"/>
  <c r="BQ214" i="102"/>
  <c r="BS214" i="102" s="1"/>
  <c r="AS204" i="102"/>
  <c r="AU204" i="102" s="1"/>
  <c r="BA115" i="102"/>
  <c r="BC115" i="102" s="1"/>
  <c r="U230" i="102"/>
  <c r="W230" i="102" s="1"/>
  <c r="BY166" i="102"/>
  <c r="CA166" i="102" s="1"/>
  <c r="AS118" i="102"/>
  <c r="AU118" i="102" s="1"/>
  <c r="U207" i="102"/>
  <c r="W207" i="102" s="1"/>
  <c r="AC195" i="102"/>
  <c r="AE195" i="102" s="1"/>
  <c r="AS111" i="102"/>
  <c r="AU111" i="102" s="1"/>
  <c r="BA121" i="102"/>
  <c r="BC121" i="102" s="1"/>
  <c r="AC225" i="102"/>
  <c r="AE225" i="102" s="1"/>
  <c r="AK162" i="102"/>
  <c r="AM162" i="102" s="1"/>
  <c r="AS214" i="102"/>
  <c r="AU214" i="102" s="1"/>
  <c r="BI203" i="102"/>
  <c r="BK203" i="102" s="1"/>
  <c r="BY147" i="102"/>
  <c r="CA147" i="102" s="1"/>
  <c r="AS227" i="102"/>
  <c r="AU227" i="102" s="1"/>
  <c r="M196" i="102"/>
  <c r="O196" i="102" s="1"/>
  <c r="U227" i="102"/>
  <c r="W227" i="102" s="1"/>
  <c r="AS160" i="102"/>
  <c r="AU160" i="102" s="1"/>
  <c r="BY95" i="102"/>
  <c r="CA95" i="102" s="1"/>
  <c r="U125" i="102"/>
  <c r="W125" i="102" s="1"/>
  <c r="M119" i="102"/>
  <c r="O119" i="102" s="1"/>
  <c r="BY109" i="102"/>
  <c r="CA109" i="102" s="1"/>
  <c r="BQ105" i="102"/>
  <c r="BS105" i="102" s="1"/>
  <c r="M77" i="102"/>
  <c r="O77" i="102" s="1"/>
  <c r="M33" i="105"/>
  <c r="O33" i="105" s="1"/>
  <c r="CG101" i="102"/>
  <c r="CI101" i="102" s="1"/>
  <c r="BQ121" i="102"/>
  <c r="BS121" i="102" s="1"/>
  <c r="AC177" i="102"/>
  <c r="AE177" i="102" s="1"/>
  <c r="AC160" i="102"/>
  <c r="AE160" i="102" s="1"/>
  <c r="U175" i="102"/>
  <c r="W175" i="102" s="1"/>
  <c r="CO114" i="102"/>
  <c r="CQ114" i="102" s="1"/>
  <c r="BI133" i="102"/>
  <c r="BK133" i="102" s="1"/>
  <c r="U69" i="102"/>
  <c r="W69" i="102" s="1"/>
  <c r="M169" i="102"/>
  <c r="O169" i="102" s="1"/>
  <c r="M49" i="105"/>
  <c r="O49" i="105" s="1"/>
  <c r="BI181" i="102"/>
  <c r="BK181" i="102" s="1"/>
  <c r="CG124" i="102"/>
  <c r="CI124" i="102" s="1"/>
  <c r="AC82" i="102"/>
  <c r="AE82" i="102" s="1"/>
  <c r="U62" i="102"/>
  <c r="W62" i="102" s="1"/>
  <c r="BA47" i="102"/>
  <c r="BC47" i="102" s="1"/>
  <c r="AS189" i="102"/>
  <c r="AU189" i="102" s="1"/>
  <c r="BY219" i="102"/>
  <c r="CA219" i="102" s="1"/>
  <c r="BA204" i="102"/>
  <c r="BC204" i="102" s="1"/>
  <c r="AK68" i="102"/>
  <c r="AM68" i="102" s="1"/>
  <c r="BQ67" i="102"/>
  <c r="BS67" i="102" s="1"/>
  <c r="BI9" i="102"/>
  <c r="BK9" i="102" s="1"/>
  <c r="BY103" i="102"/>
  <c r="CA103" i="102" s="1"/>
  <c r="BI127" i="102"/>
  <c r="BK127" i="102" s="1"/>
  <c r="CG226" i="102"/>
  <c r="CI226" i="102" s="1"/>
  <c r="BY59" i="102"/>
  <c r="CA59" i="102" s="1"/>
  <c r="BQ35" i="102"/>
  <c r="BS35" i="102" s="1"/>
  <c r="CO198" i="102"/>
  <c r="CQ198" i="102" s="1"/>
  <c r="AC33" i="102"/>
  <c r="AE33" i="102" s="1"/>
  <c r="CG205" i="102"/>
  <c r="CI205" i="102" s="1"/>
  <c r="BQ39" i="102"/>
  <c r="BS39" i="102" s="1"/>
  <c r="BI75" i="102"/>
  <c r="BK75" i="102" s="1"/>
  <c r="M22" i="102"/>
  <c r="O22" i="102" s="1"/>
  <c r="BA209" i="102"/>
  <c r="BC209" i="102" s="1"/>
  <c r="U23" i="102"/>
  <c r="W23" i="102" s="1"/>
  <c r="AK59" i="102"/>
  <c r="AM59" i="102" s="1"/>
  <c r="BI56" i="102"/>
  <c r="BK56" i="102" s="1"/>
  <c r="BI12" i="102"/>
  <c r="BK12" i="102" s="1"/>
  <c r="BA71" i="102"/>
  <c r="BC71" i="102" s="1"/>
  <c r="CO111" i="102"/>
  <c r="CQ111" i="102" s="1"/>
  <c r="AC10" i="102"/>
  <c r="AE10" i="102" s="1"/>
  <c r="U44" i="102"/>
  <c r="W44" i="102" s="1"/>
  <c r="AS82" i="102"/>
  <c r="AU82" i="102" s="1"/>
  <c r="AK81" i="102"/>
  <c r="AM81" i="102" s="1"/>
  <c r="AK72" i="102"/>
  <c r="AM72" i="102" s="1"/>
  <c r="BI204" i="102"/>
  <c r="BK204" i="102" s="1"/>
  <c r="BQ159" i="102"/>
  <c r="BS159" i="102" s="1"/>
  <c r="BI50" i="102"/>
  <c r="BK50" i="102" s="1"/>
  <c r="AC22" i="102"/>
  <c r="AE22" i="102" s="1"/>
  <c r="M211" i="102"/>
  <c r="O211" i="102" s="1"/>
  <c r="AC71" i="102"/>
  <c r="AE71" i="102" s="1"/>
  <c r="U131" i="102"/>
  <c r="W131" i="102" s="1"/>
  <c r="U215" i="102"/>
  <c r="W215" i="102" s="1"/>
  <c r="BQ27" i="102"/>
  <c r="BS27" i="102" s="1"/>
  <c r="BI213" i="102"/>
  <c r="BK213" i="102" s="1"/>
  <c r="BY218" i="102"/>
  <c r="CA218" i="102" s="1"/>
  <c r="BY156" i="102"/>
  <c r="CA156" i="102" s="1"/>
  <c r="AK76" i="102"/>
  <c r="AM76" i="102" s="1"/>
  <c r="AS11" i="102"/>
  <c r="AU11" i="102" s="1"/>
  <c r="AC14" i="102"/>
  <c r="AE14" i="102" s="1"/>
  <c r="BA179" i="102"/>
  <c r="BC179" i="102" s="1"/>
  <c r="BI110" i="102"/>
  <c r="BK110" i="102" s="1"/>
  <c r="AC108" i="102"/>
  <c r="AE108" i="102" s="1"/>
  <c r="AS99" i="102"/>
  <c r="AU99" i="102" s="1"/>
  <c r="BA15" i="102"/>
  <c r="BC15" i="102" s="1"/>
  <c r="BY196" i="102"/>
  <c r="CA196" i="102" s="1"/>
  <c r="M23" i="102"/>
  <c r="O23" i="102" s="1"/>
  <c r="BQ135" i="102"/>
  <c r="BS135" i="102" s="1"/>
  <c r="AS76" i="102"/>
  <c r="AU76" i="102" s="1"/>
  <c r="Q87" i="103"/>
  <c r="Q86" i="103"/>
  <c r="CG192" i="102"/>
  <c r="CI192" i="102" s="1"/>
  <c r="CO143" i="102"/>
  <c r="CQ143" i="102" s="1"/>
  <c r="AK49" i="102"/>
  <c r="AM49" i="102" s="1"/>
  <c r="BA32" i="102"/>
  <c r="BC32" i="102" s="1"/>
  <c r="AS45" i="102"/>
  <c r="AU45" i="102" s="1"/>
  <c r="BQ74" i="102"/>
  <c r="BS74" i="102" s="1"/>
  <c r="CG130" i="102"/>
  <c r="CI130" i="102" s="1"/>
  <c r="CO94" i="102"/>
  <c r="CQ94" i="102" s="1"/>
  <c r="AS47" i="102"/>
  <c r="AU47" i="102" s="1"/>
  <c r="BI6" i="102"/>
  <c r="BK6" i="102" s="1"/>
  <c r="BY28" i="102"/>
  <c r="CA28" i="102" s="1"/>
  <c r="CG120" i="102"/>
  <c r="CI120" i="102" s="1"/>
  <c r="CO130" i="102"/>
  <c r="CQ130" i="102" s="1"/>
  <c r="M11" i="102"/>
  <c r="O11" i="102" s="1"/>
  <c r="CO135" i="102"/>
  <c r="CQ135" i="102" s="1"/>
  <c r="BI99" i="102"/>
  <c r="BK99" i="102" s="1"/>
  <c r="BY78" i="102"/>
  <c r="CA78" i="102" s="1"/>
  <c r="U170" i="102"/>
  <c r="W170" i="102" s="1"/>
  <c r="AK106" i="102"/>
  <c r="AM106" i="102" s="1"/>
  <c r="BY182" i="102"/>
  <c r="CA182" i="102" s="1"/>
  <c r="BQ107" i="102"/>
  <c r="BS107" i="102" s="1"/>
  <c r="AS35" i="102"/>
  <c r="AU35" i="102" s="1"/>
  <c r="BA53" i="102"/>
  <c r="BC53" i="102" s="1"/>
  <c r="CG212" i="102"/>
  <c r="CI212" i="102" s="1"/>
  <c r="M56" i="105"/>
  <c r="O56" i="105" s="1"/>
  <c r="BY155" i="102"/>
  <c r="CA155" i="102" s="1"/>
  <c r="AC146" i="102"/>
  <c r="AE146" i="102" s="1"/>
  <c r="AS119" i="102"/>
  <c r="AU119" i="102" s="1"/>
  <c r="CG155" i="102"/>
  <c r="CI155" i="102" s="1"/>
  <c r="U104" i="102"/>
  <c r="W104" i="102" s="1"/>
  <c r="M38" i="105"/>
  <c r="O38" i="105" s="1"/>
  <c r="AS122" i="102"/>
  <c r="AU122" i="102" s="1"/>
  <c r="M125" i="102"/>
  <c r="O125" i="102" s="1"/>
  <c r="BQ146" i="102"/>
  <c r="BS146" i="102" s="1"/>
  <c r="U171" i="102"/>
  <c r="W171" i="102" s="1"/>
  <c r="AC96" i="102"/>
  <c r="AE96" i="102" s="1"/>
  <c r="AS226" i="102"/>
  <c r="AU226" i="102" s="1"/>
  <c r="U219" i="102"/>
  <c r="W219" i="102" s="1"/>
  <c r="BI192" i="102"/>
  <c r="BK192" i="102" s="1"/>
  <c r="AC197" i="102"/>
  <c r="AE197" i="102" s="1"/>
  <c r="BA119" i="102"/>
  <c r="BC119" i="102" s="1"/>
  <c r="AC167" i="102"/>
  <c r="AE167" i="102" s="1"/>
  <c r="CG191" i="102"/>
  <c r="CI191" i="102" s="1"/>
  <c r="AS128" i="102"/>
  <c r="AU128" i="102" s="1"/>
  <c r="U223" i="102"/>
  <c r="W223" i="102" s="1"/>
  <c r="BQ103" i="102"/>
  <c r="BS103" i="102" s="1"/>
  <c r="AS112" i="102"/>
  <c r="AU112" i="102" s="1"/>
  <c r="AS173" i="102"/>
  <c r="AU173" i="102" s="1"/>
  <c r="AK224" i="102"/>
  <c r="AM224" i="102" s="1"/>
  <c r="CO147" i="102"/>
  <c r="CQ147" i="102" s="1"/>
  <c r="CG112" i="102"/>
  <c r="CI112" i="102" s="1"/>
  <c r="AS96" i="102"/>
  <c r="AU96" i="102" s="1"/>
  <c r="AS185" i="102"/>
  <c r="AU185" i="102" s="1"/>
  <c r="AS187" i="102"/>
  <c r="AU187" i="102" s="1"/>
  <c r="BQ104" i="102"/>
  <c r="BS104" i="102" s="1"/>
  <c r="BI107" i="102"/>
  <c r="BK107" i="102" s="1"/>
  <c r="AS120" i="102"/>
  <c r="AU120" i="102" s="1"/>
  <c r="CO168" i="102"/>
  <c r="CQ168" i="102" s="1"/>
  <c r="U163" i="102"/>
  <c r="W163" i="102" s="1"/>
  <c r="BA162" i="102"/>
  <c r="BC162" i="102" s="1"/>
  <c r="BY129" i="102"/>
  <c r="CA129" i="102" s="1"/>
  <c r="U143" i="102"/>
  <c r="W143" i="102" s="1"/>
  <c r="U169" i="102"/>
  <c r="W169" i="102" s="1"/>
  <c r="AC127" i="102"/>
  <c r="AE127" i="102" s="1"/>
  <c r="M180" i="102"/>
  <c r="O180" i="102" s="1"/>
  <c r="AK101" i="102"/>
  <c r="AM101" i="102" s="1"/>
  <c r="CG161" i="102"/>
  <c r="CI161" i="102" s="1"/>
  <c r="M34" i="105"/>
  <c r="O34" i="105" s="1"/>
  <c r="BY216" i="102"/>
  <c r="CA216" i="102" s="1"/>
  <c r="BQ130" i="102"/>
  <c r="BS130" i="102" s="1"/>
  <c r="U116" i="102"/>
  <c r="W116" i="102" s="1"/>
  <c r="BY134" i="102"/>
  <c r="CA134" i="102" s="1"/>
  <c r="AC209" i="102"/>
  <c r="AE209" i="102" s="1"/>
  <c r="AS138" i="102"/>
  <c r="AU138" i="102" s="1"/>
  <c r="BQ112" i="102"/>
  <c r="BS112" i="102" s="1"/>
  <c r="M228" i="102"/>
  <c r="O228" i="102" s="1"/>
  <c r="M31" i="105"/>
  <c r="O31" i="105" s="1"/>
  <c r="BA223" i="102"/>
  <c r="BC223" i="102" s="1"/>
  <c r="CG225" i="102"/>
  <c r="CI225" i="102" s="1"/>
  <c r="CG172" i="102"/>
  <c r="CI172" i="102" s="1"/>
  <c r="AS179" i="102"/>
  <c r="AU179" i="102" s="1"/>
  <c r="BA130" i="102"/>
  <c r="BC130" i="102" s="1"/>
  <c r="CG228" i="102"/>
  <c r="CI228" i="102" s="1"/>
  <c r="U229" i="102"/>
  <c r="W229" i="102" s="1"/>
  <c r="BQ140" i="102"/>
  <c r="BS140" i="102" s="1"/>
  <c r="BI195" i="102"/>
  <c r="BK195" i="102" s="1"/>
  <c r="K45" i="104"/>
  <c r="L45" i="104" s="1"/>
  <c r="BQ222" i="102"/>
  <c r="BS222" i="102" s="1"/>
  <c r="BI119" i="102"/>
  <c r="BK119" i="102" s="1"/>
  <c r="BQ119" i="102"/>
  <c r="BS119" i="102" s="1"/>
  <c r="BA28" i="102"/>
  <c r="BC28" i="102" s="1"/>
  <c r="BI73" i="102"/>
  <c r="BK73" i="102" s="1"/>
  <c r="K82" i="104"/>
  <c r="L82" i="104" s="1"/>
  <c r="BY107" i="102"/>
  <c r="CA107" i="102" s="1"/>
  <c r="AK18" i="102"/>
  <c r="AM18" i="102" s="1"/>
  <c r="BI57" i="102"/>
  <c r="BK57" i="102" s="1"/>
  <c r="BI43" i="102"/>
  <c r="BK43" i="102" s="1"/>
  <c r="AK69" i="102"/>
  <c r="AM69" i="102" s="1"/>
  <c r="AK64" i="102"/>
  <c r="AM64" i="102" s="1"/>
  <c r="AC46" i="102"/>
  <c r="AE46" i="102" s="1"/>
  <c r="M12" i="102"/>
  <c r="O12" i="102" s="1"/>
  <c r="AS52" i="102"/>
  <c r="AU52" i="102" s="1"/>
  <c r="BA7" i="102"/>
  <c r="BC7" i="102" s="1"/>
  <c r="CO193" i="102"/>
  <c r="CQ193" i="102" s="1"/>
  <c r="M8" i="102"/>
  <c r="O8" i="102" s="1"/>
  <c r="BA81" i="102"/>
  <c r="BC81" i="102" s="1"/>
  <c r="AS70" i="102"/>
  <c r="AU70" i="102" s="1"/>
  <c r="BA40" i="102"/>
  <c r="BC40" i="102" s="1"/>
  <c r="M15" i="102"/>
  <c r="O15" i="102" s="1"/>
  <c r="BQ162" i="102"/>
  <c r="BS162" i="102" s="1"/>
  <c r="CO95" i="102"/>
  <c r="CQ95" i="102" s="1"/>
  <c r="BY62" i="102"/>
  <c r="CA62" i="102" s="1"/>
  <c r="AK36" i="102"/>
  <c r="AM36" i="102" s="1"/>
  <c r="U29" i="102"/>
  <c r="W29" i="102" s="1"/>
  <c r="CO145" i="102"/>
  <c r="CQ145" i="102" s="1"/>
  <c r="AK32" i="102"/>
  <c r="AM32" i="102" s="1"/>
  <c r="BQ25" i="102"/>
  <c r="BS25" i="102" s="1"/>
  <c r="AC54" i="102"/>
  <c r="AE54" i="102" s="1"/>
  <c r="AS80" i="102"/>
  <c r="AU80" i="102" s="1"/>
  <c r="AK57" i="102"/>
  <c r="AM57" i="102" s="1"/>
  <c r="AK60" i="102"/>
  <c r="AM60" i="102" s="1"/>
  <c r="M106" i="102"/>
  <c r="O106" i="102" s="1"/>
  <c r="AC80" i="102"/>
  <c r="AE80" i="102" s="1"/>
  <c r="BQ110" i="102"/>
  <c r="BS110" i="102" s="1"/>
  <c r="AK84" i="102"/>
  <c r="AM84" i="102" s="1"/>
  <c r="AS29" i="102"/>
  <c r="AU29" i="102" s="1"/>
  <c r="U58" i="102"/>
  <c r="W58" i="102" s="1"/>
  <c r="BA189" i="102"/>
  <c r="BC189" i="102" s="1"/>
  <c r="BA25" i="102"/>
  <c r="BC25" i="102" s="1"/>
  <c r="BI31" i="102"/>
  <c r="BK31" i="102" s="1"/>
  <c r="BQ133" i="102"/>
  <c r="BS133" i="102" s="1"/>
  <c r="CG223" i="102"/>
  <c r="CI223" i="102" s="1"/>
  <c r="CO175" i="102"/>
  <c r="CQ175" i="102" s="1"/>
  <c r="AS25" i="102"/>
  <c r="AU25" i="102" s="1"/>
  <c r="AC56" i="102"/>
  <c r="AE56" i="102" s="1"/>
  <c r="BY74" i="102"/>
  <c r="CA74" i="102" s="1"/>
  <c r="BA219" i="102"/>
  <c r="BC219" i="102" s="1"/>
  <c r="BA23" i="102"/>
  <c r="BC23" i="102" s="1"/>
  <c r="K28" i="104"/>
  <c r="L28" i="104" s="1"/>
  <c r="BI79" i="102"/>
  <c r="BK79" i="102" s="1"/>
  <c r="CG164" i="102"/>
  <c r="CI164" i="102" s="1"/>
  <c r="AS49" i="102"/>
  <c r="AU49" i="102" s="1"/>
  <c r="BQ81" i="102"/>
  <c r="BS81" i="102" s="1"/>
  <c r="M58" i="102"/>
  <c r="O58" i="102" s="1"/>
  <c r="AC178" i="102"/>
  <c r="AE178" i="102" s="1"/>
  <c r="CO93" i="102"/>
  <c r="CQ93" i="102" s="1"/>
  <c r="AC29" i="102"/>
  <c r="AE29" i="102" s="1"/>
  <c r="BQ7" i="102"/>
  <c r="BS7" i="102" s="1"/>
  <c r="BI30" i="102"/>
  <c r="BK30" i="102" s="1"/>
  <c r="K60" i="104"/>
  <c r="L60" i="104" s="1"/>
  <c r="U56" i="102"/>
  <c r="W56" i="102" s="1"/>
  <c r="CO221" i="102"/>
  <c r="CQ221" i="102" s="1"/>
  <c r="AC70" i="102"/>
  <c r="AE70" i="102" s="1"/>
  <c r="BY13" i="102"/>
  <c r="CA13" i="102" s="1"/>
  <c r="AK78" i="102"/>
  <c r="AM78" i="102" s="1"/>
  <c r="U26" i="102"/>
  <c r="W26" i="102" s="1"/>
  <c r="AK93" i="102"/>
  <c r="AM93" i="102" s="1"/>
  <c r="CG115" i="102"/>
  <c r="CI115" i="102" s="1"/>
  <c r="AC227" i="102"/>
  <c r="AE227" i="102" s="1"/>
  <c r="BI125" i="102"/>
  <c r="BK125" i="102" s="1"/>
  <c r="BI45" i="102"/>
  <c r="BK45" i="102" s="1"/>
  <c r="AK198" i="102"/>
  <c r="AM198" i="102" s="1"/>
  <c r="CG111" i="102"/>
  <c r="CI111" i="102" s="1"/>
  <c r="AK99" i="102"/>
  <c r="AM99" i="102" s="1"/>
  <c r="BQ118" i="102"/>
  <c r="BS118" i="102" s="1"/>
  <c r="W86" i="103"/>
  <c r="W87" i="103"/>
  <c r="M206" i="102"/>
  <c r="O206" i="102" s="1"/>
  <c r="M93" i="102"/>
  <c r="O93" i="102" s="1"/>
  <c r="BQ172" i="102"/>
  <c r="BS172" i="102" s="1"/>
  <c r="AS175" i="102"/>
  <c r="AU175" i="102" s="1"/>
  <c r="M61" i="105"/>
  <c r="O61" i="105" s="1"/>
  <c r="M79" i="105"/>
  <c r="O79" i="105" s="1"/>
  <c r="CO225" i="102"/>
  <c r="CQ225" i="102" s="1"/>
  <c r="U210" i="102"/>
  <c r="W210" i="102" s="1"/>
  <c r="AK112" i="102"/>
  <c r="AM112" i="102" s="1"/>
  <c r="AK163" i="102"/>
  <c r="AM163" i="102" s="1"/>
  <c r="AS170" i="102"/>
  <c r="AU170" i="102" s="1"/>
  <c r="BA135" i="102"/>
  <c r="BC135" i="102" s="1"/>
  <c r="BQ212" i="102"/>
  <c r="BS212" i="102" s="1"/>
  <c r="AK207" i="102"/>
  <c r="AM207" i="102" s="1"/>
  <c r="BA227" i="102"/>
  <c r="BC227" i="102" s="1"/>
  <c r="BI142" i="102"/>
  <c r="BK142" i="102" s="1"/>
  <c r="AC190" i="102"/>
  <c r="AE190" i="102" s="1"/>
  <c r="AS209" i="102"/>
  <c r="AU209" i="102" s="1"/>
  <c r="U186" i="102"/>
  <c r="W186" i="102" s="1"/>
  <c r="BQ209" i="102"/>
  <c r="BS209" i="102" s="1"/>
  <c r="AC156" i="102"/>
  <c r="AE156" i="102" s="1"/>
  <c r="AS129" i="102"/>
  <c r="AU129" i="102" s="1"/>
  <c r="M14" i="105"/>
  <c r="O14" i="105" s="1"/>
  <c r="M41" i="105"/>
  <c r="O41" i="105" s="1"/>
  <c r="U147" i="102"/>
  <c r="W147" i="102" s="1"/>
  <c r="BA203" i="102"/>
  <c r="BC203" i="102" s="1"/>
  <c r="M12" i="105"/>
  <c r="O12" i="105" s="1"/>
  <c r="BY228" i="102"/>
  <c r="CA228" i="102" s="1"/>
  <c r="CG198" i="102"/>
  <c r="CI198" i="102" s="1"/>
  <c r="BI135" i="102"/>
  <c r="BK135" i="102" s="1"/>
  <c r="BA131" i="102"/>
  <c r="BC131" i="102" s="1"/>
  <c r="M63" i="105"/>
  <c r="O63" i="105" s="1"/>
  <c r="CO131" i="102"/>
  <c r="CQ131" i="102" s="1"/>
  <c r="BY174" i="102"/>
  <c r="CA174" i="102" s="1"/>
  <c r="M100" i="102"/>
  <c r="O100" i="102" s="1"/>
  <c r="U102" i="102"/>
  <c r="W102" i="102" s="1"/>
  <c r="AK175" i="102"/>
  <c r="AM175" i="102" s="1"/>
  <c r="BY188" i="102"/>
  <c r="CA188" i="102" s="1"/>
  <c r="M155" i="102"/>
  <c r="O155" i="102" s="1"/>
  <c r="AS165" i="102"/>
  <c r="AU165" i="102" s="1"/>
  <c r="BA148" i="102"/>
  <c r="BC148" i="102" s="1"/>
  <c r="BQ124" i="102"/>
  <c r="BS124" i="102" s="1"/>
  <c r="BQ123" i="102"/>
  <c r="BS123" i="102" s="1"/>
  <c r="M207" i="102"/>
  <c r="O207" i="102" s="1"/>
  <c r="AC114" i="102"/>
  <c r="AE114" i="102" s="1"/>
  <c r="AS178" i="102"/>
  <c r="AU178" i="102" s="1"/>
  <c r="BI224" i="102"/>
  <c r="BK224" i="102" s="1"/>
  <c r="CG127" i="102"/>
  <c r="CI127" i="102" s="1"/>
  <c r="AC152" i="102"/>
  <c r="AE152" i="102" s="1"/>
  <c r="AC229" i="102"/>
  <c r="AE229" i="102" s="1"/>
  <c r="BY205" i="102"/>
  <c r="CA205" i="102" s="1"/>
  <c r="AS228" i="102"/>
  <c r="AU228" i="102" s="1"/>
  <c r="BA107" i="102"/>
  <c r="BC107" i="102" s="1"/>
  <c r="BY104" i="102"/>
  <c r="CA104" i="102" s="1"/>
  <c r="M103" i="102"/>
  <c r="O103" i="102" s="1"/>
  <c r="M49" i="102"/>
  <c r="O49" i="102" s="1"/>
  <c r="AK169" i="102"/>
  <c r="AM169" i="102" s="1"/>
  <c r="AC217" i="102"/>
  <c r="AE217" i="102" s="1"/>
  <c r="BQ128" i="102"/>
  <c r="BS128" i="102" s="1"/>
  <c r="BI118" i="102"/>
  <c r="BK118" i="102" s="1"/>
  <c r="CO222" i="102"/>
  <c r="CQ222" i="102" s="1"/>
  <c r="BY112" i="102"/>
  <c r="CA112" i="102" s="1"/>
  <c r="BY19" i="102"/>
  <c r="CA19" i="102" s="1"/>
  <c r="BI140" i="102"/>
  <c r="BK140" i="102" s="1"/>
  <c r="AC19" i="102"/>
  <c r="AE19" i="102" s="1"/>
  <c r="BI77" i="102"/>
  <c r="BK77" i="102" s="1"/>
  <c r="K46" i="104"/>
  <c r="L46" i="104" s="1"/>
  <c r="K78" i="104"/>
  <c r="L78" i="104" s="1"/>
  <c r="BI143" i="102"/>
  <c r="BK143" i="102" s="1"/>
  <c r="BI229" i="102"/>
  <c r="BK229" i="102" s="1"/>
  <c r="BY24" i="102"/>
  <c r="CA24" i="102" s="1"/>
  <c r="BI34" i="102"/>
  <c r="BK34" i="102" s="1"/>
  <c r="AS217" i="102"/>
  <c r="AU217" i="102" s="1"/>
  <c r="BI136" i="102"/>
  <c r="BK136" i="102" s="1"/>
  <c r="M35" i="102"/>
  <c r="O35" i="102" s="1"/>
  <c r="BY9" i="102"/>
  <c r="CA9" i="102" s="1"/>
  <c r="AS60" i="102"/>
  <c r="AU60" i="102" s="1"/>
  <c r="U217" i="102"/>
  <c r="W217" i="102" s="1"/>
  <c r="CO223" i="102"/>
  <c r="CQ223" i="102" s="1"/>
  <c r="CO172" i="102"/>
  <c r="CQ172" i="102" s="1"/>
  <c r="BY229" i="102"/>
  <c r="CA229" i="102" s="1"/>
  <c r="K69" i="104"/>
  <c r="L69" i="104" s="1"/>
  <c r="BY47" i="102"/>
  <c r="CA47" i="102" s="1"/>
  <c r="BI68" i="102"/>
  <c r="BK68" i="102" s="1"/>
  <c r="BI197" i="102"/>
  <c r="BK197" i="102" s="1"/>
  <c r="BI186" i="102"/>
  <c r="BK186" i="102" s="1"/>
  <c r="AS34" i="102"/>
  <c r="AU34" i="102" s="1"/>
  <c r="U22" i="102"/>
  <c r="W22" i="102" s="1"/>
  <c r="BA54" i="102"/>
  <c r="BC54" i="102" s="1"/>
  <c r="U211" i="102"/>
  <c r="W211" i="102" s="1"/>
  <c r="M112" i="102"/>
  <c r="O112" i="102" s="1"/>
  <c r="U49" i="102"/>
  <c r="W49" i="102" s="1"/>
  <c r="AK131" i="102"/>
  <c r="AM131" i="102" s="1"/>
  <c r="U107" i="102"/>
  <c r="W107" i="102" s="1"/>
  <c r="BI24" i="102"/>
  <c r="BK24" i="102" s="1"/>
  <c r="U21" i="102"/>
  <c r="W21" i="102" s="1"/>
  <c r="CG160" i="102"/>
  <c r="CI160" i="102" s="1"/>
  <c r="AK28" i="102"/>
  <c r="AM28" i="102" s="1"/>
  <c r="K19" i="104"/>
  <c r="L19" i="104" s="1"/>
  <c r="BI128" i="102"/>
  <c r="BK128" i="102" s="1"/>
  <c r="BQ167" i="102"/>
  <c r="BS167" i="102" s="1"/>
  <c r="M69" i="102"/>
  <c r="O69" i="102" s="1"/>
  <c r="K14" i="104"/>
  <c r="L14" i="104" s="1"/>
  <c r="BI22" i="102"/>
  <c r="BK22" i="102" s="1"/>
  <c r="BY209" i="102"/>
  <c r="CA209" i="102" s="1"/>
  <c r="BY118" i="102"/>
  <c r="CA118" i="102" s="1"/>
  <c r="M74" i="102"/>
  <c r="O74" i="102" s="1"/>
  <c r="BI134" i="102"/>
  <c r="BK134" i="102" s="1"/>
  <c r="AK8" i="102"/>
  <c r="AM8" i="102" s="1"/>
  <c r="BI25" i="102"/>
  <c r="BK25" i="102" s="1"/>
  <c r="U193" i="102"/>
  <c r="W193" i="102" s="1"/>
  <c r="BI106" i="102"/>
  <c r="BK106" i="102" s="1"/>
  <c r="BY172" i="102"/>
  <c r="CA172" i="102" s="1"/>
  <c r="BA64" i="102"/>
  <c r="BC64" i="102" s="1"/>
  <c r="BQ184" i="102"/>
  <c r="BS184" i="102" s="1"/>
  <c r="CG162" i="102"/>
  <c r="CI162" i="102" s="1"/>
  <c r="AS207" i="102"/>
  <c r="AU207" i="102" s="1"/>
  <c r="AS19" i="102"/>
  <c r="AU19" i="102" s="1"/>
  <c r="K76" i="104"/>
  <c r="L76" i="104" s="1"/>
  <c r="K61" i="104"/>
  <c r="L61" i="104" s="1"/>
  <c r="BQ129" i="102"/>
  <c r="BS129" i="102" s="1"/>
  <c r="BY131" i="102"/>
  <c r="CA131" i="102" s="1"/>
  <c r="BI179" i="102"/>
  <c r="BK179" i="102" s="1"/>
  <c r="BY22" i="102"/>
  <c r="CA22" i="102" s="1"/>
  <c r="BY52" i="102"/>
  <c r="CA52" i="102" s="1"/>
  <c r="AK45" i="102"/>
  <c r="AM45" i="102" s="1"/>
  <c r="BI199" i="102"/>
  <c r="BK199" i="102" s="1"/>
  <c r="AS68" i="102"/>
  <c r="AU68" i="102" s="1"/>
  <c r="M124" i="102"/>
  <c r="O124" i="102" s="1"/>
  <c r="BI42" i="102"/>
  <c r="BK42" i="102" s="1"/>
  <c r="CO154" i="102"/>
  <c r="CQ154" i="102" s="1"/>
  <c r="U13" i="102"/>
  <c r="W13" i="102" s="1"/>
  <c r="M56" i="102"/>
  <c r="O56" i="102" s="1"/>
  <c r="BQ132" i="102"/>
  <c r="BS132" i="102" s="1"/>
  <c r="AS59" i="102"/>
  <c r="AU59" i="102" s="1"/>
  <c r="M27" i="102"/>
  <c r="O27" i="102" s="1"/>
  <c r="M21" i="105"/>
  <c r="O21" i="105" s="1"/>
  <c r="M178" i="102"/>
  <c r="O178" i="102" s="1"/>
  <c r="AC115" i="102"/>
  <c r="AE115" i="102" s="1"/>
  <c r="BY210" i="102"/>
  <c r="CA210" i="102" s="1"/>
  <c r="M30" i="105"/>
  <c r="O30" i="105" s="1"/>
  <c r="U95" i="102"/>
  <c r="W95" i="102" s="1"/>
  <c r="AK184" i="102"/>
  <c r="AM184" i="102" s="1"/>
  <c r="BY220" i="102"/>
  <c r="CA220" i="102" s="1"/>
  <c r="U203" i="102"/>
  <c r="W203" i="102" s="1"/>
  <c r="U222" i="102"/>
  <c r="W222" i="102" s="1"/>
  <c r="AK230" i="102"/>
  <c r="AM230" i="102" s="1"/>
  <c r="CG185" i="102"/>
  <c r="CI185" i="102" s="1"/>
  <c r="M116" i="102"/>
  <c r="O116" i="102" s="1"/>
  <c r="AK109" i="102"/>
  <c r="AM109" i="102" s="1"/>
  <c r="M94" i="102"/>
  <c r="O94" i="102" s="1"/>
  <c r="BQ144" i="102"/>
  <c r="BS144" i="102" s="1"/>
  <c r="AC161" i="102"/>
  <c r="AE161" i="102" s="1"/>
  <c r="AC110" i="102"/>
  <c r="AE110" i="102" s="1"/>
  <c r="M161" i="102"/>
  <c r="O161" i="102" s="1"/>
  <c r="BY108" i="102"/>
  <c r="CA108" i="102" s="1"/>
  <c r="AC101" i="102"/>
  <c r="AE101" i="102" s="1"/>
  <c r="M28" i="105"/>
  <c r="O28" i="105" s="1"/>
  <c r="M74" i="105"/>
  <c r="O74" i="105" s="1"/>
  <c r="M226" i="102"/>
  <c r="O226" i="102" s="1"/>
  <c r="AC218" i="102"/>
  <c r="AE218" i="102" s="1"/>
  <c r="AS225" i="102"/>
  <c r="AU225" i="102" s="1"/>
  <c r="U180" i="102"/>
  <c r="W180" i="102" s="1"/>
  <c r="BI211" i="102"/>
  <c r="BK211" i="102" s="1"/>
  <c r="AK191" i="102"/>
  <c r="AM191" i="102" s="1"/>
  <c r="M202" i="102"/>
  <c r="O202" i="102" s="1"/>
  <c r="AK95" i="102"/>
  <c r="AM95" i="102" s="1"/>
  <c r="BI155" i="102"/>
  <c r="BK155" i="102" s="1"/>
  <c r="BA126" i="102"/>
  <c r="BC126" i="102" s="1"/>
  <c r="U120" i="102"/>
  <c r="W120" i="102" s="1"/>
  <c r="BI196" i="102"/>
  <c r="BK196" i="102" s="1"/>
  <c r="M128" i="102"/>
  <c r="O128" i="102" s="1"/>
  <c r="U148" i="102"/>
  <c r="W148" i="102" s="1"/>
  <c r="AC99" i="102"/>
  <c r="AE99" i="102" s="1"/>
  <c r="BY223" i="102"/>
  <c r="CA223" i="102" s="1"/>
  <c r="U188" i="102"/>
  <c r="W188" i="102" s="1"/>
  <c r="BA134" i="102"/>
  <c r="BC134" i="102" s="1"/>
  <c r="M95" i="102"/>
  <c r="O95" i="102" s="1"/>
  <c r="BQ127" i="102"/>
  <c r="BS127" i="102" s="1"/>
  <c r="AK145" i="102"/>
  <c r="AM145" i="102" s="1"/>
  <c r="M173" i="102"/>
  <c r="O173" i="102" s="1"/>
  <c r="BA163" i="102"/>
  <c r="BC163" i="102" s="1"/>
  <c r="BQ147" i="102"/>
  <c r="BS147" i="102" s="1"/>
  <c r="BI185" i="102"/>
  <c r="BK185" i="102" s="1"/>
  <c r="BA142" i="102"/>
  <c r="BC142" i="102" s="1"/>
  <c r="M163" i="102"/>
  <c r="O163" i="102" s="1"/>
  <c r="U98" i="102"/>
  <c r="W98" i="102" s="1"/>
  <c r="BQ95" i="102"/>
  <c r="BS95" i="102" s="1"/>
  <c r="BA133" i="102"/>
  <c r="BC133" i="102" s="1"/>
  <c r="AK38" i="102"/>
  <c r="AM38" i="102" s="1"/>
  <c r="AK152" i="102"/>
  <c r="AM152" i="102" s="1"/>
  <c r="AS157" i="102"/>
  <c r="AU157" i="102" s="1"/>
  <c r="CG216" i="102"/>
  <c r="CI216" i="102" s="1"/>
  <c r="U181" i="102"/>
  <c r="W181" i="102" s="1"/>
  <c r="AK205" i="102"/>
  <c r="AM205" i="102" s="1"/>
  <c r="AC221" i="102"/>
  <c r="AE221" i="102" s="1"/>
  <c r="BI152" i="102"/>
  <c r="BK152" i="102" s="1"/>
  <c r="BA80" i="102"/>
  <c r="BC80" i="102" s="1"/>
  <c r="AS231" i="102"/>
  <c r="AU231" i="102" s="1"/>
  <c r="M193" i="102"/>
  <c r="O193" i="102" s="1"/>
  <c r="BI191" i="102"/>
  <c r="BK191" i="102" s="1"/>
  <c r="AK136" i="102"/>
  <c r="AM136" i="102" s="1"/>
  <c r="BY211" i="102"/>
  <c r="CA211" i="102" s="1"/>
  <c r="M62" i="102"/>
  <c r="O62" i="102" s="1"/>
  <c r="BY115" i="102"/>
  <c r="CA115" i="102" s="1"/>
  <c r="AC61" i="102"/>
  <c r="AE61" i="102" s="1"/>
  <c r="AC24" i="102"/>
  <c r="AE24" i="102" s="1"/>
  <c r="BI210" i="102"/>
  <c r="BK210" i="102" s="1"/>
  <c r="BQ26" i="102"/>
  <c r="BS26" i="102" s="1"/>
  <c r="BA27" i="102"/>
  <c r="BC27" i="102" s="1"/>
  <c r="AK132" i="102"/>
  <c r="AM132" i="102" s="1"/>
  <c r="CO186" i="102"/>
  <c r="CQ186" i="102" s="1"/>
  <c r="BI104" i="102"/>
  <c r="BK104" i="102" s="1"/>
  <c r="AK7" i="102"/>
  <c r="AM7" i="102" s="1"/>
  <c r="BQ83" i="102"/>
  <c r="BS83" i="102" s="1"/>
  <c r="BI44" i="102"/>
  <c r="BK44" i="102" s="1"/>
  <c r="CO217" i="102"/>
  <c r="CQ217" i="102" s="1"/>
  <c r="AS61" i="102"/>
  <c r="AU61" i="102" s="1"/>
  <c r="AS172" i="102"/>
  <c r="AU172" i="102" s="1"/>
  <c r="BA19" i="102"/>
  <c r="BC19" i="102" s="1"/>
  <c r="K35" i="104"/>
  <c r="L35" i="104" s="1"/>
  <c r="CG93" i="102"/>
  <c r="CI93" i="102" s="1"/>
  <c r="CO141" i="102"/>
  <c r="CQ141" i="102" s="1"/>
  <c r="BQ223" i="102"/>
  <c r="BS223" i="102" s="1"/>
  <c r="BA84" i="102"/>
  <c r="BC84" i="102" s="1"/>
  <c r="BQ22" i="102"/>
  <c r="BS22" i="102" s="1"/>
  <c r="U53" i="102"/>
  <c r="W53" i="102" s="1"/>
  <c r="K66" i="104"/>
  <c r="L66" i="104" s="1"/>
  <c r="BY198" i="102"/>
  <c r="CA198" i="102" s="1"/>
  <c r="AC27" i="102"/>
  <c r="AE27" i="102" s="1"/>
  <c r="AS23" i="102"/>
  <c r="AU23" i="102" s="1"/>
  <c r="BI76" i="102"/>
  <c r="BK76" i="102" s="1"/>
  <c r="M45" i="102"/>
  <c r="O45" i="102" s="1"/>
  <c r="U74" i="102"/>
  <c r="W74" i="102" s="1"/>
  <c r="AS10" i="102"/>
  <c r="AU10" i="102" s="1"/>
  <c r="AS133" i="102"/>
  <c r="AU133" i="102" s="1"/>
  <c r="BA220" i="102"/>
  <c r="BC220" i="102" s="1"/>
  <c r="BA30" i="102"/>
  <c r="BC30" i="102" s="1"/>
  <c r="BI102" i="102"/>
  <c r="BK102" i="102" s="1"/>
  <c r="BQ200" i="102"/>
  <c r="BS200" i="102" s="1"/>
  <c r="BY116" i="102"/>
  <c r="CA116" i="102" s="1"/>
  <c r="BI163" i="102"/>
  <c r="BK163" i="102" s="1"/>
  <c r="U20" i="102"/>
  <c r="W20" i="102" s="1"/>
  <c r="AK31" i="102"/>
  <c r="AM31" i="102" s="1"/>
  <c r="CG141" i="102"/>
  <c r="CI141" i="102" s="1"/>
  <c r="BY49" i="102"/>
  <c r="CA49" i="102" s="1"/>
  <c r="AS32" i="102"/>
  <c r="AU32" i="102" s="1"/>
  <c r="AS18" i="102"/>
  <c r="AU18" i="102" s="1"/>
  <c r="AC151" i="102"/>
  <c r="AE151" i="102" s="1"/>
  <c r="BI220" i="102"/>
  <c r="BK220" i="102" s="1"/>
  <c r="CG227" i="102"/>
  <c r="CI227" i="102" s="1"/>
  <c r="CG214" i="102"/>
  <c r="CI214" i="102" s="1"/>
  <c r="BI55" i="102"/>
  <c r="BK55" i="102" s="1"/>
  <c r="AC111" i="102"/>
  <c r="AE111" i="102" s="1"/>
  <c r="BQ141" i="102"/>
  <c r="BS141" i="102" s="1"/>
  <c r="CO107" i="102"/>
  <c r="CQ107" i="102" s="1"/>
  <c r="AC25" i="102"/>
  <c r="AE25" i="102" s="1"/>
  <c r="BA55" i="102"/>
  <c r="BC55" i="102" s="1"/>
  <c r="BY224" i="102"/>
  <c r="CA224" i="102" s="1"/>
  <c r="BI67" i="102"/>
  <c r="BK67" i="102" s="1"/>
  <c r="BY8" i="102"/>
  <c r="CA8" i="102" s="1"/>
  <c r="K42" i="104"/>
  <c r="L42" i="104" s="1"/>
  <c r="U67" i="102"/>
  <c r="W67" i="102" s="1"/>
  <c r="U28" i="102"/>
  <c r="W28" i="102" s="1"/>
  <c r="K79" i="104"/>
  <c r="L79" i="104" s="1"/>
  <c r="CO166" i="102"/>
  <c r="CQ166" i="102" s="1"/>
  <c r="BY208" i="102"/>
  <c r="CA208" i="102" s="1"/>
  <c r="CG187" i="102"/>
  <c r="CI187" i="102" s="1"/>
  <c r="CG180" i="102"/>
  <c r="CI180" i="102" s="1"/>
  <c r="BA26" i="102"/>
  <c r="BC26" i="102" s="1"/>
  <c r="U149" i="102"/>
  <c r="W149" i="102" s="1"/>
  <c r="M81" i="102"/>
  <c r="O81" i="102" s="1"/>
  <c r="AK19" i="102"/>
  <c r="AM19" i="102" s="1"/>
  <c r="BQ15" i="102"/>
  <c r="BS15" i="102" s="1"/>
  <c r="AK67" i="102"/>
  <c r="AM67" i="102" s="1"/>
  <c r="BI32" i="102"/>
  <c r="BK32" i="102" s="1"/>
  <c r="AC130" i="102"/>
  <c r="AE130" i="102" s="1"/>
  <c r="BA230" i="102"/>
  <c r="BC230" i="102" s="1"/>
  <c r="M47" i="105"/>
  <c r="O47" i="105" s="1"/>
  <c r="AC134" i="102"/>
  <c r="AE134" i="102" s="1"/>
  <c r="BI216" i="102"/>
  <c r="BK216" i="102" s="1"/>
  <c r="M131" i="102"/>
  <c r="O131" i="102" s="1"/>
  <c r="AK155" i="102"/>
  <c r="AM155" i="102" s="1"/>
  <c r="U14" i="102"/>
  <c r="W14" i="102" s="1"/>
  <c r="U78" i="102"/>
  <c r="W78" i="102" s="1"/>
  <c r="U9" i="102"/>
  <c r="W9" i="102" s="1"/>
  <c r="CO133" i="102"/>
  <c r="CQ133" i="102" s="1"/>
  <c r="AC73" i="102"/>
  <c r="AE73" i="102" s="1"/>
  <c r="AC35" i="102"/>
  <c r="AE35" i="102" s="1"/>
  <c r="BI27" i="102"/>
  <c r="BK27" i="102" s="1"/>
  <c r="BI74" i="102"/>
  <c r="BK74" i="102" s="1"/>
  <c r="AC168" i="102"/>
  <c r="AE168" i="102" s="1"/>
  <c r="BY154" i="102"/>
  <c r="CA154" i="102" s="1"/>
  <c r="BQ228" i="102"/>
  <c r="BS228" i="102" s="1"/>
  <c r="BQ16" i="102"/>
  <c r="BS16" i="102" s="1"/>
  <c r="BI153" i="102"/>
  <c r="BK153" i="102" s="1"/>
  <c r="CO151" i="102"/>
  <c r="CQ151" i="102" s="1"/>
  <c r="AC32" i="102"/>
  <c r="AE32" i="102" s="1"/>
  <c r="M185" i="102"/>
  <c r="O185" i="102" s="1"/>
  <c r="AC121" i="102"/>
  <c r="AE121" i="102" s="1"/>
  <c r="BY25" i="102"/>
  <c r="CA25" i="102" s="1"/>
  <c r="K40" i="104"/>
  <c r="L40" i="104" s="1"/>
  <c r="CG149" i="102"/>
  <c r="CI149" i="102" s="1"/>
  <c r="U7" i="102"/>
  <c r="W7" i="102" s="1"/>
  <c r="CO212" i="102"/>
  <c r="CQ212" i="102" s="1"/>
  <c r="AS77" i="102"/>
  <c r="AU77" i="102" s="1"/>
  <c r="BY20" i="102"/>
  <c r="CA20" i="102" s="1"/>
  <c r="BY35" i="102"/>
  <c r="CA35" i="102" s="1"/>
  <c r="K36" i="104"/>
  <c r="L36" i="104" s="1"/>
  <c r="U25" i="102"/>
  <c r="W25" i="102" s="1"/>
  <c r="AK146" i="102"/>
  <c r="AM146" i="102" s="1"/>
  <c r="BA94" i="102"/>
  <c r="BC94" i="102" s="1"/>
  <c r="BI15" i="102"/>
  <c r="BK15" i="102" s="1"/>
  <c r="U76" i="102"/>
  <c r="W76" i="102" s="1"/>
  <c r="M29" i="102"/>
  <c r="O29" i="102" s="1"/>
  <c r="BY191" i="102"/>
  <c r="CA191" i="102" s="1"/>
  <c r="M78" i="102"/>
  <c r="O78" i="102" s="1"/>
  <c r="BQ20" i="102"/>
  <c r="BS20" i="102" s="1"/>
  <c r="BY68" i="102"/>
  <c r="CA68" i="102" s="1"/>
  <c r="U38" i="102"/>
  <c r="W38" i="102" s="1"/>
  <c r="AC75" i="102"/>
  <c r="AE75" i="102" s="1"/>
  <c r="BQ138" i="102"/>
  <c r="BS138" i="102" s="1"/>
  <c r="BI147" i="102"/>
  <c r="BK147" i="102" s="1"/>
  <c r="AC6" i="102"/>
  <c r="AE6" i="102" s="1"/>
  <c r="BQ30" i="102"/>
  <c r="BS30" i="102" s="1"/>
  <c r="AS65" i="102"/>
  <c r="AU65" i="102" s="1"/>
  <c r="AS33" i="102"/>
  <c r="AU33" i="102" s="1"/>
  <c r="AS40" i="102"/>
  <c r="AU40" i="102" s="1"/>
  <c r="BA48" i="102"/>
  <c r="BC48" i="102" s="1"/>
  <c r="U113" i="102"/>
  <c r="W113" i="102" s="1"/>
  <c r="AK11" i="102"/>
  <c r="AM11" i="102" s="1"/>
  <c r="BY176" i="102"/>
  <c r="CA176" i="102" s="1"/>
  <c r="BA52" i="102"/>
  <c r="BC52" i="102" s="1"/>
  <c r="AK43" i="102"/>
  <c r="AM43" i="102" s="1"/>
  <c r="CG152" i="102"/>
  <c r="CI152" i="102" s="1"/>
  <c r="CO179" i="102"/>
  <c r="CQ179" i="102" s="1"/>
  <c r="AS30" i="102"/>
  <c r="AU30" i="102" s="1"/>
  <c r="BI19" i="102"/>
  <c r="BK19" i="102" s="1"/>
  <c r="CG189" i="102"/>
  <c r="CI189" i="102" s="1"/>
  <c r="U71" i="102"/>
  <c r="W71" i="102" s="1"/>
  <c r="BY217" i="102"/>
  <c r="CA217" i="102" s="1"/>
  <c r="BA10" i="102"/>
  <c r="BC10" i="102" s="1"/>
  <c r="BA45" i="102"/>
  <c r="BC45" i="102" s="1"/>
  <c r="BA116" i="102"/>
  <c r="BC116" i="102" s="1"/>
  <c r="AC206" i="102"/>
  <c r="AE206" i="102" s="1"/>
  <c r="BQ225" i="102"/>
  <c r="BS225" i="102" s="1"/>
  <c r="AC43" i="102"/>
  <c r="AE43" i="102" s="1"/>
  <c r="BY61" i="102"/>
  <c r="CA61" i="102" s="1"/>
  <c r="AS6" i="102"/>
  <c r="AU6" i="102" s="1"/>
  <c r="BA164" i="102"/>
  <c r="BC164" i="102" s="1"/>
  <c r="U31" i="102"/>
  <c r="W31" i="102" s="1"/>
  <c r="BQ14" i="102"/>
  <c r="BS14" i="102" s="1"/>
  <c r="M218" i="102"/>
  <c r="O218" i="102" s="1"/>
  <c r="U123" i="102"/>
  <c r="W123" i="102" s="1"/>
  <c r="AS43" i="102"/>
  <c r="AU43" i="102" s="1"/>
  <c r="BI214" i="102"/>
  <c r="BK214" i="102" s="1"/>
  <c r="M229" i="102"/>
  <c r="O229" i="102" s="1"/>
  <c r="BI207" i="102"/>
  <c r="BK207" i="102" s="1"/>
  <c r="BA70" i="102"/>
  <c r="BC70" i="102" s="1"/>
  <c r="M120" i="102"/>
  <c r="O120" i="102" s="1"/>
  <c r="BI60" i="102"/>
  <c r="BK60" i="102" s="1"/>
  <c r="K65" i="104"/>
  <c r="L65" i="104" s="1"/>
  <c r="AS74" i="102"/>
  <c r="AU74" i="102" s="1"/>
  <c r="AS126" i="102"/>
  <c r="AU126" i="102" s="1"/>
  <c r="BQ102" i="102"/>
  <c r="BS102" i="102" s="1"/>
  <c r="M217" i="102"/>
  <c r="O217" i="102" s="1"/>
  <c r="AC183" i="102"/>
  <c r="AE183" i="102" s="1"/>
  <c r="M212" i="102"/>
  <c r="O212" i="102" s="1"/>
  <c r="AC138" i="102"/>
  <c r="AE138" i="102" s="1"/>
  <c r="AS134" i="102"/>
  <c r="AU134" i="102" s="1"/>
  <c r="M50" i="105"/>
  <c r="O50" i="105" s="1"/>
  <c r="BA228" i="102"/>
  <c r="BC228" i="102" s="1"/>
  <c r="CG183" i="102"/>
  <c r="CI183" i="102" s="1"/>
  <c r="AK96" i="102"/>
  <c r="AM96" i="102" s="1"/>
  <c r="AS107" i="102"/>
  <c r="AU107" i="102" s="1"/>
  <c r="AK195" i="102"/>
  <c r="AM195" i="102" s="1"/>
  <c r="BQ210" i="102"/>
  <c r="BS210" i="102" s="1"/>
  <c r="M126" i="102"/>
  <c r="O126" i="102" s="1"/>
  <c r="M110" i="102"/>
  <c r="O110" i="102" s="1"/>
  <c r="BY121" i="102"/>
  <c r="CA121" i="102" s="1"/>
  <c r="BA180" i="102"/>
  <c r="BC180" i="102" s="1"/>
  <c r="CG97" i="102"/>
  <c r="CI97" i="102" s="1"/>
  <c r="M219" i="102"/>
  <c r="O219" i="102" s="1"/>
  <c r="M66" i="105"/>
  <c r="O66" i="105" s="1"/>
  <c r="BA156" i="102"/>
  <c r="BC156" i="102" s="1"/>
  <c r="U206" i="102"/>
  <c r="W206" i="102" s="1"/>
  <c r="BQ163" i="102"/>
  <c r="BS163" i="102" s="1"/>
  <c r="U138" i="102"/>
  <c r="W138" i="102" s="1"/>
  <c r="AC203" i="102"/>
  <c r="AE203" i="102" s="1"/>
  <c r="M132" i="102"/>
  <c r="O132" i="102" s="1"/>
  <c r="AC231" i="102"/>
  <c r="AE231" i="102" s="1"/>
  <c r="CG135" i="102"/>
  <c r="CI135" i="102" s="1"/>
  <c r="M154" i="102"/>
  <c r="O154" i="102" s="1"/>
  <c r="AC113" i="102"/>
  <c r="AE113" i="102" s="1"/>
  <c r="AS184" i="102"/>
  <c r="AU184" i="102" s="1"/>
  <c r="BY153" i="102"/>
  <c r="CA153" i="102" s="1"/>
  <c r="BA171" i="102"/>
  <c r="BC171" i="102" s="1"/>
  <c r="AC106" i="102"/>
  <c r="AE106" i="102" s="1"/>
  <c r="CG196" i="102"/>
  <c r="CI196" i="102" s="1"/>
  <c r="BA100" i="102"/>
  <c r="BC100" i="102" s="1"/>
  <c r="BA185" i="102"/>
  <c r="BC185" i="102" s="1"/>
  <c r="AK130" i="102"/>
  <c r="AM130" i="102" s="1"/>
  <c r="BI167" i="102"/>
  <c r="BK167" i="102" s="1"/>
  <c r="BA229" i="102"/>
  <c r="BC229" i="102" s="1"/>
  <c r="AS121" i="102"/>
  <c r="AU121" i="102" s="1"/>
  <c r="BA120" i="102"/>
  <c r="BC120" i="102" s="1"/>
  <c r="BQ153" i="102"/>
  <c r="BS153" i="102" s="1"/>
  <c r="CG170" i="102"/>
  <c r="CI170" i="102" s="1"/>
  <c r="U191" i="102"/>
  <c r="W191" i="102" s="1"/>
  <c r="AK201" i="102"/>
  <c r="AM201" i="102" s="1"/>
  <c r="BI116" i="102"/>
  <c r="BK116" i="102" s="1"/>
  <c r="M46" i="105"/>
  <c r="O46" i="105" s="1"/>
  <c r="M139" i="102"/>
  <c r="O139" i="102" s="1"/>
  <c r="BI174" i="102"/>
  <c r="BK174" i="102" s="1"/>
  <c r="AK94" i="102"/>
  <c r="AM94" i="102" s="1"/>
  <c r="M195" i="102"/>
  <c r="O195" i="102" s="1"/>
  <c r="BA187" i="102"/>
  <c r="BC187" i="102" s="1"/>
  <c r="M175" i="102"/>
  <c r="O175" i="102" s="1"/>
  <c r="AC163" i="102"/>
  <c r="AE163" i="102" s="1"/>
  <c r="BI172" i="102"/>
  <c r="BK172" i="102" s="1"/>
  <c r="AK212" i="102"/>
  <c r="AM212" i="102" s="1"/>
  <c r="U106" i="102"/>
  <c r="W106" i="102" s="1"/>
  <c r="M65" i="105"/>
  <c r="O65" i="105" s="1"/>
  <c r="U137" i="102"/>
  <c r="W137" i="102" s="1"/>
  <c r="CG182" i="102"/>
  <c r="CI182" i="102" s="1"/>
  <c r="U187" i="102"/>
  <c r="W187" i="102" s="1"/>
  <c r="BI190" i="102"/>
  <c r="BK190" i="102" s="1"/>
  <c r="M221" i="102"/>
  <c r="O221" i="102" s="1"/>
  <c r="AK176" i="102"/>
  <c r="AM176" i="102" s="1"/>
  <c r="BY195" i="102"/>
  <c r="CA195" i="102" s="1"/>
  <c r="AS155" i="102"/>
  <c r="AU155" i="102" s="1"/>
  <c r="AK172" i="102"/>
  <c r="AM172" i="102" s="1"/>
  <c r="CO129" i="102"/>
  <c r="CQ129" i="102" s="1"/>
  <c r="M7" i="102"/>
  <c r="O7" i="102" s="1"/>
  <c r="BQ196" i="102"/>
  <c r="BS196" i="102" s="1"/>
  <c r="BY38" i="102"/>
  <c r="CA38" i="102" s="1"/>
  <c r="U97" i="102"/>
  <c r="W97" i="102" s="1"/>
  <c r="BY206" i="102"/>
  <c r="CA206" i="102" s="1"/>
  <c r="BQ93" i="102"/>
  <c r="BS93" i="102" s="1"/>
  <c r="K39" i="104"/>
  <c r="L39" i="104" s="1"/>
  <c r="AC28" i="102"/>
  <c r="AE28" i="102" s="1"/>
  <c r="BY117" i="102"/>
  <c r="CA117" i="102" s="1"/>
  <c r="M33" i="102"/>
  <c r="O33" i="102" s="1"/>
  <c r="CO226" i="102"/>
  <c r="CQ226" i="102" s="1"/>
  <c r="BQ44" i="102"/>
  <c r="BS44" i="102" s="1"/>
  <c r="BQ72" i="102"/>
  <c r="BS72" i="102" s="1"/>
  <c r="CG206" i="102"/>
  <c r="CI206" i="102" s="1"/>
  <c r="BY7" i="102"/>
  <c r="CA7" i="102" s="1"/>
  <c r="BA207" i="102"/>
  <c r="BC207" i="102" s="1"/>
  <c r="BY138" i="102"/>
  <c r="CA138" i="102" s="1"/>
  <c r="BQ84" i="102"/>
  <c r="BS84" i="102" s="1"/>
  <c r="CG119" i="102"/>
  <c r="CI119" i="102" s="1"/>
  <c r="CO155" i="102"/>
  <c r="CQ155" i="102" s="1"/>
  <c r="BI187" i="102"/>
  <c r="BK187" i="102" s="1"/>
  <c r="M174" i="102"/>
  <c r="O174" i="102" s="1"/>
  <c r="BY17" i="102"/>
  <c r="CA17" i="102" s="1"/>
  <c r="BQ38" i="102"/>
  <c r="BS38" i="102" s="1"/>
  <c r="K34" i="104"/>
  <c r="L34" i="104" s="1"/>
  <c r="BQ19" i="102"/>
  <c r="BS19" i="102" s="1"/>
  <c r="U10" i="102"/>
  <c r="W10" i="102" s="1"/>
  <c r="AK70" i="102"/>
  <c r="AM70" i="102" s="1"/>
  <c r="AK147" i="102"/>
  <c r="AM147" i="102" s="1"/>
  <c r="BA215" i="102"/>
  <c r="BC215" i="102" s="1"/>
  <c r="BA8" i="102"/>
  <c r="BC8" i="102" s="1"/>
  <c r="K18" i="104"/>
  <c r="L18" i="104" s="1"/>
  <c r="AK73" i="102"/>
  <c r="AM73" i="102" s="1"/>
  <c r="AC31" i="102"/>
  <c r="AE31" i="102" s="1"/>
  <c r="AK154" i="102"/>
  <c r="AM154" i="102" s="1"/>
  <c r="AC72" i="102"/>
  <c r="AE72" i="102" s="1"/>
  <c r="BQ94" i="102"/>
  <c r="BS94" i="102" s="1"/>
  <c r="K32" i="104"/>
  <c r="L32" i="104" s="1"/>
  <c r="AC50" i="102"/>
  <c r="AE50" i="102" s="1"/>
  <c r="BQ187" i="102"/>
  <c r="BS187" i="102" s="1"/>
  <c r="M68" i="102"/>
  <c r="O68" i="102" s="1"/>
  <c r="M39" i="102"/>
  <c r="O39" i="102" s="1"/>
  <c r="BI70" i="102"/>
  <c r="BK70" i="102" s="1"/>
  <c r="BA59" i="102"/>
  <c r="BC59" i="102" s="1"/>
  <c r="BA24" i="102"/>
  <c r="BC24" i="102" s="1"/>
  <c r="BY51" i="102"/>
  <c r="CA51" i="102" s="1"/>
  <c r="M134" i="102"/>
  <c r="O134" i="102" s="1"/>
  <c r="BQ145" i="102"/>
  <c r="BS145" i="102" s="1"/>
  <c r="CG154" i="102"/>
  <c r="CI154" i="102" s="1"/>
  <c r="U77" i="102"/>
  <c r="W77" i="102" s="1"/>
  <c r="U196" i="102"/>
  <c r="W196" i="102" s="1"/>
  <c r="BY110" i="102"/>
  <c r="CA110" i="102" s="1"/>
  <c r="BQ176" i="102"/>
  <c r="BS176" i="102" s="1"/>
  <c r="AK21" i="102"/>
  <c r="AM21" i="102" s="1"/>
  <c r="BY11" i="102"/>
  <c r="CA11" i="102" s="1"/>
  <c r="BY6" i="102"/>
  <c r="CA6" i="102" s="1"/>
  <c r="BY199" i="102"/>
  <c r="CA199" i="102" s="1"/>
  <c r="CO128" i="102"/>
  <c r="CQ128" i="102" s="1"/>
  <c r="U19" i="102"/>
  <c r="W19" i="102" s="1"/>
  <c r="BA79" i="102"/>
  <c r="BC79" i="102" s="1"/>
  <c r="K24" i="104"/>
  <c r="L24" i="104" s="1"/>
  <c r="CG177" i="102"/>
  <c r="CI177" i="102" s="1"/>
  <c r="CG179" i="102"/>
  <c r="CI179" i="102" s="1"/>
  <c r="U39" i="102"/>
  <c r="W39" i="102" s="1"/>
  <c r="BQ6" i="102"/>
  <c r="BS6" i="102" s="1"/>
  <c r="BQ60" i="102"/>
  <c r="BS60" i="102" s="1"/>
  <c r="BI121" i="102"/>
  <c r="BK121" i="102" s="1"/>
  <c r="CO227" i="102"/>
  <c r="CQ227" i="102" s="1"/>
  <c r="AC69" i="102"/>
  <c r="AE69" i="102" s="1"/>
  <c r="CG122" i="102"/>
  <c r="CI122" i="102" s="1"/>
  <c r="BI13" i="102"/>
  <c r="BK13" i="102" s="1"/>
  <c r="AC94" i="102"/>
  <c r="AE94" i="102" s="1"/>
  <c r="CG207" i="102"/>
  <c r="CI207" i="102" s="1"/>
  <c r="CG188" i="102"/>
  <c r="CI188" i="102" s="1"/>
  <c r="BA60" i="102"/>
  <c r="BC60" i="102" s="1"/>
  <c r="K52" i="104"/>
  <c r="L52" i="104" s="1"/>
  <c r="BA68" i="102"/>
  <c r="BC68" i="102" s="1"/>
  <c r="U225" i="102"/>
  <c r="W225" i="102" s="1"/>
  <c r="BA192" i="102"/>
  <c r="BC192" i="102" s="1"/>
  <c r="BA151" i="102"/>
  <c r="BC151" i="102" s="1"/>
  <c r="BQ143" i="102"/>
  <c r="BS143" i="102" s="1"/>
  <c r="U100" i="102"/>
  <c r="W100" i="102" s="1"/>
  <c r="M27" i="105"/>
  <c r="O27" i="105" s="1"/>
  <c r="AK173" i="102"/>
  <c r="AM173" i="102" s="1"/>
  <c r="BA144" i="102"/>
  <c r="BC144" i="102" s="1"/>
  <c r="CO152" i="102"/>
  <c r="CQ152" i="102" s="1"/>
  <c r="BA103" i="102"/>
  <c r="BC103" i="102" s="1"/>
  <c r="U112" i="102"/>
  <c r="W112" i="102" s="1"/>
  <c r="U151" i="102"/>
  <c r="W151" i="102" s="1"/>
  <c r="BQ208" i="102"/>
  <c r="BS208" i="102" s="1"/>
  <c r="M60" i="105"/>
  <c r="O60" i="105" s="1"/>
  <c r="M129" i="102"/>
  <c r="O129" i="102" s="1"/>
  <c r="U173" i="102"/>
  <c r="W173" i="102" s="1"/>
  <c r="CG158" i="102"/>
  <c r="CI158" i="102" s="1"/>
  <c r="AC155" i="102"/>
  <c r="AE155" i="102" s="1"/>
  <c r="AK111" i="102"/>
  <c r="AM111" i="102" s="1"/>
  <c r="AS224" i="102"/>
  <c r="AU224" i="102" s="1"/>
  <c r="AS131" i="102"/>
  <c r="AU131" i="102" s="1"/>
  <c r="U99" i="102"/>
  <c r="W99" i="102" s="1"/>
  <c r="BI109" i="102"/>
  <c r="BK109" i="102" s="1"/>
  <c r="AS102" i="102"/>
  <c r="AU102" i="102" s="1"/>
  <c r="BA217" i="102"/>
  <c r="BC217" i="102" s="1"/>
  <c r="AC148" i="102"/>
  <c r="AE148" i="102" s="1"/>
  <c r="BY185" i="102"/>
  <c r="CA185" i="102" s="1"/>
  <c r="BI202" i="102"/>
  <c r="BK202" i="102" s="1"/>
  <c r="AS168" i="102"/>
  <c r="AU168" i="102" s="1"/>
  <c r="CG114" i="102"/>
  <c r="CI114" i="102" s="1"/>
  <c r="AS125" i="102"/>
  <c r="AU125" i="102" s="1"/>
  <c r="M71" i="105"/>
  <c r="O71" i="105" s="1"/>
  <c r="AC154" i="102"/>
  <c r="AE154" i="102" s="1"/>
  <c r="BQ219" i="102"/>
  <c r="BS219" i="102" s="1"/>
  <c r="AS202" i="102"/>
  <c r="AU202" i="102" s="1"/>
  <c r="AS229" i="102"/>
  <c r="AU229" i="102" s="1"/>
  <c r="M205" i="102"/>
  <c r="O205" i="102" s="1"/>
  <c r="BQ98" i="102"/>
  <c r="BS98" i="102" s="1"/>
  <c r="AK199" i="102"/>
  <c r="AM199" i="102" s="1"/>
  <c r="M164" i="102"/>
  <c r="O164" i="102" s="1"/>
  <c r="U153" i="102"/>
  <c r="W153" i="102" s="1"/>
  <c r="BI164" i="102"/>
  <c r="BK164" i="102" s="1"/>
  <c r="U197" i="102"/>
  <c r="W197" i="102" s="1"/>
  <c r="BQ199" i="102"/>
  <c r="BS199" i="102" s="1"/>
  <c r="CO138" i="102"/>
  <c r="CQ138" i="102" s="1"/>
  <c r="AS213" i="102"/>
  <c r="AU213" i="102" s="1"/>
  <c r="M102" i="102"/>
  <c r="O102" i="102" s="1"/>
  <c r="BI131" i="102"/>
  <c r="BK131" i="102" s="1"/>
  <c r="BA202" i="102"/>
  <c r="BC202" i="102" s="1"/>
  <c r="M105" i="102"/>
  <c r="O105" i="102" s="1"/>
  <c r="AK196" i="102"/>
  <c r="AM196" i="102" s="1"/>
  <c r="BY151" i="102"/>
  <c r="CA151" i="102" s="1"/>
  <c r="AK192" i="102"/>
  <c r="AM192" i="102" s="1"/>
  <c r="AC123" i="102"/>
  <c r="AE123" i="102" s="1"/>
  <c r="CG108" i="102"/>
  <c r="CI108" i="102" s="1"/>
  <c r="U6" i="102"/>
  <c r="W6" i="102" s="1"/>
  <c r="M203" i="102"/>
  <c r="O203" i="102" s="1"/>
  <c r="AK120" i="102"/>
  <c r="AM120" i="102" s="1"/>
  <c r="BY105" i="102"/>
  <c r="CA105" i="102" s="1"/>
  <c r="AC117" i="102"/>
  <c r="AE117" i="102" s="1"/>
  <c r="AC49" i="102"/>
  <c r="AE49" i="102" s="1"/>
  <c r="AK129" i="102"/>
  <c r="AM129" i="102" s="1"/>
  <c r="BY97" i="102"/>
  <c r="CA97" i="102" s="1"/>
  <c r="BQ33" i="102"/>
  <c r="BS33" i="102" s="1"/>
  <c r="AC105" i="102"/>
  <c r="AE105" i="102" s="1"/>
  <c r="BQ194" i="102"/>
  <c r="BS194" i="102" s="1"/>
  <c r="M34" i="102"/>
  <c r="O34" i="102" s="1"/>
  <c r="CG166" i="102"/>
  <c r="CI166" i="102" s="1"/>
  <c r="BQ31" i="102"/>
  <c r="BS31" i="102" s="1"/>
  <c r="BQ77" i="102"/>
  <c r="BS77" i="102" s="1"/>
  <c r="CO181" i="102"/>
  <c r="CQ181" i="102" s="1"/>
  <c r="U37" i="102"/>
  <c r="W37" i="102" s="1"/>
  <c r="CG98" i="102"/>
  <c r="CI98" i="102" s="1"/>
  <c r="BQ36" i="102"/>
  <c r="BS36" i="102" s="1"/>
  <c r="BA33" i="102"/>
  <c r="BC33" i="102" s="1"/>
  <c r="BQ230" i="102"/>
  <c r="BS230" i="102" s="1"/>
  <c r="BA194" i="102"/>
  <c r="BC194" i="102" s="1"/>
  <c r="M9" i="102"/>
  <c r="O9" i="102" s="1"/>
  <c r="AK13" i="102"/>
  <c r="AM13" i="102" s="1"/>
  <c r="BI21" i="102"/>
  <c r="BK21" i="102" s="1"/>
  <c r="BQ69" i="102"/>
  <c r="BS69" i="102" s="1"/>
  <c r="BQ108" i="102"/>
  <c r="BS108" i="102" s="1"/>
  <c r="BY149" i="102"/>
  <c r="CA149" i="102" s="1"/>
  <c r="AS62" i="102"/>
  <c r="AU62" i="102" s="1"/>
  <c r="BQ58" i="102"/>
  <c r="BS58" i="102" s="1"/>
  <c r="K49" i="104"/>
  <c r="L49" i="104" s="1"/>
  <c r="K57" i="104"/>
  <c r="L57" i="104" s="1"/>
  <c r="CO171" i="102"/>
  <c r="CQ171" i="102" s="1"/>
  <c r="BY36" i="102"/>
  <c r="CA36" i="102" s="1"/>
  <c r="BY139" i="102"/>
  <c r="CA139" i="102" s="1"/>
  <c r="CO169" i="102"/>
  <c r="CQ169" i="102" s="1"/>
  <c r="BA61" i="102"/>
  <c r="BC61" i="102" s="1"/>
  <c r="BY12" i="102"/>
  <c r="CA12" i="102" s="1"/>
  <c r="BI72" i="102"/>
  <c r="BK72" i="102" s="1"/>
  <c r="U8" i="102"/>
  <c r="W8" i="102" s="1"/>
  <c r="U50" i="102"/>
  <c r="W50" i="102" s="1"/>
  <c r="AS8" i="102"/>
  <c r="AU8" i="102" s="1"/>
  <c r="CO176" i="102"/>
  <c r="CQ176" i="102" s="1"/>
  <c r="AC76" i="102"/>
  <c r="AE76" i="102" s="1"/>
  <c r="CG96" i="102"/>
  <c r="CI96" i="102" s="1"/>
  <c r="BY79" i="102"/>
  <c r="CA79" i="102" s="1"/>
  <c r="BQ64" i="102"/>
  <c r="BS64" i="102" s="1"/>
  <c r="CG131" i="102"/>
  <c r="CI131" i="102" s="1"/>
  <c r="AS145" i="102"/>
  <c r="AU145" i="102" s="1"/>
  <c r="CO105" i="102"/>
  <c r="CQ105" i="102" s="1"/>
  <c r="AS31" i="102"/>
  <c r="AU31" i="102" s="1"/>
  <c r="AS20" i="102"/>
  <c r="AU20" i="102" s="1"/>
  <c r="BI81" i="102"/>
  <c r="BK81" i="102" s="1"/>
  <c r="AS21" i="102"/>
  <c r="AU21" i="102" s="1"/>
  <c r="U81" i="102"/>
  <c r="W81" i="102" s="1"/>
  <c r="BQ161" i="102"/>
  <c r="BS161" i="102" s="1"/>
  <c r="CG105" i="102"/>
  <c r="CI105" i="102" s="1"/>
  <c r="AS27" i="102"/>
  <c r="AU27" i="102" s="1"/>
  <c r="K67" i="104"/>
  <c r="L67" i="104" s="1"/>
  <c r="AC20" i="102"/>
  <c r="AE20" i="102" s="1"/>
  <c r="X86" i="103"/>
  <c r="X87" i="103"/>
  <c r="BY82" i="102"/>
  <c r="CA82" i="102" s="1"/>
  <c r="BQ37" i="102"/>
  <c r="BS37" i="102" s="1"/>
  <c r="BQ79" i="102"/>
  <c r="BS79" i="102" s="1"/>
  <c r="U128" i="102"/>
  <c r="W128" i="102" s="1"/>
  <c r="BQ216" i="102"/>
  <c r="BS216" i="102" s="1"/>
  <c r="CG181" i="102"/>
  <c r="CI181" i="102" s="1"/>
  <c r="BA66" i="102"/>
  <c r="BC66" i="102" s="1"/>
  <c r="CG193" i="102"/>
  <c r="CI193" i="102" s="1"/>
  <c r="M67" i="102"/>
  <c r="O67" i="102" s="1"/>
  <c r="CG146" i="102"/>
  <c r="CI146" i="102" s="1"/>
  <c r="AK10" i="102"/>
  <c r="AM10" i="102" s="1"/>
  <c r="BQ68" i="102"/>
  <c r="BS68" i="102" s="1"/>
  <c r="BA221" i="102"/>
  <c r="BC221" i="102" s="1"/>
  <c r="M73" i="102"/>
  <c r="O73" i="102" s="1"/>
  <c r="U105" i="102"/>
  <c r="W105" i="102" s="1"/>
  <c r="M83" i="102"/>
  <c r="O83" i="102" s="1"/>
  <c r="AC26" i="102"/>
  <c r="AE26" i="102" s="1"/>
  <c r="BI11" i="102"/>
  <c r="BK11" i="102" s="1"/>
  <c r="M79" i="102"/>
  <c r="O79" i="102" s="1"/>
  <c r="BI93" i="102"/>
  <c r="BK93" i="102" s="1"/>
  <c r="BY31" i="102"/>
  <c r="CA31" i="102" s="1"/>
  <c r="U201" i="102"/>
  <c r="W201" i="102" s="1"/>
  <c r="U134" i="102"/>
  <c r="W134" i="102" s="1"/>
  <c r="BA34" i="102"/>
  <c r="BC34" i="102" s="1"/>
  <c r="K16" i="104"/>
  <c r="L16" i="104" s="1"/>
  <c r="BY69" i="102"/>
  <c r="CA69" i="102" s="1"/>
  <c r="AS199" i="102"/>
  <c r="AU199" i="102" s="1"/>
  <c r="BI171" i="102"/>
  <c r="BK171" i="102" s="1"/>
  <c r="AS110" i="102"/>
  <c r="AU110" i="102" s="1"/>
  <c r="M172" i="102"/>
  <c r="O172" i="102" s="1"/>
  <c r="BI113" i="102"/>
  <c r="BK113" i="102" s="1"/>
  <c r="M29" i="105"/>
  <c r="O29" i="105" s="1"/>
  <c r="BY212" i="102"/>
  <c r="CA212" i="102" s="1"/>
  <c r="AS156" i="102"/>
  <c r="AU156" i="102" s="1"/>
  <c r="BA167" i="102"/>
  <c r="BC167" i="102" s="1"/>
  <c r="AC157" i="102"/>
  <c r="AE157" i="102" s="1"/>
  <c r="AC135" i="102"/>
  <c r="AE135" i="102" s="1"/>
  <c r="BI146" i="102"/>
  <c r="BK146" i="102" s="1"/>
  <c r="AS103" i="102"/>
  <c r="AU103" i="102" s="1"/>
  <c r="AC129" i="102"/>
  <c r="AE129" i="102" s="1"/>
  <c r="M215" i="102"/>
  <c r="O215" i="102" s="1"/>
  <c r="CG125" i="102"/>
  <c r="CI125" i="102" s="1"/>
  <c r="AC140" i="102"/>
  <c r="AE140" i="102" s="1"/>
  <c r="BA137" i="102"/>
  <c r="BC137" i="102" s="1"/>
  <c r="U220" i="102"/>
  <c r="W220" i="102" s="1"/>
  <c r="AC172" i="102"/>
  <c r="AE172" i="102" s="1"/>
  <c r="BY162" i="102"/>
  <c r="CA162" i="102" s="1"/>
  <c r="AK204" i="102"/>
  <c r="AM204" i="102" s="1"/>
  <c r="BY231" i="102"/>
  <c r="CA231" i="102" s="1"/>
  <c r="M39" i="105"/>
  <c r="O39" i="105" s="1"/>
  <c r="BQ179" i="102"/>
  <c r="BS179" i="102" s="1"/>
  <c r="M48" i="105"/>
  <c r="O48" i="105" s="1"/>
  <c r="AC124" i="102"/>
  <c r="AE124" i="102" s="1"/>
  <c r="M45" i="105"/>
  <c r="O45" i="105" s="1"/>
  <c r="AS197" i="102"/>
  <c r="AU197" i="102" s="1"/>
  <c r="M158" i="102"/>
  <c r="O158" i="102" s="1"/>
  <c r="AC8" i="102"/>
  <c r="AE8" i="102" s="1"/>
  <c r="M77" i="105"/>
  <c r="O77" i="105" s="1"/>
  <c r="M199" i="102"/>
  <c r="O199" i="102" s="1"/>
  <c r="AS116" i="102"/>
  <c r="AU116" i="102" s="1"/>
  <c r="BY99" i="102"/>
  <c r="CA99" i="102" s="1"/>
  <c r="U184" i="102"/>
  <c r="W184" i="102" s="1"/>
  <c r="AS114" i="102"/>
  <c r="AU114" i="102" s="1"/>
  <c r="BQ217" i="102"/>
  <c r="BS217" i="102" s="1"/>
  <c r="AC180" i="102"/>
  <c r="AE180" i="102" s="1"/>
  <c r="BA195" i="102"/>
  <c r="BC195" i="102" s="1"/>
  <c r="CG203" i="102"/>
  <c r="CI203" i="102" s="1"/>
  <c r="BA108" i="102"/>
  <c r="BC108" i="102" s="1"/>
  <c r="BA206" i="102"/>
  <c r="BC206" i="102" s="1"/>
  <c r="M26" i="102"/>
  <c r="O26" i="102" s="1"/>
  <c r="AS194" i="102"/>
  <c r="AU194" i="102" s="1"/>
  <c r="M111" i="102"/>
  <c r="O111" i="102" s="1"/>
  <c r="BQ115" i="102"/>
  <c r="BS115" i="102" s="1"/>
  <c r="BA157" i="102"/>
  <c r="BC157" i="102" s="1"/>
  <c r="U136" i="102"/>
  <c r="W136" i="102" s="1"/>
  <c r="BQ164" i="102"/>
  <c r="BS164" i="102" s="1"/>
  <c r="AC58" i="102"/>
  <c r="AE58" i="102" s="1"/>
  <c r="M123" i="102"/>
  <c r="O123" i="102" s="1"/>
  <c r="BA149" i="102"/>
  <c r="BC149" i="102" s="1"/>
  <c r="M198" i="102"/>
  <c r="O198" i="102" s="1"/>
  <c r="CG110" i="102"/>
  <c r="CI110" i="102" s="1"/>
  <c r="BA111" i="102"/>
  <c r="BC111" i="102" s="1"/>
  <c r="BI126" i="102"/>
  <c r="BK126" i="102" s="1"/>
  <c r="M44" i="102"/>
  <c r="O44" i="102" s="1"/>
  <c r="M108" i="102"/>
  <c r="O108" i="102" s="1"/>
  <c r="BY207" i="102"/>
  <c r="CA207" i="102" s="1"/>
  <c r="U27" i="102"/>
  <c r="W27" i="102" s="1"/>
  <c r="BY111" i="102"/>
  <c r="CA111" i="102" s="1"/>
  <c r="BI47" i="102"/>
  <c r="BK47" i="102" s="1"/>
  <c r="BA6" i="102"/>
  <c r="BC6" i="102" s="1"/>
  <c r="AC15" i="102"/>
  <c r="AE15" i="102" s="1"/>
  <c r="AC51" i="102"/>
  <c r="AE51" i="102" s="1"/>
  <c r="AC55" i="102"/>
  <c r="AE55" i="102" s="1"/>
  <c r="M17" i="102"/>
  <c r="O17" i="102" s="1"/>
  <c r="AK83" i="102"/>
  <c r="AM83" i="102" s="1"/>
  <c r="AS16" i="102"/>
  <c r="AU16" i="102" s="1"/>
  <c r="CO187" i="102"/>
  <c r="CQ187" i="102" s="1"/>
  <c r="M72" i="102"/>
  <c r="O72" i="102" s="1"/>
  <c r="AS38" i="102"/>
  <c r="AU38" i="102" s="1"/>
  <c r="BA210" i="102"/>
  <c r="BC210" i="102" s="1"/>
  <c r="U80" i="102"/>
  <c r="W80" i="102" s="1"/>
  <c r="BQ201" i="102"/>
  <c r="BS201" i="102" s="1"/>
  <c r="BI137" i="102"/>
  <c r="BK137" i="102" s="1"/>
  <c r="AK41" i="102"/>
  <c r="AM41" i="102" s="1"/>
  <c r="BY55" i="102"/>
  <c r="CA55" i="102" s="1"/>
  <c r="BA49" i="102"/>
  <c r="BC49" i="102" s="1"/>
  <c r="CG100" i="102"/>
  <c r="CI100" i="102" s="1"/>
  <c r="U72" i="102"/>
  <c r="W72" i="102" s="1"/>
  <c r="U177" i="102"/>
  <c r="W177" i="102" s="1"/>
  <c r="U30" i="102"/>
  <c r="W30" i="102" s="1"/>
  <c r="BI206" i="102"/>
  <c r="BK206" i="102" s="1"/>
  <c r="BQ28" i="102"/>
  <c r="BS28" i="102" s="1"/>
  <c r="BQ43" i="102"/>
  <c r="BS43" i="102" s="1"/>
  <c r="M31" i="102"/>
  <c r="O31" i="102" s="1"/>
  <c r="U11" i="102"/>
  <c r="W11" i="102" s="1"/>
  <c r="BI166" i="102"/>
  <c r="BK166" i="102" s="1"/>
  <c r="CO106" i="102"/>
  <c r="CQ106" i="102" s="1"/>
  <c r="K41" i="104"/>
  <c r="L41" i="104" s="1"/>
  <c r="AC81" i="102"/>
  <c r="AE81" i="102" s="1"/>
  <c r="BI200" i="102"/>
  <c r="BK200" i="102" s="1"/>
  <c r="U34" i="102"/>
  <c r="W34" i="102" s="1"/>
  <c r="BI64" i="102"/>
  <c r="BK64" i="102" s="1"/>
  <c r="BQ54" i="102"/>
  <c r="BS54" i="102" s="1"/>
  <c r="CO206" i="102"/>
  <c r="CQ206" i="102" s="1"/>
  <c r="CO229" i="102"/>
  <c r="CQ229" i="102" s="1"/>
  <c r="BQ61" i="102"/>
  <c r="BS61" i="102" s="1"/>
  <c r="BY135" i="102"/>
  <c r="CA135" i="102" s="1"/>
  <c r="BI36" i="102"/>
  <c r="BK36" i="102" s="1"/>
  <c r="BA36" i="102"/>
  <c r="BC36" i="102" s="1"/>
  <c r="BQ150" i="102"/>
  <c r="BS150" i="102" s="1"/>
  <c r="BQ180" i="102"/>
  <c r="BS180" i="102" s="1"/>
  <c r="AC59" i="102"/>
  <c r="AE59" i="102" s="1"/>
  <c r="BQ51" i="102"/>
  <c r="BS51" i="102" s="1"/>
  <c r="K68" i="104"/>
  <c r="L68" i="104" s="1"/>
  <c r="U16" i="102"/>
  <c r="W16" i="102" s="1"/>
  <c r="BA197" i="102"/>
  <c r="BC197" i="102" s="1"/>
  <c r="AC68" i="102"/>
  <c r="AE68" i="102" s="1"/>
  <c r="BQ46" i="102"/>
  <c r="BS46" i="102" s="1"/>
  <c r="BQ29" i="102"/>
  <c r="BS29" i="102" s="1"/>
  <c r="AK157" i="102"/>
  <c r="AM157" i="102" s="1"/>
  <c r="CO142" i="102"/>
  <c r="CQ142" i="102" s="1"/>
  <c r="CO200" i="102"/>
  <c r="CQ200" i="102" s="1"/>
  <c r="BI149" i="102"/>
  <c r="BK149" i="102" s="1"/>
  <c r="BQ41" i="102"/>
  <c r="BS41" i="102" s="1"/>
  <c r="BI117" i="102"/>
  <c r="BK117" i="102" s="1"/>
  <c r="CO108" i="102"/>
  <c r="CQ108" i="102" s="1"/>
  <c r="U52" i="102"/>
  <c r="W52" i="102" s="1"/>
  <c r="BI23" i="102"/>
  <c r="BK23" i="102" s="1"/>
  <c r="BA57" i="102"/>
  <c r="BC57" i="102" s="1"/>
  <c r="BA21" i="102"/>
  <c r="BC21" i="102" s="1"/>
  <c r="BQ45" i="102"/>
  <c r="BS45" i="102" s="1"/>
  <c r="AS13" i="102"/>
  <c r="AU13" i="102" s="1"/>
  <c r="BA181" i="102"/>
  <c r="BC181" i="102" s="1"/>
  <c r="BY133" i="102"/>
  <c r="CA133" i="102" s="1"/>
  <c r="CO163" i="102"/>
  <c r="CQ163" i="102" s="1"/>
  <c r="BI49" i="102"/>
  <c r="BK49" i="102" s="1"/>
  <c r="M76" i="102"/>
  <c r="O76" i="102" s="1"/>
  <c r="AC36" i="102"/>
  <c r="AE36" i="102" s="1"/>
  <c r="CO228" i="102"/>
  <c r="CQ228" i="102" s="1"/>
  <c r="BQ42" i="102"/>
  <c r="BS42" i="102" s="1"/>
  <c r="BQ53" i="102"/>
  <c r="BS53" i="102" s="1"/>
  <c r="AS180" i="102"/>
  <c r="AU180" i="102" s="1"/>
  <c r="AK170" i="102"/>
  <c r="AM170" i="102" s="1"/>
  <c r="M223" i="102"/>
  <c r="O223" i="102" s="1"/>
  <c r="CO127" i="102"/>
  <c r="CQ127" i="102" s="1"/>
  <c r="AS152" i="102"/>
  <c r="AU152" i="102" s="1"/>
  <c r="AC171" i="102"/>
  <c r="AE171" i="102" s="1"/>
  <c r="M36" i="105"/>
  <c r="O36" i="105" s="1"/>
  <c r="U124" i="102"/>
  <c r="W124" i="102" s="1"/>
  <c r="CO112" i="102"/>
  <c r="CQ112" i="102" s="1"/>
  <c r="U126" i="102"/>
  <c r="W126" i="102" s="1"/>
  <c r="AS141" i="102"/>
  <c r="AU141" i="102" s="1"/>
  <c r="BI231" i="102"/>
  <c r="BK231" i="102" s="1"/>
  <c r="U212" i="102"/>
  <c r="W212" i="102" s="1"/>
  <c r="AS153" i="102"/>
  <c r="AU153" i="102" s="1"/>
  <c r="BQ204" i="102"/>
  <c r="BS204" i="102" s="1"/>
  <c r="U160" i="102"/>
  <c r="W160" i="102" s="1"/>
  <c r="M197" i="102"/>
  <c r="O197" i="102" s="1"/>
  <c r="BY180" i="102"/>
  <c r="CA180" i="102" s="1"/>
  <c r="U127" i="102"/>
  <c r="W127" i="102" s="1"/>
  <c r="M142" i="102"/>
  <c r="O142" i="102" s="1"/>
  <c r="AC100" i="102"/>
  <c r="AE100" i="102" s="1"/>
  <c r="CG116" i="102"/>
  <c r="CI116" i="102" s="1"/>
  <c r="AC182" i="102"/>
  <c r="AE182" i="102" s="1"/>
  <c r="BY140" i="102"/>
  <c r="CA140" i="102" s="1"/>
  <c r="BA125" i="102"/>
  <c r="BC125" i="102" s="1"/>
  <c r="BA140" i="102"/>
  <c r="BC140" i="102" s="1"/>
  <c r="M222" i="102"/>
  <c r="O222" i="102" s="1"/>
  <c r="AC220" i="102"/>
  <c r="AE220" i="102" s="1"/>
  <c r="AS221" i="102"/>
  <c r="AU221" i="102" s="1"/>
  <c r="BQ139" i="102"/>
  <c r="BS139" i="102" s="1"/>
  <c r="S87" i="103"/>
  <c r="S86" i="103"/>
  <c r="M231" i="102"/>
  <c r="O231" i="102" s="1"/>
  <c r="U82" i="102"/>
  <c r="W82" i="102" s="1"/>
  <c r="AS117" i="102"/>
  <c r="AU117" i="102" s="1"/>
  <c r="AK160" i="102"/>
  <c r="AM160" i="102" s="1"/>
  <c r="U135" i="102"/>
  <c r="W135" i="102" s="1"/>
  <c r="CG150" i="102"/>
  <c r="CI150" i="102" s="1"/>
  <c r="M143" i="102"/>
  <c r="O143" i="102" s="1"/>
  <c r="AS182" i="102"/>
  <c r="AU182" i="102" s="1"/>
  <c r="M149" i="102"/>
  <c r="O149" i="102" s="1"/>
  <c r="BY201" i="102"/>
  <c r="CA201" i="102" s="1"/>
  <c r="AK74" i="102"/>
  <c r="AM74" i="102" s="1"/>
  <c r="U213" i="102"/>
  <c r="W213" i="102" s="1"/>
  <c r="AS186" i="102"/>
  <c r="AU186" i="102" s="1"/>
  <c r="AC198" i="102"/>
  <c r="AE198" i="102" s="1"/>
  <c r="CG213" i="102"/>
  <c r="CI213" i="102" s="1"/>
  <c r="CO170" i="102"/>
  <c r="CQ170" i="102" s="1"/>
  <c r="BQ215" i="102"/>
  <c r="BS215" i="102" s="1"/>
  <c r="AK35" i="102"/>
  <c r="AM35" i="102" s="1"/>
  <c r="AC164" i="102"/>
  <c r="AE164" i="102" s="1"/>
  <c r="BI105" i="102"/>
  <c r="BK105" i="102" s="1"/>
  <c r="U64" i="102"/>
  <c r="W64" i="102" s="1"/>
  <c r="AC39" i="102"/>
  <c r="AE39" i="102" s="1"/>
  <c r="U66" i="102"/>
  <c r="W66" i="102" s="1"/>
  <c r="CO161" i="102"/>
  <c r="CQ161" i="102" s="1"/>
  <c r="BI83" i="102"/>
  <c r="BK83" i="102" s="1"/>
  <c r="AS205" i="102"/>
  <c r="AU205" i="102" s="1"/>
  <c r="AC52" i="102"/>
  <c r="AE52" i="102" s="1"/>
  <c r="CG178" i="102"/>
  <c r="CI178" i="102" s="1"/>
  <c r="AS56" i="102"/>
  <c r="AU56" i="102" s="1"/>
  <c r="BI52" i="102"/>
  <c r="BK52" i="102" s="1"/>
  <c r="AS7" i="102"/>
  <c r="AU7" i="102" s="1"/>
  <c r="BA222" i="102"/>
  <c r="BC222" i="102" s="1"/>
  <c r="CO195" i="102"/>
  <c r="CQ195" i="102" s="1"/>
  <c r="CO144" i="102"/>
  <c r="CQ144" i="102" s="1"/>
  <c r="BQ154" i="102"/>
  <c r="BS154" i="102" s="1"/>
  <c r="K72" i="104"/>
  <c r="L72" i="104" s="1"/>
  <c r="BA161" i="102"/>
  <c r="BC161" i="102" s="1"/>
  <c r="CG159" i="102"/>
  <c r="CI159" i="102" s="1"/>
  <c r="CO194" i="102"/>
  <c r="CQ194" i="102" s="1"/>
  <c r="BY53" i="102"/>
  <c r="CA53" i="102" s="1"/>
  <c r="CO132" i="102"/>
  <c r="CQ132" i="102" s="1"/>
  <c r="BY39" i="102"/>
  <c r="CA39" i="102" s="1"/>
  <c r="BI150" i="102"/>
  <c r="BK150" i="102" s="1"/>
  <c r="BI7" i="102"/>
  <c r="BK7" i="102" s="1"/>
  <c r="M51" i="102"/>
  <c r="O51" i="102" s="1"/>
  <c r="U33" i="102"/>
  <c r="W33" i="102" s="1"/>
  <c r="BI54" i="102"/>
  <c r="BK54" i="102" s="1"/>
  <c r="BY83" i="102"/>
  <c r="CA83" i="102" s="1"/>
  <c r="BQ66" i="102"/>
  <c r="BS66" i="102" s="1"/>
  <c r="CO165" i="102"/>
  <c r="CQ165" i="102" s="1"/>
  <c r="M57" i="102"/>
  <c r="O57" i="102" s="1"/>
  <c r="BY192" i="102"/>
  <c r="CA192" i="102" s="1"/>
  <c r="BI33" i="102"/>
  <c r="BK33" i="102" s="1"/>
  <c r="BQ229" i="102"/>
  <c r="BS229" i="102" s="1"/>
  <c r="M30" i="102"/>
  <c r="O30" i="102" s="1"/>
  <c r="BA139" i="102"/>
  <c r="BC139" i="102" s="1"/>
  <c r="BA35" i="102"/>
  <c r="BC35" i="102" s="1"/>
  <c r="AC13" i="102"/>
  <c r="AE13" i="102" s="1"/>
  <c r="U47" i="102"/>
  <c r="W47" i="102" s="1"/>
  <c r="BY44" i="102"/>
  <c r="CA44" i="102" s="1"/>
  <c r="AC78" i="102"/>
  <c r="AE78" i="102" s="1"/>
  <c r="CG144" i="102"/>
  <c r="CI144" i="102" s="1"/>
  <c r="AS69" i="102"/>
  <c r="AU69" i="102" s="1"/>
  <c r="AC53" i="102"/>
  <c r="AE53" i="102" s="1"/>
  <c r="BQ18" i="102"/>
  <c r="BS18" i="102" s="1"/>
  <c r="AK42" i="102"/>
  <c r="AM42" i="102" s="1"/>
  <c r="M36" i="102"/>
  <c r="O36" i="102" s="1"/>
  <c r="CO220" i="102"/>
  <c r="CQ220" i="102" s="1"/>
  <c r="BY30" i="102"/>
  <c r="CA30" i="102" s="1"/>
  <c r="CO117" i="102"/>
  <c r="CQ117" i="102" s="1"/>
  <c r="CG95" i="102"/>
  <c r="CI95" i="102" s="1"/>
  <c r="CG156" i="102"/>
  <c r="CI156" i="102" s="1"/>
  <c r="CO207" i="102"/>
  <c r="CQ207" i="102" s="1"/>
  <c r="BA63" i="102"/>
  <c r="BC63" i="102" s="1"/>
  <c r="BQ75" i="102"/>
  <c r="BS75" i="102" s="1"/>
  <c r="BQ101" i="102"/>
  <c r="BS101" i="102" s="1"/>
  <c r="AK22" i="102"/>
  <c r="AM22" i="102" s="1"/>
  <c r="AS22" i="102"/>
  <c r="AU22" i="102" s="1"/>
  <c r="BA46" i="102"/>
  <c r="BC46" i="102" s="1"/>
  <c r="K21" i="104"/>
  <c r="L21" i="104" s="1"/>
  <c r="BY10" i="102"/>
  <c r="CA10" i="102" s="1"/>
  <c r="BA198" i="102"/>
  <c r="BC198" i="102" s="1"/>
  <c r="M84" i="102"/>
  <c r="O84" i="102" s="1"/>
  <c r="M53" i="102"/>
  <c r="O53" i="102" s="1"/>
  <c r="BA65" i="102"/>
  <c r="BC65" i="102" s="1"/>
  <c r="AS24" i="102"/>
  <c r="AU24" i="102" s="1"/>
  <c r="BQ168" i="102"/>
  <c r="BS168" i="102" s="1"/>
  <c r="AK61" i="102"/>
  <c r="AM61" i="102" s="1"/>
  <c r="AC112" i="102"/>
  <c r="AE112" i="102" s="1"/>
  <c r="AK29" i="102"/>
  <c r="AM29" i="102" s="1"/>
  <c r="AK27" i="102"/>
  <c r="AM27" i="102" s="1"/>
  <c r="BI61" i="102"/>
  <c r="BK61" i="102" s="1"/>
  <c r="U55" i="102"/>
  <c r="W55" i="102" s="1"/>
  <c r="BI18" i="102"/>
  <c r="BK18" i="102" s="1"/>
  <c r="U94" i="102"/>
  <c r="W94" i="102" s="1"/>
  <c r="BA225" i="102"/>
  <c r="BC225" i="102" s="1"/>
  <c r="AS124" i="102"/>
  <c r="AU124" i="102" s="1"/>
  <c r="BI170" i="102"/>
  <c r="BK170" i="102" s="1"/>
  <c r="M210" i="102"/>
  <c r="O210" i="102" s="1"/>
  <c r="M43" i="105"/>
  <c r="O43" i="105" s="1"/>
  <c r="AK104" i="102"/>
  <c r="AM104" i="102" s="1"/>
  <c r="AK217" i="102"/>
  <c r="AM217" i="102" s="1"/>
  <c r="CG137" i="102"/>
  <c r="CI137" i="102" s="1"/>
  <c r="AK171" i="102"/>
  <c r="AM171" i="102" s="1"/>
  <c r="AK203" i="102"/>
  <c r="AM203" i="102" s="1"/>
  <c r="M146" i="102"/>
  <c r="O146" i="102" s="1"/>
  <c r="BA172" i="102"/>
  <c r="BC172" i="102" s="1"/>
  <c r="CG113" i="102"/>
  <c r="CI113" i="102" s="1"/>
  <c r="U154" i="102"/>
  <c r="W154" i="102" s="1"/>
  <c r="M13" i="105"/>
  <c r="M141" i="102"/>
  <c r="O141" i="102" s="1"/>
  <c r="CO199" i="102"/>
  <c r="CQ199" i="102" s="1"/>
  <c r="AC214" i="102"/>
  <c r="AE214" i="102" s="1"/>
  <c r="AC199" i="102"/>
  <c r="AE199" i="102" s="1"/>
  <c r="BQ165" i="102"/>
  <c r="BS165" i="102" s="1"/>
  <c r="M59" i="105"/>
  <c r="O59" i="105" s="1"/>
  <c r="BQ183" i="102"/>
  <c r="BS183" i="102" s="1"/>
  <c r="V86" i="103"/>
  <c r="V87" i="103"/>
  <c r="M82" i="105"/>
  <c r="O82" i="105" s="1"/>
  <c r="BA102" i="102"/>
  <c r="BC102" i="102" s="1"/>
  <c r="AC97" i="102"/>
  <c r="AE97" i="102" s="1"/>
  <c r="CO197" i="102"/>
  <c r="CQ197" i="102" s="1"/>
  <c r="AC143" i="102"/>
  <c r="AE143" i="102" s="1"/>
  <c r="M75" i="105"/>
  <c r="O75" i="105" s="1"/>
  <c r="U152" i="102"/>
  <c r="W152" i="102" s="1"/>
  <c r="AC174" i="102"/>
  <c r="AE174" i="102" s="1"/>
  <c r="BI129" i="102"/>
  <c r="BK129" i="102" s="1"/>
  <c r="U199" i="102"/>
  <c r="W199" i="102" s="1"/>
  <c r="AC170" i="102"/>
  <c r="AE170" i="102" s="1"/>
  <c r="BY98" i="102"/>
  <c r="CA98" i="102" s="1"/>
  <c r="M98" i="102"/>
  <c r="O98" i="102" s="1"/>
  <c r="CO167" i="102"/>
  <c r="CQ167" i="102" s="1"/>
  <c r="AS146" i="102"/>
  <c r="AU146" i="102" s="1"/>
  <c r="AS171" i="102"/>
  <c r="AU171" i="102" s="1"/>
  <c r="BI151" i="102"/>
  <c r="BK151" i="102" s="1"/>
  <c r="BI138" i="102"/>
  <c r="BK138" i="102" s="1"/>
  <c r="BA213" i="102"/>
  <c r="BC213" i="102" s="1"/>
  <c r="AK223" i="102"/>
  <c r="AM223" i="102" s="1"/>
  <c r="AK180" i="102"/>
  <c r="AM180" i="102" s="1"/>
  <c r="M182" i="102"/>
  <c r="O182" i="102" s="1"/>
  <c r="BY193" i="102"/>
  <c r="CA193" i="102" s="1"/>
  <c r="BQ218" i="102"/>
  <c r="BS218" i="102" s="1"/>
  <c r="AC173" i="102"/>
  <c r="AE173" i="102" s="1"/>
  <c r="BY204" i="102"/>
  <c r="CA204" i="102" s="1"/>
  <c r="BI95" i="102"/>
  <c r="BK95" i="102" s="1"/>
  <c r="CO183" i="102"/>
  <c r="CQ183" i="102" s="1"/>
  <c r="AS100" i="102"/>
  <c r="AU100" i="102" s="1"/>
  <c r="AS123" i="102"/>
  <c r="AU123" i="102" s="1"/>
  <c r="AC133" i="102"/>
  <c r="AE133" i="102" s="1"/>
  <c r="BQ224" i="102"/>
  <c r="BS224" i="102" s="1"/>
  <c r="CG104" i="102"/>
  <c r="CI104" i="102" s="1"/>
  <c r="AK149" i="102"/>
  <c r="AM149" i="102" s="1"/>
  <c r="BQ137" i="102"/>
  <c r="BS137" i="102" s="1"/>
  <c r="M78" i="105"/>
  <c r="O78" i="105" s="1"/>
  <c r="BI139" i="102"/>
  <c r="BK139" i="102" s="1"/>
  <c r="M140" i="102"/>
  <c r="O140" i="102" s="1"/>
  <c r="CO97" i="102"/>
  <c r="CQ97" i="102" s="1"/>
  <c r="AC66" i="102"/>
  <c r="AE66" i="102" s="1"/>
  <c r="AC216" i="102"/>
  <c r="AE216" i="102" s="1"/>
  <c r="BI115" i="102"/>
  <c r="BK115" i="102" s="1"/>
  <c r="M16" i="102"/>
  <c r="O16" i="102" s="1"/>
  <c r="U12" i="102"/>
  <c r="W12" i="102" s="1"/>
  <c r="BY137" i="102"/>
  <c r="CA137" i="102" s="1"/>
  <c r="AK46" i="102"/>
  <c r="AM46" i="102" s="1"/>
  <c r="BA38" i="102"/>
  <c r="BC38" i="102" s="1"/>
  <c r="BY26" i="102"/>
  <c r="CA26" i="102" s="1"/>
  <c r="CO96" i="102"/>
  <c r="CQ96" i="102" s="1"/>
  <c r="AS14" i="102"/>
  <c r="AU14" i="102" s="1"/>
  <c r="AS115" i="102"/>
  <c r="AU115" i="102" s="1"/>
  <c r="AS37" i="102"/>
  <c r="AU37" i="102" s="1"/>
  <c r="K50" i="104"/>
  <c r="L50" i="104" s="1"/>
  <c r="BI123" i="102"/>
  <c r="BK123" i="102" s="1"/>
  <c r="CO139" i="102"/>
  <c r="CQ139" i="102" s="1"/>
  <c r="BQ126" i="102"/>
  <c r="BS126" i="102" s="1"/>
  <c r="BA50" i="102"/>
  <c r="BC50" i="102" s="1"/>
  <c r="BI8" i="102"/>
  <c r="BK8" i="102" s="1"/>
  <c r="AS177" i="102"/>
  <c r="AU177" i="102" s="1"/>
  <c r="CO124" i="102"/>
  <c r="CQ124" i="102" s="1"/>
  <c r="U75" i="102"/>
  <c r="W75" i="102" s="1"/>
  <c r="U73" i="102"/>
  <c r="W73" i="102" s="1"/>
  <c r="AK62" i="102"/>
  <c r="AM62" i="102" s="1"/>
  <c r="AK55" i="102"/>
  <c r="AM55" i="102" s="1"/>
  <c r="BY66" i="102"/>
  <c r="CA66" i="102" s="1"/>
  <c r="BI71" i="102"/>
  <c r="BK71" i="102" s="1"/>
  <c r="M80" i="102"/>
  <c r="O80" i="102" s="1"/>
  <c r="AK17" i="102"/>
  <c r="AM17" i="102" s="1"/>
  <c r="CG229" i="102"/>
  <c r="CI229" i="102" s="1"/>
  <c r="K77" i="104"/>
  <c r="L77" i="104" s="1"/>
  <c r="BY15" i="102"/>
  <c r="CA15" i="102" s="1"/>
  <c r="CO115" i="102"/>
  <c r="CQ115" i="102" s="1"/>
  <c r="AC45" i="102"/>
  <c r="AE45" i="102" s="1"/>
  <c r="AK39" i="102"/>
  <c r="AM39" i="102" s="1"/>
  <c r="M24" i="102"/>
  <c r="O24" i="102" s="1"/>
  <c r="BI58" i="102"/>
  <c r="BK58" i="102" s="1"/>
  <c r="AS15" i="102"/>
  <c r="AU15" i="102" s="1"/>
  <c r="CG107" i="102"/>
  <c r="CI107" i="102" s="1"/>
  <c r="U132" i="102"/>
  <c r="W132" i="102" s="1"/>
  <c r="CO125" i="102"/>
  <c r="CQ125" i="102" s="1"/>
  <c r="AK33" i="102"/>
  <c r="AM33" i="102" s="1"/>
  <c r="BA169" i="102"/>
  <c r="BC169" i="102" s="1"/>
  <c r="U60" i="102"/>
  <c r="W60" i="102" s="1"/>
  <c r="BI183" i="102"/>
  <c r="BK183" i="102" s="1"/>
  <c r="BI230" i="102"/>
  <c r="BK230" i="102" s="1"/>
  <c r="BA29" i="102"/>
  <c r="BC29" i="102" s="1"/>
  <c r="BA44" i="102"/>
  <c r="BC44" i="102" s="1"/>
  <c r="BY27" i="102"/>
  <c r="CA27" i="102" s="1"/>
  <c r="AS64" i="102"/>
  <c r="AU64" i="102" s="1"/>
  <c r="CO173" i="102"/>
  <c r="CQ173" i="102" s="1"/>
  <c r="AS159" i="102"/>
  <c r="AU159" i="102" s="1"/>
  <c r="M65" i="102"/>
  <c r="O65" i="102" s="1"/>
  <c r="BA56" i="102"/>
  <c r="BC56" i="102" s="1"/>
  <c r="U129" i="102"/>
  <c r="W129" i="102" s="1"/>
  <c r="BI120" i="102"/>
  <c r="BK120" i="102" s="1"/>
  <c r="U70" i="102"/>
  <c r="W70" i="102" s="1"/>
  <c r="BA75" i="102"/>
  <c r="BC75" i="102" s="1"/>
  <c r="AK34" i="102"/>
  <c r="AM34" i="102" s="1"/>
  <c r="BY213" i="102"/>
  <c r="CA213" i="102" s="1"/>
  <c r="CG167" i="102"/>
  <c r="CI167" i="102" s="1"/>
  <c r="AK16" i="102"/>
  <c r="AM16" i="102" s="1"/>
  <c r="BY60" i="102"/>
  <c r="CA60" i="102" s="1"/>
  <c r="BY40" i="102"/>
  <c r="CA40" i="102" s="1"/>
  <c r="AK58" i="102"/>
  <c r="AM58" i="102" s="1"/>
  <c r="BQ188" i="102"/>
  <c r="BS188" i="102" s="1"/>
  <c r="CG184" i="102"/>
  <c r="CI184" i="102" s="1"/>
  <c r="BA11" i="102"/>
  <c r="BC11" i="102" s="1"/>
  <c r="K56" i="104"/>
  <c r="L56" i="104" s="1"/>
  <c r="BA20" i="102"/>
  <c r="BC20" i="102" s="1"/>
  <c r="U61" i="102"/>
  <c r="W61" i="102" s="1"/>
  <c r="CO218" i="102"/>
  <c r="CQ218" i="102" s="1"/>
  <c r="U84" i="102"/>
  <c r="W84" i="102" s="1"/>
  <c r="BI46" i="102"/>
  <c r="BK46" i="102" s="1"/>
  <c r="BY84" i="102"/>
  <c r="CA84" i="102" s="1"/>
  <c r="AC147" i="102"/>
  <c r="AE147" i="102" s="1"/>
  <c r="AS83" i="102"/>
  <c r="AU83" i="102" s="1"/>
  <c r="BQ142" i="102"/>
  <c r="BS142" i="102" s="1"/>
  <c r="BY145" i="102"/>
  <c r="CA145" i="102" s="1"/>
  <c r="M63" i="102"/>
  <c r="O63" i="102" s="1"/>
  <c r="BQ82" i="102"/>
  <c r="BS82" i="102" s="1"/>
  <c r="M61" i="102"/>
  <c r="O61" i="102" s="1"/>
  <c r="K15" i="104"/>
  <c r="L15" i="104" s="1"/>
  <c r="N25" i="105"/>
  <c r="N69" i="105"/>
  <c r="N19" i="105"/>
  <c r="N22" i="105"/>
  <c r="N64" i="105"/>
  <c r="N80" i="105"/>
  <c r="N52" i="105"/>
  <c r="N17" i="105"/>
  <c r="N37" i="105"/>
  <c r="N53" i="105"/>
  <c r="K58" i="104"/>
  <c r="L58" i="104" s="1"/>
  <c r="N58" i="104" s="1"/>
  <c r="K23" i="104"/>
  <c r="L23" i="104" s="1"/>
  <c r="N23" i="104" s="1"/>
  <c r="K64" i="104"/>
  <c r="L64" i="104" s="1"/>
  <c r="K53" i="104"/>
  <c r="L53" i="104" s="1"/>
  <c r="M11" i="104"/>
  <c r="O11" i="104" s="1"/>
  <c r="M12" i="104"/>
  <c r="O12" i="104" s="1"/>
  <c r="N11" i="104"/>
  <c r="N12" i="104"/>
  <c r="K22" i="104"/>
  <c r="L22" i="104" s="1"/>
  <c r="K33" i="104"/>
  <c r="L33" i="104" s="1"/>
  <c r="K73" i="104"/>
  <c r="L73" i="104" s="1"/>
  <c r="N73" i="104" s="1"/>
  <c r="O13" i="105"/>
  <c r="N24" i="104"/>
  <c r="N70" i="104"/>
  <c r="N81" i="104"/>
  <c r="N57" i="104"/>
  <c r="N35" i="104"/>
  <c r="N27" i="104"/>
  <c r="N62" i="104"/>
  <c r="N19" i="104"/>
  <c r="N63" i="104"/>
  <c r="N28" i="104"/>
  <c r="N41" i="104"/>
  <c r="N18" i="104"/>
  <c r="N43" i="104"/>
  <c r="N80" i="104"/>
  <c r="N39" i="104"/>
  <c r="N68" i="104"/>
  <c r="N21" i="104"/>
  <c r="N38" i="104"/>
  <c r="N26" i="104"/>
  <c r="N32" i="104"/>
  <c r="N78" i="104"/>
  <c r="N36" i="104"/>
  <c r="N29" i="104"/>
  <c r="N50" i="104"/>
  <c r="N42" i="104"/>
  <c r="N74" i="104"/>
  <c r="N30" i="104"/>
  <c r="N48" i="104"/>
  <c r="N17" i="104"/>
  <c r="N76" i="104"/>
  <c r="N60" i="104"/>
  <c r="N77" i="104"/>
  <c r="N51" i="104"/>
  <c r="N66" i="104"/>
  <c r="N75" i="104"/>
  <c r="N65" i="104"/>
  <c r="N61" i="104"/>
  <c r="N40" i="104"/>
  <c r="N16" i="104"/>
  <c r="N64" i="104"/>
  <c r="N52" i="104"/>
  <c r="N82" i="104"/>
  <c r="N13" i="104"/>
  <c r="N71" i="104"/>
  <c r="N79" i="104"/>
  <c r="N46" i="104"/>
  <c r="N55" i="104"/>
  <c r="N25" i="104"/>
  <c r="N15" i="104"/>
  <c r="N54" i="104"/>
  <c r="N67" i="104"/>
  <c r="N69" i="104"/>
  <c r="N20" i="104"/>
  <c r="N44" i="104"/>
  <c r="N34" i="104"/>
  <c r="N83" i="104"/>
  <c r="N59" i="104"/>
  <c r="D51" i="101" a="1"/>
  <c r="D51" i="101" s="1"/>
  <c r="C51" i="101" a="1"/>
  <c r="C51" i="101" s="1"/>
  <c r="S51" i="101" a="1"/>
  <c r="S51" i="101" s="1"/>
  <c r="H51" i="101" a="1"/>
  <c r="H51" i="101" s="1"/>
  <c r="R51" i="101" a="1"/>
  <c r="R51" i="101" s="1"/>
  <c r="I51" i="101" a="1"/>
  <c r="I51" i="101" s="1"/>
  <c r="N51" i="101" a="1"/>
  <c r="N51" i="101" s="1"/>
  <c r="M51" i="101" a="1"/>
  <c r="M51" i="101" s="1"/>
  <c r="X51" i="101" a="1"/>
  <c r="X51" i="101" s="1"/>
  <c r="W51" i="101" a="1"/>
  <c r="W51" i="101" s="1"/>
  <c r="H32" i="73"/>
  <c r="H28" i="73"/>
  <c r="H24" i="73"/>
  <c r="E14" i="73"/>
  <c r="E7" i="73"/>
  <c r="E8" i="73" s="1"/>
  <c r="D51" i="51"/>
  <c r="D42" i="51"/>
  <c r="D43" i="51"/>
  <c r="D58" i="51"/>
  <c r="D57" i="51"/>
  <c r="D47" i="51"/>
  <c r="D15" i="51"/>
  <c r="D31" i="51"/>
  <c r="D35" i="51"/>
  <c r="D34" i="51"/>
  <c r="D17" i="51"/>
  <c r="D56" i="51"/>
  <c r="D24" i="51"/>
  <c r="D23" i="51"/>
  <c r="D54" i="51"/>
  <c r="D46" i="51"/>
  <c r="D38" i="51"/>
  <c r="D30" i="51"/>
  <c r="D14" i="51"/>
  <c r="D27" i="51"/>
  <c r="D18" i="51"/>
  <c r="D25" i="51"/>
  <c r="D48" i="51"/>
  <c r="D16" i="51"/>
  <c r="D39" i="51"/>
  <c r="D22" i="51"/>
  <c r="D19" i="51"/>
  <c r="D50" i="51"/>
  <c r="D41" i="51"/>
  <c r="D32" i="51"/>
  <c r="D55" i="51"/>
  <c r="D53" i="51"/>
  <c r="D37" i="51"/>
  <c r="D29" i="51"/>
  <c r="D13" i="51"/>
  <c r="D26" i="51"/>
  <c r="D33" i="51"/>
  <c r="D40" i="51"/>
  <c r="D61" i="51"/>
  <c r="D45" i="51"/>
  <c r="D21" i="51"/>
  <c r="D59" i="51"/>
  <c r="D49" i="51"/>
  <c r="D60" i="51"/>
  <c r="D52" i="51"/>
  <c r="D44" i="51"/>
  <c r="D36" i="51"/>
  <c r="D28" i="51"/>
  <c r="D20" i="51"/>
  <c r="D12" i="51"/>
  <c r="D11" i="51"/>
  <c r="I34" i="58"/>
  <c r="D32" i="58"/>
  <c r="D34" i="81"/>
  <c r="D33" i="81"/>
  <c r="K17" i="59"/>
  <c r="L17" i="59"/>
  <c r="J17" i="59"/>
  <c r="K16" i="59"/>
  <c r="L16" i="59"/>
  <c r="J16" i="59"/>
  <c r="G17" i="59"/>
  <c r="H17" i="59"/>
  <c r="F17" i="59"/>
  <c r="G8" i="59"/>
  <c r="G16" i="59"/>
  <c r="H16" i="59"/>
  <c r="F16" i="59"/>
  <c r="H8" i="59"/>
  <c r="F8" i="59"/>
  <c r="H15" i="59"/>
  <c r="G15" i="59"/>
  <c r="F15" i="59"/>
  <c r="G14" i="59"/>
  <c r="F14" i="59"/>
  <c r="H14" i="59"/>
  <c r="G12" i="59"/>
  <c r="F13" i="59"/>
  <c r="G13" i="59"/>
  <c r="G10" i="59"/>
  <c r="G9" i="59"/>
  <c r="F23" i="59"/>
  <c r="F11" i="59"/>
  <c r="F10" i="59"/>
  <c r="F9" i="59"/>
  <c r="F6" i="59"/>
  <c r="H6" i="59"/>
  <c r="H13" i="59"/>
  <c r="H10" i="59"/>
  <c r="H9" i="59"/>
  <c r="E3" i="59"/>
  <c r="E2" i="59"/>
  <c r="M80" i="104" a="1"/>
  <c r="AL2" i="102" a="1"/>
  <c r="AL3" i="102" a="1"/>
  <c r="M29" i="104" a="1"/>
  <c r="M43" i="104" a="1"/>
  <c r="M54" i="104" a="1"/>
  <c r="M16" i="104" a="1"/>
  <c r="F86" i="105" a="1"/>
  <c r="M75" i="104" a="1"/>
  <c r="M30" i="104" a="1"/>
  <c r="M83" i="104" a="1"/>
  <c r="BZ89" i="102" a="1"/>
  <c r="BZ90" i="102" a="1"/>
  <c r="M35" i="104" a="1"/>
  <c r="M52" i="104" a="1"/>
  <c r="BJ89" i="102" a="1"/>
  <c r="BJ90" i="102" a="1"/>
  <c r="M44" i="104" a="1"/>
  <c r="M17" i="104" a="1"/>
  <c r="BJ2" i="102" a="1"/>
  <c r="BJ3" i="102" a="1"/>
  <c r="V2" i="102" a="1"/>
  <c r="V3" i="102" a="1"/>
  <c r="M40" i="104" a="1"/>
  <c r="M24" i="104" a="1"/>
  <c r="M23" i="104" a="1"/>
  <c r="AT89" i="102" a="1"/>
  <c r="AT90" i="102" a="1"/>
  <c r="M60" i="104" a="1"/>
  <c r="M58" i="104" a="1"/>
  <c r="M55" i="104" a="1"/>
  <c r="M59" i="104" a="1"/>
  <c r="CH89" i="102" a="1"/>
  <c r="CH90" i="102" a="1"/>
  <c r="M45" i="104" a="1"/>
  <c r="M67" i="104" a="1"/>
  <c r="M50" i="104" a="1"/>
  <c r="M64" i="104" a="1"/>
  <c r="V89" i="102" a="1"/>
  <c r="V90" i="102" a="1"/>
  <c r="M27" i="104" a="1"/>
  <c r="M70" i="104" a="1"/>
  <c r="M18" i="104" a="1"/>
  <c r="M77" i="104" a="1"/>
  <c r="M62" i="104" a="1"/>
  <c r="M81" i="104" a="1"/>
  <c r="M74" i="104" a="1"/>
  <c r="M69" i="104" a="1"/>
  <c r="N3" i="102" a="1"/>
  <c r="N2" i="102" a="1"/>
  <c r="F85" i="105" a="1"/>
  <c r="M53" i="104" a="1"/>
  <c r="M73" i="104" a="1"/>
  <c r="M26" i="104" a="1"/>
  <c r="M46" i="104" a="1"/>
  <c r="M19" i="104" a="1"/>
  <c r="M22" i="104" a="1"/>
  <c r="M33" i="104" a="1"/>
  <c r="H27" i="73" a="1"/>
  <c r="M37" i="104" a="1"/>
  <c r="AD90" i="102" a="1"/>
  <c r="AD89" i="102" a="1"/>
  <c r="M38" i="104" a="1"/>
  <c r="M51" i="104" a="1"/>
  <c r="AD2" i="102" a="1"/>
  <c r="AD3" i="102" a="1"/>
  <c r="M28" i="104" a="1"/>
  <c r="M78" i="104" a="1"/>
  <c r="M66" i="104" a="1"/>
  <c r="M49" i="104" a="1"/>
  <c r="M21" i="104" a="1"/>
  <c r="M63" i="104" a="1"/>
  <c r="M36" i="104" a="1"/>
  <c r="BR2" i="102" a="1"/>
  <c r="BR3" i="102" a="1"/>
  <c r="M57" i="104" a="1"/>
  <c r="M15" i="104" a="1"/>
  <c r="E17" i="73" a="1"/>
  <c r="M20" i="104" a="1"/>
  <c r="M71" i="104" a="1"/>
  <c r="M82" i="104" a="1"/>
  <c r="M42" i="104" a="1"/>
  <c r="F91" i="105" a="1"/>
  <c r="F92" i="105" a="1"/>
  <c r="F93" i="105" a="1"/>
  <c r="M31" i="104" a="1"/>
  <c r="AT2" i="102" a="1"/>
  <c r="AT3" i="102" a="1"/>
  <c r="M14" i="104" a="1"/>
  <c r="M76" i="104" a="1"/>
  <c r="N90" i="102" a="1"/>
  <c r="N89" i="102" a="1"/>
  <c r="M32" i="104" a="1"/>
  <c r="BZ2" i="102" a="1"/>
  <c r="BZ3" i="102" a="1"/>
  <c r="BB89" i="102" a="1"/>
  <c r="BB90" i="102" a="1"/>
  <c r="M56" i="104" a="1"/>
  <c r="M61" i="104" a="1"/>
  <c r="M39" i="104" a="1"/>
  <c r="M72" i="104" a="1"/>
  <c r="H23" i="73" a="1"/>
  <c r="CP90" i="102" a="1"/>
  <c r="CP89" i="102" a="1"/>
  <c r="M13" i="104" a="1"/>
  <c r="BR89" i="102" a="1"/>
  <c r="BR90" i="102" a="1"/>
  <c r="M25" i="104" a="1"/>
  <c r="M79" i="104" a="1"/>
  <c r="M41" i="104" a="1"/>
  <c r="M68" i="104" a="1"/>
  <c r="BB2" i="102" a="1"/>
  <c r="BB3" i="102" a="1"/>
  <c r="H31" i="73" a="1"/>
  <c r="AL89" i="102" a="1"/>
  <c r="AL90" i="102" a="1"/>
  <c r="M47" i="104" a="1"/>
  <c r="M48" i="104" a="1"/>
  <c r="M65" i="104" a="1"/>
  <c r="M34" i="104" a="1"/>
  <c r="M34" i="104" l="1"/>
  <c r="O34" i="104" s="1"/>
  <c r="M65" i="104"/>
  <c r="O65" i="104" s="1"/>
  <c r="M48" i="104"/>
  <c r="O48" i="104" s="1"/>
  <c r="M47" i="104"/>
  <c r="O47" i="104" s="1"/>
  <c r="AL90" i="102"/>
  <c r="E30" i="79" s="1"/>
  <c r="AL89" i="102"/>
  <c r="D30" i="79" s="1"/>
  <c r="BB3" i="102"/>
  <c r="E19" i="79" s="1"/>
  <c r="BB2" i="102"/>
  <c r="D19" i="79" s="1"/>
  <c r="M68" i="104"/>
  <c r="O68" i="104" s="1"/>
  <c r="M41" i="104"/>
  <c r="O41" i="104" s="1"/>
  <c r="M79" i="104"/>
  <c r="O79" i="104" s="1"/>
  <c r="M25" i="104"/>
  <c r="O25" i="104" s="1"/>
  <c r="BR90" i="102"/>
  <c r="E34" i="79" s="1"/>
  <c r="BR89" i="102"/>
  <c r="D34" i="79" s="1"/>
  <c r="M13" i="104"/>
  <c r="CP89" i="102"/>
  <c r="D37" i="79" s="1"/>
  <c r="CP90" i="102"/>
  <c r="E37" i="79" s="1"/>
  <c r="M72" i="104"/>
  <c r="O72" i="104" s="1"/>
  <c r="M39" i="104"/>
  <c r="O39" i="104" s="1"/>
  <c r="M61" i="104"/>
  <c r="O61" i="104" s="1"/>
  <c r="M56" i="104"/>
  <c r="O56" i="104" s="1"/>
  <c r="BB90" i="102"/>
  <c r="E32" i="79" s="1"/>
  <c r="BB89" i="102"/>
  <c r="D32" i="79" s="1"/>
  <c r="BZ3" i="102"/>
  <c r="E22" i="79" s="1"/>
  <c r="BZ2" i="102"/>
  <c r="D22" i="79" s="1"/>
  <c r="M32" i="104"/>
  <c r="O32" i="104" s="1"/>
  <c r="N89" i="102"/>
  <c r="D27" i="79" s="1"/>
  <c r="N90" i="102"/>
  <c r="E27" i="79" s="1"/>
  <c r="M76" i="104"/>
  <c r="O76" i="104" s="1"/>
  <c r="M14" i="104"/>
  <c r="O14" i="104" s="1"/>
  <c r="AT3" i="102"/>
  <c r="E18" i="79" s="1"/>
  <c r="AT2" i="102"/>
  <c r="D18" i="79" s="1"/>
  <c r="M31" i="104"/>
  <c r="O31" i="104" s="1"/>
  <c r="F93" i="105"/>
  <c r="F92" i="105"/>
  <c r="F99" i="105" s="1"/>
  <c r="F91" i="105"/>
  <c r="F10" i="91" s="1"/>
  <c r="M42" i="104"/>
  <c r="O42" i="104" s="1"/>
  <c r="M82" i="104"/>
  <c r="O82" i="104" s="1"/>
  <c r="M71" i="104"/>
  <c r="O71" i="104" s="1"/>
  <c r="M20" i="104"/>
  <c r="O20" i="104" s="1"/>
  <c r="M15" i="104"/>
  <c r="O15" i="104" s="1"/>
  <c r="M57" i="104"/>
  <c r="O57" i="104" s="1"/>
  <c r="BR3" i="102"/>
  <c r="E21" i="79" s="1"/>
  <c r="BR2" i="102"/>
  <c r="D21" i="79" s="1"/>
  <c r="M36" i="104"/>
  <c r="O36" i="104" s="1"/>
  <c r="M63" i="104"/>
  <c r="O63" i="104" s="1"/>
  <c r="M21" i="104"/>
  <c r="O21" i="104" s="1"/>
  <c r="M49" i="104"/>
  <c r="O49" i="104" s="1"/>
  <c r="M66" i="104"/>
  <c r="O66" i="104" s="1"/>
  <c r="M78" i="104"/>
  <c r="O78" i="104" s="1"/>
  <c r="M28" i="104"/>
  <c r="O28" i="104" s="1"/>
  <c r="AD3" i="102"/>
  <c r="E16" i="79" s="1"/>
  <c r="AD2" i="102"/>
  <c r="D16" i="79" s="1"/>
  <c r="M51" i="104"/>
  <c r="O51" i="104" s="1"/>
  <c r="M38" i="104"/>
  <c r="O38" i="104" s="1"/>
  <c r="AD89" i="102"/>
  <c r="D29" i="79" s="1"/>
  <c r="AD90" i="102"/>
  <c r="E29" i="79" s="1"/>
  <c r="M37" i="104"/>
  <c r="O37" i="104" s="1"/>
  <c r="M19" i="104"/>
  <c r="O19" i="104" s="1"/>
  <c r="M46" i="104"/>
  <c r="O46" i="104" s="1"/>
  <c r="M26" i="104"/>
  <c r="O26" i="104" s="1"/>
  <c r="F85" i="105"/>
  <c r="N2" i="102"/>
  <c r="D14" i="79" s="1"/>
  <c r="N3" i="102"/>
  <c r="E14" i="79" s="1"/>
  <c r="M69" i="104"/>
  <c r="O69" i="104" s="1"/>
  <c r="M74" i="104"/>
  <c r="O74" i="104" s="1"/>
  <c r="M81" i="104"/>
  <c r="O81" i="104" s="1"/>
  <c r="M62" i="104"/>
  <c r="O62" i="104" s="1"/>
  <c r="M77" i="104"/>
  <c r="O77" i="104" s="1"/>
  <c r="M18" i="104"/>
  <c r="O18" i="104" s="1"/>
  <c r="M70" i="104"/>
  <c r="O70" i="104" s="1"/>
  <c r="M27" i="104"/>
  <c r="O27" i="104" s="1"/>
  <c r="V90" i="102"/>
  <c r="E28" i="79" s="1"/>
  <c r="V89" i="102"/>
  <c r="D28" i="79" s="1"/>
  <c r="M50" i="104"/>
  <c r="O50" i="104" s="1"/>
  <c r="M67" i="104"/>
  <c r="O67" i="104" s="1"/>
  <c r="M45" i="104"/>
  <c r="O45" i="104" s="1"/>
  <c r="CH90" i="102"/>
  <c r="E36" i="79" s="1"/>
  <c r="CH89" i="102"/>
  <c r="D36" i="79" s="1"/>
  <c r="M59" i="104"/>
  <c r="O59" i="104" s="1"/>
  <c r="M55" i="104"/>
  <c r="O55" i="104" s="1"/>
  <c r="M60" i="104"/>
  <c r="O60" i="104" s="1"/>
  <c r="AT90" i="102"/>
  <c r="E31" i="79" s="1"/>
  <c r="AT89" i="102"/>
  <c r="D31" i="79" s="1"/>
  <c r="M24" i="104"/>
  <c r="O24" i="104" s="1"/>
  <c r="M40" i="104"/>
  <c r="O40" i="104" s="1"/>
  <c r="V3" i="102"/>
  <c r="E15" i="79" s="1"/>
  <c r="V2" i="102"/>
  <c r="D15" i="79" s="1"/>
  <c r="BJ3" i="102"/>
  <c r="E20" i="79" s="1"/>
  <c r="BJ2" i="102"/>
  <c r="D20" i="79" s="1"/>
  <c r="M17" i="104"/>
  <c r="O17" i="104" s="1"/>
  <c r="M44" i="104"/>
  <c r="O44" i="104" s="1"/>
  <c r="BJ90" i="102"/>
  <c r="E33" i="79" s="1"/>
  <c r="BJ89" i="102"/>
  <c r="D33" i="79" s="1"/>
  <c r="M52" i="104"/>
  <c r="O52" i="104" s="1"/>
  <c r="M35" i="104"/>
  <c r="O35" i="104" s="1"/>
  <c r="BZ90" i="102"/>
  <c r="E35" i="79" s="1"/>
  <c r="BZ89" i="102"/>
  <c r="D35" i="79" s="1"/>
  <c r="M83" i="104"/>
  <c r="O83" i="104" s="1"/>
  <c r="M30" i="104"/>
  <c r="O30" i="104" s="1"/>
  <c r="M75" i="104"/>
  <c r="O75" i="104" s="1"/>
  <c r="F86" i="105"/>
  <c r="F97" i="105" s="1"/>
  <c r="M16" i="104"/>
  <c r="O16" i="104" s="1"/>
  <c r="M54" i="104"/>
  <c r="O54" i="104" s="1"/>
  <c r="M43" i="104"/>
  <c r="O43" i="104" s="1"/>
  <c r="M29" i="104"/>
  <c r="O29" i="104" s="1"/>
  <c r="AL3" i="102"/>
  <c r="E17" i="79" s="1"/>
  <c r="AL2" i="102"/>
  <c r="D17" i="79" s="1"/>
  <c r="M80" i="104"/>
  <c r="O80" i="104" s="1"/>
  <c r="N47" i="104"/>
  <c r="N56" i="104"/>
  <c r="N14" i="104"/>
  <c r="N31" i="104"/>
  <c r="N49" i="104"/>
  <c r="N37" i="104"/>
  <c r="N45" i="104"/>
  <c r="N72" i="104"/>
  <c r="M53" i="104"/>
  <c r="O53" i="104" s="1"/>
  <c r="M64" i="104"/>
  <c r="O64" i="104" s="1"/>
  <c r="M23" i="104"/>
  <c r="O23" i="104" s="1"/>
  <c r="M58" i="104"/>
  <c r="O58" i="104" s="1"/>
  <c r="N53" i="104"/>
  <c r="M22" i="104"/>
  <c r="O22" i="104" s="1"/>
  <c r="N22" i="104"/>
  <c r="M73" i="104"/>
  <c r="M33" i="104"/>
  <c r="N33" i="104"/>
  <c r="O13" i="104"/>
  <c r="E17" i="73"/>
  <c r="H31" i="73"/>
  <c r="H27" i="73"/>
  <c r="H23" i="73"/>
  <c r="E15" i="73"/>
  <c r="J24" i="57" a="1"/>
  <c r="F23" i="57" a="1"/>
  <c r="E22" i="73" a="1"/>
  <c r="J12" i="57" a="1"/>
  <c r="F30" i="73" a="1"/>
  <c r="J21" i="57" a="1"/>
  <c r="F20" i="57" a="1"/>
  <c r="F92" i="104" a="1"/>
  <c r="I9" i="57" a="1"/>
  <c r="J11" i="57" a="1"/>
  <c r="J14" i="57" a="1"/>
  <c r="J20" i="57" a="1"/>
  <c r="F22" i="73" a="1"/>
  <c r="E10" i="73" a="1"/>
  <c r="I97" i="105" a="1"/>
  <c r="F24" i="57" a="1"/>
  <c r="F87" i="104" a="1"/>
  <c r="E30" i="73" a="1"/>
  <c r="I99" i="105" a="1"/>
  <c r="J10" i="57" a="1"/>
  <c r="J13" i="57" a="1"/>
  <c r="F93" i="104" a="1"/>
  <c r="F26" i="73" a="1"/>
  <c r="F86" i="104" a="1"/>
  <c r="F22" i="57" a="1"/>
  <c r="J9" i="57" a="1"/>
  <c r="J22" i="57" a="1"/>
  <c r="F94" i="104" a="1"/>
  <c r="J23" i="57" a="1"/>
  <c r="E26" i="73" a="1"/>
  <c r="F21" i="57" a="1"/>
  <c r="F94" i="104" l="1"/>
  <c r="F93" i="104"/>
  <c r="F100" i="104" s="1"/>
  <c r="F87" i="104"/>
  <c r="F98" i="104" s="1"/>
  <c r="F86" i="104"/>
  <c r="F92" i="104"/>
  <c r="O33" i="104"/>
  <c r="O73" i="104"/>
  <c r="I99" i="105"/>
  <c r="I97" i="105"/>
  <c r="E10" i="73"/>
  <c r="F30" i="73"/>
  <c r="E30" i="73"/>
  <c r="F26" i="73"/>
  <c r="E26" i="73"/>
  <c r="F22" i="73"/>
  <c r="E22" i="73"/>
  <c r="J23" i="57"/>
  <c r="J22" i="57"/>
  <c r="J24" i="57"/>
  <c r="J21" i="57"/>
  <c r="J20" i="57"/>
  <c r="F21" i="57"/>
  <c r="G21" i="57" s="1"/>
  <c r="F24" i="57"/>
  <c r="G24" i="57" s="1"/>
  <c r="F23" i="57"/>
  <c r="G23" i="57" s="1"/>
  <c r="F22" i="57"/>
  <c r="G22" i="57" s="1"/>
  <c r="F20" i="57"/>
  <c r="G20" i="57" s="1"/>
  <c r="J12" i="57"/>
  <c r="J14" i="57"/>
  <c r="J13" i="57"/>
  <c r="J11" i="57"/>
  <c r="J10" i="57"/>
  <c r="J9" i="57"/>
  <c r="I9" i="57"/>
  <c r="B1" i="95"/>
  <c r="B3" i="94"/>
  <c r="N161" i="94"/>
  <c r="N160" i="94"/>
  <c r="A160" i="94"/>
  <c r="A161" i="94" s="1"/>
  <c r="F144" i="94"/>
  <c r="G144" i="94" s="1"/>
  <c r="B144" i="94"/>
  <c r="C144" i="94" s="1"/>
  <c r="B109" i="94"/>
  <c r="H100" i="94"/>
  <c r="I100" i="94" s="1"/>
  <c r="J100" i="94" s="1"/>
  <c r="I101" i="94" s="1"/>
  <c r="D100" i="94"/>
  <c r="E100" i="94" s="1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O28" i="94"/>
  <c r="F28" i="94"/>
  <c r="O27" i="94"/>
  <c r="F27" i="94"/>
  <c r="O26" i="94"/>
  <c r="F26" i="94"/>
  <c r="O25" i="94"/>
  <c r="F25" i="94"/>
  <c r="O24" i="94"/>
  <c r="F24" i="94"/>
  <c r="O23" i="94"/>
  <c r="F23" i="94"/>
  <c r="O22" i="94"/>
  <c r="F22" i="94"/>
  <c r="O21" i="94"/>
  <c r="F21" i="94"/>
  <c r="O20" i="94"/>
  <c r="F20" i="94"/>
  <c r="O19" i="94"/>
  <c r="F19" i="94"/>
  <c r="O18" i="94"/>
  <c r="F18" i="94"/>
  <c r="O17" i="94"/>
  <c r="F17" i="94"/>
  <c r="O16" i="94"/>
  <c r="F16" i="94"/>
  <c r="O15" i="94"/>
  <c r="F15" i="94"/>
  <c r="O14" i="94"/>
  <c r="F14" i="94"/>
  <c r="O13" i="94"/>
  <c r="F13" i="94"/>
  <c r="O12" i="94"/>
  <c r="F12" i="94"/>
  <c r="O11" i="94"/>
  <c r="F11" i="94"/>
  <c r="O10" i="94"/>
  <c r="F10" i="94"/>
  <c r="O9" i="94"/>
  <c r="F9" i="94"/>
  <c r="O8" i="94"/>
  <c r="F8" i="94"/>
  <c r="A8" i="94"/>
  <c r="A9" i="94" s="1"/>
  <c r="A10" i="94" s="1"/>
  <c r="A11" i="94" s="1"/>
  <c r="A12" i="94" s="1"/>
  <c r="A13" i="94" s="1"/>
  <c r="A14" i="94" s="1"/>
  <c r="A15" i="94" s="1"/>
  <c r="A16" i="94" s="1"/>
  <c r="A17" i="94" s="1"/>
  <c r="A18" i="94" s="1"/>
  <c r="A19" i="94" s="1"/>
  <c r="A20" i="94" s="1"/>
  <c r="A21" i="94" s="1"/>
  <c r="A22" i="94" s="1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A43" i="94" s="1"/>
  <c r="A44" i="94" s="1"/>
  <c r="A45" i="94" s="1"/>
  <c r="A46" i="94" s="1"/>
  <c r="A47" i="94" s="1"/>
  <c r="A48" i="94" s="1"/>
  <c r="A49" i="94" s="1"/>
  <c r="A50" i="94" s="1"/>
  <c r="A51" i="94" s="1"/>
  <c r="A52" i="94" s="1"/>
  <c r="A53" i="94" s="1"/>
  <c r="A54" i="94" s="1"/>
  <c r="A55" i="94" s="1"/>
  <c r="A56" i="94" s="1"/>
  <c r="A57" i="94" s="1"/>
  <c r="A58" i="94" s="1"/>
  <c r="A59" i="94" s="1"/>
  <c r="A60" i="94" s="1"/>
  <c r="A61" i="94" s="1"/>
  <c r="A62" i="94" s="1"/>
  <c r="A63" i="94" s="1"/>
  <c r="A64" i="94" s="1"/>
  <c r="A65" i="94" s="1"/>
  <c r="A66" i="94" s="1"/>
  <c r="A67" i="94" s="1"/>
  <c r="A68" i="94" s="1"/>
  <c r="A69" i="94" s="1"/>
  <c r="A70" i="94" s="1"/>
  <c r="A71" i="94" s="1"/>
  <c r="A72" i="94" s="1"/>
  <c r="A73" i="94" s="1"/>
  <c r="A74" i="94" s="1"/>
  <c r="A75" i="94" s="1"/>
  <c r="A76" i="94" s="1"/>
  <c r="A77" i="94" s="1"/>
  <c r="A78" i="94" s="1"/>
  <c r="A79" i="94" s="1"/>
  <c r="A80" i="94" s="1"/>
  <c r="A81" i="94" s="1"/>
  <c r="A82" i="94" s="1"/>
  <c r="A83" i="94" s="1"/>
  <c r="A84" i="94" s="1"/>
  <c r="A85" i="94" s="1"/>
  <c r="A86" i="94" s="1"/>
  <c r="A87" i="94" s="1"/>
  <c r="A88" i="94" s="1"/>
  <c r="A89" i="94" s="1"/>
  <c r="A90" i="94" s="1"/>
  <c r="A91" i="94" s="1"/>
  <c r="A92" i="94" s="1"/>
  <c r="A93" i="94" s="1"/>
  <c r="O5" i="98" a="1"/>
  <c r="O90" i="98" a="1"/>
  <c r="Q106" i="98" a="1"/>
  <c r="D9" i="55" a="1"/>
  <c r="P65" i="98" a="1"/>
  <c r="Q107" i="98" a="1"/>
  <c r="O124" i="98" a="1"/>
  <c r="Q75" i="98" a="1"/>
  <c r="O120" i="98" a="1"/>
  <c r="Q56" i="98" a="1"/>
  <c r="P123" i="98" a="1"/>
  <c r="O10" i="98" a="1"/>
  <c r="P79" i="98" a="1"/>
  <c r="D14" i="57" a="1"/>
  <c r="P124" i="98" a="1"/>
  <c r="P22" i="98" a="1"/>
  <c r="Q84" i="98" a="1"/>
  <c r="O6" i="98" a="1"/>
  <c r="P90" i="98" a="1"/>
  <c r="Q124" i="98" a="1"/>
  <c r="Q66" i="98" a="1"/>
  <c r="F10" i="55" a="1"/>
  <c r="O64" i="98" a="1"/>
  <c r="O49" i="98" a="1"/>
  <c r="H21" i="57" a="1"/>
  <c r="O22" i="98" a="1"/>
  <c r="D12" i="55" a="1"/>
  <c r="P72" i="98" a="1"/>
  <c r="O61" i="98" a="1"/>
  <c r="P95" i="98" a="1"/>
  <c r="P111" i="98" a="1"/>
  <c r="O13" i="98" a="1"/>
  <c r="I11" i="57" a="1"/>
  <c r="O9" i="98" a="1"/>
  <c r="F1" i="94"/>
  <c r="P66" i="98" a="1"/>
  <c r="F109" i="94"/>
  <c r="P68" i="98" a="1"/>
  <c r="Q122" i="98" a="1"/>
  <c r="P87" i="98" a="1"/>
  <c r="G8" i="55" a="1"/>
  <c r="D11" i="57" a="1"/>
  <c r="Q112" i="98" a="1"/>
  <c r="O73" i="98" a="1"/>
  <c r="Q79" i="98" a="1"/>
  <c r="O122" i="98" a="1"/>
  <c r="O56" i="98" a="1"/>
  <c r="O59" i="98" a="1"/>
  <c r="P102" i="98" a="1"/>
  <c r="I161" i="94"/>
  <c r="P86" i="98" a="1"/>
  <c r="P42" i="98" a="1"/>
  <c r="D10" i="57" a="1"/>
  <c r="O103" i="98" a="1"/>
  <c r="Q86" i="98" a="1"/>
  <c r="O119" i="98" a="1"/>
  <c r="Q67" i="98" a="1"/>
  <c r="P64" i="98" a="1"/>
  <c r="D11" i="55" a="1"/>
  <c r="P105" i="98" a="1"/>
  <c r="Q103" i="98" a="1"/>
  <c r="Q73" i="98" a="1"/>
  <c r="P108" i="98" a="1"/>
  <c r="O25" i="98" a="1"/>
  <c r="C12" i="55" a="1"/>
  <c r="P27" i="98" a="1"/>
  <c r="P93" i="98" a="1"/>
  <c r="O69" i="98" a="1"/>
  <c r="P96" i="98" a="1"/>
  <c r="P49" i="98" a="1"/>
  <c r="P54" i="98" a="1"/>
  <c r="Q81" i="98" a="1"/>
  <c r="F108" i="94"/>
  <c r="O20" i="98" a="1"/>
  <c r="Q110" i="98" a="1"/>
  <c r="F8" i="56" a="1"/>
  <c r="Q114" i="98" a="1"/>
  <c r="P29" i="98" a="1"/>
  <c r="O68" i="98" a="1"/>
  <c r="F12" i="56" a="1"/>
  <c r="P117" i="98" a="1"/>
  <c r="F11" i="55" a="1"/>
  <c r="F3" i="94"/>
  <c r="P26" i="98" a="1"/>
  <c r="E11" i="57" a="1"/>
  <c r="Q80" i="98" a="1"/>
  <c r="Q118" i="98" a="1"/>
  <c r="Q95" i="98" a="1"/>
  <c r="F2" i="94"/>
  <c r="O57" i="98" a="1"/>
  <c r="P19" i="98" a="1"/>
  <c r="O104" i="98" a="1"/>
  <c r="Q70" i="98" a="1"/>
  <c r="O95" i="98" a="1"/>
  <c r="F9" i="56" a="1"/>
  <c r="P76" i="98" a="1"/>
  <c r="P88" i="98" a="1"/>
  <c r="Q50" i="98" a="1"/>
  <c r="H20" i="57" a="1"/>
  <c r="Q60" i="98" a="1"/>
  <c r="P122" i="98" a="1"/>
  <c r="O88" i="98" a="1"/>
  <c r="O55" i="98" a="1"/>
  <c r="P57" i="98" a="1"/>
  <c r="O58" i="98" a="1"/>
  <c r="Q57" i="98" a="1"/>
  <c r="D9" i="57" a="1"/>
  <c r="O99" i="98" a="1"/>
  <c r="P43" i="98" a="1"/>
  <c r="Q74" i="98" a="1"/>
  <c r="Q58" i="98" a="1"/>
  <c r="O92" i="98" a="1"/>
  <c r="P28" i="98" a="1"/>
  <c r="O78" i="98" a="1"/>
  <c r="O83" i="98" a="1"/>
  <c r="O113" i="98" a="1"/>
  <c r="O7" i="98" a="1"/>
  <c r="O60" i="98" a="1"/>
  <c r="P77" i="98" a="1"/>
  <c r="H22" i="57" a="1"/>
  <c r="O86" i="98" a="1"/>
  <c r="Q92" i="98" a="1"/>
  <c r="O52" i="98" a="1"/>
  <c r="O21" i="98" a="1"/>
  <c r="P75" i="98" a="1"/>
  <c r="P61" i="98" a="1"/>
  <c r="Q76" i="98" a="1"/>
  <c r="Q111" i="98" a="1"/>
  <c r="O29" i="98" a="1"/>
  <c r="Q96" i="98" a="1"/>
  <c r="O105" i="98" a="1"/>
  <c r="C10" i="55" a="1"/>
  <c r="P115" i="98" a="1"/>
  <c r="F107" i="94"/>
  <c r="O80" i="98" a="1"/>
  <c r="Q55" i="98" a="1"/>
  <c r="O53" i="98" a="1"/>
  <c r="Q113" i="98" a="1"/>
  <c r="P99" i="98" a="1"/>
  <c r="O84" i="98" a="1"/>
  <c r="D13" i="57" a="1"/>
  <c r="G9" i="55" a="1"/>
  <c r="P50" i="98" a="1"/>
  <c r="O118" i="98" a="1"/>
  <c r="P112" i="98" a="1"/>
  <c r="I160" i="94"/>
  <c r="Q119" i="98" a="1"/>
  <c r="Q91" i="98" a="1"/>
  <c r="Q59" i="98" a="1"/>
  <c r="P24" i="98" a="1"/>
  <c r="G10" i="55" a="1"/>
  <c r="Q99" i="98" a="1"/>
  <c r="P109" i="98" a="1"/>
  <c r="I98" i="104" a="1"/>
  <c r="O34" i="98" a="1"/>
  <c r="P40" i="98" a="1"/>
  <c r="Q121" i="98" a="1"/>
  <c r="O107" i="98" a="1"/>
  <c r="O12" i="98" a="1"/>
  <c r="E13" i="57" a="1"/>
  <c r="P94" i="98" a="1"/>
  <c r="B2" i="95" a="1"/>
  <c r="P85" i="98" a="1"/>
  <c r="O81" i="98" a="1"/>
  <c r="I13" i="57" a="1"/>
  <c r="O74" i="98" a="1"/>
  <c r="Q102" i="98" a="1"/>
  <c r="O85" i="98" a="1"/>
  <c r="Q85" i="98" a="1"/>
  <c r="Q97" i="98" a="1"/>
  <c r="Q108" i="98" a="1"/>
  <c r="O77" i="98" a="1"/>
  <c r="E10" i="57" a="1"/>
  <c r="P23" i="98" a="1"/>
  <c r="E8" i="55" a="1"/>
  <c r="P84" i="98" a="1"/>
  <c r="I100" i="104" a="1"/>
  <c r="Q68" i="98" a="1"/>
  <c r="O96" i="98" a="1"/>
  <c r="Q116" i="98" a="1"/>
  <c r="P39" i="98" a="1"/>
  <c r="Q65" i="98" a="1"/>
  <c r="O24" i="98" a="1"/>
  <c r="Q61" i="98" a="1"/>
  <c r="G11" i="55" a="1"/>
  <c r="Q89" i="98" a="1"/>
  <c r="C9" i="55" a="1"/>
  <c r="P106" i="98" a="1"/>
  <c r="O16" i="98" a="1"/>
  <c r="Q87" i="98" a="1"/>
  <c r="O117" i="98" a="1"/>
  <c r="P89" i="98" a="1"/>
  <c r="O28" i="98" a="1"/>
  <c r="P55" i="98" a="1"/>
  <c r="Q98" i="98" a="1"/>
  <c r="P103" i="98" a="1"/>
  <c r="Q94" i="98" a="1"/>
  <c r="D8" i="55" a="1"/>
  <c r="O97" i="98" a="1"/>
  <c r="P46" i="98" a="1"/>
  <c r="O66" i="98" a="1"/>
  <c r="Q105" i="98" a="1"/>
  <c r="F8" i="55" a="1"/>
  <c r="I14" i="57" a="1"/>
  <c r="F10" i="56" a="1"/>
  <c r="P25" i="98" a="1"/>
  <c r="P116" i="98" a="1"/>
  <c r="E12" i="57" a="1"/>
  <c r="P20" i="98" a="1"/>
  <c r="E12" i="55" a="1"/>
  <c r="P30" i="98" a="1"/>
  <c r="Q123" i="98" a="1"/>
  <c r="O27" i="98" a="1"/>
  <c r="O11" i="98" a="1"/>
  <c r="P71" i="98" a="1"/>
  <c r="E14" i="57" a="1"/>
  <c r="E11" i="55" a="1"/>
  <c r="O19" i="98" a="1"/>
  <c r="H23" i="57" a="1"/>
  <c r="O116" i="98" a="1"/>
  <c r="P38" i="98" a="1"/>
  <c r="P37" i="98" a="1"/>
  <c r="Q53" i="98" a="1"/>
  <c r="F12" i="55" a="1"/>
  <c r="O100" i="98" a="1"/>
  <c r="P45" i="98" a="1"/>
  <c r="O110" i="98" a="1"/>
  <c r="P73" i="98" a="1"/>
  <c r="O111" i="98" a="1"/>
  <c r="P53" i="98" a="1"/>
  <c r="O71" i="98" a="1"/>
  <c r="P104" i="98" a="1"/>
  <c r="P113" i="98" a="1"/>
  <c r="P110" i="98" a="1"/>
  <c r="O79" i="98" a="1"/>
  <c r="P98" i="98" a="1"/>
  <c r="E9" i="57" a="1"/>
  <c r="P36" i="98" a="1"/>
  <c r="P59" i="98" a="1"/>
  <c r="P56" i="98" a="1"/>
  <c r="Q93" i="98" a="1"/>
  <c r="Q101" i="98" a="1"/>
  <c r="O70" i="98" a="1"/>
  <c r="O102" i="98" a="1"/>
  <c r="O23" i="98" a="1"/>
  <c r="O93" i="98" a="1"/>
  <c r="P100" i="98" a="1"/>
  <c r="O50" i="98" a="1"/>
  <c r="O115" i="98" a="1"/>
  <c r="P91" i="98" a="1"/>
  <c r="Q78" i="98" a="1"/>
  <c r="O87" i="98" a="1"/>
  <c r="P97" i="98" a="1"/>
  <c r="Q34" i="98" a="1"/>
  <c r="P70" i="98" a="1"/>
  <c r="G12" i="55" a="1"/>
  <c r="O30" i="98" a="1"/>
  <c r="E10" i="55" a="1"/>
  <c r="O26" i="98" a="1"/>
  <c r="O76" i="98" a="1"/>
  <c r="P80" i="98" a="1"/>
  <c r="P81" i="98" a="1"/>
  <c r="Q64" i="98" a="1"/>
  <c r="Q100" i="98" a="1"/>
  <c r="I12" i="57" a="1"/>
  <c r="P58" i="98" a="1"/>
  <c r="O14" i="98" a="1"/>
  <c r="O31" i="98" a="1"/>
  <c r="O72" i="98" a="1"/>
  <c r="C8" i="55" a="1"/>
  <c r="O121" i="98" a="1"/>
  <c r="P35" i="98" a="1"/>
  <c r="P121" i="98" a="1"/>
  <c r="O4" i="98" a="1"/>
  <c r="O51" i="98" a="1"/>
  <c r="F9" i="55" a="1"/>
  <c r="H24" i="57" a="1"/>
  <c r="O82" i="98" a="1"/>
  <c r="Q72" i="98" a="1"/>
  <c r="Q88" i="98" a="1"/>
  <c r="Q54" i="98" a="1"/>
  <c r="Q104" i="98" a="1"/>
  <c r="Q52" i="98" a="1"/>
  <c r="P82" i="98" a="1"/>
  <c r="Q117" i="98" a="1"/>
  <c r="O8" i="98" a="1"/>
  <c r="Q109" i="98" a="1"/>
  <c r="Q71" i="98" a="1"/>
  <c r="O106" i="98" a="1"/>
  <c r="O109" i="98" a="1"/>
  <c r="P107" i="98" a="1"/>
  <c r="I10" i="57" a="1"/>
  <c r="O75" i="98" a="1"/>
  <c r="O65" i="98" a="1"/>
  <c r="P52" i="98" a="1"/>
  <c r="P118" i="98" a="1"/>
  <c r="Q51" i="98" a="1"/>
  <c r="Q69" i="98" a="1"/>
  <c r="P92" i="98" a="1"/>
  <c r="P67" i="98" a="1"/>
  <c r="Q77" i="98" a="1"/>
  <c r="Q120" i="98" a="1"/>
  <c r="O112" i="98" a="1"/>
  <c r="P44" i="98" a="1"/>
  <c r="O54" i="98" a="1"/>
  <c r="P69" i="98" a="1"/>
  <c r="P83" i="98" a="1"/>
  <c r="E9" i="55" a="1"/>
  <c r="Q83" i="98" a="1"/>
  <c r="Q82" i="98" a="1"/>
  <c r="O114" i="98" a="1"/>
  <c r="O15" i="98" a="1"/>
  <c r="P21" i="98" a="1"/>
  <c r="Q90" i="98" a="1"/>
  <c r="O89" i="98" a="1"/>
  <c r="O67" i="98" a="1"/>
  <c r="O91" i="98" a="1"/>
  <c r="P34" i="98" a="1"/>
  <c r="Q49" i="98" a="1"/>
  <c r="P41" i="98" a="1"/>
  <c r="P114" i="98" a="1"/>
  <c r="P60" i="98" a="1"/>
  <c r="P101" i="98" a="1"/>
  <c r="C11" i="55" a="1"/>
  <c r="D12" i="57" a="1"/>
  <c r="P51" i="98" a="1"/>
  <c r="P119" i="98" a="1"/>
  <c r="O94" i="98" a="1"/>
  <c r="P74" i="98" a="1"/>
  <c r="O98" i="98" a="1"/>
  <c r="O101" i="98" a="1"/>
  <c r="Q115" i="98" a="1"/>
  <c r="P31" i="98" a="1"/>
  <c r="F11" i="56" a="1"/>
  <c r="O108" i="98" a="1"/>
  <c r="P120" i="98" a="1"/>
  <c r="D10" i="55" a="1"/>
  <c r="P78" i="98" a="1"/>
  <c r="O123" i="98" a="1"/>
  <c r="F12" i="91" l="1"/>
  <c r="F11" i="91"/>
  <c r="F9" i="91"/>
  <c r="F8" i="91"/>
  <c r="I100" i="104"/>
  <c r="I98" i="104"/>
  <c r="H23" i="57"/>
  <c r="I23" i="57" s="1"/>
  <c r="K23" i="57" s="1"/>
  <c r="H24" i="57"/>
  <c r="I24" i="57" s="1"/>
  <c r="K24" i="57" s="1"/>
  <c r="H21" i="57"/>
  <c r="I21" i="57" s="1"/>
  <c r="K21" i="57" s="1"/>
  <c r="H20" i="57"/>
  <c r="I20" i="57" s="1"/>
  <c r="K20" i="57" s="1"/>
  <c r="H22" i="57"/>
  <c r="I22" i="57" s="1"/>
  <c r="K22" i="57" s="1"/>
  <c r="E27" i="73"/>
  <c r="E23" i="73"/>
  <c r="F27" i="73"/>
  <c r="F23" i="73"/>
  <c r="E31" i="73"/>
  <c r="F31" i="73"/>
  <c r="I14" i="57"/>
  <c r="I13" i="57"/>
  <c r="I12" i="57"/>
  <c r="I11" i="57"/>
  <c r="I10" i="57"/>
  <c r="E14" i="57"/>
  <c r="E13" i="57"/>
  <c r="E12" i="57"/>
  <c r="E11" i="57"/>
  <c r="E10" i="57"/>
  <c r="E9" i="57"/>
  <c r="D14" i="57"/>
  <c r="D13" i="57"/>
  <c r="D12" i="57"/>
  <c r="D11" i="57"/>
  <c r="D10" i="57"/>
  <c r="D9" i="57"/>
  <c r="F12" i="56"/>
  <c r="G12" i="56" s="1"/>
  <c r="F11" i="56"/>
  <c r="G11" i="56" s="1"/>
  <c r="F10" i="56"/>
  <c r="G10" i="56" s="1"/>
  <c r="F9" i="56"/>
  <c r="G9" i="56" s="1"/>
  <c r="F8" i="56"/>
  <c r="G8" i="56" s="1"/>
  <c r="Q76" i="98"/>
  <c r="P76" i="98"/>
  <c r="Q75" i="98"/>
  <c r="P75" i="98"/>
  <c r="Q74" i="98"/>
  <c r="P74" i="98"/>
  <c r="Q73" i="98"/>
  <c r="P73" i="98"/>
  <c r="Q72" i="98"/>
  <c r="P72" i="98"/>
  <c r="Q71" i="98"/>
  <c r="P71" i="98"/>
  <c r="Q70" i="98"/>
  <c r="P70" i="98"/>
  <c r="Q69" i="98"/>
  <c r="P69" i="98"/>
  <c r="Q68" i="98"/>
  <c r="P68" i="98"/>
  <c r="Q67" i="98"/>
  <c r="P67" i="98"/>
  <c r="Q66" i="98"/>
  <c r="P66" i="98"/>
  <c r="Q65" i="98"/>
  <c r="P65" i="98"/>
  <c r="Q64" i="98"/>
  <c r="P64" i="98"/>
  <c r="O120" i="98"/>
  <c r="Q121" i="98"/>
  <c r="O75" i="98"/>
  <c r="P92" i="98"/>
  <c r="Q87" i="98"/>
  <c r="P83" i="98"/>
  <c r="Q113" i="98"/>
  <c r="P105" i="98"/>
  <c r="P103" i="98"/>
  <c r="O67" i="98"/>
  <c r="O71" i="98"/>
  <c r="O108" i="98"/>
  <c r="P109" i="98"/>
  <c r="O103" i="98"/>
  <c r="P90" i="98"/>
  <c r="Q85" i="98"/>
  <c r="P81" i="98"/>
  <c r="P117" i="98"/>
  <c r="Q115" i="98"/>
  <c r="Q102" i="98"/>
  <c r="O112" i="98"/>
  <c r="O124" i="98"/>
  <c r="O88" i="98"/>
  <c r="P85" i="98"/>
  <c r="Q106" i="98"/>
  <c r="Q100" i="98"/>
  <c r="P88" i="98"/>
  <c r="Q83" i="98"/>
  <c r="P79" i="98"/>
  <c r="Q108" i="98"/>
  <c r="Q107" i="98"/>
  <c r="O64" i="98"/>
  <c r="O96" i="98"/>
  <c r="O100" i="98"/>
  <c r="O122" i="98"/>
  <c r="O110" i="98"/>
  <c r="P94" i="98"/>
  <c r="Q104" i="98"/>
  <c r="O104" i="98"/>
  <c r="O76" i="98"/>
  <c r="O80" i="98"/>
  <c r="Q90" i="98"/>
  <c r="P84" i="98"/>
  <c r="Q77" i="98"/>
  <c r="Q124" i="98"/>
  <c r="P113" i="98"/>
  <c r="Q123" i="98"/>
  <c r="O84" i="98"/>
  <c r="O72" i="98"/>
  <c r="O118" i="98"/>
  <c r="O121" i="98"/>
  <c r="Q116" i="98"/>
  <c r="Q88" i="98"/>
  <c r="P82" i="98"/>
  <c r="Q99" i="98"/>
  <c r="P121" i="98"/>
  <c r="P124" i="98"/>
  <c r="Q119" i="98"/>
  <c r="O114" i="98"/>
  <c r="O119" i="98"/>
  <c r="O106" i="98"/>
  <c r="O113" i="98"/>
  <c r="P86" i="98"/>
  <c r="Q86" i="98"/>
  <c r="P78" i="98"/>
  <c r="Q95" i="98"/>
  <c r="P122" i="98"/>
  <c r="P120" i="98"/>
  <c r="P123" i="98"/>
  <c r="O102" i="98"/>
  <c r="O115" i="98"/>
  <c r="O98" i="98"/>
  <c r="O105" i="98"/>
  <c r="P101" i="98"/>
  <c r="O117" i="98"/>
  <c r="O111" i="98"/>
  <c r="O94" i="98"/>
  <c r="O97" i="98"/>
  <c r="Q96" i="98"/>
  <c r="Q82" i="98"/>
  <c r="P98" i="98"/>
  <c r="P99" i="98"/>
  <c r="Q117" i="98"/>
  <c r="P112" i="98"/>
  <c r="P119" i="98"/>
  <c r="O109" i="98"/>
  <c r="O107" i="98"/>
  <c r="O86" i="98"/>
  <c r="O93" i="98"/>
  <c r="Q84" i="98"/>
  <c r="P80" i="98"/>
  <c r="P97" i="98"/>
  <c r="P114" i="98"/>
  <c r="Q111" i="98"/>
  <c r="Q118" i="98"/>
  <c r="O101" i="98"/>
  <c r="O99" i="98"/>
  <c r="O82" i="98"/>
  <c r="O89" i="98"/>
  <c r="Q94" i="98"/>
  <c r="Q80" i="98"/>
  <c r="Q79" i="98"/>
  <c r="P95" i="98"/>
  <c r="P110" i="98"/>
  <c r="P108" i="98"/>
  <c r="P115" i="98"/>
  <c r="O85" i="98"/>
  <c r="O95" i="98"/>
  <c r="O78" i="98"/>
  <c r="O81" i="98"/>
  <c r="Q122" i="98"/>
  <c r="Q78" i="98"/>
  <c r="Q98" i="98"/>
  <c r="Q101" i="98"/>
  <c r="P93" i="98"/>
  <c r="Q109" i="98"/>
  <c r="P104" i="98"/>
  <c r="Q114" i="98"/>
  <c r="O68" i="98"/>
  <c r="O91" i="98"/>
  <c r="O74" i="98"/>
  <c r="O77" i="98"/>
  <c r="P77" i="98"/>
  <c r="Q97" i="98"/>
  <c r="P106" i="98"/>
  <c r="Q103" i="98"/>
  <c r="P111" i="98"/>
  <c r="O116" i="98"/>
  <c r="O87" i="98"/>
  <c r="O70" i="98"/>
  <c r="O73" i="98"/>
  <c r="P116" i="98"/>
  <c r="P100" i="98"/>
  <c r="P89" i="98"/>
  <c r="Q105" i="98"/>
  <c r="Q120" i="98"/>
  <c r="Q110" i="98"/>
  <c r="O92" i="98"/>
  <c r="O83" i="98"/>
  <c r="O66" i="98"/>
  <c r="O69" i="98"/>
  <c r="Q89" i="98"/>
  <c r="Q81" i="98"/>
  <c r="P118" i="98"/>
  <c r="Q92" i="98"/>
  <c r="P91" i="98"/>
  <c r="Q93" i="98"/>
  <c r="P96" i="98"/>
  <c r="Q91" i="98"/>
  <c r="P87" i="98"/>
  <c r="P102" i="98"/>
  <c r="Q112" i="98"/>
  <c r="P107" i="98"/>
  <c r="O123" i="98"/>
  <c r="O79" i="98"/>
  <c r="O90" i="98"/>
  <c r="O65" i="98"/>
  <c r="P24" i="98"/>
  <c r="P31" i="98"/>
  <c r="P23" i="98"/>
  <c r="P25" i="98"/>
  <c r="P27" i="98"/>
  <c r="P26" i="98"/>
  <c r="P22" i="98"/>
  <c r="P30" i="98"/>
  <c r="P29" i="98"/>
  <c r="P21" i="98"/>
  <c r="P28" i="98"/>
  <c r="P20" i="98"/>
  <c r="P19" i="98"/>
  <c r="P55" i="98"/>
  <c r="Q55" i="98"/>
  <c r="O50" i="98"/>
  <c r="O49" i="98"/>
  <c r="Q54" i="98"/>
  <c r="P57" i="98"/>
  <c r="O59" i="98"/>
  <c r="P51" i="98"/>
  <c r="O60" i="98"/>
  <c r="P49" i="98"/>
  <c r="O58" i="98"/>
  <c r="O51" i="98"/>
  <c r="P58" i="98"/>
  <c r="Q50" i="98"/>
  <c r="O52" i="98"/>
  <c r="Q58" i="98"/>
  <c r="P59" i="98"/>
  <c r="Q51" i="98"/>
  <c r="P52" i="98"/>
  <c r="O53" i="98"/>
  <c r="Q59" i="98"/>
  <c r="P60" i="98"/>
  <c r="O61" i="98"/>
  <c r="Q56" i="98"/>
  <c r="Q52" i="98"/>
  <c r="P53" i="98"/>
  <c r="O54" i="98"/>
  <c r="P61" i="98"/>
  <c r="O56" i="98"/>
  <c r="Q57" i="98"/>
  <c r="Q60" i="98"/>
  <c r="O57" i="98"/>
  <c r="Q49" i="98"/>
  <c r="Q53" i="98"/>
  <c r="O55" i="98"/>
  <c r="Q61" i="98"/>
  <c r="P56" i="98"/>
  <c r="P50" i="98"/>
  <c r="P54" i="98"/>
  <c r="Q34" i="98"/>
  <c r="O7" i="98"/>
  <c r="O10" i="98"/>
  <c r="O16" i="98"/>
  <c r="O15" i="98"/>
  <c r="O14" i="98"/>
  <c r="O6" i="98"/>
  <c r="O12" i="98"/>
  <c r="O11" i="98"/>
  <c r="O9" i="98"/>
  <c r="O8" i="98"/>
  <c r="O13" i="98"/>
  <c r="O5" i="98"/>
  <c r="O4" i="98"/>
  <c r="P40" i="98"/>
  <c r="P39" i="98"/>
  <c r="P41" i="98"/>
  <c r="P42" i="98"/>
  <c r="P43" i="98"/>
  <c r="P34" i="98"/>
  <c r="P35" i="98"/>
  <c r="P36" i="98"/>
  <c r="P44" i="98"/>
  <c r="P37" i="98"/>
  <c r="P45" i="98"/>
  <c r="O34" i="98"/>
  <c r="P38" i="98"/>
  <c r="P46" i="98"/>
  <c r="O19" i="98"/>
  <c r="O20" i="98"/>
  <c r="O21" i="98"/>
  <c r="O22" i="98"/>
  <c r="O23" i="98"/>
  <c r="O24" i="98"/>
  <c r="O25" i="98"/>
  <c r="O27" i="98"/>
  <c r="O28" i="98"/>
  <c r="O29" i="98"/>
  <c r="O30" i="98"/>
  <c r="O31" i="98"/>
  <c r="O26" i="98"/>
  <c r="E10" i="55"/>
  <c r="E12" i="55"/>
  <c r="F10" i="55"/>
  <c r="D12" i="55"/>
  <c r="D10" i="55"/>
  <c r="G12" i="55"/>
  <c r="G10" i="55"/>
  <c r="G11" i="55"/>
  <c r="G9" i="55"/>
  <c r="F9" i="55"/>
  <c r="E9" i="55"/>
  <c r="F12" i="55"/>
  <c r="F11" i="55"/>
  <c r="E11" i="55"/>
  <c r="D11" i="55"/>
  <c r="D9" i="55"/>
  <c r="G8" i="55"/>
  <c r="F8" i="55"/>
  <c r="E8" i="55"/>
  <c r="D8" i="55"/>
  <c r="C8" i="55"/>
  <c r="C12" i="55"/>
  <c r="C11" i="55"/>
  <c r="C10" i="55"/>
  <c r="C9" i="55"/>
  <c r="B2" i="95"/>
  <c r="H144" i="94"/>
  <c r="G145" i="94" s="1"/>
  <c r="C46" i="94"/>
  <c r="C93" i="94"/>
  <c r="C89" i="94"/>
  <c r="C85" i="94"/>
  <c r="C81" i="94"/>
  <c r="C77" i="94"/>
  <c r="C73" i="94"/>
  <c r="C69" i="94"/>
  <c r="C65" i="94"/>
  <c r="C61" i="94"/>
  <c r="C57" i="94"/>
  <c r="C47" i="94"/>
  <c r="C35" i="94"/>
  <c r="C30" i="94"/>
  <c r="C28" i="94"/>
  <c r="C24" i="94"/>
  <c r="C20" i="94"/>
  <c r="C16" i="94"/>
  <c r="C12" i="94"/>
  <c r="C48" i="94"/>
  <c r="C36" i="94"/>
  <c r="C54" i="94"/>
  <c r="C42" i="94"/>
  <c r="C92" i="94"/>
  <c r="C90" i="94"/>
  <c r="C67" i="94"/>
  <c r="C43" i="94"/>
  <c r="C25" i="94"/>
  <c r="C10" i="94"/>
  <c r="C38" i="94"/>
  <c r="C27" i="94"/>
  <c r="C17" i="94"/>
  <c r="C76" i="94"/>
  <c r="C19" i="94"/>
  <c r="C88" i="94"/>
  <c r="C86" i="94"/>
  <c r="C63" i="94"/>
  <c r="C72" i="94"/>
  <c r="C84" i="94"/>
  <c r="C82" i="94"/>
  <c r="C59" i="94"/>
  <c r="C52" i="94"/>
  <c r="C49" i="94"/>
  <c r="C33" i="94"/>
  <c r="C26" i="94"/>
  <c r="C74" i="94"/>
  <c r="C31" i="94"/>
  <c r="C18" i="94"/>
  <c r="C80" i="94"/>
  <c r="C78" i="94"/>
  <c r="C41" i="94"/>
  <c r="C9" i="94"/>
  <c r="C55" i="94"/>
  <c r="C70" i="94"/>
  <c r="C44" i="94"/>
  <c r="C79" i="94"/>
  <c r="C45" i="94"/>
  <c r="C37" i="94"/>
  <c r="C34" i="94"/>
  <c r="C62" i="94"/>
  <c r="C39" i="94"/>
  <c r="C15" i="94"/>
  <c r="C11" i="94"/>
  <c r="C32" i="94"/>
  <c r="C21" i="94"/>
  <c r="C71" i="94"/>
  <c r="C51" i="94"/>
  <c r="C91" i="94"/>
  <c r="C75" i="94"/>
  <c r="C68" i="94"/>
  <c r="C58" i="94"/>
  <c r="C23" i="94"/>
  <c r="C13" i="94"/>
  <c r="C87" i="94"/>
  <c r="C64" i="94"/>
  <c r="C29" i="94"/>
  <c r="C60" i="94"/>
  <c r="C83" i="94"/>
  <c r="C40" i="94"/>
  <c r="C53" i="94"/>
  <c r="C8" i="94"/>
  <c r="C66" i="94"/>
  <c r="C50" i="94"/>
  <c r="C14" i="94"/>
  <c r="C56" i="94"/>
  <c r="C22" i="94"/>
  <c r="D93" i="94"/>
  <c r="E93" i="94" s="1"/>
  <c r="D89" i="94"/>
  <c r="E89" i="94" s="1"/>
  <c r="D85" i="94"/>
  <c r="E85" i="94" s="1"/>
  <c r="D81" i="94"/>
  <c r="E81" i="94" s="1"/>
  <c r="D77" i="94"/>
  <c r="E77" i="94" s="1"/>
  <c r="D73" i="94"/>
  <c r="E73" i="94" s="1"/>
  <c r="D69" i="94"/>
  <c r="E69" i="94" s="1"/>
  <c r="D65" i="94"/>
  <c r="E65" i="94" s="1"/>
  <c r="D61" i="94"/>
  <c r="E61" i="94" s="1"/>
  <c r="D57" i="94"/>
  <c r="E57" i="94" s="1"/>
  <c r="D47" i="94"/>
  <c r="E47" i="94" s="1"/>
  <c r="D35" i="94"/>
  <c r="E35" i="94" s="1"/>
  <c r="D30" i="94"/>
  <c r="E30" i="94" s="1"/>
  <c r="D28" i="94"/>
  <c r="E28" i="94" s="1"/>
  <c r="D24" i="94"/>
  <c r="E24" i="94" s="1"/>
  <c r="D20" i="94"/>
  <c r="E20" i="94" s="1"/>
  <c r="D16" i="94"/>
  <c r="E16" i="94" s="1"/>
  <c r="D48" i="94"/>
  <c r="E48" i="94" s="1"/>
  <c r="D36" i="94"/>
  <c r="E36" i="94" s="1"/>
  <c r="D49" i="94"/>
  <c r="E49" i="94" s="1"/>
  <c r="D37" i="94"/>
  <c r="E37" i="94" s="1"/>
  <c r="D55" i="94"/>
  <c r="E55" i="94" s="1"/>
  <c r="D43" i="94"/>
  <c r="E43" i="94" s="1"/>
  <c r="D88" i="94"/>
  <c r="E88" i="94" s="1"/>
  <c r="D86" i="94"/>
  <c r="E86" i="94" s="1"/>
  <c r="D63" i="94"/>
  <c r="E63" i="94" s="1"/>
  <c r="D33" i="94"/>
  <c r="E33" i="94" s="1"/>
  <c r="D31" i="94"/>
  <c r="E31" i="94" s="1"/>
  <c r="D68" i="94"/>
  <c r="E68" i="94" s="1"/>
  <c r="D84" i="94"/>
  <c r="E84" i="94" s="1"/>
  <c r="D82" i="94"/>
  <c r="E82" i="94" s="1"/>
  <c r="D59" i="94"/>
  <c r="E59" i="94" s="1"/>
  <c r="D52" i="94"/>
  <c r="E52" i="94" s="1"/>
  <c r="D46" i="94"/>
  <c r="E46" i="94" s="1"/>
  <c r="D38" i="94"/>
  <c r="E38" i="94" s="1"/>
  <c r="D27" i="94"/>
  <c r="E27" i="94" s="1"/>
  <c r="D26" i="94"/>
  <c r="E26" i="94" s="1"/>
  <c r="D17" i="94"/>
  <c r="E17" i="94" s="1"/>
  <c r="D41" i="94"/>
  <c r="E41" i="94" s="1"/>
  <c r="D9" i="94"/>
  <c r="E9" i="94" s="1"/>
  <c r="D80" i="94"/>
  <c r="E80" i="94" s="1"/>
  <c r="D78" i="94"/>
  <c r="E78" i="94" s="1"/>
  <c r="D70" i="94"/>
  <c r="E70" i="94" s="1"/>
  <c r="D44" i="94"/>
  <c r="E44" i="94" s="1"/>
  <c r="D91" i="94"/>
  <c r="E91" i="94" s="1"/>
  <c r="D50" i="94"/>
  <c r="E50" i="94" s="1"/>
  <c r="D76" i="94"/>
  <c r="E76" i="94" s="1"/>
  <c r="D74" i="94"/>
  <c r="E74" i="94" s="1"/>
  <c r="D19" i="94"/>
  <c r="E19" i="94" s="1"/>
  <c r="D18" i="94"/>
  <c r="E18" i="94" s="1"/>
  <c r="D72" i="94"/>
  <c r="E72" i="94" s="1"/>
  <c r="D29" i="94"/>
  <c r="E29" i="94" s="1"/>
  <c r="D66" i="94"/>
  <c r="E66" i="94" s="1"/>
  <c r="D62" i="94"/>
  <c r="E62" i="94" s="1"/>
  <c r="D39" i="94"/>
  <c r="E39" i="94" s="1"/>
  <c r="D92" i="94"/>
  <c r="E92" i="94" s="1"/>
  <c r="D25" i="94"/>
  <c r="E25" i="94" s="1"/>
  <c r="D15" i="94"/>
  <c r="E15" i="94" s="1"/>
  <c r="D21" i="94"/>
  <c r="E21" i="94" s="1"/>
  <c r="D67" i="94"/>
  <c r="E67" i="94" s="1"/>
  <c r="D40" i="94"/>
  <c r="E40" i="94" s="1"/>
  <c r="D11" i="94"/>
  <c r="E11" i="94" s="1"/>
  <c r="D51" i="94"/>
  <c r="E51" i="94" s="1"/>
  <c r="D75" i="94"/>
  <c r="E75" i="94" s="1"/>
  <c r="D58" i="94"/>
  <c r="E58" i="94" s="1"/>
  <c r="D23" i="94"/>
  <c r="E23" i="94" s="1"/>
  <c r="D10" i="94"/>
  <c r="E10" i="94" s="1"/>
  <c r="D87" i="94"/>
  <c r="E87" i="94" s="1"/>
  <c r="D71" i="94"/>
  <c r="E71" i="94" s="1"/>
  <c r="D64" i="94"/>
  <c r="E64" i="94" s="1"/>
  <c r="D14" i="94"/>
  <c r="E14" i="94" s="1"/>
  <c r="D13" i="94"/>
  <c r="E13" i="94" s="1"/>
  <c r="D32" i="94"/>
  <c r="E32" i="94" s="1"/>
  <c r="D90" i="94"/>
  <c r="E90" i="94" s="1"/>
  <c r="D83" i="94"/>
  <c r="E83" i="94" s="1"/>
  <c r="D60" i="94"/>
  <c r="E60" i="94" s="1"/>
  <c r="D54" i="94"/>
  <c r="E54" i="94" s="1"/>
  <c r="D12" i="94"/>
  <c r="E12" i="94" s="1"/>
  <c r="D53" i="94"/>
  <c r="E53" i="94" s="1"/>
  <c r="D45" i="94"/>
  <c r="E45" i="94" s="1"/>
  <c r="D8" i="94"/>
  <c r="E8" i="94" s="1"/>
  <c r="D56" i="94"/>
  <c r="E56" i="94" s="1"/>
  <c r="D42" i="94"/>
  <c r="E42" i="94" s="1"/>
  <c r="D22" i="94"/>
  <c r="E22" i="94" s="1"/>
  <c r="D79" i="94"/>
  <c r="E79" i="94" s="1"/>
  <c r="D34" i="94"/>
  <c r="E34" i="94" s="1"/>
  <c r="E161" i="94"/>
  <c r="F161" i="94" s="1"/>
  <c r="E160" i="94"/>
  <c r="F160" i="94" s="1"/>
  <c r="D160" i="94"/>
  <c r="D161" i="94"/>
  <c r="D144" i="94"/>
  <c r="C145" i="94" s="1"/>
  <c r="I8" i="94"/>
  <c r="F100" i="94"/>
  <c r="E102" i="94" s="1"/>
  <c r="I102" i="94"/>
  <c r="I103" i="94" s="1"/>
  <c r="L20" i="57" a="1"/>
  <c r="H8" i="56" a="1"/>
  <c r="E28" i="73" a="1"/>
  <c r="L21" i="57" a="1"/>
  <c r="G160" i="94"/>
  <c r="H11" i="56" a="1"/>
  <c r="E32" i="73" a="1"/>
  <c r="L23" i="57" a="1"/>
  <c r="E24" i="73" a="1"/>
  <c r="H12" i="56" a="1"/>
  <c r="L22" i="57" a="1"/>
  <c r="F24" i="73" a="1"/>
  <c r="H10" i="56" a="1"/>
  <c r="L24" i="57" a="1"/>
  <c r="F32" i="73" a="1"/>
  <c r="F28" i="73" a="1"/>
  <c r="G161" i="94"/>
  <c r="H9" i="56" a="1"/>
  <c r="H9" i="56" l="1"/>
  <c r="I9" i="56" s="1"/>
  <c r="E24" i="73"/>
  <c r="H10" i="56"/>
  <c r="I10" i="56" s="1"/>
  <c r="E32" i="73"/>
  <c r="H11" i="56"/>
  <c r="I11" i="56" s="1"/>
  <c r="E28" i="73"/>
  <c r="H12" i="56"/>
  <c r="I12" i="56" s="1"/>
  <c r="F24" i="73"/>
  <c r="L22" i="57"/>
  <c r="L21" i="57"/>
  <c r="L24" i="57"/>
  <c r="F28" i="73"/>
  <c r="H8" i="56"/>
  <c r="I8" i="56" s="1"/>
  <c r="F32" i="73"/>
  <c r="L20" i="57"/>
  <c r="L23" i="57"/>
  <c r="M109" i="98"/>
  <c r="D109" i="98"/>
  <c r="L109" i="98"/>
  <c r="B109" i="98"/>
  <c r="H109" i="98"/>
  <c r="E109" i="98"/>
  <c r="F109" i="98"/>
  <c r="G109" i="98"/>
  <c r="I109" i="98"/>
  <c r="K109" i="98"/>
  <c r="J109" i="98"/>
  <c r="C109" i="98"/>
  <c r="B102" i="98"/>
  <c r="J102" i="98"/>
  <c r="C102" i="98"/>
  <c r="K102" i="98"/>
  <c r="D102" i="98"/>
  <c r="F102" i="98"/>
  <c r="L102" i="98"/>
  <c r="E102" i="98"/>
  <c r="M102" i="98"/>
  <c r="G102" i="98"/>
  <c r="I102" i="98"/>
  <c r="H102" i="98"/>
  <c r="C124" i="98"/>
  <c r="K124" i="98"/>
  <c r="D124" i="98"/>
  <c r="M124" i="98"/>
  <c r="L124" i="98"/>
  <c r="E124" i="98"/>
  <c r="B124" i="98"/>
  <c r="J124" i="98"/>
  <c r="F124" i="98"/>
  <c r="G124" i="98"/>
  <c r="H124" i="98"/>
  <c r="I124" i="98"/>
  <c r="E112" i="98"/>
  <c r="F112" i="98"/>
  <c r="J112" i="98"/>
  <c r="G112" i="98"/>
  <c r="H112" i="98"/>
  <c r="B112" i="98"/>
  <c r="I112" i="98"/>
  <c r="C112" i="98"/>
  <c r="K112" i="98"/>
  <c r="D112" i="98"/>
  <c r="L112" i="98"/>
  <c r="M112" i="98"/>
  <c r="B110" i="98"/>
  <c r="J110" i="98"/>
  <c r="C110" i="98"/>
  <c r="K110" i="98"/>
  <c r="D110" i="98"/>
  <c r="L110" i="98"/>
  <c r="F110" i="98"/>
  <c r="E110" i="98"/>
  <c r="M110" i="98"/>
  <c r="G110" i="98"/>
  <c r="H110" i="98"/>
  <c r="I110" i="98"/>
  <c r="F73" i="98"/>
  <c r="G73" i="98"/>
  <c r="I73" i="98"/>
  <c r="H73" i="98"/>
  <c r="J73" i="98"/>
  <c r="B73" i="98"/>
  <c r="C73" i="98"/>
  <c r="E73" i="98"/>
  <c r="K73" i="98"/>
  <c r="D73" i="98"/>
  <c r="L73" i="98"/>
  <c r="M73" i="98"/>
  <c r="B89" i="98"/>
  <c r="G89" i="98"/>
  <c r="C89" i="98"/>
  <c r="D89" i="98"/>
  <c r="J89" i="98"/>
  <c r="K89" i="98"/>
  <c r="L89" i="98"/>
  <c r="F89" i="98"/>
  <c r="M89" i="98"/>
  <c r="H89" i="98"/>
  <c r="E89" i="98"/>
  <c r="I89" i="98"/>
  <c r="B121" i="98"/>
  <c r="J121" i="98"/>
  <c r="C121" i="98"/>
  <c r="H121" i="98"/>
  <c r="D121" i="98"/>
  <c r="G121" i="98"/>
  <c r="L121" i="98"/>
  <c r="E121" i="98"/>
  <c r="M121" i="98"/>
  <c r="F121" i="98"/>
  <c r="I121" i="98"/>
  <c r="K121" i="98"/>
  <c r="M122" i="98"/>
  <c r="G122" i="98"/>
  <c r="I122" i="98"/>
  <c r="H122" i="98"/>
  <c r="B122" i="98"/>
  <c r="J122" i="98"/>
  <c r="D122" i="98"/>
  <c r="L122" i="98"/>
  <c r="K122" i="98"/>
  <c r="C122" i="98"/>
  <c r="F122" i="98"/>
  <c r="E122" i="98"/>
  <c r="H75" i="98"/>
  <c r="I75" i="98"/>
  <c r="C75" i="98"/>
  <c r="J75" i="98"/>
  <c r="D75" i="98"/>
  <c r="L75" i="98"/>
  <c r="M75" i="98"/>
  <c r="K75" i="98"/>
  <c r="G75" i="98"/>
  <c r="F75" i="98"/>
  <c r="B75" i="98"/>
  <c r="E75" i="98"/>
  <c r="G70" i="98"/>
  <c r="B70" i="98"/>
  <c r="H70" i="98"/>
  <c r="J70" i="98"/>
  <c r="I70" i="98"/>
  <c r="C70" i="98"/>
  <c r="D70" i="98"/>
  <c r="F70" i="98"/>
  <c r="M70" i="98"/>
  <c r="L70" i="98"/>
  <c r="K70" i="98"/>
  <c r="E70" i="98"/>
  <c r="D82" i="98"/>
  <c r="F82" i="98"/>
  <c r="L82" i="98"/>
  <c r="E82" i="98"/>
  <c r="J82" i="98"/>
  <c r="M82" i="98"/>
  <c r="G82" i="98"/>
  <c r="H82" i="98"/>
  <c r="C82" i="98"/>
  <c r="I82" i="98"/>
  <c r="B82" i="98"/>
  <c r="K82" i="98"/>
  <c r="M118" i="98"/>
  <c r="G118" i="98"/>
  <c r="I118" i="98"/>
  <c r="B118" i="98"/>
  <c r="F118" i="98"/>
  <c r="H118" i="98"/>
  <c r="J118" i="98"/>
  <c r="C118" i="98"/>
  <c r="K118" i="98"/>
  <c r="L118" i="98"/>
  <c r="D118" i="98"/>
  <c r="E118" i="98"/>
  <c r="I100" i="98"/>
  <c r="K100" i="98"/>
  <c r="B100" i="98"/>
  <c r="H100" i="98"/>
  <c r="J100" i="98"/>
  <c r="L100" i="98"/>
  <c r="E100" i="98"/>
  <c r="C100" i="98"/>
  <c r="G100" i="98"/>
  <c r="D100" i="98"/>
  <c r="M100" i="98"/>
  <c r="F100" i="98"/>
  <c r="D87" i="98"/>
  <c r="L87" i="98"/>
  <c r="M87" i="98"/>
  <c r="E87" i="98"/>
  <c r="F87" i="98"/>
  <c r="C87" i="98"/>
  <c r="G87" i="98"/>
  <c r="H87" i="98"/>
  <c r="I87" i="98"/>
  <c r="B87" i="98"/>
  <c r="J87" i="98"/>
  <c r="K87" i="98"/>
  <c r="E99" i="98"/>
  <c r="C99" i="98"/>
  <c r="G99" i="98"/>
  <c r="B99" i="98"/>
  <c r="H99" i="98"/>
  <c r="I99" i="98"/>
  <c r="K99" i="98"/>
  <c r="D99" i="98"/>
  <c r="L99" i="98"/>
  <c r="M99" i="98"/>
  <c r="F99" i="98"/>
  <c r="J99" i="98"/>
  <c r="I72" i="98"/>
  <c r="C72" i="98"/>
  <c r="E72" i="98"/>
  <c r="B72" i="98"/>
  <c r="J72" i="98"/>
  <c r="F72" i="98"/>
  <c r="D72" i="98"/>
  <c r="L72" i="98"/>
  <c r="K72" i="98"/>
  <c r="M72" i="98"/>
  <c r="H72" i="98"/>
  <c r="G72" i="98"/>
  <c r="G96" i="98"/>
  <c r="J96" i="98"/>
  <c r="H96" i="98"/>
  <c r="I96" i="98"/>
  <c r="D96" i="98"/>
  <c r="B96" i="98"/>
  <c r="M96" i="98"/>
  <c r="K96" i="98"/>
  <c r="C96" i="98"/>
  <c r="L96" i="98"/>
  <c r="E96" i="98"/>
  <c r="F96" i="98"/>
  <c r="M120" i="98"/>
  <c r="D120" i="98"/>
  <c r="L120" i="98"/>
  <c r="I120" i="98"/>
  <c r="E120" i="98"/>
  <c r="F120" i="98"/>
  <c r="J120" i="98"/>
  <c r="G120" i="98"/>
  <c r="H120" i="98"/>
  <c r="B120" i="98"/>
  <c r="C120" i="98"/>
  <c r="K120" i="98"/>
  <c r="I116" i="98"/>
  <c r="C116" i="98"/>
  <c r="K116" i="98"/>
  <c r="M116" i="98"/>
  <c r="G116" i="98"/>
  <c r="J116" i="98"/>
  <c r="D116" i="98"/>
  <c r="L116" i="98"/>
  <c r="E116" i="98"/>
  <c r="F116" i="98"/>
  <c r="B116" i="98"/>
  <c r="H116" i="98"/>
  <c r="J101" i="98"/>
  <c r="K101" i="98"/>
  <c r="B101" i="98"/>
  <c r="I101" i="98"/>
  <c r="H101" i="98"/>
  <c r="G101" i="98"/>
  <c r="E101" i="98"/>
  <c r="C101" i="98"/>
  <c r="D101" i="98"/>
  <c r="L101" i="98"/>
  <c r="M101" i="98"/>
  <c r="F101" i="98"/>
  <c r="F84" i="98"/>
  <c r="G84" i="98"/>
  <c r="I84" i="98"/>
  <c r="H84" i="98"/>
  <c r="D84" i="98"/>
  <c r="J84" i="98"/>
  <c r="B84" i="98"/>
  <c r="C84" i="98"/>
  <c r="K84" i="98"/>
  <c r="L84" i="98"/>
  <c r="E84" i="98"/>
  <c r="M84" i="98"/>
  <c r="B64" i="98"/>
  <c r="J64" i="98"/>
  <c r="I64" i="98"/>
  <c r="C64" i="98"/>
  <c r="E64" i="98"/>
  <c r="K64" i="98"/>
  <c r="D64" i="98"/>
  <c r="L64" i="98"/>
  <c r="M64" i="98"/>
  <c r="F64" i="98"/>
  <c r="G64" i="98"/>
  <c r="H64" i="98"/>
  <c r="F81" i="98"/>
  <c r="G81" i="98"/>
  <c r="L81" i="98"/>
  <c r="H81" i="98"/>
  <c r="I81" i="98"/>
  <c r="B81" i="98"/>
  <c r="J81" i="98"/>
  <c r="C81" i="98"/>
  <c r="K81" i="98"/>
  <c r="D81" i="98"/>
  <c r="E81" i="98"/>
  <c r="M81" i="98"/>
  <c r="B97" i="98"/>
  <c r="C97" i="98"/>
  <c r="K97" i="98"/>
  <c r="E97" i="98"/>
  <c r="D97" i="98"/>
  <c r="L97" i="98"/>
  <c r="M97" i="98"/>
  <c r="F97" i="98"/>
  <c r="G97" i="98"/>
  <c r="J97" i="98"/>
  <c r="I97" i="98"/>
  <c r="H97" i="98"/>
  <c r="C113" i="98"/>
  <c r="D113" i="98"/>
  <c r="L113" i="98"/>
  <c r="E113" i="98"/>
  <c r="M113" i="98"/>
  <c r="F113" i="98"/>
  <c r="G113" i="98"/>
  <c r="H113" i="98"/>
  <c r="I113" i="98"/>
  <c r="B113" i="98"/>
  <c r="J113" i="98"/>
  <c r="K113" i="98"/>
  <c r="J103" i="98"/>
  <c r="C103" i="98"/>
  <c r="I103" i="98"/>
  <c r="L103" i="98"/>
  <c r="K103" i="98"/>
  <c r="D103" i="98"/>
  <c r="E103" i="98"/>
  <c r="M103" i="98"/>
  <c r="G103" i="98"/>
  <c r="F103" i="98"/>
  <c r="H103" i="98"/>
  <c r="B103" i="98"/>
  <c r="J69" i="98"/>
  <c r="B69" i="98"/>
  <c r="C69" i="98"/>
  <c r="K69" i="98"/>
  <c r="E69" i="98"/>
  <c r="D69" i="98"/>
  <c r="L69" i="98"/>
  <c r="I69" i="98"/>
  <c r="G69" i="98"/>
  <c r="H69" i="98"/>
  <c r="F69" i="98"/>
  <c r="M69" i="98"/>
  <c r="F65" i="98"/>
  <c r="J65" i="98"/>
  <c r="C65" i="98"/>
  <c r="D65" i="98"/>
  <c r="G65" i="98"/>
  <c r="E65" i="98"/>
  <c r="I65" i="98"/>
  <c r="H65" i="98"/>
  <c r="B65" i="98"/>
  <c r="M65" i="98"/>
  <c r="K65" i="98"/>
  <c r="L65" i="98"/>
  <c r="F78" i="98"/>
  <c r="I78" i="98"/>
  <c r="G78" i="98"/>
  <c r="H78" i="98"/>
  <c r="B78" i="98"/>
  <c r="J78" i="98"/>
  <c r="D78" i="98"/>
  <c r="C78" i="98"/>
  <c r="K78" i="98"/>
  <c r="L78" i="98"/>
  <c r="E78" i="98"/>
  <c r="M78" i="98"/>
  <c r="K94" i="98"/>
  <c r="I94" i="98"/>
  <c r="B94" i="98"/>
  <c r="D94" i="98"/>
  <c r="G94" i="98"/>
  <c r="C94" i="98"/>
  <c r="L94" i="98"/>
  <c r="E94" i="98"/>
  <c r="M94" i="98"/>
  <c r="F94" i="98"/>
  <c r="H94" i="98"/>
  <c r="J94" i="98"/>
  <c r="B106" i="98"/>
  <c r="J106" i="98"/>
  <c r="F106" i="98"/>
  <c r="C106" i="98"/>
  <c r="K106" i="98"/>
  <c r="D106" i="98"/>
  <c r="L106" i="98"/>
  <c r="E106" i="98"/>
  <c r="M106" i="98"/>
  <c r="G106" i="98"/>
  <c r="I106" i="98"/>
  <c r="H106" i="98"/>
  <c r="D90" i="98"/>
  <c r="F90" i="98"/>
  <c r="L90" i="98"/>
  <c r="E90" i="98"/>
  <c r="M90" i="98"/>
  <c r="G90" i="98"/>
  <c r="H90" i="98"/>
  <c r="C90" i="98"/>
  <c r="I90" i="98"/>
  <c r="J90" i="98"/>
  <c r="B90" i="98"/>
  <c r="K90" i="98"/>
  <c r="C66" i="98"/>
  <c r="K66" i="98"/>
  <c r="D66" i="98"/>
  <c r="L66" i="98"/>
  <c r="M66" i="98"/>
  <c r="G66" i="98"/>
  <c r="H66" i="98"/>
  <c r="E66" i="98"/>
  <c r="F66" i="98"/>
  <c r="B66" i="98"/>
  <c r="J66" i="98"/>
  <c r="I66" i="98"/>
  <c r="F95" i="98"/>
  <c r="B95" i="98"/>
  <c r="C95" i="98"/>
  <c r="K95" i="98"/>
  <c r="D95" i="98"/>
  <c r="L95" i="98"/>
  <c r="E95" i="98"/>
  <c r="J95" i="98"/>
  <c r="M95" i="98"/>
  <c r="G95" i="98"/>
  <c r="I95" i="98"/>
  <c r="H95" i="98"/>
  <c r="D111" i="98"/>
  <c r="H111" i="98"/>
  <c r="I111" i="98"/>
  <c r="B111" i="98"/>
  <c r="M111" i="98"/>
  <c r="J111" i="98"/>
  <c r="L111" i="98"/>
  <c r="C111" i="98"/>
  <c r="K111" i="98"/>
  <c r="E111" i="98"/>
  <c r="F111" i="98"/>
  <c r="G111" i="98"/>
  <c r="L119" i="98"/>
  <c r="C119" i="98"/>
  <c r="K119" i="98"/>
  <c r="E119" i="98"/>
  <c r="M119" i="98"/>
  <c r="F119" i="98"/>
  <c r="G119" i="98"/>
  <c r="D119" i="98"/>
  <c r="I119" i="98"/>
  <c r="H119" i="98"/>
  <c r="J119" i="98"/>
  <c r="B119" i="98"/>
  <c r="J108" i="98"/>
  <c r="I108" i="98"/>
  <c r="C108" i="98"/>
  <c r="K108" i="98"/>
  <c r="M108" i="98"/>
  <c r="D108" i="98"/>
  <c r="L108" i="98"/>
  <c r="E108" i="98"/>
  <c r="F108" i="98"/>
  <c r="B108" i="98"/>
  <c r="G108" i="98"/>
  <c r="H108" i="98"/>
  <c r="H79" i="98"/>
  <c r="B79" i="98"/>
  <c r="J79" i="98"/>
  <c r="C79" i="98"/>
  <c r="K79" i="98"/>
  <c r="D79" i="98"/>
  <c r="L79" i="98"/>
  <c r="E79" i="98"/>
  <c r="M79" i="98"/>
  <c r="G79" i="98"/>
  <c r="F79" i="98"/>
  <c r="I79" i="98"/>
  <c r="B83" i="98"/>
  <c r="F83" i="98"/>
  <c r="J83" i="98"/>
  <c r="K83" i="98"/>
  <c r="L83" i="98"/>
  <c r="C83" i="98"/>
  <c r="D83" i="98"/>
  <c r="E83" i="98"/>
  <c r="M83" i="98"/>
  <c r="G83" i="98"/>
  <c r="H83" i="98"/>
  <c r="I83" i="98"/>
  <c r="B85" i="98"/>
  <c r="M85" i="98"/>
  <c r="J85" i="98"/>
  <c r="K85" i="98"/>
  <c r="L85" i="98"/>
  <c r="C85" i="98"/>
  <c r="D85" i="98"/>
  <c r="F85" i="98"/>
  <c r="E85" i="98"/>
  <c r="G85" i="98"/>
  <c r="H85" i="98"/>
  <c r="I85" i="98"/>
  <c r="D117" i="98"/>
  <c r="L117" i="98"/>
  <c r="E117" i="98"/>
  <c r="M117" i="98"/>
  <c r="F117" i="98"/>
  <c r="H117" i="98"/>
  <c r="K117" i="98"/>
  <c r="G117" i="98"/>
  <c r="I117" i="98"/>
  <c r="B117" i="98"/>
  <c r="J117" i="98"/>
  <c r="C117" i="98"/>
  <c r="B114" i="98"/>
  <c r="J114" i="98"/>
  <c r="F114" i="98"/>
  <c r="C114" i="98"/>
  <c r="K114" i="98"/>
  <c r="D114" i="98"/>
  <c r="L114" i="98"/>
  <c r="M114" i="98"/>
  <c r="E114" i="98"/>
  <c r="G114" i="98"/>
  <c r="I114" i="98"/>
  <c r="H114" i="98"/>
  <c r="D71" i="98"/>
  <c r="G71" i="98"/>
  <c r="B71" i="98"/>
  <c r="L71" i="98"/>
  <c r="H71" i="98"/>
  <c r="J71" i="98"/>
  <c r="E71" i="98"/>
  <c r="M71" i="98"/>
  <c r="F71" i="98"/>
  <c r="I71" i="98"/>
  <c r="C71" i="98"/>
  <c r="K71" i="98"/>
  <c r="F123" i="98"/>
  <c r="G123" i="98"/>
  <c r="L123" i="98"/>
  <c r="D123" i="98"/>
  <c r="K123" i="98"/>
  <c r="H123" i="98"/>
  <c r="I123" i="98"/>
  <c r="J123" i="98"/>
  <c r="B123" i="98"/>
  <c r="C123" i="98"/>
  <c r="E123" i="98"/>
  <c r="M123" i="98"/>
  <c r="G92" i="98"/>
  <c r="I92" i="98"/>
  <c r="F92" i="98"/>
  <c r="J92" i="98"/>
  <c r="E92" i="98"/>
  <c r="H92" i="98"/>
  <c r="B92" i="98"/>
  <c r="D92" i="98"/>
  <c r="C92" i="98"/>
  <c r="K92" i="98"/>
  <c r="L92" i="98"/>
  <c r="M92" i="98"/>
  <c r="D77" i="98"/>
  <c r="C77" i="98"/>
  <c r="L77" i="98"/>
  <c r="M77" i="98"/>
  <c r="F77" i="98"/>
  <c r="G77" i="98"/>
  <c r="J77" i="98"/>
  <c r="E77" i="98"/>
  <c r="H77" i="98"/>
  <c r="I77" i="98"/>
  <c r="B77" i="98"/>
  <c r="K77" i="98"/>
  <c r="H67" i="98"/>
  <c r="L67" i="98"/>
  <c r="M67" i="98"/>
  <c r="I67" i="98"/>
  <c r="C67" i="98"/>
  <c r="K67" i="98"/>
  <c r="J67" i="98"/>
  <c r="D67" i="98"/>
  <c r="G67" i="98"/>
  <c r="E67" i="98"/>
  <c r="F67" i="98"/>
  <c r="B67" i="98"/>
  <c r="C74" i="98"/>
  <c r="F74" i="98"/>
  <c r="I74" i="98"/>
  <c r="K74" i="98"/>
  <c r="E74" i="98"/>
  <c r="B74" i="98"/>
  <c r="L74" i="98"/>
  <c r="D74" i="98"/>
  <c r="M74" i="98"/>
  <c r="G74" i="98"/>
  <c r="H74" i="98"/>
  <c r="J74" i="98"/>
  <c r="D93" i="98"/>
  <c r="G93" i="98"/>
  <c r="L93" i="98"/>
  <c r="H93" i="98"/>
  <c r="I93" i="98"/>
  <c r="E93" i="98"/>
  <c r="M93" i="98"/>
  <c r="F93" i="98"/>
  <c r="C93" i="98"/>
  <c r="J93" i="98"/>
  <c r="B93" i="98"/>
  <c r="K93" i="98"/>
  <c r="F105" i="98"/>
  <c r="H105" i="98"/>
  <c r="L105" i="98"/>
  <c r="G105" i="98"/>
  <c r="I105" i="98"/>
  <c r="C105" i="98"/>
  <c r="K105" i="98"/>
  <c r="B105" i="98"/>
  <c r="J105" i="98"/>
  <c r="D105" i="98"/>
  <c r="E105" i="98"/>
  <c r="M105" i="98"/>
  <c r="I80" i="98"/>
  <c r="B80" i="98"/>
  <c r="C80" i="98"/>
  <c r="K80" i="98"/>
  <c r="D80" i="98"/>
  <c r="L80" i="98"/>
  <c r="E80" i="98"/>
  <c r="M80" i="98"/>
  <c r="G80" i="98"/>
  <c r="H80" i="98"/>
  <c r="F80" i="98"/>
  <c r="J80" i="98"/>
  <c r="D91" i="98"/>
  <c r="E91" i="98"/>
  <c r="M91" i="98"/>
  <c r="C91" i="98"/>
  <c r="L91" i="98"/>
  <c r="F91" i="98"/>
  <c r="G91" i="98"/>
  <c r="I91" i="98"/>
  <c r="J91" i="98"/>
  <c r="H91" i="98"/>
  <c r="B91" i="98"/>
  <c r="K91" i="98"/>
  <c r="D86" i="98"/>
  <c r="L86" i="98"/>
  <c r="E86" i="98"/>
  <c r="M86" i="98"/>
  <c r="F86" i="98"/>
  <c r="J86" i="98"/>
  <c r="G86" i="98"/>
  <c r="H86" i="98"/>
  <c r="I86" i="98"/>
  <c r="B86" i="98"/>
  <c r="K86" i="98"/>
  <c r="C86" i="98"/>
  <c r="G98" i="98"/>
  <c r="B98" i="98"/>
  <c r="M98" i="98"/>
  <c r="H98" i="98"/>
  <c r="I98" i="98"/>
  <c r="E98" i="98"/>
  <c r="C98" i="98"/>
  <c r="J98" i="98"/>
  <c r="F98" i="98"/>
  <c r="K98" i="98"/>
  <c r="D98" i="98"/>
  <c r="L98" i="98"/>
  <c r="E76" i="98"/>
  <c r="M76" i="98"/>
  <c r="F76" i="98"/>
  <c r="G76" i="98"/>
  <c r="I76" i="98"/>
  <c r="J76" i="98"/>
  <c r="D76" i="98"/>
  <c r="B76" i="98"/>
  <c r="L76" i="98"/>
  <c r="H76" i="98"/>
  <c r="C76" i="98"/>
  <c r="K76" i="98"/>
  <c r="E68" i="98"/>
  <c r="M68" i="98"/>
  <c r="L68" i="98"/>
  <c r="K68" i="98"/>
  <c r="F68" i="98"/>
  <c r="H68" i="98"/>
  <c r="G68" i="98"/>
  <c r="I68" i="98"/>
  <c r="D68" i="98"/>
  <c r="J68" i="98"/>
  <c r="B68" i="98"/>
  <c r="C68" i="98"/>
  <c r="H107" i="98"/>
  <c r="I107" i="98"/>
  <c r="L107" i="98"/>
  <c r="B107" i="98"/>
  <c r="J107" i="98"/>
  <c r="C107" i="98"/>
  <c r="K107" i="98"/>
  <c r="D107" i="98"/>
  <c r="E107" i="98"/>
  <c r="M107" i="98"/>
  <c r="G107" i="98"/>
  <c r="F107" i="98"/>
  <c r="E115" i="98"/>
  <c r="M115" i="98"/>
  <c r="G115" i="98"/>
  <c r="C115" i="98"/>
  <c r="F115" i="98"/>
  <c r="H115" i="98"/>
  <c r="D115" i="98"/>
  <c r="K115" i="98"/>
  <c r="I115" i="98"/>
  <c r="B115" i="98"/>
  <c r="J115" i="98"/>
  <c r="L115" i="98"/>
  <c r="F104" i="98"/>
  <c r="B104" i="98"/>
  <c r="G104" i="98"/>
  <c r="H104" i="98"/>
  <c r="M104" i="98"/>
  <c r="I104" i="98"/>
  <c r="J104" i="98"/>
  <c r="C104" i="98"/>
  <c r="K104" i="98"/>
  <c r="E104" i="98"/>
  <c r="D104" i="98"/>
  <c r="L104" i="98"/>
  <c r="F88" i="98"/>
  <c r="G88" i="98"/>
  <c r="I88" i="98"/>
  <c r="H88" i="98"/>
  <c r="B88" i="98"/>
  <c r="J88" i="98"/>
  <c r="C88" i="98"/>
  <c r="L88" i="98"/>
  <c r="K88" i="98"/>
  <c r="E88" i="98"/>
  <c r="D88" i="98"/>
  <c r="M88" i="98"/>
  <c r="D24" i="98"/>
  <c r="L24" i="98"/>
  <c r="E24" i="98"/>
  <c r="M24" i="98"/>
  <c r="F24" i="98"/>
  <c r="G24" i="98"/>
  <c r="H24" i="98"/>
  <c r="I24" i="98"/>
  <c r="B24" i="98"/>
  <c r="J24" i="98"/>
  <c r="C24" i="98"/>
  <c r="K24" i="98"/>
  <c r="H27" i="98"/>
  <c r="I27" i="98"/>
  <c r="J27" i="98"/>
  <c r="C27" i="98"/>
  <c r="B27" i="98"/>
  <c r="K27" i="98"/>
  <c r="D27" i="98"/>
  <c r="L27" i="98"/>
  <c r="E27" i="98"/>
  <c r="M27" i="98"/>
  <c r="F27" i="98"/>
  <c r="G27" i="98"/>
  <c r="H25" i="98"/>
  <c r="I25" i="98"/>
  <c r="B25" i="98"/>
  <c r="J25" i="98"/>
  <c r="C25" i="98"/>
  <c r="K25" i="98"/>
  <c r="D25" i="98"/>
  <c r="L25" i="98"/>
  <c r="E25" i="98"/>
  <c r="M25" i="98"/>
  <c r="F25" i="98"/>
  <c r="G25" i="98"/>
  <c r="D26" i="98"/>
  <c r="L26" i="98"/>
  <c r="E26" i="98"/>
  <c r="M26" i="98"/>
  <c r="F26" i="98"/>
  <c r="G26" i="98"/>
  <c r="H26" i="98"/>
  <c r="I26" i="98"/>
  <c r="B26" i="98"/>
  <c r="J26" i="98"/>
  <c r="C26" i="98"/>
  <c r="K26" i="98"/>
  <c r="H23" i="98"/>
  <c r="I23" i="98"/>
  <c r="B23" i="98"/>
  <c r="J23" i="98"/>
  <c r="C23" i="98"/>
  <c r="K23" i="98"/>
  <c r="D23" i="98"/>
  <c r="L23" i="98"/>
  <c r="E23" i="98"/>
  <c r="M23" i="98"/>
  <c r="F23" i="98"/>
  <c r="G23" i="98"/>
  <c r="H31" i="98"/>
  <c r="I31" i="98"/>
  <c r="B31" i="98"/>
  <c r="J31" i="98"/>
  <c r="C31" i="98"/>
  <c r="K31" i="98"/>
  <c r="G31" i="98"/>
  <c r="D31" i="98"/>
  <c r="L31" i="98"/>
  <c r="E31" i="98"/>
  <c r="M31" i="98"/>
  <c r="F31" i="98"/>
  <c r="D22" i="98"/>
  <c r="L22" i="98"/>
  <c r="E22" i="98"/>
  <c r="M22" i="98"/>
  <c r="F22" i="98"/>
  <c r="G22" i="98"/>
  <c r="H22" i="98"/>
  <c r="I22" i="98"/>
  <c r="B22" i="98"/>
  <c r="J22" i="98"/>
  <c r="C22" i="98"/>
  <c r="K22" i="98"/>
  <c r="D30" i="98"/>
  <c r="L30" i="98"/>
  <c r="E30" i="98"/>
  <c r="M30" i="98"/>
  <c r="F30" i="98"/>
  <c r="G30" i="98"/>
  <c r="H30" i="98"/>
  <c r="I30" i="98"/>
  <c r="B30" i="98"/>
  <c r="J30" i="98"/>
  <c r="C30" i="98"/>
  <c r="K30" i="98"/>
  <c r="H21" i="98"/>
  <c r="I21" i="98"/>
  <c r="B21" i="98"/>
  <c r="J21" i="98"/>
  <c r="K21" i="98"/>
  <c r="C21" i="98"/>
  <c r="D21" i="98"/>
  <c r="L21" i="98"/>
  <c r="E21" i="98"/>
  <c r="M21" i="98"/>
  <c r="F21" i="98"/>
  <c r="G21" i="98"/>
  <c r="H29" i="98"/>
  <c r="I29" i="98"/>
  <c r="B29" i="98"/>
  <c r="K29" i="98"/>
  <c r="J29" i="98"/>
  <c r="C29" i="98"/>
  <c r="D29" i="98"/>
  <c r="L29" i="98"/>
  <c r="E29" i="98"/>
  <c r="M29" i="98"/>
  <c r="F29" i="98"/>
  <c r="G29" i="98"/>
  <c r="B20" i="98"/>
  <c r="K20" i="98"/>
  <c r="D20" i="98"/>
  <c r="L20" i="98"/>
  <c r="M20" i="98"/>
  <c r="G20" i="98"/>
  <c r="E20" i="98"/>
  <c r="F20" i="98"/>
  <c r="H20" i="98"/>
  <c r="I20" i="98"/>
  <c r="J20" i="98"/>
  <c r="C20" i="98"/>
  <c r="D28" i="98"/>
  <c r="L28" i="98"/>
  <c r="E28" i="98"/>
  <c r="M28" i="98"/>
  <c r="F28" i="98"/>
  <c r="G28" i="98"/>
  <c r="H28" i="98"/>
  <c r="I28" i="98"/>
  <c r="B28" i="98"/>
  <c r="J28" i="98"/>
  <c r="C28" i="98"/>
  <c r="K28" i="98"/>
  <c r="E19" i="98"/>
  <c r="M19" i="98"/>
  <c r="F19" i="98"/>
  <c r="B19" i="98"/>
  <c r="G19" i="98"/>
  <c r="L19" i="98"/>
  <c r="H19" i="98"/>
  <c r="I19" i="98"/>
  <c r="J19" i="98"/>
  <c r="C19" i="98"/>
  <c r="K19" i="98"/>
  <c r="D19" i="98"/>
  <c r="F34" i="98"/>
  <c r="F49" i="98" s="1"/>
  <c r="B35" i="98"/>
  <c r="B50" i="98" s="1"/>
  <c r="J35" i="98"/>
  <c r="J50" i="98" s="1"/>
  <c r="F36" i="98"/>
  <c r="F51" i="98" s="1"/>
  <c r="B37" i="98"/>
  <c r="B52" i="98" s="1"/>
  <c r="J37" i="98"/>
  <c r="J52" i="98" s="1"/>
  <c r="F38" i="98"/>
  <c r="F53" i="98" s="1"/>
  <c r="B39" i="98"/>
  <c r="B54" i="98" s="1"/>
  <c r="J39" i="98"/>
  <c r="J54" i="98" s="1"/>
  <c r="F40" i="98"/>
  <c r="F55" i="98" s="1"/>
  <c r="B41" i="98"/>
  <c r="B56" i="98" s="1"/>
  <c r="J41" i="98"/>
  <c r="J56" i="98" s="1"/>
  <c r="F42" i="98"/>
  <c r="F57" i="98" s="1"/>
  <c r="B43" i="98"/>
  <c r="B58" i="98" s="1"/>
  <c r="J43" i="98"/>
  <c r="J58" i="98" s="1"/>
  <c r="F44" i="98"/>
  <c r="F59" i="98" s="1"/>
  <c r="B45" i="98"/>
  <c r="B60" i="98" s="1"/>
  <c r="J45" i="98"/>
  <c r="J60" i="98" s="1"/>
  <c r="F46" i="98"/>
  <c r="F61" i="98" s="1"/>
  <c r="I37" i="98"/>
  <c r="I52" i="98" s="1"/>
  <c r="M40" i="98"/>
  <c r="M55" i="98" s="1"/>
  <c r="E44" i="98"/>
  <c r="E59" i="98" s="1"/>
  <c r="M46" i="98"/>
  <c r="M61" i="98" s="1"/>
  <c r="G34" i="98"/>
  <c r="G49" i="98" s="1"/>
  <c r="C35" i="98"/>
  <c r="C50" i="98" s="1"/>
  <c r="K35" i="98"/>
  <c r="K50" i="98" s="1"/>
  <c r="G36" i="98"/>
  <c r="G51" i="98" s="1"/>
  <c r="C37" i="98"/>
  <c r="C52" i="98" s="1"/>
  <c r="K37" i="98"/>
  <c r="K52" i="98" s="1"/>
  <c r="G38" i="98"/>
  <c r="G53" i="98" s="1"/>
  <c r="C39" i="98"/>
  <c r="C54" i="98" s="1"/>
  <c r="K39" i="98"/>
  <c r="K54" i="98" s="1"/>
  <c r="G40" i="98"/>
  <c r="G55" i="98" s="1"/>
  <c r="C41" i="98"/>
  <c r="C56" i="98" s="1"/>
  <c r="K41" i="98"/>
  <c r="K56" i="98" s="1"/>
  <c r="G42" i="98"/>
  <c r="G57" i="98" s="1"/>
  <c r="C43" i="98"/>
  <c r="C58" i="98" s="1"/>
  <c r="K43" i="98"/>
  <c r="K58" i="98" s="1"/>
  <c r="G44" i="98"/>
  <c r="G59" i="98" s="1"/>
  <c r="C45" i="98"/>
  <c r="C60" i="98" s="1"/>
  <c r="K45" i="98"/>
  <c r="K60" i="98" s="1"/>
  <c r="G46" i="98"/>
  <c r="G61" i="98" s="1"/>
  <c r="I35" i="98"/>
  <c r="I50" i="98" s="1"/>
  <c r="H34" i="98"/>
  <c r="H49" i="98" s="1"/>
  <c r="D35" i="98"/>
  <c r="D50" i="98" s="1"/>
  <c r="L35" i="98"/>
  <c r="L50" i="98" s="1"/>
  <c r="H36" i="98"/>
  <c r="H51" i="98" s="1"/>
  <c r="D37" i="98"/>
  <c r="D52" i="98" s="1"/>
  <c r="L37" i="98"/>
  <c r="L52" i="98" s="1"/>
  <c r="H38" i="98"/>
  <c r="H53" i="98" s="1"/>
  <c r="D39" i="98"/>
  <c r="D54" i="98" s="1"/>
  <c r="L39" i="98"/>
  <c r="L54" i="98" s="1"/>
  <c r="H40" i="98"/>
  <c r="H55" i="98" s="1"/>
  <c r="D41" i="98"/>
  <c r="D56" i="98" s="1"/>
  <c r="L41" i="98"/>
  <c r="L56" i="98" s="1"/>
  <c r="H42" i="98"/>
  <c r="H57" i="98" s="1"/>
  <c r="D43" i="98"/>
  <c r="D58" i="98" s="1"/>
  <c r="L43" i="98"/>
  <c r="L58" i="98" s="1"/>
  <c r="H44" i="98"/>
  <c r="H59" i="98" s="1"/>
  <c r="D45" i="98"/>
  <c r="D60" i="98" s="1"/>
  <c r="L45" i="98"/>
  <c r="L60" i="98" s="1"/>
  <c r="H46" i="98"/>
  <c r="H61" i="98" s="1"/>
  <c r="M42" i="98"/>
  <c r="M57" i="98" s="1"/>
  <c r="I34" i="98"/>
  <c r="I49" i="98" s="1"/>
  <c r="E35" i="98"/>
  <c r="E50" i="98" s="1"/>
  <c r="M35" i="98"/>
  <c r="M50" i="98" s="1"/>
  <c r="I36" i="98"/>
  <c r="I51" i="98" s="1"/>
  <c r="E37" i="98"/>
  <c r="E52" i="98" s="1"/>
  <c r="M37" i="98"/>
  <c r="M52" i="98" s="1"/>
  <c r="I38" i="98"/>
  <c r="I53" i="98" s="1"/>
  <c r="E39" i="98"/>
  <c r="E54" i="98" s="1"/>
  <c r="M39" i="98"/>
  <c r="M54" i="98" s="1"/>
  <c r="I40" i="98"/>
  <c r="I55" i="98" s="1"/>
  <c r="E41" i="98"/>
  <c r="E56" i="98" s="1"/>
  <c r="M41" i="98"/>
  <c r="M56" i="98" s="1"/>
  <c r="I42" i="98"/>
  <c r="I57" i="98" s="1"/>
  <c r="E43" i="98"/>
  <c r="E58" i="98" s="1"/>
  <c r="M43" i="98"/>
  <c r="M58" i="98" s="1"/>
  <c r="I44" i="98"/>
  <c r="I59" i="98" s="1"/>
  <c r="E45" i="98"/>
  <c r="E60" i="98" s="1"/>
  <c r="M45" i="98"/>
  <c r="M60" i="98" s="1"/>
  <c r="I46" i="98"/>
  <c r="I61" i="98" s="1"/>
  <c r="B34" i="98"/>
  <c r="B49" i="98" s="1"/>
  <c r="J34" i="98"/>
  <c r="J49" i="98" s="1"/>
  <c r="F35" i="98"/>
  <c r="F50" i="98" s="1"/>
  <c r="B36" i="98"/>
  <c r="B51" i="98" s="1"/>
  <c r="J36" i="98"/>
  <c r="J51" i="98" s="1"/>
  <c r="F37" i="98"/>
  <c r="F52" i="98" s="1"/>
  <c r="B38" i="98"/>
  <c r="B53" i="98" s="1"/>
  <c r="J38" i="98"/>
  <c r="J53" i="98" s="1"/>
  <c r="F39" i="98"/>
  <c r="F54" i="98" s="1"/>
  <c r="B40" i="98"/>
  <c r="B55" i="98" s="1"/>
  <c r="J40" i="98"/>
  <c r="J55" i="98" s="1"/>
  <c r="F41" i="98"/>
  <c r="F56" i="98" s="1"/>
  <c r="B42" i="98"/>
  <c r="B57" i="98" s="1"/>
  <c r="J42" i="98"/>
  <c r="J57" i="98" s="1"/>
  <c r="F43" i="98"/>
  <c r="F58" i="98" s="1"/>
  <c r="B44" i="98"/>
  <c r="B59" i="98" s="1"/>
  <c r="J44" i="98"/>
  <c r="J59" i="98" s="1"/>
  <c r="F45" i="98"/>
  <c r="F60" i="98" s="1"/>
  <c r="B46" i="98"/>
  <c r="B61" i="98" s="1"/>
  <c r="J46" i="98"/>
  <c r="J61" i="98" s="1"/>
  <c r="E36" i="98"/>
  <c r="E51" i="98" s="1"/>
  <c r="E40" i="98"/>
  <c r="E55" i="98" s="1"/>
  <c r="I43" i="98"/>
  <c r="I58" i="98" s="1"/>
  <c r="I45" i="98"/>
  <c r="I60" i="98" s="1"/>
  <c r="C34" i="98"/>
  <c r="C49" i="98" s="1"/>
  <c r="K34" i="98"/>
  <c r="K49" i="98" s="1"/>
  <c r="G35" i="98"/>
  <c r="G50" i="98" s="1"/>
  <c r="C36" i="98"/>
  <c r="C51" i="98" s="1"/>
  <c r="K36" i="98"/>
  <c r="K51" i="98" s="1"/>
  <c r="G37" i="98"/>
  <c r="G52" i="98" s="1"/>
  <c r="C38" i="98"/>
  <c r="C53" i="98" s="1"/>
  <c r="K38" i="98"/>
  <c r="K53" i="98" s="1"/>
  <c r="G39" i="98"/>
  <c r="G54" i="98" s="1"/>
  <c r="C40" i="98"/>
  <c r="C55" i="98" s="1"/>
  <c r="K40" i="98"/>
  <c r="K55" i="98" s="1"/>
  <c r="G41" i="98"/>
  <c r="G56" i="98" s="1"/>
  <c r="C42" i="98"/>
  <c r="C57" i="98" s="1"/>
  <c r="K42" i="98"/>
  <c r="K57" i="98" s="1"/>
  <c r="G43" i="98"/>
  <c r="G58" i="98" s="1"/>
  <c r="C44" i="98"/>
  <c r="C59" i="98" s="1"/>
  <c r="K44" i="98"/>
  <c r="K59" i="98" s="1"/>
  <c r="G45" i="98"/>
  <c r="G60" i="98" s="1"/>
  <c r="C46" i="98"/>
  <c r="C61" i="98" s="1"/>
  <c r="K46" i="98"/>
  <c r="K61" i="98" s="1"/>
  <c r="E34" i="98"/>
  <c r="E49" i="98" s="1"/>
  <c r="M34" i="98"/>
  <c r="M49" i="98" s="1"/>
  <c r="M36" i="98"/>
  <c r="M51" i="98" s="1"/>
  <c r="E38" i="98"/>
  <c r="E53" i="98" s="1"/>
  <c r="M38" i="98"/>
  <c r="M53" i="98" s="1"/>
  <c r="I39" i="98"/>
  <c r="I54" i="98" s="1"/>
  <c r="I41" i="98"/>
  <c r="I56" i="98" s="1"/>
  <c r="E42" i="98"/>
  <c r="E57" i="98" s="1"/>
  <c r="M44" i="98"/>
  <c r="M59" i="98" s="1"/>
  <c r="E46" i="98"/>
  <c r="E61" i="98" s="1"/>
  <c r="D34" i="98"/>
  <c r="D49" i="98" s="1"/>
  <c r="L34" i="98"/>
  <c r="L49" i="98" s="1"/>
  <c r="H35" i="98"/>
  <c r="H50" i="98" s="1"/>
  <c r="D36" i="98"/>
  <c r="D51" i="98" s="1"/>
  <c r="L36" i="98"/>
  <c r="L51" i="98" s="1"/>
  <c r="H37" i="98"/>
  <c r="H52" i="98" s="1"/>
  <c r="D38" i="98"/>
  <c r="D53" i="98" s="1"/>
  <c r="L38" i="98"/>
  <c r="L53" i="98" s="1"/>
  <c r="H39" i="98"/>
  <c r="H54" i="98" s="1"/>
  <c r="D40" i="98"/>
  <c r="D55" i="98" s="1"/>
  <c r="L40" i="98"/>
  <c r="L55" i="98" s="1"/>
  <c r="H41" i="98"/>
  <c r="H56" i="98" s="1"/>
  <c r="D42" i="98"/>
  <c r="D57" i="98" s="1"/>
  <c r="L42" i="98"/>
  <c r="L57" i="98" s="1"/>
  <c r="H43" i="98"/>
  <c r="H58" i="98" s="1"/>
  <c r="D44" i="98"/>
  <c r="D59" i="98" s="1"/>
  <c r="L44" i="98"/>
  <c r="L59" i="98" s="1"/>
  <c r="H45" i="98"/>
  <c r="H60" i="98" s="1"/>
  <c r="D46" i="98"/>
  <c r="D61" i="98" s="1"/>
  <c r="L46" i="98"/>
  <c r="L61" i="98" s="1"/>
  <c r="J9" i="98"/>
  <c r="K9" i="98"/>
  <c r="L9" i="98"/>
  <c r="B9" i="98"/>
  <c r="M9" i="98"/>
  <c r="E9" i="98"/>
  <c r="C9" i="98"/>
  <c r="D9" i="98"/>
  <c r="F9" i="98"/>
  <c r="G9" i="98"/>
  <c r="H9" i="98"/>
  <c r="I9" i="98"/>
  <c r="I11" i="98"/>
  <c r="E11" i="98"/>
  <c r="H11" i="98"/>
  <c r="K11" i="98"/>
  <c r="L11" i="98"/>
  <c r="M11" i="98"/>
  <c r="B11" i="98"/>
  <c r="C11" i="98"/>
  <c r="D11" i="98"/>
  <c r="G11" i="98"/>
  <c r="J11" i="98"/>
  <c r="F11" i="98"/>
  <c r="B13" i="98"/>
  <c r="C13" i="98"/>
  <c r="D13" i="98"/>
  <c r="I13" i="98"/>
  <c r="K13" i="98"/>
  <c r="E13" i="98"/>
  <c r="F13" i="98"/>
  <c r="G13" i="98"/>
  <c r="H13" i="98"/>
  <c r="M13" i="98"/>
  <c r="J13" i="98"/>
  <c r="L13" i="98"/>
  <c r="D6" i="98"/>
  <c r="E6" i="98"/>
  <c r="F6" i="98"/>
  <c r="C6" i="98"/>
  <c r="G6" i="98"/>
  <c r="H6" i="98"/>
  <c r="I6" i="98"/>
  <c r="J6" i="98"/>
  <c r="K6" i="98"/>
  <c r="L6" i="98"/>
  <c r="M6" i="98"/>
  <c r="B6" i="98"/>
  <c r="H16" i="98"/>
  <c r="I16" i="98"/>
  <c r="J16" i="98"/>
  <c r="B16" i="98"/>
  <c r="C16" i="98"/>
  <c r="D16" i="98"/>
  <c r="F16" i="98"/>
  <c r="G16" i="98"/>
  <c r="K16" i="98"/>
  <c r="L16" i="98"/>
  <c r="M16" i="98"/>
  <c r="E16" i="98"/>
  <c r="K4" i="98"/>
  <c r="L4" i="98"/>
  <c r="M4" i="98"/>
  <c r="B4" i="98"/>
  <c r="E4" i="98"/>
  <c r="G4" i="98"/>
  <c r="C4" i="98"/>
  <c r="D4" i="98"/>
  <c r="F4" i="98"/>
  <c r="H4" i="98"/>
  <c r="I4" i="98"/>
  <c r="J4" i="98"/>
  <c r="B12" i="98"/>
  <c r="H12" i="98"/>
  <c r="C12" i="98"/>
  <c r="D12" i="98"/>
  <c r="E12" i="98"/>
  <c r="F12" i="98"/>
  <c r="G12" i="98"/>
  <c r="J12" i="98"/>
  <c r="L12" i="98"/>
  <c r="M12" i="98"/>
  <c r="I12" i="98"/>
  <c r="K12" i="98"/>
  <c r="L10" i="98"/>
  <c r="M10" i="98"/>
  <c r="E10" i="98"/>
  <c r="F10" i="98"/>
  <c r="K10" i="98"/>
  <c r="G10" i="98"/>
  <c r="H10" i="98"/>
  <c r="J10" i="98"/>
  <c r="B10" i="98"/>
  <c r="C10" i="98"/>
  <c r="D10" i="98"/>
  <c r="I10" i="98"/>
  <c r="H8" i="98"/>
  <c r="I8" i="98"/>
  <c r="J8" i="98"/>
  <c r="E8" i="98"/>
  <c r="F8" i="98"/>
  <c r="G8" i="98"/>
  <c r="K8" i="98"/>
  <c r="L8" i="98"/>
  <c r="M8" i="98"/>
  <c r="B8" i="98"/>
  <c r="C8" i="98"/>
  <c r="D8" i="98"/>
  <c r="F7" i="98"/>
  <c r="G7" i="98"/>
  <c r="H7" i="98"/>
  <c r="D7" i="98"/>
  <c r="I7" i="98"/>
  <c r="J7" i="98"/>
  <c r="K7" i="98"/>
  <c r="B7" i="98"/>
  <c r="M7" i="98"/>
  <c r="L7" i="98"/>
  <c r="C7" i="98"/>
  <c r="E7" i="98"/>
  <c r="B5" i="98"/>
  <c r="C5" i="98"/>
  <c r="I5" i="98"/>
  <c r="D5" i="98"/>
  <c r="L5" i="98"/>
  <c r="E5" i="98"/>
  <c r="F5" i="98"/>
  <c r="H5" i="98"/>
  <c r="K5" i="98"/>
  <c r="G5" i="98"/>
  <c r="J5" i="98"/>
  <c r="M5" i="98"/>
  <c r="D14" i="98"/>
  <c r="E14" i="98"/>
  <c r="F14" i="98"/>
  <c r="J14" i="98"/>
  <c r="B14" i="98"/>
  <c r="C14" i="98"/>
  <c r="G14" i="98"/>
  <c r="H14" i="98"/>
  <c r="I14" i="98"/>
  <c r="K14" i="98"/>
  <c r="L14" i="98"/>
  <c r="M14" i="98"/>
  <c r="F15" i="98"/>
  <c r="G15" i="98"/>
  <c r="H15" i="98"/>
  <c r="M15" i="98"/>
  <c r="C15" i="98"/>
  <c r="I15" i="98"/>
  <c r="J15" i="98"/>
  <c r="K15" i="98"/>
  <c r="L15" i="98"/>
  <c r="D15" i="98"/>
  <c r="E15" i="98"/>
  <c r="B15" i="98"/>
  <c r="B36" i="95"/>
  <c r="B35" i="95"/>
  <c r="B33" i="95"/>
  <c r="B22" i="95"/>
  <c r="B14" i="95"/>
  <c r="B11" i="95"/>
  <c r="B29" i="95"/>
  <c r="B13" i="95"/>
  <c r="B34" i="95"/>
  <c r="B16" i="95"/>
  <c r="B39" i="95"/>
  <c r="B28" i="95"/>
  <c r="B27" i="95"/>
  <c r="B26" i="95"/>
  <c r="B12" i="95"/>
  <c r="B24" i="95"/>
  <c r="B8" i="95"/>
  <c r="B7" i="95"/>
  <c r="B31" i="95"/>
  <c r="B38" i="95"/>
  <c r="B21" i="95"/>
  <c r="B10" i="95"/>
  <c r="B20" i="95"/>
  <c r="B18" i="95"/>
  <c r="B37" i="95"/>
  <c r="B30" i="95"/>
  <c r="B25" i="95"/>
  <c r="B17" i="95"/>
  <c r="B9" i="95"/>
  <c r="B23" i="95"/>
  <c r="B19" i="95"/>
  <c r="B32" i="95"/>
  <c r="B15" i="95"/>
  <c r="C146" i="94"/>
  <c r="C147" i="94" s="1"/>
  <c r="G146" i="94"/>
  <c r="G147" i="94" s="1"/>
  <c r="G148" i="94" s="1"/>
  <c r="H160" i="94"/>
  <c r="J160" i="94" s="1"/>
  <c r="H161" i="94"/>
  <c r="J161" i="94" s="1"/>
  <c r="I104" i="94"/>
  <c r="L28" i="94"/>
  <c r="B111" i="94"/>
  <c r="H44" i="94"/>
  <c r="G44" i="94"/>
  <c r="H12" i="94"/>
  <c r="G12" i="94"/>
  <c r="G23" i="94"/>
  <c r="H23" i="94"/>
  <c r="H39" i="94"/>
  <c r="G39" i="94"/>
  <c r="G70" i="94"/>
  <c r="H70" i="94"/>
  <c r="G82" i="94"/>
  <c r="H82" i="94"/>
  <c r="G36" i="94"/>
  <c r="H36" i="94"/>
  <c r="H69" i="94"/>
  <c r="G69" i="94"/>
  <c r="H54" i="94"/>
  <c r="G54" i="94"/>
  <c r="G58" i="94"/>
  <c r="H58" i="94"/>
  <c r="G62" i="94"/>
  <c r="H62" i="94"/>
  <c r="G78" i="94"/>
  <c r="H78" i="94"/>
  <c r="H84" i="94"/>
  <c r="G84" i="94"/>
  <c r="H48" i="94"/>
  <c r="G48" i="94"/>
  <c r="H73" i="94"/>
  <c r="G73" i="94"/>
  <c r="H60" i="94"/>
  <c r="G60" i="94"/>
  <c r="H75" i="94"/>
  <c r="G75" i="94"/>
  <c r="G66" i="94"/>
  <c r="H66" i="94"/>
  <c r="G80" i="94"/>
  <c r="H80" i="94"/>
  <c r="H68" i="94"/>
  <c r="G68" i="94"/>
  <c r="H16" i="94"/>
  <c r="G16" i="94"/>
  <c r="H77" i="94"/>
  <c r="G77" i="94"/>
  <c r="H83" i="94"/>
  <c r="G83" i="94"/>
  <c r="H51" i="94"/>
  <c r="G51" i="94"/>
  <c r="H29" i="94"/>
  <c r="G29" i="94"/>
  <c r="G9" i="94"/>
  <c r="H9" i="94"/>
  <c r="G31" i="94"/>
  <c r="H31" i="94"/>
  <c r="H20" i="94"/>
  <c r="G20" i="94"/>
  <c r="H81" i="94"/>
  <c r="G81" i="94"/>
  <c r="H10" i="94"/>
  <c r="G10" i="94"/>
  <c r="H72" i="94"/>
  <c r="G72" i="94"/>
  <c r="H40" i="94"/>
  <c r="G40" i="94"/>
  <c r="H26" i="94"/>
  <c r="G26" i="94"/>
  <c r="L160" i="94"/>
  <c r="M160" i="94" s="1"/>
  <c r="H92" i="94"/>
  <c r="G92" i="94"/>
  <c r="G49" i="94"/>
  <c r="H49" i="94"/>
  <c r="G90" i="94"/>
  <c r="H90" i="94"/>
  <c r="H33" i="94"/>
  <c r="G33" i="94"/>
  <c r="H85" i="94"/>
  <c r="G85" i="94"/>
  <c r="H79" i="94"/>
  <c r="G79" i="94"/>
  <c r="H18" i="94"/>
  <c r="G18" i="94"/>
  <c r="H28" i="94"/>
  <c r="G28" i="94"/>
  <c r="H13" i="94"/>
  <c r="G13" i="94"/>
  <c r="G19" i="94"/>
  <c r="H19" i="94"/>
  <c r="H30" i="94"/>
  <c r="G30" i="94"/>
  <c r="H14" i="94"/>
  <c r="G14" i="94"/>
  <c r="H88" i="94"/>
  <c r="G88" i="94"/>
  <c r="G38" i="94"/>
  <c r="H38" i="94"/>
  <c r="H47" i="94"/>
  <c r="G47" i="94"/>
  <c r="G8" i="94"/>
  <c r="H8" i="94"/>
  <c r="J8" i="94" s="1"/>
  <c r="H71" i="94"/>
  <c r="G71" i="94"/>
  <c r="G15" i="94"/>
  <c r="H15" i="94"/>
  <c r="G50" i="94"/>
  <c r="H50" i="94"/>
  <c r="G46" i="94"/>
  <c r="H46" i="94"/>
  <c r="H55" i="94"/>
  <c r="G55" i="94"/>
  <c r="H57" i="94"/>
  <c r="G57" i="94"/>
  <c r="H53" i="94"/>
  <c r="G53" i="94"/>
  <c r="H59" i="94"/>
  <c r="G59" i="94"/>
  <c r="H65" i="94"/>
  <c r="G65" i="94"/>
  <c r="H34" i="94"/>
  <c r="G34" i="94"/>
  <c r="G11" i="94"/>
  <c r="H11" i="94"/>
  <c r="H41" i="94"/>
  <c r="G41" i="94"/>
  <c r="H24" i="94"/>
  <c r="G24" i="94"/>
  <c r="H32" i="94"/>
  <c r="G32" i="94"/>
  <c r="H17" i="94"/>
  <c r="G17" i="94"/>
  <c r="H63" i="94"/>
  <c r="G63" i="94"/>
  <c r="H89" i="94"/>
  <c r="G89" i="94"/>
  <c r="H22" i="94"/>
  <c r="G22" i="94"/>
  <c r="H67" i="94"/>
  <c r="G67" i="94"/>
  <c r="G86" i="94"/>
  <c r="H86" i="94"/>
  <c r="H93" i="94"/>
  <c r="G93" i="94"/>
  <c r="G42" i="94"/>
  <c r="H42" i="94"/>
  <c r="G21" i="94"/>
  <c r="H21" i="94"/>
  <c r="G74" i="94"/>
  <c r="H74" i="94"/>
  <c r="G27" i="94"/>
  <c r="H27" i="94"/>
  <c r="H35" i="94"/>
  <c r="G35" i="94"/>
  <c r="E101" i="94"/>
  <c r="E103" i="94" s="1"/>
  <c r="I9" i="94"/>
  <c r="H56" i="94"/>
  <c r="G56" i="94"/>
  <c r="H64" i="94"/>
  <c r="G64" i="94"/>
  <c r="H76" i="94"/>
  <c r="G76" i="94"/>
  <c r="G43" i="94"/>
  <c r="H43" i="94"/>
  <c r="L161" i="94"/>
  <c r="M161" i="94" s="1"/>
  <c r="H45" i="94"/>
  <c r="G45" i="94"/>
  <c r="H87" i="94"/>
  <c r="G87" i="94"/>
  <c r="H25" i="94"/>
  <c r="G25" i="94"/>
  <c r="H91" i="94"/>
  <c r="G91" i="94"/>
  <c r="H52" i="94"/>
  <c r="G52" i="94"/>
  <c r="H37" i="94"/>
  <c r="G37" i="94"/>
  <c r="H61" i="94"/>
  <c r="G61" i="94"/>
  <c r="D123" i="94"/>
  <c r="D119" i="94"/>
  <c r="D118" i="94"/>
  <c r="D133" i="94"/>
  <c r="D116" i="94"/>
  <c r="D135" i="94"/>
  <c r="D126" i="94"/>
  <c r="D132" i="94"/>
  <c r="D131" i="94"/>
  <c r="D134" i="94"/>
  <c r="D129" i="94"/>
  <c r="D127" i="94"/>
  <c r="D117" i="94"/>
  <c r="D125" i="94"/>
  <c r="D130" i="94"/>
  <c r="D136" i="94"/>
  <c r="D128" i="94"/>
  <c r="D124" i="94"/>
  <c r="D122" i="94"/>
  <c r="D121" i="94"/>
  <c r="D120" i="94"/>
  <c r="B151" i="94" l="1"/>
  <c r="C148" i="94"/>
  <c r="O16" i="95"/>
  <c r="H16" i="95"/>
  <c r="P16" i="95"/>
  <c r="Q16" i="95"/>
  <c r="G16" i="95"/>
  <c r="F16" i="95"/>
  <c r="N16" i="95"/>
  <c r="C16" i="95"/>
  <c r="M16" i="95"/>
  <c r="L16" i="95"/>
  <c r="J16" i="95"/>
  <c r="K16" i="95"/>
  <c r="E16" i="95"/>
  <c r="D16" i="95"/>
  <c r="Q15" i="95"/>
  <c r="P15" i="95"/>
  <c r="J15" i="95"/>
  <c r="N15" i="95"/>
  <c r="G15" i="95"/>
  <c r="E15" i="95"/>
  <c r="C15" i="95"/>
  <c r="M15" i="95"/>
  <c r="L15" i="95"/>
  <c r="H15" i="95"/>
  <c r="F15" i="95"/>
  <c r="K15" i="95"/>
  <c r="O15" i="95"/>
  <c r="D15" i="95"/>
  <c r="G34" i="95"/>
  <c r="K34" i="95"/>
  <c r="J34" i="95"/>
  <c r="H34" i="95"/>
  <c r="N34" i="95"/>
  <c r="M34" i="95"/>
  <c r="L34" i="95"/>
  <c r="P34" i="95"/>
  <c r="O34" i="95"/>
  <c r="C34" i="95"/>
  <c r="F34" i="95"/>
  <c r="E34" i="95"/>
  <c r="D34" i="95"/>
  <c r="Q34" i="95"/>
  <c r="G38" i="95"/>
  <c r="J38" i="95"/>
  <c r="K38" i="95"/>
  <c r="N38" i="95"/>
  <c r="L38" i="95"/>
  <c r="M38" i="95"/>
  <c r="H38" i="95"/>
  <c r="Q38" i="95"/>
  <c r="O38" i="95"/>
  <c r="P38" i="95"/>
  <c r="F38" i="95"/>
  <c r="C38" i="95"/>
  <c r="E38" i="95"/>
  <c r="D38" i="95"/>
  <c r="M13" i="95"/>
  <c r="C13" i="95"/>
  <c r="H13" i="95"/>
  <c r="G13" i="95"/>
  <c r="E13" i="95"/>
  <c r="K13" i="95"/>
  <c r="J13" i="95"/>
  <c r="L13" i="95"/>
  <c r="O13" i="95"/>
  <c r="Q13" i="95"/>
  <c r="F13" i="95"/>
  <c r="D13" i="95"/>
  <c r="P13" i="95"/>
  <c r="N13" i="95"/>
  <c r="Q19" i="95"/>
  <c r="N19" i="95"/>
  <c r="G19" i="95"/>
  <c r="P19" i="95"/>
  <c r="M19" i="95"/>
  <c r="J19" i="95"/>
  <c r="H19" i="95"/>
  <c r="E19" i="95"/>
  <c r="L19" i="95"/>
  <c r="F19" i="95"/>
  <c r="K19" i="95"/>
  <c r="C19" i="95"/>
  <c r="D19" i="95"/>
  <c r="O19" i="95"/>
  <c r="Q31" i="95"/>
  <c r="L31" i="95"/>
  <c r="N31" i="95"/>
  <c r="K31" i="95"/>
  <c r="J31" i="95"/>
  <c r="P31" i="95"/>
  <c r="M31" i="95"/>
  <c r="H31" i="95"/>
  <c r="F31" i="95"/>
  <c r="E31" i="95"/>
  <c r="C31" i="95"/>
  <c r="G31" i="95"/>
  <c r="D31" i="95"/>
  <c r="O31" i="95"/>
  <c r="O29" i="95"/>
  <c r="Q29" i="95"/>
  <c r="P29" i="95"/>
  <c r="G29" i="95"/>
  <c r="E29" i="95"/>
  <c r="C29" i="95"/>
  <c r="F29" i="95"/>
  <c r="D29" i="95"/>
  <c r="N29" i="95"/>
  <c r="M29" i="95"/>
  <c r="H29" i="95"/>
  <c r="L29" i="95"/>
  <c r="K29" i="95"/>
  <c r="J29" i="95"/>
  <c r="Q23" i="95"/>
  <c r="K23" i="95"/>
  <c r="C23" i="95"/>
  <c r="J23" i="95"/>
  <c r="G23" i="95"/>
  <c r="N23" i="95"/>
  <c r="M23" i="95"/>
  <c r="H23" i="95"/>
  <c r="F23" i="95"/>
  <c r="P23" i="95"/>
  <c r="E23" i="95"/>
  <c r="L23" i="95"/>
  <c r="D23" i="95"/>
  <c r="O23" i="95"/>
  <c r="Q7" i="95"/>
  <c r="K7" i="95"/>
  <c r="E7" i="95"/>
  <c r="J7" i="95"/>
  <c r="H7" i="95"/>
  <c r="G7" i="95"/>
  <c r="F7" i="95"/>
  <c r="C7" i="95"/>
  <c r="N7" i="95"/>
  <c r="M7" i="95"/>
  <c r="L7" i="95"/>
  <c r="P7" i="95"/>
  <c r="O7" i="95"/>
  <c r="D7" i="95"/>
  <c r="Q11" i="95"/>
  <c r="G11" i="95"/>
  <c r="H11" i="95"/>
  <c r="F11" i="95"/>
  <c r="C11" i="95"/>
  <c r="E11" i="95"/>
  <c r="L11" i="95"/>
  <c r="P11" i="95"/>
  <c r="N11" i="95"/>
  <c r="M11" i="95"/>
  <c r="K11" i="95"/>
  <c r="J11" i="95"/>
  <c r="O11" i="95"/>
  <c r="D11" i="95"/>
  <c r="L18" i="95"/>
  <c r="D18" i="95"/>
  <c r="C18" i="95"/>
  <c r="H18" i="95"/>
  <c r="P18" i="95"/>
  <c r="K18" i="95"/>
  <c r="G18" i="95"/>
  <c r="Q18" i="95"/>
  <c r="N18" i="95"/>
  <c r="J18" i="95"/>
  <c r="O18" i="95"/>
  <c r="M18" i="95"/>
  <c r="F18" i="95"/>
  <c r="E18" i="95"/>
  <c r="Q39" i="95"/>
  <c r="E39" i="95"/>
  <c r="J39" i="95"/>
  <c r="C39" i="95"/>
  <c r="G39" i="95"/>
  <c r="M39" i="95"/>
  <c r="L39" i="95"/>
  <c r="F39" i="95"/>
  <c r="P39" i="95"/>
  <c r="H39" i="95"/>
  <c r="N39" i="95"/>
  <c r="K39" i="95"/>
  <c r="O39" i="95"/>
  <c r="D39" i="95"/>
  <c r="O21" i="95"/>
  <c r="N21" i="95"/>
  <c r="Q21" i="95"/>
  <c r="P21" i="95"/>
  <c r="M21" i="95"/>
  <c r="L21" i="95"/>
  <c r="E21" i="95"/>
  <c r="D21" i="95"/>
  <c r="K21" i="95"/>
  <c r="C21" i="95"/>
  <c r="J21" i="95"/>
  <c r="F21" i="95"/>
  <c r="H21" i="95"/>
  <c r="G21" i="95"/>
  <c r="E32" i="95"/>
  <c r="Q32" i="95"/>
  <c r="P32" i="95"/>
  <c r="G32" i="95"/>
  <c r="D32" i="95"/>
  <c r="O32" i="95"/>
  <c r="F32" i="95"/>
  <c r="L32" i="95"/>
  <c r="K32" i="95"/>
  <c r="C32" i="95"/>
  <c r="N32" i="95"/>
  <c r="M32" i="95"/>
  <c r="J32" i="95"/>
  <c r="H32" i="95"/>
  <c r="N22" i="95"/>
  <c r="M22" i="95"/>
  <c r="L22" i="95"/>
  <c r="O22" i="95"/>
  <c r="E22" i="95"/>
  <c r="D22" i="95"/>
  <c r="J22" i="95"/>
  <c r="Q22" i="95"/>
  <c r="K22" i="95"/>
  <c r="C22" i="95"/>
  <c r="G22" i="95"/>
  <c r="F22" i="95"/>
  <c r="P22" i="95"/>
  <c r="H22" i="95"/>
  <c r="G30" i="95"/>
  <c r="K30" i="95"/>
  <c r="J30" i="95"/>
  <c r="H30" i="95"/>
  <c r="M30" i="95"/>
  <c r="N30" i="95"/>
  <c r="L30" i="95"/>
  <c r="C30" i="95"/>
  <c r="D30" i="95"/>
  <c r="E30" i="95"/>
  <c r="O30" i="95"/>
  <c r="P30" i="95"/>
  <c r="F30" i="95"/>
  <c r="Q30" i="95"/>
  <c r="P26" i="95"/>
  <c r="C26" i="95"/>
  <c r="L26" i="95"/>
  <c r="G26" i="95"/>
  <c r="H26" i="95"/>
  <c r="F26" i="95"/>
  <c r="E26" i="95"/>
  <c r="M26" i="95"/>
  <c r="O26" i="95"/>
  <c r="Q26" i="95"/>
  <c r="D26" i="95"/>
  <c r="N26" i="95"/>
  <c r="J26" i="95"/>
  <c r="K26" i="95"/>
  <c r="Q35" i="95"/>
  <c r="P35" i="95"/>
  <c r="N35" i="95"/>
  <c r="H35" i="95"/>
  <c r="G35" i="95"/>
  <c r="E35" i="95"/>
  <c r="M35" i="95"/>
  <c r="L35" i="95"/>
  <c r="J35" i="95"/>
  <c r="C35" i="95"/>
  <c r="K35" i="95"/>
  <c r="F35" i="95"/>
  <c r="D35" i="95"/>
  <c r="O35" i="95"/>
  <c r="G28" i="95"/>
  <c r="H28" i="95"/>
  <c r="F28" i="95"/>
  <c r="Q28" i="95"/>
  <c r="O28" i="95"/>
  <c r="P28" i="95"/>
  <c r="L28" i="95"/>
  <c r="C28" i="95"/>
  <c r="E28" i="95"/>
  <c r="D28" i="95"/>
  <c r="K28" i="95"/>
  <c r="N28" i="95"/>
  <c r="M28" i="95"/>
  <c r="J28" i="95"/>
  <c r="O20" i="95"/>
  <c r="F20" i="95"/>
  <c r="N20" i="95"/>
  <c r="Q20" i="95"/>
  <c r="H20" i="95"/>
  <c r="G20" i="95"/>
  <c r="E20" i="95"/>
  <c r="D20" i="95"/>
  <c r="J20" i="95"/>
  <c r="M20" i="95"/>
  <c r="L20" i="95"/>
  <c r="K20" i="95"/>
  <c r="C20" i="95"/>
  <c r="P20" i="95"/>
  <c r="N10" i="95"/>
  <c r="L10" i="95"/>
  <c r="O10" i="95"/>
  <c r="M10" i="95"/>
  <c r="F10" i="95"/>
  <c r="Q10" i="95"/>
  <c r="H10" i="95"/>
  <c r="J10" i="95"/>
  <c r="G10" i="95"/>
  <c r="E10" i="95"/>
  <c r="P10" i="95"/>
  <c r="K10" i="95"/>
  <c r="C10" i="95"/>
  <c r="D10" i="95"/>
  <c r="O9" i="95"/>
  <c r="L9" i="95"/>
  <c r="Q9" i="95"/>
  <c r="N9" i="95"/>
  <c r="M9" i="95"/>
  <c r="D9" i="95"/>
  <c r="P9" i="95"/>
  <c r="E9" i="95"/>
  <c r="K9" i="95"/>
  <c r="C9" i="95"/>
  <c r="J9" i="95"/>
  <c r="G9" i="95"/>
  <c r="F9" i="95"/>
  <c r="H9" i="95"/>
  <c r="M8" i="95"/>
  <c r="D8" i="95"/>
  <c r="P8" i="95"/>
  <c r="J8" i="95"/>
  <c r="N8" i="95"/>
  <c r="L8" i="95"/>
  <c r="K8" i="95"/>
  <c r="G8" i="95"/>
  <c r="H8" i="95"/>
  <c r="O8" i="95"/>
  <c r="Q8" i="95"/>
  <c r="E8" i="95"/>
  <c r="F8" i="95"/>
  <c r="C8" i="95"/>
  <c r="D14" i="95"/>
  <c r="H14" i="95"/>
  <c r="O14" i="95"/>
  <c r="M14" i="95"/>
  <c r="G14" i="95"/>
  <c r="F14" i="95"/>
  <c r="P14" i="95"/>
  <c r="L14" i="95"/>
  <c r="C14" i="95"/>
  <c r="N14" i="95"/>
  <c r="E14" i="95"/>
  <c r="Q14" i="95"/>
  <c r="J14" i="95"/>
  <c r="K14" i="95"/>
  <c r="E17" i="95"/>
  <c r="Q17" i="95"/>
  <c r="N17" i="95"/>
  <c r="P17" i="95"/>
  <c r="O17" i="95"/>
  <c r="H17" i="95"/>
  <c r="C17" i="95"/>
  <c r="G17" i="95"/>
  <c r="F17" i="95"/>
  <c r="L17" i="95"/>
  <c r="D17" i="95"/>
  <c r="M17" i="95"/>
  <c r="K17" i="95"/>
  <c r="J17" i="95"/>
  <c r="H24" i="95"/>
  <c r="Q24" i="95"/>
  <c r="P24" i="95"/>
  <c r="M24" i="95"/>
  <c r="J24" i="95"/>
  <c r="D24" i="95"/>
  <c r="C24" i="95"/>
  <c r="E24" i="95"/>
  <c r="N24" i="95"/>
  <c r="O24" i="95"/>
  <c r="F24" i="95"/>
  <c r="L24" i="95"/>
  <c r="K24" i="95"/>
  <c r="G24" i="95"/>
  <c r="N25" i="95"/>
  <c r="K25" i="95"/>
  <c r="G25" i="95"/>
  <c r="Q25" i="95"/>
  <c r="F25" i="95"/>
  <c r="E25" i="95"/>
  <c r="J25" i="95"/>
  <c r="H25" i="95"/>
  <c r="D25" i="95"/>
  <c r="P25" i="95"/>
  <c r="L25" i="95"/>
  <c r="M25" i="95"/>
  <c r="C25" i="95"/>
  <c r="O25" i="95"/>
  <c r="Q12" i="95"/>
  <c r="P12" i="95"/>
  <c r="M12" i="95"/>
  <c r="G12" i="95"/>
  <c r="K12" i="95"/>
  <c r="L12" i="95"/>
  <c r="J12" i="95"/>
  <c r="F12" i="95"/>
  <c r="E12" i="95"/>
  <c r="O12" i="95"/>
  <c r="H12" i="95"/>
  <c r="C12" i="95"/>
  <c r="D12" i="95"/>
  <c r="N12" i="95"/>
  <c r="N33" i="95"/>
  <c r="Q33" i="95"/>
  <c r="P33" i="95"/>
  <c r="O33" i="95"/>
  <c r="E33" i="95"/>
  <c r="D33" i="95"/>
  <c r="K33" i="95"/>
  <c r="L33" i="95"/>
  <c r="C33" i="95"/>
  <c r="M33" i="95"/>
  <c r="J33" i="95"/>
  <c r="H33" i="95"/>
  <c r="G33" i="95"/>
  <c r="F33" i="95"/>
  <c r="O37" i="95"/>
  <c r="N37" i="95"/>
  <c r="M37" i="95"/>
  <c r="Q37" i="95"/>
  <c r="P37" i="95"/>
  <c r="L37" i="95"/>
  <c r="K37" i="95"/>
  <c r="H37" i="95"/>
  <c r="G37" i="95"/>
  <c r="C37" i="95"/>
  <c r="D37" i="95"/>
  <c r="J37" i="95"/>
  <c r="E37" i="95"/>
  <c r="F37" i="95"/>
  <c r="Q27" i="95"/>
  <c r="E27" i="95"/>
  <c r="J27" i="95"/>
  <c r="H27" i="95"/>
  <c r="C27" i="95"/>
  <c r="F27" i="95"/>
  <c r="M27" i="95"/>
  <c r="L27" i="95"/>
  <c r="P27" i="95"/>
  <c r="N27" i="95"/>
  <c r="K27" i="95"/>
  <c r="G27" i="95"/>
  <c r="D27" i="95"/>
  <c r="O27" i="95"/>
  <c r="P36" i="95"/>
  <c r="E36" i="95"/>
  <c r="D36" i="95"/>
  <c r="Q36" i="95"/>
  <c r="C36" i="95"/>
  <c r="G36" i="95"/>
  <c r="F36" i="95"/>
  <c r="O36" i="95"/>
  <c r="K36" i="95"/>
  <c r="N36" i="95"/>
  <c r="J36" i="95"/>
  <c r="M36" i="95"/>
  <c r="H36" i="95"/>
  <c r="L36" i="95"/>
  <c r="B150" i="94"/>
  <c r="B112" i="94"/>
  <c r="F110" i="94"/>
  <c r="M28" i="94"/>
  <c r="L35" i="94"/>
  <c r="E104" i="94"/>
  <c r="L8" i="94"/>
  <c r="M8" i="94" s="1"/>
  <c r="J9" i="94"/>
  <c r="I10" i="94"/>
  <c r="I11" i="94" l="1"/>
  <c r="J10" i="94"/>
  <c r="N28" i="94"/>
  <c r="P28" i="94"/>
  <c r="Q28" i="94" s="1"/>
  <c r="A116" i="94"/>
  <c r="A136" i="94"/>
  <c r="N8" i="94"/>
  <c r="P8" i="94"/>
  <c r="Q8" i="94" s="1"/>
  <c r="L9" i="94"/>
  <c r="Q35" i="94"/>
  <c r="B136" i="94"/>
  <c r="B116" i="94"/>
  <c r="C136" i="94" l="1"/>
  <c r="C116" i="94"/>
  <c r="G136" i="94"/>
  <c r="M9" i="94"/>
  <c r="L10" i="94"/>
  <c r="A117" i="94"/>
  <c r="G116" i="94"/>
  <c r="B152" i="94"/>
  <c r="B153" i="94" s="1"/>
  <c r="B154" i="94" s="1"/>
  <c r="I12" i="94"/>
  <c r="J11" i="94"/>
  <c r="B117" i="94"/>
  <c r="C117" i="94" l="1"/>
  <c r="I13" i="94"/>
  <c r="J12" i="94"/>
  <c r="G117" i="94"/>
  <c r="A118" i="94"/>
  <c r="M10" i="94"/>
  <c r="L11" i="94"/>
  <c r="N9" i="94"/>
  <c r="P9" i="94"/>
  <c r="Q9" i="94" s="1"/>
  <c r="F116" i="94"/>
  <c r="E116" i="94"/>
  <c r="F136" i="94"/>
  <c r="E136" i="94"/>
  <c r="B118" i="94"/>
  <c r="C118" i="94" l="1"/>
  <c r="M11" i="94"/>
  <c r="L12" i="94"/>
  <c r="N10" i="94"/>
  <c r="P10" i="94"/>
  <c r="Q10" i="94" s="1"/>
  <c r="A119" i="94"/>
  <c r="G118" i="94"/>
  <c r="I14" i="94"/>
  <c r="J13" i="94"/>
  <c r="E117" i="94"/>
  <c r="F117" i="94"/>
  <c r="B119" i="94"/>
  <c r="C119" i="94" l="1"/>
  <c r="J14" i="94"/>
  <c r="I15" i="94"/>
  <c r="G119" i="94"/>
  <c r="A120" i="94"/>
  <c r="M12" i="94"/>
  <c r="L13" i="94"/>
  <c r="N11" i="94"/>
  <c r="P11" i="94"/>
  <c r="Q11" i="94" s="1"/>
  <c r="F118" i="94"/>
  <c r="E118" i="94"/>
  <c r="B120" i="94"/>
  <c r="C120" i="94" l="1"/>
  <c r="M13" i="94"/>
  <c r="L14" i="94"/>
  <c r="P12" i="94"/>
  <c r="Q12" i="94" s="1"/>
  <c r="N12" i="94"/>
  <c r="A121" i="94"/>
  <c r="G120" i="94"/>
  <c r="I16" i="94"/>
  <c r="J15" i="94"/>
  <c r="F119" i="94"/>
  <c r="E119" i="94"/>
  <c r="B121" i="94"/>
  <c r="C121" i="94" l="1"/>
  <c r="J16" i="94"/>
  <c r="I17" i="94"/>
  <c r="A122" i="94"/>
  <c r="G121" i="94"/>
  <c r="M14" i="94"/>
  <c r="L15" i="94"/>
  <c r="N13" i="94"/>
  <c r="P13" i="94"/>
  <c r="Q13" i="94" s="1"/>
  <c r="F120" i="94"/>
  <c r="E120" i="94"/>
  <c r="B122" i="94"/>
  <c r="C122" i="94" l="1"/>
  <c r="A123" i="94"/>
  <c r="G122" i="94"/>
  <c r="I18" i="94"/>
  <c r="J17" i="94"/>
  <c r="M15" i="94"/>
  <c r="L16" i="94"/>
  <c r="P14" i="94"/>
  <c r="Q14" i="94" s="1"/>
  <c r="N14" i="94"/>
  <c r="E121" i="94"/>
  <c r="F121" i="94"/>
  <c r="B123" i="94"/>
  <c r="C123" i="94" l="1"/>
  <c r="M16" i="94"/>
  <c r="L17" i="94"/>
  <c r="N15" i="94"/>
  <c r="P15" i="94"/>
  <c r="Q15" i="94" s="1"/>
  <c r="J18" i="94"/>
  <c r="I19" i="94"/>
  <c r="G123" i="94"/>
  <c r="A124" i="94"/>
  <c r="F122" i="94"/>
  <c r="E122" i="94"/>
  <c r="B124" i="94"/>
  <c r="C124" i="94" l="1"/>
  <c r="A125" i="94"/>
  <c r="G124" i="94"/>
  <c r="I20" i="94"/>
  <c r="J19" i="94"/>
  <c r="M17" i="94"/>
  <c r="L18" i="94"/>
  <c r="P16" i="94"/>
  <c r="Q16" i="94" s="1"/>
  <c r="N16" i="94"/>
  <c r="F123" i="94"/>
  <c r="E123" i="94"/>
  <c r="B125" i="94"/>
  <c r="C125" i="94" l="1"/>
  <c r="M18" i="94"/>
  <c r="L19" i="94"/>
  <c r="N17" i="94"/>
  <c r="P17" i="94"/>
  <c r="Q17" i="94" s="1"/>
  <c r="I21" i="94"/>
  <c r="J20" i="94"/>
  <c r="A126" i="94"/>
  <c r="G125" i="94"/>
  <c r="F124" i="94"/>
  <c r="E124" i="94"/>
  <c r="B126" i="94"/>
  <c r="C126" i="94" l="1"/>
  <c r="A127" i="94"/>
  <c r="G126" i="94"/>
  <c r="I22" i="94"/>
  <c r="J21" i="94"/>
  <c r="M19" i="94"/>
  <c r="L20" i="94"/>
  <c r="P18" i="94"/>
  <c r="Q18" i="94" s="1"/>
  <c r="N18" i="94"/>
  <c r="E125" i="94"/>
  <c r="F125" i="94"/>
  <c r="B127" i="94"/>
  <c r="C127" i="94" l="1"/>
  <c r="M20" i="94"/>
  <c r="L21" i="94"/>
  <c r="N19" i="94"/>
  <c r="P19" i="94"/>
  <c r="Q19" i="94" s="1"/>
  <c r="J22" i="94"/>
  <c r="I23" i="94"/>
  <c r="G127" i="94"/>
  <c r="A128" i="94"/>
  <c r="F126" i="94"/>
  <c r="E126" i="94"/>
  <c r="B128" i="94"/>
  <c r="C128" i="94" l="1"/>
  <c r="A129" i="94"/>
  <c r="G128" i="94"/>
  <c r="J23" i="94"/>
  <c r="I24" i="94"/>
  <c r="M21" i="94"/>
  <c r="L22" i="94"/>
  <c r="P20" i="94"/>
  <c r="Q20" i="94" s="1"/>
  <c r="N20" i="94"/>
  <c r="F127" i="94"/>
  <c r="E127" i="94"/>
  <c r="B129" i="94"/>
  <c r="C129" i="94" l="1"/>
  <c r="M22" i="94"/>
  <c r="L23" i="94"/>
  <c r="N21" i="94"/>
  <c r="P21" i="94"/>
  <c r="Q21" i="94" s="1"/>
  <c r="J24" i="94"/>
  <c r="I25" i="94"/>
  <c r="A130" i="94"/>
  <c r="G129" i="94"/>
  <c r="F128" i="94"/>
  <c r="E128" i="94"/>
  <c r="B130" i="94"/>
  <c r="C130" i="94" l="1"/>
  <c r="P22" i="94"/>
  <c r="Q22" i="94" s="1"/>
  <c r="N22" i="94"/>
  <c r="E129" i="94"/>
  <c r="F129" i="94"/>
  <c r="A131" i="94"/>
  <c r="G130" i="94"/>
  <c r="I26" i="94"/>
  <c r="J25" i="94"/>
  <c r="M23" i="94"/>
  <c r="L24" i="94"/>
  <c r="B131" i="94"/>
  <c r="C131" i="94" l="1"/>
  <c r="M24" i="94"/>
  <c r="L25" i="94"/>
  <c r="F130" i="94"/>
  <c r="E130" i="94"/>
  <c r="N23" i="94"/>
  <c r="P23" i="94"/>
  <c r="Q23" i="94" s="1"/>
  <c r="J26" i="94"/>
  <c r="I27" i="94"/>
  <c r="G131" i="94"/>
  <c r="A132" i="94"/>
  <c r="B132" i="94"/>
  <c r="C132" i="94" l="1"/>
  <c r="M25" i="94"/>
  <c r="L26" i="94"/>
  <c r="P24" i="94"/>
  <c r="Q24" i="94" s="1"/>
  <c r="N24" i="94"/>
  <c r="A133" i="94"/>
  <c r="G132" i="94"/>
  <c r="I28" i="94"/>
  <c r="J27" i="94"/>
  <c r="F131" i="94"/>
  <c r="E131" i="94"/>
  <c r="B133" i="94"/>
  <c r="C133" i="94" l="1"/>
  <c r="A134" i="94"/>
  <c r="G133" i="94"/>
  <c r="I29" i="94"/>
  <c r="J28" i="94"/>
  <c r="M26" i="94"/>
  <c r="L27" i="94"/>
  <c r="M27" i="94" s="1"/>
  <c r="N25" i="94"/>
  <c r="P25" i="94"/>
  <c r="Q25" i="94" s="1"/>
  <c r="F132" i="94"/>
  <c r="E132" i="94"/>
  <c r="B134" i="94"/>
  <c r="C134" i="94" l="1"/>
  <c r="N27" i="94"/>
  <c r="P27" i="94"/>
  <c r="Q27" i="94" s="1"/>
  <c r="P26" i="94"/>
  <c r="Q26" i="94" s="1"/>
  <c r="N26" i="94"/>
  <c r="I30" i="94"/>
  <c r="J29" i="94"/>
  <c r="A135" i="94"/>
  <c r="G134" i="94"/>
  <c r="F133" i="94"/>
  <c r="E133" i="94"/>
  <c r="B135" i="94"/>
  <c r="C135" i="94" l="1"/>
  <c r="G135" i="94"/>
  <c r="I31" i="94"/>
  <c r="J30" i="94"/>
  <c r="F134" i="94"/>
  <c r="E134" i="94"/>
  <c r="I32" i="94" l="1"/>
  <c r="J31" i="94"/>
  <c r="F135" i="94"/>
  <c r="E135" i="94"/>
  <c r="I33" i="94" l="1"/>
  <c r="J32" i="94"/>
  <c r="J33" i="94" l="1"/>
  <c r="I34" i="94"/>
  <c r="J34" i="94" l="1"/>
  <c r="I35" i="94"/>
  <c r="I36" i="94" l="1"/>
  <c r="J35" i="94"/>
  <c r="J36" i="94" l="1"/>
  <c r="I37" i="94"/>
  <c r="J37" i="94" l="1"/>
  <c r="I38" i="94"/>
  <c r="I39" i="94" l="1"/>
  <c r="J38" i="94"/>
  <c r="I40" i="94" l="1"/>
  <c r="J39" i="94"/>
  <c r="I41" i="94" l="1"/>
  <c r="J40" i="94"/>
  <c r="J41" i="94" l="1"/>
  <c r="I42" i="94"/>
  <c r="J42" i="94" l="1"/>
  <c r="I43" i="94"/>
  <c r="J43" i="94" l="1"/>
  <c r="I44" i="94"/>
  <c r="I45" i="94" l="1"/>
  <c r="J44" i="94"/>
  <c r="J45" i="94" l="1"/>
  <c r="I46" i="94"/>
  <c r="I47" i="94" l="1"/>
  <c r="J46" i="94"/>
  <c r="I48" i="94" l="1"/>
  <c r="J47" i="94"/>
  <c r="I49" i="94" l="1"/>
  <c r="J48" i="94"/>
  <c r="J49" i="94" l="1"/>
  <c r="I50" i="94"/>
  <c r="J50" i="94" l="1"/>
  <c r="I51" i="94"/>
  <c r="I52" i="94" l="1"/>
  <c r="J51" i="94"/>
  <c r="I53" i="94" l="1"/>
  <c r="J52" i="94"/>
  <c r="J53" i="94" l="1"/>
  <c r="I54" i="94"/>
  <c r="J54" i="94" l="1"/>
  <c r="I55" i="94"/>
  <c r="J55" i="94" l="1"/>
  <c r="I56" i="94"/>
  <c r="J56" i="94" l="1"/>
  <c r="I57" i="94"/>
  <c r="I58" i="94" l="1"/>
  <c r="J57" i="94"/>
  <c r="I59" i="94" l="1"/>
  <c r="J58" i="94"/>
  <c r="J59" i="94" l="1"/>
  <c r="I60" i="94"/>
  <c r="J60" i="94" l="1"/>
  <c r="I61" i="94"/>
  <c r="I62" i="94" l="1"/>
  <c r="J61" i="94"/>
  <c r="I63" i="94" l="1"/>
  <c r="J62" i="94"/>
  <c r="J63" i="94" l="1"/>
  <c r="I64" i="94"/>
  <c r="J64" i="94" l="1"/>
  <c r="I65" i="94"/>
  <c r="I66" i="94" l="1"/>
  <c r="J65" i="94"/>
  <c r="I67" i="94" l="1"/>
  <c r="J66" i="94"/>
  <c r="J67" i="94" l="1"/>
  <c r="I68" i="94"/>
  <c r="J68" i="94" l="1"/>
  <c r="I69" i="94"/>
  <c r="I70" i="94" l="1"/>
  <c r="J69" i="94"/>
  <c r="I71" i="94" l="1"/>
  <c r="J70" i="94"/>
  <c r="J71" i="94" l="1"/>
  <c r="I72" i="94"/>
  <c r="I73" i="94" l="1"/>
  <c r="J72" i="94"/>
  <c r="I74" i="94" l="1"/>
  <c r="J73" i="94"/>
  <c r="I75" i="94" l="1"/>
  <c r="J74" i="94"/>
  <c r="J75" i="94" l="1"/>
  <c r="I76" i="94"/>
  <c r="I77" i="94" l="1"/>
  <c r="J76" i="94"/>
  <c r="J77" i="94" l="1"/>
  <c r="I78" i="94"/>
  <c r="I79" i="94" l="1"/>
  <c r="J78" i="94"/>
  <c r="J79" i="94" l="1"/>
  <c r="I80" i="94"/>
  <c r="I81" i="94" l="1"/>
  <c r="J80" i="94"/>
  <c r="J81" i="94" l="1"/>
  <c r="I82" i="94"/>
  <c r="I83" i="94" l="1"/>
  <c r="J82" i="94"/>
  <c r="J83" i="94" l="1"/>
  <c r="I84" i="94"/>
  <c r="I85" i="94" l="1"/>
  <c r="J84" i="94"/>
  <c r="J85" i="94" l="1"/>
  <c r="I86" i="94"/>
  <c r="I87" i="94" l="1"/>
  <c r="J86" i="94"/>
  <c r="J87" i="94" l="1"/>
  <c r="I88" i="94"/>
  <c r="I89" i="94" l="1"/>
  <c r="J88" i="94"/>
  <c r="J89" i="94" l="1"/>
  <c r="I90" i="94"/>
  <c r="I91" i="94" l="1"/>
  <c r="J90" i="94"/>
  <c r="J91" i="94" l="1"/>
  <c r="I92" i="94"/>
  <c r="I93" i="94" l="1"/>
  <c r="J93" i="94" s="1"/>
  <c r="J92" i="94"/>
  <c r="O33" i="71" l="1"/>
  <c r="O32" i="71"/>
  <c r="H8" i="91"/>
  <c r="H13" i="91"/>
  <c r="H9" i="91"/>
  <c r="H10" i="91"/>
  <c r="H11" i="91"/>
  <c r="H12" i="91"/>
  <c r="E17" i="91"/>
  <c r="M8" i="69"/>
  <c r="Q7" i="69"/>
  <c r="Q6" i="69"/>
  <c r="Q5" i="69"/>
  <c r="H14" i="91" l="1"/>
  <c r="H15" i="91" s="1"/>
  <c r="N12" i="69"/>
  <c r="F7" i="90" l="1"/>
  <c r="N14" i="69"/>
  <c r="AK3" i="69" s="1"/>
  <c r="N13" i="69"/>
  <c r="AM5" i="69" s="1"/>
  <c r="P12" i="69"/>
  <c r="F8" i="90"/>
  <c r="AM17" i="69" l="1"/>
  <c r="AM6" i="69" s="1"/>
  <c r="M18" i="69"/>
  <c r="F12" i="90" s="1"/>
  <c r="M17" i="69"/>
  <c r="P13" i="69"/>
  <c r="AN5" i="69" a="1"/>
  <c r="N20" i="69" l="1"/>
  <c r="F13" i="90" s="1"/>
  <c r="AN5" i="69"/>
  <c r="AM7" i="69"/>
  <c r="AM18" i="69"/>
  <c r="F11" i="90"/>
  <c r="P14" i="69"/>
  <c r="F9" i="90"/>
  <c r="D12" i="88"/>
  <c r="D9" i="88"/>
  <c r="AN17" i="69" a="1"/>
  <c r="AN6" i="69" a="1"/>
  <c r="AK7" i="69" a="1"/>
  <c r="AN17" i="69" l="1"/>
  <c r="AN6" i="69"/>
  <c r="AK7" i="69"/>
  <c r="AM8" i="69"/>
  <c r="AM19" i="69"/>
  <c r="F15" i="88"/>
  <c r="F9" i="88"/>
  <c r="G9" i="88" s="1"/>
  <c r="F12" i="88"/>
  <c r="G12" i="88" s="1"/>
  <c r="D15" i="88"/>
  <c r="AR17" i="69" a="1"/>
  <c r="AP5" i="69" a="1"/>
  <c r="AT17" i="69" a="1"/>
  <c r="AN18" i="69" a="1"/>
  <c r="AO17" i="69" a="1"/>
  <c r="AN7" i="69" a="1"/>
  <c r="AN7" i="69" l="1"/>
  <c r="AN18" i="69"/>
  <c r="AT17" i="69"/>
  <c r="AR17" i="69"/>
  <c r="AU17" i="69" s="1"/>
  <c r="AO17" i="69"/>
  <c r="AP5" i="69"/>
  <c r="AM9" i="69"/>
  <c r="AM20" i="69"/>
  <c r="G15" i="88"/>
  <c r="AN19" i="69" a="1"/>
  <c r="AR18" i="69" a="1"/>
  <c r="AN8" i="69" a="1"/>
  <c r="AO18" i="69" a="1"/>
  <c r="AT18" i="69" a="1"/>
  <c r="AQ5" i="69" a="1"/>
  <c r="AQ5" i="69" l="1"/>
  <c r="AN19" i="69"/>
  <c r="AN8" i="69"/>
  <c r="AT18" i="69"/>
  <c r="AO18" i="69"/>
  <c r="AR18" i="69"/>
  <c r="AU18" i="69" s="1"/>
  <c r="AV17" i="69"/>
  <c r="AP6" i="69"/>
  <c r="AM10" i="69"/>
  <c r="AM21" i="69"/>
  <c r="M41" i="60"/>
  <c r="M39" i="60"/>
  <c r="M38" i="60"/>
  <c r="M37" i="60"/>
  <c r="C41" i="60"/>
  <c r="C39" i="60"/>
  <c r="Z8" i="86"/>
  <c r="H8" i="86"/>
  <c r="H9" i="86" s="1"/>
  <c r="D43" i="86" a="1"/>
  <c r="C26" i="86" a="1"/>
  <c r="C25" i="86" a="1"/>
  <c r="D10" i="86" a="1"/>
  <c r="D9" i="86" a="1"/>
  <c r="C11" i="86" a="1"/>
  <c r="S43" i="62"/>
  <c r="AQ6" i="69" a="1"/>
  <c r="S18" i="62"/>
  <c r="AS5" i="69" a="1"/>
  <c r="S19" i="62"/>
  <c r="S49" i="62"/>
  <c r="S57" i="62"/>
  <c r="C19" i="86" a="1"/>
  <c r="C17" i="86" a="1"/>
  <c r="C18" i="86" a="1"/>
  <c r="C39" i="86" a="1"/>
  <c r="S20" i="62"/>
  <c r="C38" i="86" a="1"/>
  <c r="C21" i="86" a="1"/>
  <c r="C14" i="86" a="1"/>
  <c r="D30" i="86" a="1"/>
  <c r="C35" i="86" a="1"/>
  <c r="C28" i="86" a="1"/>
  <c r="S9" i="62"/>
  <c r="S12" i="62"/>
  <c r="C22" i="86" a="1"/>
  <c r="S15" i="62"/>
  <c r="S51" i="62"/>
  <c r="D17" i="86" a="1"/>
  <c r="S56" i="62"/>
  <c r="C44" i="86" a="1"/>
  <c r="D31" i="86" a="1"/>
  <c r="S54" i="62"/>
  <c r="D28" i="86" a="1"/>
  <c r="S47" i="62"/>
  <c r="D14" i="86" a="1"/>
  <c r="S27" i="62"/>
  <c r="D15" i="86" a="1"/>
  <c r="S53" i="62"/>
  <c r="C37" i="86" a="1"/>
  <c r="D36" i="86" a="1"/>
  <c r="C27" i="86" a="1"/>
  <c r="C33" i="86" a="1"/>
  <c r="S13" i="62"/>
  <c r="S44" i="62"/>
  <c r="C20" i="86" a="1"/>
  <c r="G36" i="60"/>
  <c r="D13" i="86" a="1"/>
  <c r="D26" i="86" a="1"/>
  <c r="S25" i="62"/>
  <c r="D27" i="86" a="1"/>
  <c r="C40" i="86" a="1"/>
  <c r="C34" i="86" a="1"/>
  <c r="D38" i="86" a="1"/>
  <c r="AN9" i="69" a="1"/>
  <c r="S32" i="62"/>
  <c r="C31" i="86" a="1"/>
  <c r="D35" i="86" a="1"/>
  <c r="S24" i="62"/>
  <c r="C48" i="86" a="1"/>
  <c r="C16" i="86" a="1"/>
  <c r="S40" i="62"/>
  <c r="C30" i="86" a="1"/>
  <c r="S33" i="62"/>
  <c r="S46" i="62"/>
  <c r="C41" i="86" a="1"/>
  <c r="D39" i="86" a="1"/>
  <c r="S23" i="62"/>
  <c r="D34" i="86" a="1"/>
  <c r="S48" i="62"/>
  <c r="S41" i="62"/>
  <c r="S38" i="62"/>
  <c r="D16" i="86" a="1"/>
  <c r="D33" i="86" a="1"/>
  <c r="S37" i="62"/>
  <c r="C42" i="86" a="1"/>
  <c r="G37" i="60"/>
  <c r="C15" i="86" a="1"/>
  <c r="D12" i="86" a="1"/>
  <c r="D42" i="86" a="1"/>
  <c r="S35" i="62"/>
  <c r="C45" i="86" a="1"/>
  <c r="AT19" i="69" a="1"/>
  <c r="S34" i="62"/>
  <c r="D40" i="86" a="1"/>
  <c r="C12" i="86" a="1"/>
  <c r="C8" i="86" a="1"/>
  <c r="C24" i="86" a="1"/>
  <c r="AR19" i="69" a="1"/>
  <c r="S26" i="62"/>
  <c r="S52" i="62"/>
  <c r="S36" i="62"/>
  <c r="S17" i="62"/>
  <c r="D32" i="86" a="1"/>
  <c r="D18" i="86" a="1"/>
  <c r="G38" i="60"/>
  <c r="S8" i="62"/>
  <c r="C13" i="86" a="1"/>
  <c r="S10" i="62"/>
  <c r="C29" i="86" a="1"/>
  <c r="AO19" i="69" a="1"/>
  <c r="S28" i="62"/>
  <c r="S14" i="62"/>
  <c r="D20" i="86" a="1"/>
  <c r="C32" i="86" a="1"/>
  <c r="S30" i="62"/>
  <c r="C23" i="86" a="1"/>
  <c r="D21" i="86" a="1"/>
  <c r="D25" i="86" a="1"/>
  <c r="S31" i="62"/>
  <c r="Q37" i="60"/>
  <c r="D37" i="86" a="1"/>
  <c r="D47" i="86" a="1"/>
  <c r="S21" i="62"/>
  <c r="S42" i="62"/>
  <c r="D22" i="86" a="1"/>
  <c r="Q38" i="60"/>
  <c r="S29" i="62"/>
  <c r="C46" i="86" a="1"/>
  <c r="S58" i="62"/>
  <c r="D24" i="86" a="1"/>
  <c r="D29" i="86" a="1"/>
  <c r="S16" i="62"/>
  <c r="S50" i="62"/>
  <c r="D45" i="86" a="1"/>
  <c r="D44" i="86" a="1"/>
  <c r="D8" i="86" a="1"/>
  <c r="S22" i="62"/>
  <c r="S39" i="62"/>
  <c r="D48" i="86" a="1"/>
  <c r="C9" i="86" a="1"/>
  <c r="C10" i="86" a="1"/>
  <c r="S45" i="62"/>
  <c r="D46" i="86" a="1"/>
  <c r="AN20" i="69" a="1"/>
  <c r="S55" i="62"/>
  <c r="C47" i="86" a="1"/>
  <c r="D41" i="86" a="1"/>
  <c r="C43" i="86" a="1"/>
  <c r="D23" i="86" a="1"/>
  <c r="D19" i="86" a="1"/>
  <c r="D11" i="86" a="1"/>
  <c r="S11" i="62"/>
  <c r="Q36" i="60"/>
  <c r="C36" i="86" a="1"/>
  <c r="AV18" i="69" l="1"/>
  <c r="AS5" i="69"/>
  <c r="AQ6" i="69"/>
  <c r="X73" i="60"/>
  <c r="AC73" i="60" s="1"/>
  <c r="AN20" i="69"/>
  <c r="AN9" i="69"/>
  <c r="AO19" i="69"/>
  <c r="AR19" i="69"/>
  <c r="AU19" i="69" s="1"/>
  <c r="AT19" i="69"/>
  <c r="AP7" i="69"/>
  <c r="AW18" i="69"/>
  <c r="AY18" i="69" s="1"/>
  <c r="AM11" i="69"/>
  <c r="AM22" i="69"/>
  <c r="D45" i="60"/>
  <c r="N45" i="60"/>
  <c r="T8" i="62"/>
  <c r="D9" i="86"/>
  <c r="I9" i="86" s="1"/>
  <c r="D10" i="86"/>
  <c r="D11" i="86"/>
  <c r="D12" i="86"/>
  <c r="D13" i="86"/>
  <c r="D14" i="86"/>
  <c r="D15" i="86"/>
  <c r="D16" i="86"/>
  <c r="D17" i="86"/>
  <c r="D18" i="86"/>
  <c r="D19" i="86"/>
  <c r="D20" i="86"/>
  <c r="D21" i="86"/>
  <c r="D22" i="86"/>
  <c r="D23" i="86"/>
  <c r="D24" i="86"/>
  <c r="D25" i="86"/>
  <c r="D26" i="86"/>
  <c r="D27" i="86"/>
  <c r="D28" i="86"/>
  <c r="D29" i="86"/>
  <c r="D30" i="86"/>
  <c r="D31" i="86"/>
  <c r="D32" i="86"/>
  <c r="D33" i="86"/>
  <c r="D34" i="86"/>
  <c r="D35" i="86"/>
  <c r="D36" i="86"/>
  <c r="D37" i="86"/>
  <c r="D38" i="86"/>
  <c r="D39" i="86"/>
  <c r="D40" i="86"/>
  <c r="D41" i="86"/>
  <c r="D42" i="86"/>
  <c r="D43" i="86"/>
  <c r="D44" i="86"/>
  <c r="D45" i="86"/>
  <c r="D46" i="86"/>
  <c r="D47" i="86"/>
  <c r="D48" i="86"/>
  <c r="C8" i="86"/>
  <c r="E8" i="86" s="1"/>
  <c r="D8" i="86"/>
  <c r="I8" i="86" s="1"/>
  <c r="C9" i="86"/>
  <c r="E9" i="86" s="1"/>
  <c r="C10" i="86"/>
  <c r="E10" i="86" s="1"/>
  <c r="C11" i="86"/>
  <c r="E11" i="86" s="1"/>
  <c r="C12" i="86"/>
  <c r="E12" i="86" s="1"/>
  <c r="C13" i="86"/>
  <c r="E13" i="86" s="1"/>
  <c r="C14" i="86"/>
  <c r="E14" i="86" s="1"/>
  <c r="C15" i="86"/>
  <c r="E15" i="86" s="1"/>
  <c r="C16" i="86"/>
  <c r="E16" i="86" s="1"/>
  <c r="C17" i="86"/>
  <c r="E17" i="86" s="1"/>
  <c r="C18" i="86"/>
  <c r="E18" i="86" s="1"/>
  <c r="C19" i="86"/>
  <c r="E19" i="86" s="1"/>
  <c r="C20" i="86"/>
  <c r="E20" i="86" s="1"/>
  <c r="C21" i="86"/>
  <c r="E21" i="86" s="1"/>
  <c r="C22" i="86"/>
  <c r="E22" i="86" s="1"/>
  <c r="C23" i="86"/>
  <c r="E23" i="86" s="1"/>
  <c r="C24" i="86"/>
  <c r="E24" i="86" s="1"/>
  <c r="C25" i="86"/>
  <c r="E25" i="86" s="1"/>
  <c r="C26" i="86"/>
  <c r="E26" i="86" s="1"/>
  <c r="C27" i="86"/>
  <c r="E27" i="86" s="1"/>
  <c r="C28" i="86"/>
  <c r="E28" i="86" s="1"/>
  <c r="C29" i="86"/>
  <c r="E29" i="86" s="1"/>
  <c r="C30" i="86"/>
  <c r="E30" i="86" s="1"/>
  <c r="C31" i="86"/>
  <c r="E31" i="86" s="1"/>
  <c r="C32" i="86"/>
  <c r="E32" i="86" s="1"/>
  <c r="C33" i="86"/>
  <c r="E33" i="86" s="1"/>
  <c r="C34" i="86"/>
  <c r="E34" i="86" s="1"/>
  <c r="C35" i="86"/>
  <c r="E35" i="86" s="1"/>
  <c r="C36" i="86"/>
  <c r="E36" i="86" s="1"/>
  <c r="C37" i="86"/>
  <c r="E37" i="86" s="1"/>
  <c r="C38" i="86"/>
  <c r="E38" i="86" s="1"/>
  <c r="C39" i="86"/>
  <c r="E39" i="86" s="1"/>
  <c r="C40" i="86"/>
  <c r="E40" i="86" s="1"/>
  <c r="C41" i="86"/>
  <c r="E41" i="86" s="1"/>
  <c r="C42" i="86"/>
  <c r="E42" i="86" s="1"/>
  <c r="C43" i="86"/>
  <c r="E43" i="86" s="1"/>
  <c r="C44" i="86"/>
  <c r="E44" i="86" s="1"/>
  <c r="C45" i="86"/>
  <c r="E45" i="86" s="1"/>
  <c r="C46" i="86"/>
  <c r="E46" i="86" s="1"/>
  <c r="C47" i="86"/>
  <c r="E47" i="86" s="1"/>
  <c r="C48" i="86"/>
  <c r="E48" i="86" s="1"/>
  <c r="J9" i="86"/>
  <c r="AR20" i="69" a="1"/>
  <c r="AQ7" i="69" a="1"/>
  <c r="AK73" i="60" a="1"/>
  <c r="J8" i="86"/>
  <c r="AO20" i="69" a="1"/>
  <c r="AE73" i="60" a="1"/>
  <c r="AT20" i="69" a="1"/>
  <c r="AN10" i="69" a="1"/>
  <c r="AR5" i="69" a="1"/>
  <c r="AS6" i="69" a="1"/>
  <c r="AN21" i="69" a="1"/>
  <c r="AT5" i="69" a="1"/>
  <c r="AB73" i="60" l="1"/>
  <c r="AD73" i="60" s="1"/>
  <c r="AV19" i="69"/>
  <c r="AW19" i="69" s="1"/>
  <c r="AY19" i="69" s="1"/>
  <c r="AS6" i="69"/>
  <c r="AR5" i="69"/>
  <c r="AU5" i="69" s="1"/>
  <c r="AT5" i="69"/>
  <c r="AO5" i="69" s="1"/>
  <c r="AQ7" i="69"/>
  <c r="AN10" i="69"/>
  <c r="AN21" i="69"/>
  <c r="AR20" i="69"/>
  <c r="AU20" i="69" s="1"/>
  <c r="AT20" i="69"/>
  <c r="AO20" i="69"/>
  <c r="AE73" i="60"/>
  <c r="AK73" i="60"/>
  <c r="AP8" i="69"/>
  <c r="AM12" i="69"/>
  <c r="AM23" i="69"/>
  <c r="N47" i="60"/>
  <c r="V73" i="60" s="1"/>
  <c r="N46" i="60"/>
  <c r="V72" i="60" s="1"/>
  <c r="W74" i="60" s="1"/>
  <c r="N48" i="60"/>
  <c r="D48" i="60"/>
  <c r="D47" i="60"/>
  <c r="D46" i="60"/>
  <c r="K9" i="86"/>
  <c r="K8" i="86"/>
  <c r="F7" i="89"/>
  <c r="L8" i="86"/>
  <c r="L9" i="86"/>
  <c r="G47" i="86"/>
  <c r="G35" i="86"/>
  <c r="O35" i="86" s="1"/>
  <c r="G23" i="86"/>
  <c r="O23" i="86" s="1"/>
  <c r="G11" i="86"/>
  <c r="G14" i="86"/>
  <c r="G25" i="86"/>
  <c r="G12" i="86"/>
  <c r="G46" i="86"/>
  <c r="G34" i="86"/>
  <c r="G22" i="86"/>
  <c r="G10" i="86"/>
  <c r="G48" i="86"/>
  <c r="G26" i="86"/>
  <c r="G24" i="86"/>
  <c r="G38" i="86"/>
  <c r="G31" i="86"/>
  <c r="G8" i="86"/>
  <c r="G41" i="86"/>
  <c r="G29" i="86"/>
  <c r="O29" i="86" s="1"/>
  <c r="G17" i="86"/>
  <c r="O17" i="86" s="1"/>
  <c r="G13" i="86"/>
  <c r="G36" i="86"/>
  <c r="G21" i="86"/>
  <c r="G44" i="86"/>
  <c r="G20" i="86"/>
  <c r="G43" i="86"/>
  <c r="G19" i="86"/>
  <c r="O19" i="86" s="1"/>
  <c r="G40" i="86"/>
  <c r="O40" i="86" s="1"/>
  <c r="G28" i="86"/>
  <c r="G16" i="86"/>
  <c r="G37" i="86"/>
  <c r="O37" i="86" s="1"/>
  <c r="G45" i="86"/>
  <c r="O45" i="86" s="1"/>
  <c r="G33" i="86"/>
  <c r="G9" i="86"/>
  <c r="O9" i="86" s="1"/>
  <c r="G32" i="86"/>
  <c r="O32" i="86" s="1"/>
  <c r="G42" i="86"/>
  <c r="G30" i="86"/>
  <c r="G18" i="86"/>
  <c r="G39" i="86"/>
  <c r="G27" i="86"/>
  <c r="G15" i="86"/>
  <c r="AN22" i="69" a="1"/>
  <c r="AR6" i="69" a="1"/>
  <c r="AN11" i="69" a="1"/>
  <c r="AT6" i="69" a="1"/>
  <c r="AS7" i="69" a="1"/>
  <c r="AO21" i="69" a="1"/>
  <c r="AT21" i="69" a="1"/>
  <c r="AR21" i="69" a="1"/>
  <c r="AQ8" i="69" a="1"/>
  <c r="O39" i="86" l="1"/>
  <c r="O22" i="86"/>
  <c r="O15" i="86"/>
  <c r="O47" i="86"/>
  <c r="AL73" i="60"/>
  <c r="O43" i="86"/>
  <c r="O41" i="86"/>
  <c r="O27" i="86"/>
  <c r="O31" i="86"/>
  <c r="AF73" i="60"/>
  <c r="AV20" i="69"/>
  <c r="AW20" i="69" s="1"/>
  <c r="AY20" i="69" s="1"/>
  <c r="O12" i="86"/>
  <c r="AN11" i="69"/>
  <c r="AQ8" i="69"/>
  <c r="AR21" i="69"/>
  <c r="AU21" i="69" s="1"/>
  <c r="AT21" i="69"/>
  <c r="AO21" i="69"/>
  <c r="AR6" i="69"/>
  <c r="AU6" i="69" s="1"/>
  <c r="AS7" i="69"/>
  <c r="AN22" i="69"/>
  <c r="AT6" i="69"/>
  <c r="O10" i="86"/>
  <c r="O20" i="86"/>
  <c r="N8" i="86"/>
  <c r="P8" i="86" s="1"/>
  <c r="Q8" i="86" s="1"/>
  <c r="W8" i="86" s="1"/>
  <c r="AM13" i="69"/>
  <c r="O18" i="86"/>
  <c r="O36" i="86"/>
  <c r="O24" i="86"/>
  <c r="O25" i="86"/>
  <c r="AP9" i="69"/>
  <c r="O33" i="86"/>
  <c r="N9" i="86"/>
  <c r="P9" i="86" s="1"/>
  <c r="U9" i="86" s="1"/>
  <c r="O21" i="86"/>
  <c r="O38" i="86"/>
  <c r="O16" i="86"/>
  <c r="O30" i="86"/>
  <c r="O28" i="86"/>
  <c r="O13" i="86"/>
  <c r="O26" i="86"/>
  <c r="O14" i="86"/>
  <c r="O34" i="86"/>
  <c r="O44" i="86"/>
  <c r="O46" i="86"/>
  <c r="O42" i="86"/>
  <c r="O48" i="86"/>
  <c r="O11" i="86"/>
  <c r="AM24" i="69"/>
  <c r="AV5" i="69"/>
  <c r="AO6" i="69"/>
  <c r="X74" i="60"/>
  <c r="W75" i="60"/>
  <c r="AR7" i="69" a="1"/>
  <c r="AN23" i="69" a="1"/>
  <c r="AR22" i="69" a="1"/>
  <c r="AO22" i="69" a="1"/>
  <c r="AK74" i="60" a="1"/>
  <c r="AS8" i="69" a="1"/>
  <c r="AQ9" i="69" a="1"/>
  <c r="AN12" i="69" a="1"/>
  <c r="AT22" i="69" a="1"/>
  <c r="AE74" i="60" a="1"/>
  <c r="AT7" i="69" a="1"/>
  <c r="AE74" i="60" l="1"/>
  <c r="AK74" i="60"/>
  <c r="AT22" i="69"/>
  <c r="AO22" i="69"/>
  <c r="AR22" i="69"/>
  <c r="AU22" i="69" s="1"/>
  <c r="AN23" i="69"/>
  <c r="AR7" i="69"/>
  <c r="AU7" i="69" s="1"/>
  <c r="AT7" i="69"/>
  <c r="AN12" i="69"/>
  <c r="AQ9" i="69"/>
  <c r="AS8" i="69"/>
  <c r="AO7" i="69"/>
  <c r="AV6" i="69"/>
  <c r="AW6" i="69"/>
  <c r="AM14" i="69"/>
  <c r="AV21" i="69"/>
  <c r="AB74" i="60"/>
  <c r="AD74" i="60" s="1"/>
  <c r="AC74" i="60"/>
  <c r="AP10" i="69"/>
  <c r="AM25" i="69"/>
  <c r="W76" i="60"/>
  <c r="X75" i="60"/>
  <c r="AE75" i="60" a="1"/>
  <c r="AR23" i="69" a="1"/>
  <c r="AR8" i="69" a="1"/>
  <c r="AT23" i="69" a="1"/>
  <c r="AQ10" i="69" a="1"/>
  <c r="AN24" i="69" a="1"/>
  <c r="AO23" i="69" a="1"/>
  <c r="AS9" i="69" a="1"/>
  <c r="AN13" i="69" a="1"/>
  <c r="AK75" i="60" a="1"/>
  <c r="AT8" i="69" a="1"/>
  <c r="AE75" i="60" l="1"/>
  <c r="AK75" i="60"/>
  <c r="AR8" i="69"/>
  <c r="AU8" i="69" s="1"/>
  <c r="AN13" i="69"/>
  <c r="AN24" i="69"/>
  <c r="AT23" i="69"/>
  <c r="AO23" i="69"/>
  <c r="AR23" i="69"/>
  <c r="AU23" i="69" s="1"/>
  <c r="AQ10" i="69"/>
  <c r="AT8" i="69"/>
  <c r="AS9" i="69"/>
  <c r="AM15" i="69"/>
  <c r="AY6" i="69"/>
  <c r="AZ6" i="69" s="1"/>
  <c r="AX6" i="69"/>
  <c r="AW7" i="69"/>
  <c r="AY7" i="69" s="1"/>
  <c r="AP11" i="69"/>
  <c r="AO8" i="69"/>
  <c r="AV7" i="69"/>
  <c r="AV22" i="69"/>
  <c r="AM26" i="69"/>
  <c r="AC75" i="60"/>
  <c r="AB75" i="60"/>
  <c r="AD75" i="60" s="1"/>
  <c r="AL74" i="60"/>
  <c r="AW22" i="69"/>
  <c r="AY22" i="69" s="1"/>
  <c r="AW21" i="69"/>
  <c r="AY21" i="69" s="1"/>
  <c r="AF74" i="60"/>
  <c r="W77" i="60"/>
  <c r="X76" i="60"/>
  <c r="Q9" i="86"/>
  <c r="W9" i="86" s="1"/>
  <c r="S9" i="86"/>
  <c r="AC9" i="86" s="1"/>
  <c r="AN14" i="69" a="1"/>
  <c r="AN25" i="69" a="1"/>
  <c r="AQ11" i="69" a="1"/>
  <c r="AK76" i="60" a="1"/>
  <c r="AT24" i="69" a="1"/>
  <c r="AS10" i="69" a="1"/>
  <c r="AR9" i="69" a="1"/>
  <c r="AR24" i="69" a="1"/>
  <c r="AE76" i="60" a="1"/>
  <c r="AO24" i="69" a="1"/>
  <c r="AT9" i="69" a="1"/>
  <c r="AV23" i="69" l="1"/>
  <c r="AW23" i="69" s="1"/>
  <c r="AY23" i="69" s="1"/>
  <c r="AX7" i="69"/>
  <c r="AL75" i="60"/>
  <c r="AE76" i="60"/>
  <c r="AK76" i="60"/>
  <c r="AS10" i="69"/>
  <c r="AQ11" i="69"/>
  <c r="AN25" i="69"/>
  <c r="AO24" i="69"/>
  <c r="AR24" i="69"/>
  <c r="AU24" i="69" s="1"/>
  <c r="AT24" i="69"/>
  <c r="AN14" i="69"/>
  <c r="AR9" i="69"/>
  <c r="AU9" i="69" s="1"/>
  <c r="AT9" i="69"/>
  <c r="AV8" i="69"/>
  <c r="AW8" i="69" s="1"/>
  <c r="AO9" i="69"/>
  <c r="AF75" i="60"/>
  <c r="AG75" i="60" s="1"/>
  <c r="AI75" i="60" s="1"/>
  <c r="AM27" i="69"/>
  <c r="AZ7" i="69"/>
  <c r="X9" i="86"/>
  <c r="Y9" i="86" s="1"/>
  <c r="Z9" i="86" s="1"/>
  <c r="X8" i="86"/>
  <c r="AP12" i="69"/>
  <c r="AG74" i="60"/>
  <c r="AM74" i="60"/>
  <c r="AM75" i="60"/>
  <c r="AO75" i="60" s="1"/>
  <c r="AB76" i="60"/>
  <c r="AD76" i="60" s="1"/>
  <c r="AC76" i="60"/>
  <c r="AM16" i="69"/>
  <c r="W78" i="60"/>
  <c r="X77" i="60"/>
  <c r="V9" i="86"/>
  <c r="H10" i="86"/>
  <c r="AO25" i="69" a="1"/>
  <c r="AN26" i="69" a="1"/>
  <c r="AS11" i="69" a="1"/>
  <c r="AR25" i="69" a="1"/>
  <c r="AT25" i="69" a="1"/>
  <c r="AK77" i="60" a="1"/>
  <c r="AE77" i="60" a="1"/>
  <c r="AR10" i="69" a="1"/>
  <c r="AN15" i="69" a="1"/>
  <c r="AQ12" i="69" a="1"/>
  <c r="AT10" i="69" a="1"/>
  <c r="AY8" i="69" l="1"/>
  <c r="AZ8" i="69" s="1"/>
  <c r="AX8" i="69"/>
  <c r="AV24" i="69"/>
  <c r="AW24" i="69" s="1"/>
  <c r="AY24" i="69" s="1"/>
  <c r="AK77" i="60"/>
  <c r="AE77" i="60"/>
  <c r="AN15" i="69"/>
  <c r="AQ12" i="69"/>
  <c r="AR10" i="69"/>
  <c r="AU10" i="69" s="1"/>
  <c r="AT25" i="69"/>
  <c r="AO25" i="69"/>
  <c r="AR25" i="69"/>
  <c r="AU25" i="69" s="1"/>
  <c r="AS11" i="69"/>
  <c r="AN26" i="69"/>
  <c r="AT10" i="69"/>
  <c r="AP13" i="69"/>
  <c r="AF76" i="60"/>
  <c r="AG76" i="60" s="1"/>
  <c r="AI76" i="60" s="1"/>
  <c r="AO10" i="69"/>
  <c r="AV9" i="69"/>
  <c r="AW9" i="69" s="1"/>
  <c r="AO74" i="60"/>
  <c r="AP74" i="60" s="1"/>
  <c r="AP75" i="60" s="1"/>
  <c r="AN74" i="60"/>
  <c r="AN75" i="60" s="1"/>
  <c r="AC77" i="60"/>
  <c r="AB77" i="60"/>
  <c r="AD77" i="60" s="1"/>
  <c r="AH74" i="60"/>
  <c r="AH75" i="60" s="1"/>
  <c r="AI74" i="60"/>
  <c r="AJ74" i="60" s="1"/>
  <c r="AJ75" i="60" s="1"/>
  <c r="AM28" i="69"/>
  <c r="AL76" i="60"/>
  <c r="AM76" i="60" s="1"/>
  <c r="AO76" i="60" s="1"/>
  <c r="W79" i="60"/>
  <c r="X78" i="60"/>
  <c r="I10" i="86"/>
  <c r="AR26" i="69" a="1"/>
  <c r="AR11" i="69" a="1"/>
  <c r="AS12" i="69" a="1"/>
  <c r="AQ13" i="69" a="1"/>
  <c r="AN27" i="69" a="1"/>
  <c r="AK78" i="60" a="1"/>
  <c r="J10" i="86"/>
  <c r="AE78" i="60" a="1"/>
  <c r="AN16" i="69" a="1"/>
  <c r="AT11" i="69" a="1"/>
  <c r="AO26" i="69" a="1"/>
  <c r="AT26" i="69" a="1"/>
  <c r="AN76" i="60" l="1"/>
  <c r="AV25" i="69"/>
  <c r="AW25" i="69" s="1"/>
  <c r="AY25" i="69" s="1"/>
  <c r="AK78" i="60"/>
  <c r="AE78" i="60"/>
  <c r="AR11" i="69"/>
  <c r="AU11" i="69" s="1"/>
  <c r="AN16" i="69"/>
  <c r="AN27" i="69"/>
  <c r="AQ13" i="69"/>
  <c r="AS12" i="69"/>
  <c r="AR26" i="69"/>
  <c r="AU26" i="69" s="1"/>
  <c r="AT26" i="69"/>
  <c r="AO26" i="69"/>
  <c r="AT11" i="69"/>
  <c r="AY9" i="69"/>
  <c r="AZ9" i="69" s="1"/>
  <c r="AX9" i="69"/>
  <c r="AC78" i="60"/>
  <c r="AB78" i="60"/>
  <c r="AD78" i="60" s="1"/>
  <c r="AV10" i="69"/>
  <c r="AO11" i="69"/>
  <c r="AM29" i="69"/>
  <c r="AP76" i="60"/>
  <c r="AJ76" i="60"/>
  <c r="AP14" i="69"/>
  <c r="AH76" i="60"/>
  <c r="AF77" i="60"/>
  <c r="AG77" i="60" s="1"/>
  <c r="AI77" i="60" s="1"/>
  <c r="AL77" i="60"/>
  <c r="AM77" i="60" s="1"/>
  <c r="AO77" i="60" s="1"/>
  <c r="W80" i="60"/>
  <c r="X79" i="60"/>
  <c r="K10" i="86"/>
  <c r="L10" i="86"/>
  <c r="N10" i="86" s="1"/>
  <c r="P10" i="86" s="1"/>
  <c r="AT27" i="69" a="1"/>
  <c r="AN28" i="69" a="1"/>
  <c r="AE79" i="60" a="1"/>
  <c r="AR12" i="69" a="1"/>
  <c r="AR27" i="69" a="1"/>
  <c r="AO27" i="69" a="1"/>
  <c r="AK79" i="60" a="1"/>
  <c r="AQ14" i="69" a="1"/>
  <c r="AS13" i="69" a="1"/>
  <c r="AT12" i="69" a="1"/>
  <c r="AJ77" i="60" l="1"/>
  <c r="AK79" i="60"/>
  <c r="AE79" i="60"/>
  <c r="AT12" i="69"/>
  <c r="AS13" i="69"/>
  <c r="AN28" i="69"/>
  <c r="AO27" i="69"/>
  <c r="AR27" i="69"/>
  <c r="AU27" i="69" s="1"/>
  <c r="AT27" i="69"/>
  <c r="AR12" i="69"/>
  <c r="AU12" i="69" s="1"/>
  <c r="AQ14" i="69"/>
  <c r="AP77" i="60"/>
  <c r="AW10" i="69"/>
  <c r="AY10" i="69" s="1"/>
  <c r="AZ10" i="69" s="1"/>
  <c r="AC79" i="60"/>
  <c r="AB79" i="60"/>
  <c r="AD79" i="60" s="1"/>
  <c r="AV11" i="69"/>
  <c r="AW11" i="69" s="1"/>
  <c r="AY11" i="69" s="1"/>
  <c r="AO12" i="69"/>
  <c r="AM30" i="69"/>
  <c r="AH77" i="60"/>
  <c r="AN77" i="60"/>
  <c r="AP15" i="69"/>
  <c r="AV26" i="69"/>
  <c r="AF78" i="60"/>
  <c r="AG78" i="60" s="1"/>
  <c r="AI78" i="60" s="1"/>
  <c r="AJ78" i="60" s="1"/>
  <c r="AL78" i="60"/>
  <c r="W81" i="60"/>
  <c r="X80" i="60"/>
  <c r="R10" i="86"/>
  <c r="U10" i="86" s="1"/>
  <c r="Q10" i="86"/>
  <c r="W10" i="86" s="1"/>
  <c r="AO28" i="69" a="1"/>
  <c r="AN29" i="69" a="1"/>
  <c r="AT28" i="69" a="1"/>
  <c r="AE80" i="60" a="1"/>
  <c r="AR13" i="69" a="1"/>
  <c r="AQ15" i="69" a="1"/>
  <c r="AK80" i="60" a="1"/>
  <c r="AT13" i="69" a="1"/>
  <c r="AS14" i="69" a="1"/>
  <c r="AR28" i="69" a="1"/>
  <c r="AV27" i="69" l="1"/>
  <c r="AX10" i="69"/>
  <c r="AX11" i="69" s="1"/>
  <c r="AK80" i="60"/>
  <c r="AE80" i="60"/>
  <c r="AR13" i="69"/>
  <c r="AU13" i="69" s="1"/>
  <c r="AN29" i="69"/>
  <c r="AT28" i="69"/>
  <c r="AO28" i="69"/>
  <c r="AR28" i="69"/>
  <c r="AU28" i="69" s="1"/>
  <c r="AQ15" i="69"/>
  <c r="AT13" i="69"/>
  <c r="AS14" i="69"/>
  <c r="AB80" i="60"/>
  <c r="AD80" i="60" s="1"/>
  <c r="AC80" i="60"/>
  <c r="AZ11" i="69"/>
  <c r="AF79" i="60"/>
  <c r="AL79" i="60"/>
  <c r="AM78" i="60"/>
  <c r="AO78" i="60" s="1"/>
  <c r="AM31" i="69"/>
  <c r="AP16" i="69"/>
  <c r="AV12" i="69"/>
  <c r="AW12" i="69" s="1"/>
  <c r="AO13" i="69"/>
  <c r="AH78" i="60"/>
  <c r="AW27" i="69"/>
  <c r="AY27" i="69" s="1"/>
  <c r="AW26" i="69"/>
  <c r="AY26" i="69" s="1"/>
  <c r="AN78" i="60"/>
  <c r="AP78" i="60"/>
  <c r="W82" i="60"/>
  <c r="X81" i="60"/>
  <c r="X10" i="86"/>
  <c r="Y10" i="86" s="1"/>
  <c r="Z10" i="86" s="1"/>
  <c r="S10" i="86"/>
  <c r="AC10" i="86" s="1"/>
  <c r="AR14" i="69" a="1"/>
  <c r="AT29" i="69" a="1"/>
  <c r="AQ16" i="69" a="1"/>
  <c r="AS15" i="69" a="1"/>
  <c r="AN30" i="69" a="1"/>
  <c r="AR29" i="69" a="1"/>
  <c r="AO29" i="69" a="1"/>
  <c r="AK81" i="60" a="1"/>
  <c r="AE81" i="60" a="1"/>
  <c r="AT14" i="69" a="1"/>
  <c r="AK81" i="60" l="1"/>
  <c r="AE81" i="60"/>
  <c r="AS15" i="69"/>
  <c r="AQ16" i="69"/>
  <c r="AO29" i="69"/>
  <c r="AT29" i="69"/>
  <c r="AR29" i="69"/>
  <c r="AU29" i="69" s="1"/>
  <c r="AT14" i="69"/>
  <c r="AN30" i="69"/>
  <c r="AR14" i="69"/>
  <c r="AU14" i="69" s="1"/>
  <c r="AY12" i="69"/>
  <c r="AZ12" i="69" s="1"/>
  <c r="AX12" i="69"/>
  <c r="AG79" i="60"/>
  <c r="AI79" i="60" s="1"/>
  <c r="AJ79" i="60" s="1"/>
  <c r="AV28" i="69"/>
  <c r="AM32" i="69"/>
  <c r="AC81" i="60"/>
  <c r="AB81" i="60"/>
  <c r="AD81" i="60" s="1"/>
  <c r="AF80" i="60"/>
  <c r="AG80" i="60" s="1"/>
  <c r="AI80" i="60" s="1"/>
  <c r="AM79" i="60"/>
  <c r="AO79" i="60" s="1"/>
  <c r="AP79" i="60" s="1"/>
  <c r="AO14" i="69"/>
  <c r="AV13" i="69"/>
  <c r="AW13" i="69" s="1"/>
  <c r="AY13" i="69" s="1"/>
  <c r="AL80" i="60"/>
  <c r="AM80" i="60" s="1"/>
  <c r="AO80" i="60" s="1"/>
  <c r="AP80" i="60" s="1"/>
  <c r="W83" i="60"/>
  <c r="X82" i="60"/>
  <c r="H11" i="86"/>
  <c r="V10" i="86"/>
  <c r="AS16" i="69" a="1"/>
  <c r="AE82" i="60" a="1"/>
  <c r="AR30" i="69" a="1"/>
  <c r="AT30" i="69" a="1"/>
  <c r="AO30" i="69" a="1"/>
  <c r="AK82" i="60" a="1"/>
  <c r="AT15" i="69" a="1"/>
  <c r="AN31" i="69" a="1"/>
  <c r="AR15" i="69" a="1"/>
  <c r="AZ13" i="69" l="1"/>
  <c r="AK82" i="60"/>
  <c r="AE82" i="60"/>
  <c r="AS16" i="69"/>
  <c r="AR15" i="69"/>
  <c r="AU15" i="69" s="1"/>
  <c r="AN31" i="69"/>
  <c r="AT15" i="69"/>
  <c r="AO30" i="69"/>
  <c r="AR30" i="69"/>
  <c r="AU30" i="69" s="1"/>
  <c r="AT30" i="69"/>
  <c r="AH79" i="60"/>
  <c r="AH80" i="60" s="1"/>
  <c r="AJ80" i="60"/>
  <c r="AV29" i="69"/>
  <c r="AW29" i="69" s="1"/>
  <c r="AY29" i="69" s="1"/>
  <c r="AM33" i="69"/>
  <c r="AX13" i="69"/>
  <c r="AF81" i="60"/>
  <c r="AV14" i="69"/>
  <c r="AO15" i="69"/>
  <c r="AW28" i="69"/>
  <c r="AY28" i="69" s="1"/>
  <c r="AC82" i="60"/>
  <c r="AB82" i="60"/>
  <c r="AD82" i="60" s="1"/>
  <c r="AN79" i="60"/>
  <c r="AN80" i="60" s="1"/>
  <c r="AL81" i="60"/>
  <c r="W84" i="60"/>
  <c r="X83" i="60"/>
  <c r="I11" i="86"/>
  <c r="J11" i="86"/>
  <c r="AE83" i="60" a="1"/>
  <c r="AK83" i="60" a="1"/>
  <c r="AT16" i="69" a="1"/>
  <c r="AR31" i="69" a="1"/>
  <c r="AR16" i="69" a="1"/>
  <c r="AT31" i="69" a="1"/>
  <c r="AN32" i="69" a="1"/>
  <c r="AO31" i="69" a="1"/>
  <c r="AE83" i="60" l="1"/>
  <c r="AK83" i="60"/>
  <c r="AN32" i="69"/>
  <c r="AR31" i="69"/>
  <c r="AU31" i="69" s="1"/>
  <c r="AO31" i="69"/>
  <c r="AT31" i="69"/>
  <c r="AR16" i="69"/>
  <c r="AU16" i="69" s="1"/>
  <c r="AT16" i="69"/>
  <c r="AL82" i="60"/>
  <c r="AM82" i="60" s="1"/>
  <c r="AO82" i="60" s="1"/>
  <c r="AP82" i="60" s="1"/>
  <c r="AM34" i="69"/>
  <c r="AV30" i="69"/>
  <c r="AB83" i="60"/>
  <c r="AD83" i="60" s="1"/>
  <c r="AC83" i="60"/>
  <c r="AO16" i="69"/>
  <c r="AV15" i="69"/>
  <c r="AW14" i="69"/>
  <c r="AY14" i="69" s="1"/>
  <c r="AZ14" i="69" s="1"/>
  <c r="AM81" i="60"/>
  <c r="AO81" i="60" s="1"/>
  <c r="AP81" i="60" s="1"/>
  <c r="AG81" i="60"/>
  <c r="AI81" i="60" s="1"/>
  <c r="AJ81" i="60" s="1"/>
  <c r="AF82" i="60"/>
  <c r="AG82" i="60" s="1"/>
  <c r="AI82" i="60" s="1"/>
  <c r="W85" i="60"/>
  <c r="X84" i="60"/>
  <c r="K11" i="86"/>
  <c r="L11" i="86"/>
  <c r="N11" i="86" s="1"/>
  <c r="P11" i="86" s="1"/>
  <c r="AO32" i="69" a="1"/>
  <c r="AE84" i="60" a="1"/>
  <c r="AN33" i="69" a="1"/>
  <c r="AT32" i="69" a="1"/>
  <c r="AK84" i="60" a="1"/>
  <c r="AR32" i="69" a="1"/>
  <c r="AF83" i="60" l="1"/>
  <c r="AN81" i="60"/>
  <c r="AN82" i="60" s="1"/>
  <c r="AX14" i="69"/>
  <c r="AV31" i="69"/>
  <c r="AK84" i="60"/>
  <c r="AE84" i="60"/>
  <c r="AN33" i="69"/>
  <c r="AR32" i="69"/>
  <c r="AU32" i="69" s="1"/>
  <c r="AT32" i="69"/>
  <c r="AO32" i="69"/>
  <c r="AV32" i="69" s="1"/>
  <c r="AW32" i="69" s="1"/>
  <c r="AY32" i="69" s="1"/>
  <c r="AV16" i="69"/>
  <c r="AW17" i="69" s="1"/>
  <c r="AY17" i="69" s="1"/>
  <c r="AB84" i="60"/>
  <c r="AD84" i="60" s="1"/>
  <c r="AC84" i="60"/>
  <c r="AW15" i="69"/>
  <c r="AY15" i="69" s="1"/>
  <c r="AZ15" i="69" s="1"/>
  <c r="AW30" i="69"/>
  <c r="AY30" i="69" s="1"/>
  <c r="AW31" i="69"/>
  <c r="AY31" i="69" s="1"/>
  <c r="AG83" i="60"/>
  <c r="AI83" i="60" s="1"/>
  <c r="AM35" i="69"/>
  <c r="AJ82" i="60"/>
  <c r="AH81" i="60"/>
  <c r="AH82" i="60" s="1"/>
  <c r="AL83" i="60"/>
  <c r="AM83" i="60" s="1"/>
  <c r="AO83" i="60" s="1"/>
  <c r="AP83" i="60" s="1"/>
  <c r="W86" i="60"/>
  <c r="X85" i="60"/>
  <c r="R11" i="86"/>
  <c r="U11" i="86" s="1"/>
  <c r="Q11" i="86"/>
  <c r="W11" i="86" s="1"/>
  <c r="AO33" i="69" a="1"/>
  <c r="AN34" i="69" a="1"/>
  <c r="AR33" i="69" a="1"/>
  <c r="AE85" i="60" a="1"/>
  <c r="AK85" i="60" a="1"/>
  <c r="AT33" i="69" a="1"/>
  <c r="AX15" i="69" l="1"/>
  <c r="AJ83" i="60"/>
  <c r="AH83" i="60"/>
  <c r="AE85" i="60"/>
  <c r="AK85" i="60"/>
  <c r="AR33" i="69"/>
  <c r="AU33" i="69" s="1"/>
  <c r="AT33" i="69"/>
  <c r="AO33" i="69"/>
  <c r="AN34" i="69"/>
  <c r="AN83" i="60"/>
  <c r="AW16" i="69"/>
  <c r="AY16" i="69" s="1"/>
  <c r="AZ16" i="69" s="1"/>
  <c r="AZ17" i="69" s="1"/>
  <c r="AF84" i="60"/>
  <c r="AB85" i="60"/>
  <c r="AD85" i="60" s="1"/>
  <c r="AC85" i="60"/>
  <c r="AM36" i="69"/>
  <c r="AL84" i="60"/>
  <c r="AM84" i="60" s="1"/>
  <c r="AO84" i="60" s="1"/>
  <c r="AP84" i="60" s="1"/>
  <c r="W87" i="60"/>
  <c r="X86" i="60"/>
  <c r="X11" i="86"/>
  <c r="Y11" i="86" s="1"/>
  <c r="S11" i="86"/>
  <c r="AC11" i="86" s="1"/>
  <c r="AN35" i="69" a="1"/>
  <c r="AT34" i="69" a="1"/>
  <c r="AE86" i="60" a="1"/>
  <c r="AK86" i="60" a="1"/>
  <c r="AR34" i="69" a="1"/>
  <c r="AO34" i="69" a="1"/>
  <c r="AN84" i="60" l="1"/>
  <c r="AX16" i="69"/>
  <c r="AX17" i="69" s="1"/>
  <c r="AX18" i="69" s="1"/>
  <c r="AX19" i="69" s="1"/>
  <c r="AX20" i="69" s="1"/>
  <c r="AX21" i="69" s="1"/>
  <c r="AX22" i="69" s="1"/>
  <c r="AX23" i="69" s="1"/>
  <c r="AX24" i="69" s="1"/>
  <c r="AX25" i="69" s="1"/>
  <c r="AX26" i="69" s="1"/>
  <c r="AX27" i="69" s="1"/>
  <c r="AX28" i="69" s="1"/>
  <c r="AX29" i="69" s="1"/>
  <c r="AX30" i="69" s="1"/>
  <c r="AX31" i="69" s="1"/>
  <c r="AX32" i="69" s="1"/>
  <c r="AK86" i="60"/>
  <c r="AE86" i="60"/>
  <c r="AO34" i="69"/>
  <c r="AT34" i="69"/>
  <c r="AR34" i="69"/>
  <c r="AU34" i="69" s="1"/>
  <c r="AN35" i="69"/>
  <c r="J11" i="90"/>
  <c r="K11" i="90" s="1"/>
  <c r="AZ18" i="69"/>
  <c r="AZ19" i="69" s="1"/>
  <c r="AZ20" i="69" s="1"/>
  <c r="AZ21" i="69" s="1"/>
  <c r="AZ22" i="69" s="1"/>
  <c r="AZ23" i="69" s="1"/>
  <c r="AZ24" i="69" s="1"/>
  <c r="AZ25" i="69" s="1"/>
  <c r="AZ26" i="69" s="1"/>
  <c r="AZ27" i="69" s="1"/>
  <c r="AZ28" i="69" s="1"/>
  <c r="AZ29" i="69" s="1"/>
  <c r="AZ30" i="69" s="1"/>
  <c r="AZ31" i="69" s="1"/>
  <c r="AZ32" i="69" s="1"/>
  <c r="AF85" i="60"/>
  <c r="AG85" i="60" s="1"/>
  <c r="AI85" i="60" s="1"/>
  <c r="AG84" i="60"/>
  <c r="AB86" i="60"/>
  <c r="AD86" i="60" s="1"/>
  <c r="AC86" i="60"/>
  <c r="AV33" i="69"/>
  <c r="AM37" i="69"/>
  <c r="AL85" i="60"/>
  <c r="W88" i="60"/>
  <c r="X87" i="60"/>
  <c r="Z11" i="86"/>
  <c r="H12" i="86"/>
  <c r="V11" i="86"/>
  <c r="AN36" i="69" a="1"/>
  <c r="AO35" i="69" a="1"/>
  <c r="AT35" i="69" a="1"/>
  <c r="AR35" i="69" a="1"/>
  <c r="AE87" i="60" a="1"/>
  <c r="AK87" i="60" a="1"/>
  <c r="AK87" i="60" l="1"/>
  <c r="AE87" i="60"/>
  <c r="AO35" i="69"/>
  <c r="AR35" i="69"/>
  <c r="AU35" i="69" s="1"/>
  <c r="AT35" i="69"/>
  <c r="AN36" i="69"/>
  <c r="AM85" i="60"/>
  <c r="AI84" i="60"/>
  <c r="AJ84" i="60" s="1"/>
  <c r="AH84" i="60"/>
  <c r="AH85" i="60" s="1"/>
  <c r="AV34" i="69"/>
  <c r="AW34" i="69" s="1"/>
  <c r="AY34" i="69" s="1"/>
  <c r="AB87" i="60"/>
  <c r="AD87" i="60" s="1"/>
  <c r="AC87" i="60"/>
  <c r="AJ85" i="60"/>
  <c r="AM38" i="69"/>
  <c r="AF86" i="60"/>
  <c r="AG86" i="60" s="1"/>
  <c r="AI86" i="60" s="1"/>
  <c r="AJ86" i="60" s="1"/>
  <c r="AW33" i="69"/>
  <c r="AL86" i="60"/>
  <c r="W89" i="60"/>
  <c r="X88" i="60"/>
  <c r="I12" i="86"/>
  <c r="J12" i="86"/>
  <c r="AR36" i="69" a="1"/>
  <c r="AT36" i="69" a="1"/>
  <c r="AN37" i="69" a="1"/>
  <c r="AO36" i="69" a="1"/>
  <c r="AK88" i="60" a="1"/>
  <c r="AE88" i="60" a="1"/>
  <c r="AK88" i="60" l="1"/>
  <c r="AE88" i="60"/>
  <c r="AT36" i="69"/>
  <c r="AR36" i="69"/>
  <c r="AU36" i="69" s="1"/>
  <c r="AO36" i="69"/>
  <c r="AN37" i="69"/>
  <c r="AO85" i="60"/>
  <c r="AP85" i="60" s="1"/>
  <c r="AN85" i="60"/>
  <c r="AN86" i="60" s="1"/>
  <c r="AM39" i="69"/>
  <c r="AY33" i="69"/>
  <c r="AZ33" i="69" s="1"/>
  <c r="AZ34" i="69" s="1"/>
  <c r="AX33" i="69"/>
  <c r="AX34" i="69" s="1"/>
  <c r="AH86" i="60"/>
  <c r="AV35" i="69"/>
  <c r="AB88" i="60"/>
  <c r="AD88" i="60" s="1"/>
  <c r="AC88" i="60"/>
  <c r="AF87" i="60"/>
  <c r="AG87" i="60" s="1"/>
  <c r="AI87" i="60" s="1"/>
  <c r="AJ87" i="60" s="1"/>
  <c r="AM86" i="60"/>
  <c r="AO86" i="60" s="1"/>
  <c r="AL87" i="60"/>
  <c r="AM87" i="60" s="1"/>
  <c r="AO87" i="60" s="1"/>
  <c r="W90" i="60"/>
  <c r="X89" i="60"/>
  <c r="K12" i="86"/>
  <c r="L12" i="86"/>
  <c r="N12" i="86" s="1"/>
  <c r="P12" i="86" s="1"/>
  <c r="AT37" i="69" a="1"/>
  <c r="AK89" i="60" a="1"/>
  <c r="AE89" i="60" a="1"/>
  <c r="AO37" i="69" a="1"/>
  <c r="AN38" i="69" a="1"/>
  <c r="AR37" i="69" a="1"/>
  <c r="AV36" i="69" l="1"/>
  <c r="AW36" i="69" s="1"/>
  <c r="AY36" i="69" s="1"/>
  <c r="AH87" i="60"/>
  <c r="AF88" i="60"/>
  <c r="AG88" i="60" s="1"/>
  <c r="AI88" i="60" s="1"/>
  <c r="AJ88" i="60" s="1"/>
  <c r="AP86" i="60"/>
  <c r="AP87" i="60" s="1"/>
  <c r="AL88" i="60"/>
  <c r="AM88" i="60" s="1"/>
  <c r="AO88" i="60" s="1"/>
  <c r="AP88" i="60" s="1"/>
  <c r="AE89" i="60"/>
  <c r="AK89" i="60"/>
  <c r="AT37" i="69"/>
  <c r="AR37" i="69"/>
  <c r="AU37" i="69" s="1"/>
  <c r="AO37" i="69"/>
  <c r="AN38" i="69"/>
  <c r="AW35" i="69"/>
  <c r="AY35" i="69" s="1"/>
  <c r="AZ35" i="69" s="1"/>
  <c r="AN87" i="60"/>
  <c r="AC89" i="60"/>
  <c r="AB89" i="60"/>
  <c r="AD89" i="60" s="1"/>
  <c r="AM40" i="69"/>
  <c r="W91" i="60"/>
  <c r="X90" i="60"/>
  <c r="R12" i="86"/>
  <c r="U12" i="86" s="1"/>
  <c r="Q12" i="86"/>
  <c r="W12" i="86" s="1"/>
  <c r="AT38" i="69" a="1"/>
  <c r="AE90" i="60" a="1"/>
  <c r="AN39" i="69" a="1"/>
  <c r="AO38" i="69" a="1"/>
  <c r="AK90" i="60" a="1"/>
  <c r="AR38" i="69" a="1"/>
  <c r="AX35" i="69" l="1"/>
  <c r="AH88" i="60"/>
  <c r="AX36" i="69"/>
  <c r="AF89" i="60"/>
  <c r="AG89" i="60" s="1"/>
  <c r="AI89" i="60" s="1"/>
  <c r="AJ89" i="60" s="1"/>
  <c r="AE90" i="60"/>
  <c r="AK90" i="60"/>
  <c r="AR38" i="69"/>
  <c r="AU38" i="69" s="1"/>
  <c r="AT38" i="69"/>
  <c r="AO38" i="69"/>
  <c r="AV38" i="69" s="1"/>
  <c r="AN39" i="69"/>
  <c r="AZ36" i="69"/>
  <c r="AC90" i="60"/>
  <c r="AB90" i="60"/>
  <c r="AD90" i="60" s="1"/>
  <c r="AV37" i="69"/>
  <c r="AM41" i="69"/>
  <c r="AN88" i="60"/>
  <c r="AL89" i="60"/>
  <c r="AM89" i="60" s="1"/>
  <c r="AO89" i="60" s="1"/>
  <c r="AP89" i="60" s="1"/>
  <c r="W92" i="60"/>
  <c r="X91" i="60"/>
  <c r="X12" i="86"/>
  <c r="S12" i="86"/>
  <c r="AC12" i="86" s="1"/>
  <c r="Y12" i="86"/>
  <c r="AT39" i="69" a="1"/>
  <c r="AE91" i="60" a="1"/>
  <c r="AN40" i="69" a="1"/>
  <c r="AO39" i="69" a="1"/>
  <c r="AK91" i="60" a="1"/>
  <c r="AR39" i="69" a="1"/>
  <c r="AN89" i="60" l="1"/>
  <c r="AF90" i="60"/>
  <c r="AG90" i="60" s="1"/>
  <c r="AI90" i="60" s="1"/>
  <c r="AJ90" i="60" s="1"/>
  <c r="AH89" i="60"/>
  <c r="AK91" i="60"/>
  <c r="AE91" i="60"/>
  <c r="AN40" i="69"/>
  <c r="AR39" i="69"/>
  <c r="AU39" i="69" s="1"/>
  <c r="AO39" i="69"/>
  <c r="AT39" i="69"/>
  <c r="AM42" i="69"/>
  <c r="AH90" i="60"/>
  <c r="AB91" i="60"/>
  <c r="AD91" i="60" s="1"/>
  <c r="AC91" i="60"/>
  <c r="AW38" i="69"/>
  <c r="AY38" i="69" s="1"/>
  <c r="AW37" i="69"/>
  <c r="AL90" i="60"/>
  <c r="W93" i="60"/>
  <c r="X92" i="60"/>
  <c r="Z12" i="86"/>
  <c r="V12" i="86"/>
  <c r="H13" i="86"/>
  <c r="AT40" i="69" a="1"/>
  <c r="AK92" i="60" a="1"/>
  <c r="AN41" i="69" a="1"/>
  <c r="AO40" i="69" a="1"/>
  <c r="AR40" i="69" a="1"/>
  <c r="AE92" i="60" a="1"/>
  <c r="AE92" i="60" l="1"/>
  <c r="AK92" i="60"/>
  <c r="AN41" i="69"/>
  <c r="AR40" i="69"/>
  <c r="AU40" i="69" s="1"/>
  <c r="AO40" i="69"/>
  <c r="AT40" i="69"/>
  <c r="AM43" i="69"/>
  <c r="AV39" i="69"/>
  <c r="AW39" i="69" s="1"/>
  <c r="AY39" i="69" s="1"/>
  <c r="AY37" i="69"/>
  <c r="AZ37" i="69" s="1"/>
  <c r="AZ38" i="69" s="1"/>
  <c r="AZ39" i="69" s="1"/>
  <c r="AX37" i="69"/>
  <c r="AX38" i="69" s="1"/>
  <c r="AC92" i="60"/>
  <c r="AB92" i="60"/>
  <c r="AD92" i="60" s="1"/>
  <c r="AM90" i="60"/>
  <c r="AF91" i="60"/>
  <c r="AL91" i="60"/>
  <c r="AM91" i="60" s="1"/>
  <c r="AO91" i="60" s="1"/>
  <c r="W94" i="60"/>
  <c r="X93" i="60"/>
  <c r="I13" i="86"/>
  <c r="AO41" i="69" a="1"/>
  <c r="AR41" i="69" a="1"/>
  <c r="AE93" i="60" a="1"/>
  <c r="AN42" i="69" a="1"/>
  <c r="J13" i="86"/>
  <c r="AT41" i="69" a="1"/>
  <c r="AK93" i="60" a="1"/>
  <c r="AV40" i="69" l="1"/>
  <c r="AF92" i="60"/>
  <c r="AK93" i="60"/>
  <c r="AE93" i="60"/>
  <c r="AN42" i="69"/>
  <c r="AR41" i="69"/>
  <c r="AU41" i="69" s="1"/>
  <c r="AT41" i="69"/>
  <c r="AO41" i="69"/>
  <c r="AO90" i="60"/>
  <c r="AP90" i="60" s="1"/>
  <c r="AP91" i="60" s="1"/>
  <c r="AN90" i="60"/>
  <c r="AN91" i="60" s="1"/>
  <c r="AM44" i="69"/>
  <c r="AB93" i="60"/>
  <c r="AD93" i="60" s="1"/>
  <c r="AC93" i="60"/>
  <c r="AW40" i="69"/>
  <c r="AY40" i="69" s="1"/>
  <c r="AZ40" i="69" s="1"/>
  <c r="AG91" i="60"/>
  <c r="AG92" i="60"/>
  <c r="AI92" i="60" s="1"/>
  <c r="AX39" i="69"/>
  <c r="AL92" i="60"/>
  <c r="W95" i="60"/>
  <c r="X94" i="60"/>
  <c r="K13" i="86"/>
  <c r="L13" i="86"/>
  <c r="N13" i="86" s="1"/>
  <c r="P13" i="86" s="1"/>
  <c r="AR42" i="69" a="1"/>
  <c r="AK94" i="60" a="1"/>
  <c r="AN43" i="69" a="1"/>
  <c r="AT42" i="69" a="1"/>
  <c r="AO42" i="69" a="1"/>
  <c r="AE94" i="60" a="1"/>
  <c r="AE94" i="60" l="1"/>
  <c r="AK94" i="60"/>
  <c r="AO42" i="69"/>
  <c r="AR42" i="69"/>
  <c r="AU42" i="69" s="1"/>
  <c r="AT42" i="69"/>
  <c r="AN43" i="69"/>
  <c r="AC94" i="60"/>
  <c r="AB94" i="60"/>
  <c r="AD94" i="60" s="1"/>
  <c r="AV41" i="69"/>
  <c r="AW41" i="69" s="1"/>
  <c r="AY41" i="69" s="1"/>
  <c r="AZ41" i="69" s="1"/>
  <c r="AX40" i="69"/>
  <c r="AM92" i="60"/>
  <c r="AO92" i="60" s="1"/>
  <c r="AP92" i="60" s="1"/>
  <c r="AM93" i="60"/>
  <c r="AO93" i="60" s="1"/>
  <c r="AM45" i="69"/>
  <c r="AF93" i="60"/>
  <c r="AG93" i="60" s="1"/>
  <c r="AI93" i="60" s="1"/>
  <c r="AI91" i="60"/>
  <c r="AJ91" i="60" s="1"/>
  <c r="AJ92" i="60" s="1"/>
  <c r="AH91" i="60"/>
  <c r="AH92" i="60" s="1"/>
  <c r="AL93" i="60"/>
  <c r="W96" i="60"/>
  <c r="X95" i="60"/>
  <c r="R13" i="86"/>
  <c r="U13" i="86" s="1"/>
  <c r="Q13" i="86"/>
  <c r="W13" i="86" s="1"/>
  <c r="AT43" i="69" a="1"/>
  <c r="AE95" i="60" a="1"/>
  <c r="AO43" i="69" a="1"/>
  <c r="AN44" i="69" a="1"/>
  <c r="AK95" i="60" a="1"/>
  <c r="AR43" i="69" a="1"/>
  <c r="AN92" i="60" l="1"/>
  <c r="AV42" i="69"/>
  <c r="AE95" i="60"/>
  <c r="AK95" i="60"/>
  <c r="AT43" i="69"/>
  <c r="AR43" i="69"/>
  <c r="AU43" i="69" s="1"/>
  <c r="AO43" i="69"/>
  <c r="AN44" i="69"/>
  <c r="AC95" i="60"/>
  <c r="AB95" i="60"/>
  <c r="AD95" i="60" s="1"/>
  <c r="AJ93" i="60"/>
  <c r="AP93" i="60"/>
  <c r="AW42" i="69"/>
  <c r="AY42" i="69" s="1"/>
  <c r="AZ42" i="69" s="1"/>
  <c r="AN93" i="60"/>
  <c r="AH93" i="60"/>
  <c r="AX41" i="69"/>
  <c r="AM46" i="69"/>
  <c r="AL94" i="60"/>
  <c r="AM94" i="60" s="1"/>
  <c r="AO94" i="60" s="1"/>
  <c r="AF94" i="60"/>
  <c r="W97" i="60"/>
  <c r="X96" i="60"/>
  <c r="X13" i="86"/>
  <c r="Y13" i="86" s="1"/>
  <c r="S13" i="86"/>
  <c r="AC13" i="86" s="1"/>
  <c r="AN45" i="69" a="1"/>
  <c r="AT44" i="69" a="1"/>
  <c r="AK96" i="60" a="1"/>
  <c r="AR44" i="69" a="1"/>
  <c r="AO44" i="69" a="1"/>
  <c r="AE96" i="60" a="1"/>
  <c r="AP94" i="60" l="1"/>
  <c r="AE96" i="60"/>
  <c r="AK96" i="60"/>
  <c r="AR44" i="69"/>
  <c r="AU44" i="69" s="1"/>
  <c r="AT44" i="69"/>
  <c r="AO44" i="69"/>
  <c r="AV44" i="69" s="1"/>
  <c r="AN45" i="69"/>
  <c r="AN94" i="60"/>
  <c r="AV43" i="69"/>
  <c r="AW43" i="69" s="1"/>
  <c r="AY43" i="69" s="1"/>
  <c r="AZ43" i="69" s="1"/>
  <c r="AM47" i="69"/>
  <c r="AG94" i="60"/>
  <c r="AI94" i="60" s="1"/>
  <c r="AJ94" i="60" s="1"/>
  <c r="AX42" i="69"/>
  <c r="AL95" i="60"/>
  <c r="AM95" i="60" s="1"/>
  <c r="AO95" i="60" s="1"/>
  <c r="AP95" i="60" s="1"/>
  <c r="AB96" i="60"/>
  <c r="AD96" i="60" s="1"/>
  <c r="AC96" i="60"/>
  <c r="AF95" i="60"/>
  <c r="AG95" i="60" s="1"/>
  <c r="AI95" i="60" s="1"/>
  <c r="AJ95" i="60" s="1"/>
  <c r="W98" i="60"/>
  <c r="X97" i="60"/>
  <c r="Z13" i="86"/>
  <c r="H14" i="86"/>
  <c r="V13" i="86"/>
  <c r="AO45" i="69" a="1"/>
  <c r="AR45" i="69" a="1"/>
  <c r="AT45" i="69" a="1"/>
  <c r="AE97" i="60" a="1"/>
  <c r="AN46" i="69" a="1"/>
  <c r="AK97" i="60" a="1"/>
  <c r="AN95" i="60" l="1"/>
  <c r="AX43" i="69"/>
  <c r="AE97" i="60"/>
  <c r="AK97" i="60"/>
  <c r="AR45" i="69"/>
  <c r="AU45" i="69" s="1"/>
  <c r="AT45" i="69"/>
  <c r="AO45" i="69"/>
  <c r="AV45" i="69" s="1"/>
  <c r="AN46" i="69"/>
  <c r="AM48" i="69"/>
  <c r="AH94" i="60"/>
  <c r="AH95" i="60" s="1"/>
  <c r="AL96" i="60"/>
  <c r="AM96" i="60" s="1"/>
  <c r="AO96" i="60" s="1"/>
  <c r="AP96" i="60" s="1"/>
  <c r="AC97" i="60"/>
  <c r="AB97" i="60"/>
  <c r="AD97" i="60" s="1"/>
  <c r="AW44" i="69"/>
  <c r="AY44" i="69" s="1"/>
  <c r="AZ44" i="69" s="1"/>
  <c r="AW45" i="69"/>
  <c r="AY45" i="69" s="1"/>
  <c r="AF96" i="60"/>
  <c r="AG96" i="60" s="1"/>
  <c r="AI96" i="60" s="1"/>
  <c r="AJ96" i="60" s="1"/>
  <c r="W99" i="60"/>
  <c r="X98" i="60"/>
  <c r="I14" i="86"/>
  <c r="AK98" i="60" a="1"/>
  <c r="AO46" i="69" a="1"/>
  <c r="J14" i="86"/>
  <c r="AT46" i="69" a="1"/>
  <c r="AE98" i="60" a="1"/>
  <c r="AN47" i="69" a="1"/>
  <c r="AR46" i="69" a="1"/>
  <c r="AN96" i="60" l="1"/>
  <c r="AL97" i="60"/>
  <c r="AM97" i="60" s="1"/>
  <c r="AO97" i="60" s="1"/>
  <c r="AP97" i="60" s="1"/>
  <c r="AE98" i="60"/>
  <c r="AK98" i="60"/>
  <c r="AN47" i="69"/>
  <c r="AR46" i="69"/>
  <c r="AU46" i="69" s="1"/>
  <c r="AT46" i="69"/>
  <c r="AO46" i="69"/>
  <c r="AZ45" i="69"/>
  <c r="AN97" i="60"/>
  <c r="AB98" i="60"/>
  <c r="AD98" i="60" s="1"/>
  <c r="AC98" i="60"/>
  <c r="AX44" i="69"/>
  <c r="AX45" i="69" s="1"/>
  <c r="AG97" i="60"/>
  <c r="AI97" i="60" s="1"/>
  <c r="AJ97" i="60" s="1"/>
  <c r="AH96" i="60"/>
  <c r="AM49" i="69"/>
  <c r="AF97" i="60"/>
  <c r="W100" i="60"/>
  <c r="X99" i="60"/>
  <c r="K14" i="86"/>
  <c r="L14" i="86"/>
  <c r="N14" i="86" s="1"/>
  <c r="P14" i="86" s="1"/>
  <c r="AT47" i="69" a="1"/>
  <c r="AR47" i="69" a="1"/>
  <c r="AE99" i="60" a="1"/>
  <c r="AO47" i="69" a="1"/>
  <c r="AN48" i="69" a="1"/>
  <c r="AK99" i="60" a="1"/>
  <c r="AH97" i="60" l="1"/>
  <c r="AV46" i="69"/>
  <c r="AE99" i="60"/>
  <c r="AK99" i="60"/>
  <c r="AN48" i="69"/>
  <c r="AT47" i="69"/>
  <c r="AR47" i="69"/>
  <c r="AU47" i="69" s="1"/>
  <c r="AO47" i="69"/>
  <c r="AM50" i="69"/>
  <c r="AW46" i="69"/>
  <c r="AY46" i="69" s="1"/>
  <c r="AZ46" i="69" s="1"/>
  <c r="AC99" i="60"/>
  <c r="AB99" i="60"/>
  <c r="AD99" i="60" s="1"/>
  <c r="AL98" i="60"/>
  <c r="AM98" i="60" s="1"/>
  <c r="AO98" i="60" s="1"/>
  <c r="AP98" i="60" s="1"/>
  <c r="AF98" i="60"/>
  <c r="W101" i="60"/>
  <c r="X100" i="60"/>
  <c r="R14" i="86"/>
  <c r="U14" i="86" s="1"/>
  <c r="Q14" i="86"/>
  <c r="W14" i="86" s="1"/>
  <c r="AO48" i="69" a="1"/>
  <c r="AK100" i="60" a="1"/>
  <c r="AR48" i="69" a="1"/>
  <c r="AE100" i="60" a="1"/>
  <c r="AN49" i="69" a="1"/>
  <c r="AT48" i="69" a="1"/>
  <c r="AX46" i="69" l="1"/>
  <c r="AF99" i="60"/>
  <c r="AK100" i="60"/>
  <c r="AE100" i="60"/>
  <c r="AT48" i="69"/>
  <c r="AR48" i="69"/>
  <c r="AU48" i="69" s="1"/>
  <c r="AO48" i="69"/>
  <c r="AN49" i="69"/>
  <c r="AV47" i="69"/>
  <c r="AW47" i="69" s="1"/>
  <c r="AY47" i="69" s="1"/>
  <c r="AZ47" i="69" s="1"/>
  <c r="AG98" i="60"/>
  <c r="AG99" i="60"/>
  <c r="AI99" i="60" s="1"/>
  <c r="AN98" i="60"/>
  <c r="AB100" i="60"/>
  <c r="AD100" i="60" s="1"/>
  <c r="AC100" i="60"/>
  <c r="AM51" i="69"/>
  <c r="AL99" i="60"/>
  <c r="W102" i="60"/>
  <c r="X101" i="60"/>
  <c r="X14" i="86"/>
  <c r="Y14" i="86" s="1"/>
  <c r="Z14" i="86" s="1"/>
  <c r="S14" i="86"/>
  <c r="AC14" i="86" s="1"/>
  <c r="AN50" i="69" a="1"/>
  <c r="AR49" i="69" a="1"/>
  <c r="AE101" i="60" a="1"/>
  <c r="AO49" i="69" a="1"/>
  <c r="AK101" i="60" a="1"/>
  <c r="AT49" i="69" a="1"/>
  <c r="AV48" i="69" l="1"/>
  <c r="AW48" i="69" s="1"/>
  <c r="AY48" i="69" s="1"/>
  <c r="AZ48" i="69" s="1"/>
  <c r="AX47" i="69"/>
  <c r="AX48" i="69" s="1"/>
  <c r="AE101" i="60"/>
  <c r="AK101" i="60"/>
  <c r="AT49" i="69"/>
  <c r="AR49" i="69"/>
  <c r="AU49" i="69" s="1"/>
  <c r="AO49" i="69"/>
  <c r="AN50" i="69"/>
  <c r="AC101" i="60"/>
  <c r="AB101" i="60"/>
  <c r="AD101" i="60" s="1"/>
  <c r="AI98" i="60"/>
  <c r="AJ98" i="60" s="1"/>
  <c r="AJ99" i="60" s="1"/>
  <c r="AH98" i="60"/>
  <c r="AH99" i="60" s="1"/>
  <c r="AM99" i="60"/>
  <c r="AO99" i="60" s="1"/>
  <c r="AP99" i="60" s="1"/>
  <c r="AM100" i="60"/>
  <c r="AO100" i="60" s="1"/>
  <c r="AM52" i="69"/>
  <c r="AF100" i="60"/>
  <c r="AL100" i="60"/>
  <c r="W103" i="60"/>
  <c r="X102" i="60"/>
  <c r="V14" i="86"/>
  <c r="H15" i="86"/>
  <c r="AR50" i="69" a="1"/>
  <c r="AT50" i="69" a="1"/>
  <c r="AE102" i="60" a="1"/>
  <c r="AO50" i="69" a="1"/>
  <c r="AK102" i="60" a="1"/>
  <c r="AN51" i="69" a="1"/>
  <c r="AP100" i="60" l="1"/>
  <c r="AV49" i="69"/>
  <c r="AW49" i="69" s="1"/>
  <c r="AY49" i="69" s="1"/>
  <c r="AZ49" i="69" s="1"/>
  <c r="AK102" i="60"/>
  <c r="AE102" i="60"/>
  <c r="AN51" i="69"/>
  <c r="AT50" i="69"/>
  <c r="AR50" i="69"/>
  <c r="AU50" i="69" s="1"/>
  <c r="AO50" i="69"/>
  <c r="AV50" i="69" s="1"/>
  <c r="AF101" i="60"/>
  <c r="AG101" i="60" s="1"/>
  <c r="AI101" i="60" s="1"/>
  <c r="AM53" i="69"/>
  <c r="AB102" i="60"/>
  <c r="AD102" i="60" s="1"/>
  <c r="AC102" i="60"/>
  <c r="AN99" i="60"/>
  <c r="AN100" i="60" s="1"/>
  <c r="AL101" i="60"/>
  <c r="AM101" i="60" s="1"/>
  <c r="AO101" i="60" s="1"/>
  <c r="AP101" i="60" s="1"/>
  <c r="AG100" i="60"/>
  <c r="AI100" i="60" s="1"/>
  <c r="AJ100" i="60" s="1"/>
  <c r="W104" i="60"/>
  <c r="X103" i="60"/>
  <c r="I15" i="86"/>
  <c r="AT51" i="69" a="1"/>
  <c r="J15" i="86"/>
  <c r="AN52" i="69" a="1"/>
  <c r="AK103" i="60" a="1"/>
  <c r="AR51" i="69" a="1"/>
  <c r="AE103" i="60" a="1"/>
  <c r="AO51" i="69" a="1"/>
  <c r="AJ101" i="60" l="1"/>
  <c r="AX49" i="69"/>
  <c r="AL102" i="60"/>
  <c r="AM102" i="60" s="1"/>
  <c r="AO102" i="60" s="1"/>
  <c r="AK103" i="60"/>
  <c r="AE103" i="60"/>
  <c r="AN52" i="69"/>
  <c r="AT51" i="69"/>
  <c r="AO51" i="69"/>
  <c r="AR51" i="69"/>
  <c r="AU51" i="69" s="1"/>
  <c r="AM54" i="69"/>
  <c r="AP102" i="60"/>
  <c r="AW50" i="69"/>
  <c r="AY50" i="69" s="1"/>
  <c r="AZ50" i="69" s="1"/>
  <c r="AN101" i="60"/>
  <c r="AN102" i="60" s="1"/>
  <c r="AB103" i="60"/>
  <c r="AD103" i="60" s="1"/>
  <c r="AC103" i="60"/>
  <c r="AH100" i="60"/>
  <c r="AH101" i="60" s="1"/>
  <c r="AF102" i="60"/>
  <c r="W105" i="60"/>
  <c r="X104" i="60"/>
  <c r="K15" i="86"/>
  <c r="L15" i="86"/>
  <c r="N15" i="86" s="1"/>
  <c r="P15" i="86" s="1"/>
  <c r="AO52" i="69" a="1"/>
  <c r="AR52" i="69" a="1"/>
  <c r="AT52" i="69" a="1"/>
  <c r="AE104" i="60" a="1"/>
  <c r="AK104" i="60" a="1"/>
  <c r="AN53" i="69" a="1"/>
  <c r="AX50" i="69" l="1"/>
  <c r="AF103" i="60"/>
  <c r="AL103" i="60"/>
  <c r="AM103" i="60" s="1"/>
  <c r="AO103" i="60" s="1"/>
  <c r="AK104" i="60"/>
  <c r="AE104" i="60"/>
  <c r="AN53" i="69"/>
  <c r="AT52" i="69"/>
  <c r="AR52" i="69"/>
  <c r="AU52" i="69" s="1"/>
  <c r="AO52" i="69"/>
  <c r="AM55" i="69"/>
  <c r="AB104" i="60"/>
  <c r="AD104" i="60" s="1"/>
  <c r="AC104" i="60"/>
  <c r="AG102" i="60"/>
  <c r="AI102" i="60" s="1"/>
  <c r="AJ102" i="60" s="1"/>
  <c r="AG103" i="60"/>
  <c r="AI103" i="60" s="1"/>
  <c r="AP103" i="60"/>
  <c r="AN103" i="60"/>
  <c r="AV51" i="69"/>
  <c r="AW51" i="69" s="1"/>
  <c r="AY51" i="69" s="1"/>
  <c r="AZ51" i="69" s="1"/>
  <c r="W106" i="60"/>
  <c r="X105" i="60"/>
  <c r="R15" i="86"/>
  <c r="U15" i="86" s="1"/>
  <c r="Q15" i="86"/>
  <c r="W15" i="86" s="1"/>
  <c r="AR53" i="69" a="1"/>
  <c r="AN54" i="69" a="1"/>
  <c r="AK105" i="60" a="1"/>
  <c r="AT53" i="69" a="1"/>
  <c r="AE105" i="60" a="1"/>
  <c r="AO53" i="69" a="1"/>
  <c r="AV52" i="69" l="1"/>
  <c r="AW52" i="69" s="1"/>
  <c r="AY52" i="69" s="1"/>
  <c r="AZ52" i="69" s="1"/>
  <c r="AK105" i="60"/>
  <c r="AE105" i="60"/>
  <c r="AN54" i="69"/>
  <c r="AO53" i="69"/>
  <c r="AT53" i="69"/>
  <c r="AR53" i="69"/>
  <c r="AU53" i="69" s="1"/>
  <c r="AJ103" i="60"/>
  <c r="AH102" i="60"/>
  <c r="AH103" i="60" s="1"/>
  <c r="AX51" i="69"/>
  <c r="AX52" i="69" s="1"/>
  <c r="AF104" i="60"/>
  <c r="AG104" i="60" s="1"/>
  <c r="AI104" i="60" s="1"/>
  <c r="AJ104" i="60" s="1"/>
  <c r="AC105" i="60"/>
  <c r="AB105" i="60"/>
  <c r="AD105" i="60" s="1"/>
  <c r="AM56" i="69"/>
  <c r="AL104" i="60"/>
  <c r="AM104" i="60" s="1"/>
  <c r="AO104" i="60" s="1"/>
  <c r="AP104" i="60" s="1"/>
  <c r="W107" i="60"/>
  <c r="X106" i="60"/>
  <c r="X15" i="86"/>
  <c r="Y15" i="86" s="1"/>
  <c r="S15" i="86"/>
  <c r="AC15" i="86" s="1"/>
  <c r="AR54" i="69" a="1"/>
  <c r="AO54" i="69" a="1"/>
  <c r="AE106" i="60" a="1"/>
  <c r="AK106" i="60" a="1"/>
  <c r="AT54" i="69" a="1"/>
  <c r="AN55" i="69" a="1"/>
  <c r="AN104" i="60" l="1"/>
  <c r="AH104" i="60"/>
  <c r="AF105" i="60"/>
  <c r="AG105" i="60" s="1"/>
  <c r="AI105" i="60" s="1"/>
  <c r="AJ105" i="60" s="1"/>
  <c r="AL105" i="60"/>
  <c r="AM105" i="60" s="1"/>
  <c r="AO105" i="60" s="1"/>
  <c r="AP105" i="60" s="1"/>
  <c r="AK106" i="60"/>
  <c r="AE106" i="60"/>
  <c r="AN55" i="69"/>
  <c r="AR54" i="69"/>
  <c r="AU54" i="69" s="1"/>
  <c r="AT54" i="69"/>
  <c r="AO54" i="69"/>
  <c r="AV54" i="69" s="1"/>
  <c r="AH105" i="60"/>
  <c r="AN105" i="60"/>
  <c r="AM57" i="69"/>
  <c r="AV53" i="69"/>
  <c r="AC106" i="60"/>
  <c r="AB106" i="60"/>
  <c r="AD106" i="60" s="1"/>
  <c r="W108" i="60"/>
  <c r="X107" i="60"/>
  <c r="Z15" i="86"/>
  <c r="V15" i="86"/>
  <c r="H16" i="86"/>
  <c r="AT55" i="69" a="1"/>
  <c r="AN56" i="69" a="1"/>
  <c r="AE107" i="60" a="1"/>
  <c r="AO55" i="69" a="1"/>
  <c r="AK107" i="60" a="1"/>
  <c r="AR55" i="69" a="1"/>
  <c r="AK107" i="60" l="1"/>
  <c r="AE107" i="60"/>
  <c r="AN56" i="69"/>
  <c r="AR55" i="69"/>
  <c r="AU55" i="69" s="1"/>
  <c r="AO55" i="69"/>
  <c r="AT55" i="69"/>
  <c r="AM58" i="69"/>
  <c r="AF106" i="60"/>
  <c r="AC107" i="60"/>
  <c r="AB107" i="60"/>
  <c r="AD107" i="60" s="1"/>
  <c r="AL106" i="60"/>
  <c r="AM106" i="60" s="1"/>
  <c r="AO106" i="60" s="1"/>
  <c r="AP106" i="60" s="1"/>
  <c r="AW53" i="69"/>
  <c r="AW54" i="69"/>
  <c r="AY54" i="69" s="1"/>
  <c r="W109" i="60"/>
  <c r="X108" i="60"/>
  <c r="I16" i="86"/>
  <c r="AO56" i="69" a="1"/>
  <c r="AR56" i="69" a="1"/>
  <c r="AT56" i="69" a="1"/>
  <c r="AN57" i="69" a="1"/>
  <c r="J16" i="86"/>
  <c r="AK108" i="60" a="1"/>
  <c r="AE108" i="60" a="1"/>
  <c r="AL107" i="60" l="1"/>
  <c r="AM107" i="60" s="1"/>
  <c r="AO107" i="60" s="1"/>
  <c r="AP107" i="60" s="1"/>
  <c r="AF107" i="60"/>
  <c r="AK108" i="60"/>
  <c r="AE108" i="60"/>
  <c r="AN57" i="69"/>
  <c r="AT56" i="69"/>
  <c r="AR56" i="69"/>
  <c r="AU56" i="69" s="1"/>
  <c r="AO56" i="69"/>
  <c r="AV56" i="69" s="1"/>
  <c r="AM59" i="69"/>
  <c r="AB108" i="60"/>
  <c r="AD108" i="60" s="1"/>
  <c r="AC108" i="60"/>
  <c r="AY53" i="69"/>
  <c r="AZ53" i="69" s="1"/>
  <c r="AZ54" i="69" s="1"/>
  <c r="AX53" i="69"/>
  <c r="AX54" i="69" s="1"/>
  <c r="AV55" i="69"/>
  <c r="AN106" i="60"/>
  <c r="AG107" i="60"/>
  <c r="AI107" i="60" s="1"/>
  <c r="AG106" i="60"/>
  <c r="W110" i="60"/>
  <c r="X109" i="60"/>
  <c r="K16" i="86"/>
  <c r="L16" i="86"/>
  <c r="N16" i="86" s="1"/>
  <c r="P16" i="86" s="1"/>
  <c r="AR57" i="69" a="1"/>
  <c r="AE109" i="60" a="1"/>
  <c r="AT57" i="69" a="1"/>
  <c r="AK109" i="60" a="1"/>
  <c r="AO57" i="69" a="1"/>
  <c r="AN58" i="69" a="1"/>
  <c r="AN107" i="60" l="1"/>
  <c r="AK109" i="60"/>
  <c r="AE109" i="60"/>
  <c r="AN58" i="69"/>
  <c r="AT57" i="69"/>
  <c r="AO57" i="69"/>
  <c r="AR57" i="69"/>
  <c r="AU57" i="69" s="1"/>
  <c r="AW56" i="69"/>
  <c r="AY56" i="69" s="1"/>
  <c r="AW55" i="69"/>
  <c r="AY55" i="69" s="1"/>
  <c r="AZ55" i="69" s="1"/>
  <c r="AZ56" i="69" s="1"/>
  <c r="AB109" i="60"/>
  <c r="AD109" i="60" s="1"/>
  <c r="AC109" i="60"/>
  <c r="AI106" i="60"/>
  <c r="AJ106" i="60" s="1"/>
  <c r="AJ107" i="60" s="1"/>
  <c r="AH106" i="60"/>
  <c r="AH107" i="60" s="1"/>
  <c r="AF108" i="60"/>
  <c r="AG108" i="60" s="1"/>
  <c r="AI108" i="60" s="1"/>
  <c r="AM60" i="69"/>
  <c r="AL108" i="60"/>
  <c r="W111" i="60"/>
  <c r="X110" i="60"/>
  <c r="R16" i="86"/>
  <c r="U16" i="86" s="1"/>
  <c r="Q16" i="86"/>
  <c r="W16" i="86" s="1"/>
  <c r="AT58" i="69" a="1"/>
  <c r="AE110" i="60" a="1"/>
  <c r="AR58" i="69" a="1"/>
  <c r="AN59" i="69" a="1"/>
  <c r="AO58" i="69" a="1"/>
  <c r="AK110" i="60" a="1"/>
  <c r="AL109" i="60" l="1"/>
  <c r="AH108" i="60"/>
  <c r="AK110" i="60"/>
  <c r="AE110" i="60"/>
  <c r="AN59" i="69"/>
  <c r="AO58" i="69"/>
  <c r="AT58" i="69"/>
  <c r="AR58" i="69"/>
  <c r="AU58" i="69" s="1"/>
  <c r="AX55" i="69"/>
  <c r="AX56" i="69" s="1"/>
  <c r="AC110" i="60"/>
  <c r="AB110" i="60"/>
  <c r="AD110" i="60" s="1"/>
  <c r="AM108" i="60"/>
  <c r="AM109" i="60"/>
  <c r="AO109" i="60" s="1"/>
  <c r="AM61" i="69"/>
  <c r="AV57" i="69"/>
  <c r="AJ108" i="60"/>
  <c r="AF109" i="60"/>
  <c r="W112" i="60"/>
  <c r="X111" i="60"/>
  <c r="X16" i="86"/>
  <c r="Y16" i="86" s="1"/>
  <c r="S16" i="86"/>
  <c r="AC16" i="86" s="1"/>
  <c r="AO59" i="69" a="1"/>
  <c r="AN60" i="69" a="1"/>
  <c r="AE111" i="60" a="1"/>
  <c r="AR59" i="69" a="1"/>
  <c r="AK111" i="60" a="1"/>
  <c r="AT59" i="69" a="1"/>
  <c r="AK111" i="60" l="1"/>
  <c r="AE111" i="60"/>
  <c r="AN60" i="69"/>
  <c r="AT59" i="69"/>
  <c r="AR59" i="69"/>
  <c r="AU59" i="69" s="1"/>
  <c r="AO59" i="69"/>
  <c r="AV59" i="69" s="1"/>
  <c r="AC111" i="60"/>
  <c r="AB111" i="60"/>
  <c r="AD111" i="60" s="1"/>
  <c r="AV58" i="69"/>
  <c r="AO108" i="60"/>
  <c r="AP108" i="60" s="1"/>
  <c r="AP109" i="60" s="1"/>
  <c r="AN108" i="60"/>
  <c r="AN109" i="60" s="1"/>
  <c r="AG109" i="60"/>
  <c r="AF110" i="60"/>
  <c r="AW57" i="69"/>
  <c r="AY57" i="69" s="1"/>
  <c r="AZ57" i="69" s="1"/>
  <c r="AM62" i="69"/>
  <c r="AL110" i="60"/>
  <c r="W113" i="60"/>
  <c r="X112" i="60"/>
  <c r="Z16" i="86"/>
  <c r="H17" i="86"/>
  <c r="V16" i="86"/>
  <c r="AR60" i="69" a="1"/>
  <c r="AE112" i="60" a="1"/>
  <c r="AT60" i="69" a="1"/>
  <c r="AO60" i="69" a="1"/>
  <c r="AN61" i="69" a="1"/>
  <c r="AK112" i="60" a="1"/>
  <c r="AX57" i="69" l="1"/>
  <c r="AW59" i="69"/>
  <c r="AY59" i="69" s="1"/>
  <c r="AK112" i="60"/>
  <c r="AE112" i="60"/>
  <c r="AN61" i="69"/>
  <c r="AO60" i="69"/>
  <c r="AR60" i="69"/>
  <c r="AU60" i="69" s="1"/>
  <c r="AT60" i="69"/>
  <c r="AL111" i="60"/>
  <c r="AM110" i="60"/>
  <c r="AO110" i="60" s="1"/>
  <c r="AP110" i="60" s="1"/>
  <c r="AG110" i="60"/>
  <c r="AI110" i="60" s="1"/>
  <c r="AF111" i="60"/>
  <c r="AG111" i="60" s="1"/>
  <c r="AI111" i="60" s="1"/>
  <c r="AI109" i="60"/>
  <c r="AJ109" i="60" s="1"/>
  <c r="AH109" i="60"/>
  <c r="AC112" i="60"/>
  <c r="AB112" i="60"/>
  <c r="AD112" i="60" s="1"/>
  <c r="AM63" i="69"/>
  <c r="AW58" i="69"/>
  <c r="AY58" i="69" s="1"/>
  <c r="AZ58" i="69" s="1"/>
  <c r="AZ59" i="69" s="1"/>
  <c r="W114" i="60"/>
  <c r="X113" i="60"/>
  <c r="I17" i="86"/>
  <c r="AO61" i="69" a="1"/>
  <c r="AT61" i="69" a="1"/>
  <c r="J17" i="86"/>
  <c r="AN62" i="69" a="1"/>
  <c r="AR61" i="69" a="1"/>
  <c r="AK113" i="60" a="1"/>
  <c r="AE113" i="60" a="1"/>
  <c r="AH110" i="60" l="1"/>
  <c r="AF112" i="60"/>
  <c r="AG112" i="60" s="1"/>
  <c r="AI112" i="60" s="1"/>
  <c r="AK113" i="60"/>
  <c r="AE113" i="60"/>
  <c r="AN62" i="69"/>
  <c r="AR61" i="69"/>
  <c r="AU61" i="69" s="1"/>
  <c r="AO61" i="69"/>
  <c r="AT61" i="69"/>
  <c r="AH111" i="60"/>
  <c r="AN110" i="60"/>
  <c r="AX58" i="69"/>
  <c r="AX59" i="69" s="1"/>
  <c r="AJ110" i="60"/>
  <c r="AJ111" i="60" s="1"/>
  <c r="AJ112" i="60" s="1"/>
  <c r="AV60" i="69"/>
  <c r="AW60" i="69" s="1"/>
  <c r="AY60" i="69" s="1"/>
  <c r="AZ60" i="69" s="1"/>
  <c r="AM64" i="69"/>
  <c r="AC113" i="60"/>
  <c r="AB113" i="60"/>
  <c r="AD113" i="60" s="1"/>
  <c r="AM111" i="60"/>
  <c r="AO111" i="60" s="1"/>
  <c r="AP111" i="60" s="1"/>
  <c r="AL112" i="60"/>
  <c r="AM112" i="60" s="1"/>
  <c r="AO112" i="60" s="1"/>
  <c r="AP112" i="60" s="1"/>
  <c r="W115" i="60"/>
  <c r="X114" i="60"/>
  <c r="K17" i="86"/>
  <c r="L17" i="86"/>
  <c r="N17" i="86" s="1"/>
  <c r="P17" i="86" s="1"/>
  <c r="AO62" i="69" a="1"/>
  <c r="AR62" i="69" a="1"/>
  <c r="AK114" i="60" a="1"/>
  <c r="AE114" i="60" a="1"/>
  <c r="AN63" i="69" a="1"/>
  <c r="AT62" i="69" a="1"/>
  <c r="AV61" i="69" l="1"/>
  <c r="AH112" i="60"/>
  <c r="AE114" i="60"/>
  <c r="AK114" i="60"/>
  <c r="AT62" i="69"/>
  <c r="AO62" i="69"/>
  <c r="AR62" i="69"/>
  <c r="AU62" i="69" s="1"/>
  <c r="AN63" i="69"/>
  <c r="AX60" i="69"/>
  <c r="AN111" i="60"/>
  <c r="AN112" i="60" s="1"/>
  <c r="AW61" i="69"/>
  <c r="AY61" i="69" s="1"/>
  <c r="AZ61" i="69" s="1"/>
  <c r="AM65" i="69"/>
  <c r="AF113" i="60"/>
  <c r="AB114" i="60"/>
  <c r="AD114" i="60" s="1"/>
  <c r="AC114" i="60"/>
  <c r="AL113" i="60"/>
  <c r="W116" i="60"/>
  <c r="X115" i="60"/>
  <c r="R17" i="86"/>
  <c r="U17" i="86" s="1"/>
  <c r="Q17" i="86"/>
  <c r="W17" i="86" s="1"/>
  <c r="AO63" i="69" a="1"/>
  <c r="AE115" i="60" a="1"/>
  <c r="AT63" i="69" a="1"/>
  <c r="AR63" i="69" a="1"/>
  <c r="AN64" i="69" a="1"/>
  <c r="AK115" i="60" a="1"/>
  <c r="AK115" i="60" l="1"/>
  <c r="AE115" i="60"/>
  <c r="AN64" i="69"/>
  <c r="AT63" i="69"/>
  <c r="AO63" i="69"/>
  <c r="AR63" i="69"/>
  <c r="AU63" i="69" s="1"/>
  <c r="AB115" i="60"/>
  <c r="AD115" i="60" s="1"/>
  <c r="AC115" i="60"/>
  <c r="AM66" i="69"/>
  <c r="AM113" i="60"/>
  <c r="AO113" i="60" s="1"/>
  <c r="AP113" i="60" s="1"/>
  <c r="AG113" i="60"/>
  <c r="AG114" i="60"/>
  <c r="AI114" i="60" s="1"/>
  <c r="AL114" i="60"/>
  <c r="AM114" i="60" s="1"/>
  <c r="AO114" i="60" s="1"/>
  <c r="AV62" i="69"/>
  <c r="AX61" i="69"/>
  <c r="AF114" i="60"/>
  <c r="W117" i="60"/>
  <c r="X116" i="60"/>
  <c r="X17" i="86"/>
  <c r="Y17" i="86" s="1"/>
  <c r="S17" i="86"/>
  <c r="AC17" i="86" s="1"/>
  <c r="AT64" i="69" a="1"/>
  <c r="AN65" i="69" a="1"/>
  <c r="AO64" i="69" a="1"/>
  <c r="AK116" i="60" a="1"/>
  <c r="AE116" i="60" a="1"/>
  <c r="AR64" i="69" a="1"/>
  <c r="AE116" i="60" l="1"/>
  <c r="AK116" i="60"/>
  <c r="AR64" i="69"/>
  <c r="AU64" i="69" s="1"/>
  <c r="AO64" i="69"/>
  <c r="AT64" i="69"/>
  <c r="AN65" i="69"/>
  <c r="AI113" i="60"/>
  <c r="AJ113" i="60" s="1"/>
  <c r="AJ114" i="60" s="1"/>
  <c r="AH113" i="60"/>
  <c r="AH114" i="60" s="1"/>
  <c r="AC116" i="60"/>
  <c r="AB116" i="60"/>
  <c r="AD116" i="60" s="1"/>
  <c r="AP114" i="60"/>
  <c r="AV63" i="69"/>
  <c r="AN113" i="60"/>
  <c r="AN114" i="60" s="1"/>
  <c r="AW62" i="69"/>
  <c r="AY62" i="69" s="1"/>
  <c r="AZ62" i="69" s="1"/>
  <c r="AF115" i="60"/>
  <c r="AG115" i="60" s="1"/>
  <c r="AI115" i="60" s="1"/>
  <c r="AJ115" i="60" s="1"/>
  <c r="AL115" i="60"/>
  <c r="W118" i="60"/>
  <c r="X117" i="60"/>
  <c r="Z17" i="86"/>
  <c r="H18" i="86"/>
  <c r="V17" i="86"/>
  <c r="AN66" i="69" a="1"/>
  <c r="AO65" i="69" a="1"/>
  <c r="AT65" i="69" a="1"/>
  <c r="AR65" i="69" a="1"/>
  <c r="AK117" i="60" a="1"/>
  <c r="AE117" i="60" a="1"/>
  <c r="AF116" i="60" l="1"/>
  <c r="AG116" i="60" s="1"/>
  <c r="AI116" i="60" s="1"/>
  <c r="AJ116" i="60" s="1"/>
  <c r="AK117" i="60"/>
  <c r="AE117" i="60"/>
  <c r="AR65" i="69"/>
  <c r="AU65" i="69" s="1"/>
  <c r="AT65" i="69"/>
  <c r="AO65" i="69"/>
  <c r="AN66" i="69"/>
  <c r="AW63" i="69"/>
  <c r="AY63" i="69" s="1"/>
  <c r="AZ63" i="69" s="1"/>
  <c r="AH115" i="60"/>
  <c r="AX62" i="69"/>
  <c r="AB117" i="60"/>
  <c r="AD117" i="60" s="1"/>
  <c r="AC117" i="60"/>
  <c r="AM115" i="60"/>
  <c r="AO115" i="60" s="1"/>
  <c r="AP115" i="60" s="1"/>
  <c r="AV64" i="69"/>
  <c r="AW64" i="69" s="1"/>
  <c r="AY64" i="69" s="1"/>
  <c r="AL116" i="60"/>
  <c r="AM116" i="60" s="1"/>
  <c r="AO116" i="60" s="1"/>
  <c r="W119" i="60"/>
  <c r="X118" i="60"/>
  <c r="I18" i="86"/>
  <c r="AO66" i="69" a="1"/>
  <c r="AT66" i="69" a="1"/>
  <c r="AE118" i="60" a="1"/>
  <c r="AR66" i="69" a="1"/>
  <c r="J18" i="86"/>
  <c r="AK118" i="60" a="1"/>
  <c r="AV65" i="69" l="1"/>
  <c r="AP116" i="60"/>
  <c r="AN115" i="60"/>
  <c r="AH116" i="60"/>
  <c r="AK118" i="60"/>
  <c r="AE118" i="60"/>
  <c r="AT66" i="69"/>
  <c r="AO66" i="69"/>
  <c r="AR66" i="69"/>
  <c r="AU66" i="69" s="1"/>
  <c r="AZ64" i="69"/>
  <c r="AX63" i="69"/>
  <c r="AX64" i="69" s="1"/>
  <c r="AB118" i="60"/>
  <c r="AD118" i="60" s="1"/>
  <c r="AC118" i="60"/>
  <c r="AN116" i="60"/>
  <c r="AW65" i="69"/>
  <c r="AY65" i="69" s="1"/>
  <c r="AZ65" i="69" s="1"/>
  <c r="AF117" i="60"/>
  <c r="AL117" i="60"/>
  <c r="W120" i="60"/>
  <c r="X119" i="60"/>
  <c r="K18" i="86"/>
  <c r="L18" i="86"/>
  <c r="N18" i="86" s="1"/>
  <c r="P18" i="86" s="1"/>
  <c r="AE119" i="60" a="1"/>
  <c r="AK119" i="60" a="1"/>
  <c r="AX65" i="69" l="1"/>
  <c r="AK119" i="60"/>
  <c r="AE119" i="60"/>
  <c r="AG117" i="60"/>
  <c r="AV66" i="69"/>
  <c r="AC119" i="60"/>
  <c r="AB119" i="60"/>
  <c r="AD119" i="60" s="1"/>
  <c r="AF118" i="60"/>
  <c r="AG118" i="60" s="1"/>
  <c r="AI118" i="60" s="1"/>
  <c r="AM117" i="60"/>
  <c r="AO117" i="60" s="1"/>
  <c r="AP117" i="60" s="1"/>
  <c r="AL118" i="60"/>
  <c r="AM118" i="60" s="1"/>
  <c r="AO118" i="60" s="1"/>
  <c r="AP118" i="60" s="1"/>
  <c r="W121" i="60"/>
  <c r="X120" i="60"/>
  <c r="R18" i="86"/>
  <c r="U18" i="86" s="1"/>
  <c r="Q18" i="86"/>
  <c r="W18" i="86" s="1"/>
  <c r="AK120" i="60" a="1"/>
  <c r="AE120" i="60" a="1"/>
  <c r="AN117" i="60" l="1"/>
  <c r="AK120" i="60"/>
  <c r="AE120" i="60"/>
  <c r="AC120" i="60"/>
  <c r="AB120" i="60"/>
  <c r="AD120" i="60" s="1"/>
  <c r="AF119" i="60"/>
  <c r="AL119" i="60"/>
  <c r="AM119" i="60" s="1"/>
  <c r="AO119" i="60" s="1"/>
  <c r="AP119" i="60" s="1"/>
  <c r="AW67" i="69"/>
  <c r="AY67" i="69" s="1"/>
  <c r="AW66" i="69"/>
  <c r="AN118" i="60"/>
  <c r="AI117" i="60"/>
  <c r="AJ117" i="60" s="1"/>
  <c r="AJ118" i="60" s="1"/>
  <c r="AH117" i="60"/>
  <c r="AH118" i="60" s="1"/>
  <c r="W122" i="60"/>
  <c r="X121" i="60"/>
  <c r="X18" i="86"/>
  <c r="Y18" i="86" s="1"/>
  <c r="Z18" i="86" s="1"/>
  <c r="S18" i="86"/>
  <c r="AC18" i="86" s="1"/>
  <c r="AE121" i="60" a="1"/>
  <c r="AK121" i="60" a="1"/>
  <c r="AL120" i="60" l="1"/>
  <c r="AM120" i="60" s="1"/>
  <c r="AO120" i="60" s="1"/>
  <c r="AP120" i="60" s="1"/>
  <c r="AK121" i="60"/>
  <c r="AE121" i="60"/>
  <c r="AN119" i="60"/>
  <c r="AN120" i="60" s="1"/>
  <c r="AY66" i="69"/>
  <c r="AZ66" i="69" s="1"/>
  <c r="AZ67" i="69" s="1"/>
  <c r="J13" i="90" s="1"/>
  <c r="AX66" i="69"/>
  <c r="AX67" i="69" s="1"/>
  <c r="AC121" i="60"/>
  <c r="AB121" i="60"/>
  <c r="AD121" i="60" s="1"/>
  <c r="AG119" i="60"/>
  <c r="AI119" i="60" s="1"/>
  <c r="AJ119" i="60" s="1"/>
  <c r="AF120" i="60"/>
  <c r="AG120" i="60" s="1"/>
  <c r="AI120" i="60" s="1"/>
  <c r="X122" i="60"/>
  <c r="W123" i="60"/>
  <c r="V18" i="86"/>
  <c r="H19" i="86"/>
  <c r="AK122" i="60" a="1"/>
  <c r="AE122" i="60" a="1"/>
  <c r="AJ120" i="60" l="1"/>
  <c r="AK122" i="60"/>
  <c r="AE122" i="60"/>
  <c r="AC122" i="60"/>
  <c r="AB122" i="60"/>
  <c r="AD122" i="60" s="1"/>
  <c r="J12" i="90"/>
  <c r="K12" i="90" s="1"/>
  <c r="K13" i="90"/>
  <c r="AH119" i="60"/>
  <c r="AH120" i="60" s="1"/>
  <c r="AL121" i="60"/>
  <c r="AF121" i="60"/>
  <c r="X123" i="60"/>
  <c r="W124" i="60"/>
  <c r="I19" i="86"/>
  <c r="J19" i="86"/>
  <c r="AK123" i="60" a="1"/>
  <c r="AE123" i="60" a="1"/>
  <c r="AK123" i="60" l="1"/>
  <c r="AE123" i="60"/>
  <c r="AC123" i="60"/>
  <c r="AB123" i="60"/>
  <c r="AD123" i="60" s="1"/>
  <c r="AG121" i="60"/>
  <c r="AI121" i="60" s="1"/>
  <c r="AJ121" i="60" s="1"/>
  <c r="AM121" i="60"/>
  <c r="AH121" i="60"/>
  <c r="AF122" i="60"/>
  <c r="AG122" i="60" s="1"/>
  <c r="AI122" i="60" s="1"/>
  <c r="AJ122" i="60" s="1"/>
  <c r="AL122" i="60"/>
  <c r="AM122" i="60" s="1"/>
  <c r="AO122" i="60" s="1"/>
  <c r="W125" i="60"/>
  <c r="X124" i="60"/>
  <c r="K19" i="86"/>
  <c r="L19" i="86"/>
  <c r="N19" i="86" s="1"/>
  <c r="P19" i="86" s="1"/>
  <c r="AK124" i="60" a="1"/>
  <c r="AE124" i="60" a="1"/>
  <c r="AH122" i="60" l="1"/>
  <c r="AL123" i="60"/>
  <c r="AF123" i="60"/>
  <c r="AK124" i="60"/>
  <c r="AE124" i="60"/>
  <c r="AO121" i="60"/>
  <c r="AP121" i="60" s="1"/>
  <c r="AP122" i="60" s="1"/>
  <c r="AN121" i="60"/>
  <c r="AN122" i="60" s="1"/>
  <c r="AM123" i="60"/>
  <c r="AO123" i="60" s="1"/>
  <c r="AG123" i="60"/>
  <c r="AI123" i="60" s="1"/>
  <c r="AJ123" i="60" s="1"/>
  <c r="X137" i="60" s="1"/>
  <c r="W126" i="60"/>
  <c r="X125" i="60"/>
  <c r="R19" i="86"/>
  <c r="U19" i="86" s="1"/>
  <c r="Q19" i="86"/>
  <c r="W19" i="86" s="1"/>
  <c r="AE125" i="60" a="1"/>
  <c r="AK125" i="60" a="1"/>
  <c r="AH123" i="60" l="1"/>
  <c r="AE125" i="60"/>
  <c r="AK125" i="60"/>
  <c r="AP123" i="60"/>
  <c r="Y137" i="60" s="1"/>
  <c r="AN123" i="60"/>
  <c r="W127" i="60"/>
  <c r="X126" i="60"/>
  <c r="X19" i="86"/>
  <c r="Y19" i="86" s="1"/>
  <c r="Z19" i="86" s="1"/>
  <c r="S19" i="86"/>
  <c r="AC19" i="86" s="1"/>
  <c r="AE126" i="60" a="1"/>
  <c r="AK126" i="60" a="1"/>
  <c r="AK126" i="60" l="1"/>
  <c r="AE126" i="60"/>
  <c r="W128" i="60"/>
  <c r="X127" i="60"/>
  <c r="H20" i="86"/>
  <c r="V19" i="86"/>
  <c r="AK127" i="60" a="1"/>
  <c r="AE127" i="60" a="1"/>
  <c r="AE127" i="60" l="1"/>
  <c r="AK127" i="60"/>
  <c r="W129" i="60"/>
  <c r="X128" i="60"/>
  <c r="I20" i="86"/>
  <c r="J20" i="86"/>
  <c r="AK128" i="60" a="1"/>
  <c r="AE128" i="60" a="1"/>
  <c r="AK128" i="60" l="1"/>
  <c r="AE128" i="60"/>
  <c r="W130" i="60"/>
  <c r="X129" i="60"/>
  <c r="K20" i="86"/>
  <c r="L20" i="86"/>
  <c r="N20" i="86" s="1"/>
  <c r="P20" i="86" s="1"/>
  <c r="AE129" i="60" a="1"/>
  <c r="AK129" i="60" a="1"/>
  <c r="AE129" i="60" l="1"/>
  <c r="AK129" i="60"/>
  <c r="W131" i="60"/>
  <c r="X130" i="60"/>
  <c r="R20" i="86"/>
  <c r="U20" i="86" s="1"/>
  <c r="Q20" i="86"/>
  <c r="W20" i="86" s="1"/>
  <c r="AK130" i="60" a="1"/>
  <c r="AE130" i="60" a="1"/>
  <c r="AK130" i="60" l="1"/>
  <c r="AE130" i="60"/>
  <c r="W132" i="60"/>
  <c r="X131" i="60"/>
  <c r="X20" i="86"/>
  <c r="Y20" i="86" s="1"/>
  <c r="S20" i="86"/>
  <c r="AC20" i="86" s="1"/>
  <c r="AK131" i="60" a="1"/>
  <c r="AE131" i="60" a="1"/>
  <c r="AK131" i="60" l="1"/>
  <c r="AE131" i="60"/>
  <c r="W133" i="60"/>
  <c r="X133" i="60" s="1"/>
  <c r="U135" i="60" s="1"/>
  <c r="X132" i="60"/>
  <c r="Z20" i="86"/>
  <c r="H21" i="86"/>
  <c r="V20" i="86"/>
  <c r="AE133" i="60" a="1"/>
  <c r="U133" i="60" a="1"/>
  <c r="AK133" i="60" a="1"/>
  <c r="AK132" i="60" a="1"/>
  <c r="AE132" i="60" a="1"/>
  <c r="AK132" i="60" l="1"/>
  <c r="AE132" i="60"/>
  <c r="AK133" i="60"/>
  <c r="AE133" i="60"/>
  <c r="U133" i="60"/>
  <c r="Y124" i="60" s="1"/>
  <c r="I21" i="86"/>
  <c r="Z124" i="60" a="1"/>
  <c r="J21" i="86"/>
  <c r="Z124" i="60" l="1"/>
  <c r="Y125" i="60"/>
  <c r="K21" i="86"/>
  <c r="L21" i="86"/>
  <c r="N21" i="86" s="1"/>
  <c r="P21" i="86" s="1"/>
  <c r="AA124" i="60" a="1"/>
  <c r="Z125" i="60" a="1"/>
  <c r="AA124" i="60" l="1"/>
  <c r="AC124" i="60" s="1"/>
  <c r="Z125" i="60"/>
  <c r="AB124" i="60"/>
  <c r="AD124" i="60" s="1"/>
  <c r="Y126" i="60"/>
  <c r="R21" i="86"/>
  <c r="U21" i="86" s="1"/>
  <c r="Q21" i="86"/>
  <c r="W21" i="86" s="1"/>
  <c r="Z126" i="60" a="1"/>
  <c r="AA125" i="60" a="1"/>
  <c r="Z126" i="60" l="1"/>
  <c r="AA125" i="60"/>
  <c r="AC125" i="60" s="1"/>
  <c r="Y127" i="60"/>
  <c r="AB125" i="60"/>
  <c r="AD125" i="60" s="1"/>
  <c r="AF124" i="60"/>
  <c r="AG124" i="60" s="1"/>
  <c r="AL124" i="60"/>
  <c r="AM124" i="60" s="1"/>
  <c r="X21" i="86"/>
  <c r="Y21" i="86" s="1"/>
  <c r="Z21" i="86" s="1"/>
  <c r="S21" i="86"/>
  <c r="AC21" i="86" s="1"/>
  <c r="Z127" i="60" a="1"/>
  <c r="AA126" i="60" a="1"/>
  <c r="Z127" i="60" l="1"/>
  <c r="AA126" i="60"/>
  <c r="AC126" i="60" s="1"/>
  <c r="AO124" i="60"/>
  <c r="AP124" i="60" s="1"/>
  <c r="AN124" i="60"/>
  <c r="Y128" i="60"/>
  <c r="AI124" i="60"/>
  <c r="AJ124" i="60" s="1"/>
  <c r="AH124" i="60"/>
  <c r="AL125" i="60"/>
  <c r="AM125" i="60" s="1"/>
  <c r="AO125" i="60" s="1"/>
  <c r="AF125" i="60"/>
  <c r="AB126" i="60"/>
  <c r="AD126" i="60" s="1"/>
  <c r="V21" i="86"/>
  <c r="H22" i="86"/>
  <c r="Z128" i="60" a="1"/>
  <c r="AA127" i="60" a="1"/>
  <c r="Z128" i="60" l="1"/>
  <c r="AA127" i="60"/>
  <c r="AC127" i="60" s="1"/>
  <c r="AP125" i="60"/>
  <c r="Y129" i="60"/>
  <c r="AL126" i="60"/>
  <c r="AM126" i="60" s="1"/>
  <c r="AO126" i="60" s="1"/>
  <c r="AF126" i="60"/>
  <c r="AN125" i="60"/>
  <c r="AG125" i="60"/>
  <c r="AI125" i="60" s="1"/>
  <c r="AJ125" i="60" s="1"/>
  <c r="AB127" i="60"/>
  <c r="AD127" i="60" s="1"/>
  <c r="I22" i="86"/>
  <c r="AA128" i="60" a="1"/>
  <c r="Z129" i="60" a="1"/>
  <c r="J22" i="86"/>
  <c r="AH125" i="60" l="1"/>
  <c r="Z129" i="60"/>
  <c r="AA128" i="60"/>
  <c r="AC128" i="60" s="1"/>
  <c r="AG126" i="60"/>
  <c r="AI126" i="60" s="1"/>
  <c r="AJ126" i="60" s="1"/>
  <c r="AL127" i="60"/>
  <c r="AM127" i="60" s="1"/>
  <c r="AO127" i="60" s="1"/>
  <c r="AF127" i="60"/>
  <c r="AG127" i="60" s="1"/>
  <c r="AI127" i="60" s="1"/>
  <c r="AJ127" i="60" s="1"/>
  <c r="Y130" i="60"/>
  <c r="AP126" i="60"/>
  <c r="AN126" i="60"/>
  <c r="AB128" i="60"/>
  <c r="AD128" i="60" s="1"/>
  <c r="K22" i="86"/>
  <c r="L22" i="86"/>
  <c r="N22" i="86" s="1"/>
  <c r="P22" i="86" s="1"/>
  <c r="AA129" i="60" a="1"/>
  <c r="Z130" i="60" a="1"/>
  <c r="AP127" i="60" l="1"/>
  <c r="Z130" i="60"/>
  <c r="AA129" i="60"/>
  <c r="AC129" i="60" s="1"/>
  <c r="Y131" i="60"/>
  <c r="AH126" i="60"/>
  <c r="AH127" i="60" s="1"/>
  <c r="AF128" i="60"/>
  <c r="AG128" i="60" s="1"/>
  <c r="AI128" i="60" s="1"/>
  <c r="AJ128" i="60" s="1"/>
  <c r="AL128" i="60"/>
  <c r="AN127" i="60"/>
  <c r="AB129" i="60"/>
  <c r="AD129" i="60" s="1"/>
  <c r="R22" i="86"/>
  <c r="U22" i="86" s="1"/>
  <c r="Q22" i="86"/>
  <c r="W22" i="86" s="1"/>
  <c r="AA130" i="60" a="1"/>
  <c r="Z131" i="60" a="1"/>
  <c r="Z131" i="60" l="1"/>
  <c r="AA130" i="60"/>
  <c r="AC130" i="60" s="1"/>
  <c r="Y132" i="60"/>
  <c r="AF129" i="60"/>
  <c r="AG129" i="60" s="1"/>
  <c r="AI129" i="60" s="1"/>
  <c r="AJ129" i="60" s="1"/>
  <c r="AL129" i="60"/>
  <c r="AM128" i="60"/>
  <c r="AO128" i="60" s="1"/>
  <c r="AP128" i="60" s="1"/>
  <c r="AM129" i="60"/>
  <c r="AO129" i="60" s="1"/>
  <c r="AP129" i="60" s="1"/>
  <c r="AH128" i="60"/>
  <c r="AB130" i="60"/>
  <c r="AD130" i="60" s="1"/>
  <c r="X22" i="86"/>
  <c r="Y22" i="86" s="1"/>
  <c r="S22" i="86"/>
  <c r="AC22" i="86" s="1"/>
  <c r="AA131" i="60" a="1"/>
  <c r="Z132" i="60" a="1"/>
  <c r="Z132" i="60" l="1"/>
  <c r="AA131" i="60"/>
  <c r="AC131" i="60" s="1"/>
  <c r="Y133" i="60"/>
  <c r="AN128" i="60"/>
  <c r="AN129" i="60" s="1"/>
  <c r="AL130" i="60"/>
  <c r="AF130" i="60"/>
  <c r="AH129" i="60"/>
  <c r="AB131" i="60"/>
  <c r="AD131" i="60" s="1"/>
  <c r="Z22" i="86"/>
  <c r="H23" i="86"/>
  <c r="V22" i="86"/>
  <c r="AA132" i="60" a="1"/>
  <c r="Z133" i="60" a="1"/>
  <c r="Z133" i="60" l="1"/>
  <c r="AA132" i="60"/>
  <c r="AC132" i="60" s="1"/>
  <c r="AG130" i="60"/>
  <c r="AI130" i="60" s="1"/>
  <c r="AJ130" i="60" s="1"/>
  <c r="AM130" i="60"/>
  <c r="AO130" i="60" s="1"/>
  <c r="AP130" i="60" s="1"/>
  <c r="AL131" i="60"/>
  <c r="AM131" i="60" s="1"/>
  <c r="AO131" i="60" s="1"/>
  <c r="AF131" i="60"/>
  <c r="AG131" i="60" s="1"/>
  <c r="AI131" i="60" s="1"/>
  <c r="AJ131" i="60" s="1"/>
  <c r="AB132" i="60"/>
  <c r="AD132" i="60" s="1"/>
  <c r="I23" i="86"/>
  <c r="AA133" i="60" a="1"/>
  <c r="J23" i="86"/>
  <c r="AA133" i="60" l="1"/>
  <c r="AC133" i="60" s="1"/>
  <c r="AP131" i="60"/>
  <c r="AN130" i="60"/>
  <c r="AN131" i="60" s="1"/>
  <c r="AH130" i="60"/>
  <c r="AH131" i="60" s="1"/>
  <c r="AL132" i="60"/>
  <c r="AM132" i="60" s="1"/>
  <c r="AO132" i="60" s="1"/>
  <c r="AF132" i="60"/>
  <c r="AG132" i="60" s="1"/>
  <c r="AI132" i="60" s="1"/>
  <c r="AJ132" i="60" s="1"/>
  <c r="AB133" i="60"/>
  <c r="AD133" i="60" s="1"/>
  <c r="K23" i="86"/>
  <c r="L23" i="86"/>
  <c r="N23" i="86" s="1"/>
  <c r="P23" i="86" s="1"/>
  <c r="AP132" i="60" l="1"/>
  <c r="AN132" i="60"/>
  <c r="AF133" i="60"/>
  <c r="AG133" i="60" s="1"/>
  <c r="AI133" i="60" s="1"/>
  <c r="AJ133" i="60" s="1"/>
  <c r="X138" i="60" s="1"/>
  <c r="H18" i="89" s="1"/>
  <c r="AL133" i="60"/>
  <c r="AM133" i="60" s="1"/>
  <c r="AO133" i="60" s="1"/>
  <c r="AP133" i="60" s="1"/>
  <c r="Y138" i="60" s="1"/>
  <c r="H25" i="89" s="1"/>
  <c r="AH132" i="60"/>
  <c r="AH133" i="60" s="1"/>
  <c r="R23" i="86"/>
  <c r="U23" i="86" s="1"/>
  <c r="Q23" i="86"/>
  <c r="W23" i="86" s="1"/>
  <c r="AN133" i="60" l="1"/>
  <c r="X23" i="86"/>
  <c r="Y23" i="86" s="1"/>
  <c r="S23" i="86"/>
  <c r="AC23" i="86" s="1"/>
  <c r="Z23" i="86" l="1"/>
  <c r="V23" i="86"/>
  <c r="H24" i="86"/>
  <c r="I24" i="86" l="1"/>
  <c r="J24" i="86"/>
  <c r="K24" i="86" l="1"/>
  <c r="L24" i="86"/>
  <c r="N24" i="86" s="1"/>
  <c r="P24" i="86" s="1"/>
  <c r="R24" i="86" l="1"/>
  <c r="U24" i="86" s="1"/>
  <c r="Q24" i="86"/>
  <c r="W24" i="86" s="1"/>
  <c r="X24" i="86" l="1"/>
  <c r="S24" i="86"/>
  <c r="AC24" i="86" s="1"/>
  <c r="Y24" i="86"/>
  <c r="Z24" i="86" l="1"/>
  <c r="H25" i="86"/>
  <c r="V24" i="86"/>
  <c r="I25" i="86" l="1"/>
  <c r="J25" i="86"/>
  <c r="K25" i="86" l="1"/>
  <c r="L25" i="86"/>
  <c r="N25" i="86" s="1"/>
  <c r="P25" i="86" s="1"/>
  <c r="R25" i="86" l="1"/>
  <c r="U25" i="86" s="1"/>
  <c r="Q25" i="86"/>
  <c r="W25" i="86" s="1"/>
  <c r="X25" i="86" l="1"/>
  <c r="S25" i="86"/>
  <c r="AC25" i="86" s="1"/>
  <c r="Y25" i="86"/>
  <c r="Z25" i="86" l="1"/>
  <c r="V25" i="86"/>
  <c r="H26" i="86"/>
  <c r="I26" i="86" l="1"/>
  <c r="J26" i="86"/>
  <c r="K26" i="86" l="1"/>
  <c r="L26" i="86"/>
  <c r="N26" i="86" s="1"/>
  <c r="P26" i="86" s="1"/>
  <c r="R26" i="86" l="1"/>
  <c r="U26" i="86" s="1"/>
  <c r="Q26" i="86"/>
  <c r="W26" i="86" s="1"/>
  <c r="X26" i="86" l="1"/>
  <c r="Y26" i="86"/>
  <c r="Z26" i="86" s="1"/>
  <c r="S26" i="86"/>
  <c r="AC26" i="86" s="1"/>
  <c r="H27" i="86" l="1"/>
  <c r="V26" i="86"/>
  <c r="I27" i="86" l="1"/>
  <c r="J27" i="86"/>
  <c r="K27" i="86" l="1"/>
  <c r="L27" i="86"/>
  <c r="N27" i="86" s="1"/>
  <c r="P27" i="86" s="1"/>
  <c r="R27" i="86" l="1"/>
  <c r="U27" i="86" s="1"/>
  <c r="Q27" i="86"/>
  <c r="W27" i="86" s="1"/>
  <c r="X27" i="86" l="1"/>
  <c r="Y27" i="86"/>
  <c r="Z27" i="86" s="1"/>
  <c r="S27" i="86"/>
  <c r="AC27" i="86" s="1"/>
  <c r="V27" i="86" l="1"/>
  <c r="H28" i="86"/>
  <c r="I28" i="86" l="1"/>
  <c r="J28" i="86"/>
  <c r="K28" i="86" l="1"/>
  <c r="L28" i="86"/>
  <c r="N28" i="86" s="1"/>
  <c r="P28" i="86" s="1"/>
  <c r="R28" i="86" l="1"/>
  <c r="U28" i="86" s="1"/>
  <c r="Q28" i="86"/>
  <c r="W28" i="86" s="1"/>
  <c r="X28" i="86" l="1"/>
  <c r="Y28" i="86" s="1"/>
  <c r="S28" i="86"/>
  <c r="AC28" i="86" s="1"/>
  <c r="Z28" i="86" l="1"/>
  <c r="H29" i="86"/>
  <c r="V28" i="86"/>
  <c r="I29" i="86" l="1"/>
  <c r="J29" i="86"/>
  <c r="K29" i="86" l="1"/>
  <c r="L29" i="86"/>
  <c r="N29" i="86" s="1"/>
  <c r="P29" i="86" s="1"/>
  <c r="R29" i="86" l="1"/>
  <c r="U29" i="86" s="1"/>
  <c r="Q29" i="86"/>
  <c r="W29" i="86" s="1"/>
  <c r="X29" i="86" l="1"/>
  <c r="S29" i="86"/>
  <c r="AC29" i="86" s="1"/>
  <c r="Y29" i="86"/>
  <c r="Z29" i="86" l="1"/>
  <c r="V29" i="86"/>
  <c r="H30" i="86"/>
  <c r="I30" i="86" l="1"/>
  <c r="J30" i="86"/>
  <c r="K30" i="86" l="1"/>
  <c r="L30" i="86"/>
  <c r="N30" i="86" s="1"/>
  <c r="P30" i="86" s="1"/>
  <c r="R30" i="86" l="1"/>
  <c r="U30" i="86" s="1"/>
  <c r="Q30" i="86"/>
  <c r="W30" i="86" s="1"/>
  <c r="X30" i="86" l="1"/>
  <c r="S30" i="86"/>
  <c r="AC30" i="86" s="1"/>
  <c r="Y30" i="86"/>
  <c r="Z30" i="86" l="1"/>
  <c r="H31" i="86"/>
  <c r="V30" i="86"/>
  <c r="I31" i="86" l="1"/>
  <c r="J31" i="86"/>
  <c r="K31" i="86" l="1"/>
  <c r="L31" i="86"/>
  <c r="N31" i="86" s="1"/>
  <c r="P31" i="86" s="1"/>
  <c r="R31" i="86" l="1"/>
  <c r="U31" i="86" s="1"/>
  <c r="Q31" i="86"/>
  <c r="W31" i="86" s="1"/>
  <c r="X31" i="86" l="1"/>
  <c r="S31" i="86"/>
  <c r="AC31" i="86" s="1"/>
  <c r="Y31" i="86"/>
  <c r="Z31" i="86" l="1"/>
  <c r="V31" i="86"/>
  <c r="H32" i="86"/>
  <c r="I32" i="86" l="1"/>
  <c r="J32" i="86"/>
  <c r="K32" i="86" l="1"/>
  <c r="L32" i="86"/>
  <c r="N32" i="86" s="1"/>
  <c r="P32" i="86" s="1"/>
  <c r="R32" i="86" l="1"/>
  <c r="U32" i="86" s="1"/>
  <c r="Q32" i="86"/>
  <c r="W32" i="86" s="1"/>
  <c r="X32" i="86" l="1"/>
  <c r="Y32" i="86" s="1"/>
  <c r="S32" i="86"/>
  <c r="AC32" i="86" s="1"/>
  <c r="Z32" i="86" l="1"/>
  <c r="H33" i="86"/>
  <c r="V32" i="86"/>
  <c r="I33" i="86" l="1"/>
  <c r="J33" i="86"/>
  <c r="K33" i="86" l="1"/>
  <c r="L33" i="86"/>
  <c r="N33" i="86" s="1"/>
  <c r="P33" i="86" s="1"/>
  <c r="R33" i="86" l="1"/>
  <c r="U33" i="86" s="1"/>
  <c r="Q33" i="86"/>
  <c r="W33" i="86" s="1"/>
  <c r="X33" i="86" l="1"/>
  <c r="Y33" i="86" s="1"/>
  <c r="Z33" i="86" s="1"/>
  <c r="S33" i="86"/>
  <c r="AC33" i="86" s="1"/>
  <c r="V33" i="86" l="1"/>
  <c r="H34" i="86"/>
  <c r="I34" i="86" l="1"/>
  <c r="J34" i="86"/>
  <c r="K34" i="86" l="1"/>
  <c r="L34" i="86"/>
  <c r="N34" i="86" s="1"/>
  <c r="P34" i="86" s="1"/>
  <c r="R34" i="86" l="1"/>
  <c r="U34" i="86" s="1"/>
  <c r="Q34" i="86"/>
  <c r="W34" i="86" s="1"/>
  <c r="X34" i="86" l="1"/>
  <c r="S34" i="86"/>
  <c r="AC34" i="86" s="1"/>
  <c r="Y34" i="86"/>
  <c r="Z34" i="86" l="1"/>
  <c r="V34" i="86"/>
  <c r="H35" i="86"/>
  <c r="I35" i="86" l="1"/>
  <c r="J35" i="86"/>
  <c r="K35" i="86" l="1"/>
  <c r="L35" i="86"/>
  <c r="N35" i="86" s="1"/>
  <c r="P35" i="86" s="1"/>
  <c r="R35" i="86" l="1"/>
  <c r="U35" i="86" s="1"/>
  <c r="Q35" i="86"/>
  <c r="W35" i="86" s="1"/>
  <c r="X35" i="86" l="1"/>
  <c r="S35" i="86"/>
  <c r="AC35" i="86" s="1"/>
  <c r="Y35" i="86"/>
  <c r="Z35" i="86" l="1"/>
  <c r="H36" i="86"/>
  <c r="V35" i="86"/>
  <c r="I36" i="86" l="1"/>
  <c r="J36" i="86"/>
  <c r="K36" i="86" l="1"/>
  <c r="L36" i="86"/>
  <c r="N36" i="86" s="1"/>
  <c r="P36" i="86" s="1"/>
  <c r="R36" i="86" l="1"/>
  <c r="U36" i="86" s="1"/>
  <c r="Q36" i="86"/>
  <c r="W36" i="86" s="1"/>
  <c r="X36" i="86" l="1"/>
  <c r="S36" i="86"/>
  <c r="AC36" i="86" s="1"/>
  <c r="Y36" i="86"/>
  <c r="Z36" i="86" l="1"/>
  <c r="V36" i="86"/>
  <c r="H37" i="86"/>
  <c r="I37" i="86" l="1"/>
  <c r="J37" i="86"/>
  <c r="K37" i="86" l="1"/>
  <c r="L37" i="86"/>
  <c r="N37" i="86" s="1"/>
  <c r="P37" i="86" s="1"/>
  <c r="R37" i="86" l="1"/>
  <c r="U37" i="86" s="1"/>
  <c r="Q37" i="86"/>
  <c r="W37" i="86" s="1"/>
  <c r="X37" i="86" l="1"/>
  <c r="S37" i="86"/>
  <c r="AC37" i="86" s="1"/>
  <c r="Y37" i="86"/>
  <c r="Z37" i="86" l="1"/>
  <c r="H38" i="86"/>
  <c r="V37" i="86"/>
  <c r="I38" i="86" l="1"/>
  <c r="J38" i="86"/>
  <c r="K38" i="86" l="1"/>
  <c r="L38" i="86"/>
  <c r="N38" i="86" s="1"/>
  <c r="P38" i="86" s="1"/>
  <c r="R38" i="86" l="1"/>
  <c r="U38" i="86" s="1"/>
  <c r="Q38" i="86"/>
  <c r="W38" i="86" s="1"/>
  <c r="X38" i="86" l="1"/>
  <c r="S38" i="86"/>
  <c r="AC38" i="86" s="1"/>
  <c r="Y38" i="86"/>
  <c r="Z38" i="86" l="1"/>
  <c r="V38" i="86"/>
  <c r="H49" i="86"/>
  <c r="H39" i="86"/>
  <c r="I39" i="86" l="1"/>
  <c r="J39" i="86"/>
  <c r="K39" i="86" l="1"/>
  <c r="L39" i="86"/>
  <c r="N39" i="86" s="1"/>
  <c r="P39" i="86" s="1"/>
  <c r="R39" i="86" l="1"/>
  <c r="U39" i="86" s="1"/>
  <c r="Q39" i="86"/>
  <c r="W39" i="86" s="1"/>
  <c r="X39" i="86" l="1"/>
  <c r="Y39" i="86" s="1"/>
  <c r="S39" i="86"/>
  <c r="AC39" i="86" s="1"/>
  <c r="Z39" i="86" l="1"/>
  <c r="H40" i="86"/>
  <c r="V39" i="86"/>
  <c r="I40" i="86" l="1"/>
  <c r="J40" i="86"/>
  <c r="K40" i="86" l="1"/>
  <c r="L40" i="86"/>
  <c r="N40" i="86" s="1"/>
  <c r="P40" i="86" s="1"/>
  <c r="R40" i="86" l="1"/>
  <c r="U40" i="86" s="1"/>
  <c r="Q40" i="86"/>
  <c r="W40" i="86" s="1"/>
  <c r="X40" i="86" l="1"/>
  <c r="Y40" i="86"/>
  <c r="Z40" i="86" s="1"/>
  <c r="S40" i="86"/>
  <c r="AC40" i="86" s="1"/>
  <c r="V40" i="86" l="1"/>
  <c r="H41" i="86"/>
  <c r="I41" i="86" l="1"/>
  <c r="J41" i="86"/>
  <c r="K41" i="86" l="1"/>
  <c r="L41" i="86"/>
  <c r="N41" i="86" s="1"/>
  <c r="P41" i="86" s="1"/>
  <c r="R41" i="86" l="1"/>
  <c r="U41" i="86" s="1"/>
  <c r="Q41" i="86"/>
  <c r="W41" i="86" s="1"/>
  <c r="X41" i="86" l="1"/>
  <c r="S41" i="86"/>
  <c r="AC41" i="86" s="1"/>
  <c r="Y41" i="86"/>
  <c r="Z41" i="86" l="1"/>
  <c r="H42" i="86"/>
  <c r="V41" i="86"/>
  <c r="I42" i="86" l="1"/>
  <c r="J42" i="86"/>
  <c r="K42" i="86" l="1"/>
  <c r="L42" i="86"/>
  <c r="N42" i="86" s="1"/>
  <c r="P42" i="86" s="1"/>
  <c r="R42" i="86" l="1"/>
  <c r="U42" i="86" s="1"/>
  <c r="Q42" i="86"/>
  <c r="W42" i="86" s="1"/>
  <c r="X42" i="86" l="1"/>
  <c r="Y42" i="86" s="1"/>
  <c r="S42" i="86"/>
  <c r="AC42" i="86" s="1"/>
  <c r="Z42" i="86" l="1"/>
  <c r="V42" i="86"/>
  <c r="H43" i="86"/>
  <c r="I43" i="86" l="1"/>
  <c r="J43" i="86"/>
  <c r="K43" i="86" l="1"/>
  <c r="L43" i="86"/>
  <c r="N43" i="86" s="1"/>
  <c r="P43" i="86" s="1"/>
  <c r="R43" i="86" l="1"/>
  <c r="U43" i="86" s="1"/>
  <c r="Q43" i="86"/>
  <c r="W43" i="86" s="1"/>
  <c r="X43" i="86" l="1"/>
  <c r="S43" i="86"/>
  <c r="AC43" i="86" s="1"/>
  <c r="Y43" i="86"/>
  <c r="Z43" i="86" l="1"/>
  <c r="H44" i="86"/>
  <c r="V43" i="86"/>
  <c r="I44" i="86" l="1"/>
  <c r="J44" i="86"/>
  <c r="K44" i="86" l="1"/>
  <c r="L44" i="86"/>
  <c r="N44" i="86" s="1"/>
  <c r="P44" i="86" s="1"/>
  <c r="R44" i="86" l="1"/>
  <c r="U44" i="86" s="1"/>
  <c r="Q44" i="86"/>
  <c r="W44" i="86" s="1"/>
  <c r="X44" i="86" l="1"/>
  <c r="Y44" i="86" s="1"/>
  <c r="S44" i="86"/>
  <c r="AC44" i="86" s="1"/>
  <c r="Z44" i="86" l="1"/>
  <c r="V44" i="86"/>
  <c r="H45" i="86"/>
  <c r="I45" i="86" l="1"/>
  <c r="J45" i="86"/>
  <c r="K45" i="86" l="1"/>
  <c r="L45" i="86"/>
  <c r="N45" i="86" s="1"/>
  <c r="P45" i="86" s="1"/>
  <c r="R45" i="86" l="1"/>
  <c r="U45" i="86" s="1"/>
  <c r="Q45" i="86"/>
  <c r="W45" i="86" s="1"/>
  <c r="X45" i="86" l="1"/>
  <c r="Y45" i="86"/>
  <c r="Z45" i="86" s="1"/>
  <c r="S45" i="86"/>
  <c r="AC45" i="86" s="1"/>
  <c r="H46" i="86" l="1"/>
  <c r="V45" i="86"/>
  <c r="I46" i="86" l="1"/>
  <c r="J46" i="86"/>
  <c r="K46" i="86" l="1"/>
  <c r="L46" i="86"/>
  <c r="N46" i="86" s="1"/>
  <c r="P46" i="86" s="1"/>
  <c r="R46" i="86" l="1"/>
  <c r="U46" i="86" s="1"/>
  <c r="Q46" i="86"/>
  <c r="W46" i="86" s="1"/>
  <c r="X46" i="86" l="1"/>
  <c r="S46" i="86"/>
  <c r="AC46" i="86" s="1"/>
  <c r="Y46" i="86"/>
  <c r="Z46" i="86" l="1"/>
  <c r="H47" i="86"/>
  <c r="V46" i="86"/>
  <c r="I47" i="86" l="1"/>
  <c r="B14" i="85"/>
  <c r="B15" i="85" s="1"/>
  <c r="B16" i="85" s="1"/>
  <c r="B17" i="85" s="1"/>
  <c r="B18" i="85" s="1"/>
  <c r="B19" i="85" s="1"/>
  <c r="B20" i="85" s="1"/>
  <c r="B21" i="85" s="1"/>
  <c r="B22" i="85" s="1"/>
  <c r="B23" i="85" s="1"/>
  <c r="B24" i="85" s="1"/>
  <c r="B25" i="85" s="1"/>
  <c r="B26" i="85" s="1"/>
  <c r="B27" i="85" s="1"/>
  <c r="B28" i="85" s="1"/>
  <c r="B29" i="85" s="1"/>
  <c r="B30" i="85" s="1"/>
  <c r="B31" i="85" s="1"/>
  <c r="B32" i="85" s="1"/>
  <c r="B33" i="85" s="1"/>
  <c r="B34" i="85" s="1"/>
  <c r="B35" i="85" s="1"/>
  <c r="B36" i="85" s="1"/>
  <c r="B37" i="85" s="1"/>
  <c r="B38" i="85" s="1"/>
  <c r="B39" i="85" s="1"/>
  <c r="B40" i="85" s="1"/>
  <c r="B41" i="85" s="1"/>
  <c r="B42" i="85" s="1"/>
  <c r="B43" i="85" s="1"/>
  <c r="B44" i="85" s="1"/>
  <c r="B45" i="85" s="1"/>
  <c r="B46" i="85" s="1"/>
  <c r="B47" i="85" s="1"/>
  <c r="B48" i="85" s="1"/>
  <c r="B10" i="85"/>
  <c r="B11" i="85" s="1"/>
  <c r="B12" i="85" s="1"/>
  <c r="B13" i="85" s="1"/>
  <c r="S8" i="85"/>
  <c r="E8" i="85"/>
  <c r="E9" i="85" s="1"/>
  <c r="B8" i="85"/>
  <c r="B9" i="85" s="1"/>
  <c r="N2" i="85"/>
  <c r="J47" i="86"/>
  <c r="N3" i="85"/>
  <c r="K47" i="86" l="1"/>
  <c r="L47" i="86"/>
  <c r="N47" i="86" s="1"/>
  <c r="P47" i="86" s="1"/>
  <c r="D20" i="85"/>
  <c r="D12" i="85"/>
  <c r="D48" i="85"/>
  <c r="D40" i="85"/>
  <c r="D36" i="85"/>
  <c r="D32" i="85"/>
  <c r="D28" i="85"/>
  <c r="D24" i="85"/>
  <c r="D16" i="85"/>
  <c r="D44" i="85"/>
  <c r="D38" i="85"/>
  <c r="D21" i="85"/>
  <c r="D45" i="85"/>
  <c r="D33" i="85"/>
  <c r="D39" i="85"/>
  <c r="D23" i="85"/>
  <c r="D22" i="85"/>
  <c r="D47" i="85"/>
  <c r="D35" i="85"/>
  <c r="D41" i="85"/>
  <c r="D34" i="85"/>
  <c r="D37" i="85"/>
  <c r="D11" i="85"/>
  <c r="D42" i="85"/>
  <c r="D25" i="85"/>
  <c r="D8" i="85"/>
  <c r="D46" i="85"/>
  <c r="D31" i="85"/>
  <c r="D26" i="85"/>
  <c r="D15" i="85"/>
  <c r="D13" i="85"/>
  <c r="D9" i="85"/>
  <c r="D30" i="85"/>
  <c r="D19" i="85"/>
  <c r="D17" i="85"/>
  <c r="D27" i="85"/>
  <c r="D10" i="85"/>
  <c r="D14" i="85"/>
  <c r="D29" i="85"/>
  <c r="D43" i="85"/>
  <c r="D18" i="85"/>
  <c r="F9" i="85"/>
  <c r="F8" i="85"/>
  <c r="G8" i="85" a="1"/>
  <c r="G9" i="85" a="1"/>
  <c r="G8" i="85" l="1"/>
  <c r="G9" i="85"/>
  <c r="H9" i="85" s="1"/>
  <c r="J9" i="85" s="1"/>
  <c r="K9" i="85" s="1"/>
  <c r="R47" i="86"/>
  <c r="U47" i="86" s="1"/>
  <c r="Q47" i="86"/>
  <c r="W47" i="86" s="1"/>
  <c r="H8" i="85"/>
  <c r="J8" i="85" s="1"/>
  <c r="K8" i="85" s="1"/>
  <c r="L9" i="85" l="1"/>
  <c r="O9" i="85" s="1"/>
  <c r="Q9" i="85"/>
  <c r="X47" i="86"/>
  <c r="Y47" i="86" s="1"/>
  <c r="S47" i="86"/>
  <c r="AC47" i="86" s="1"/>
  <c r="R9" i="85" l="1"/>
  <c r="S9" i="85" s="1"/>
  <c r="M9" i="85"/>
  <c r="Z47" i="86"/>
  <c r="H48" i="86"/>
  <c r="I48" i="86" s="1"/>
  <c r="V47" i="86"/>
  <c r="P9" i="85"/>
  <c r="E10" i="85"/>
  <c r="J48" i="86"/>
  <c r="K48" i="86" l="1"/>
  <c r="L48" i="86"/>
  <c r="N48" i="86" s="1"/>
  <c r="P48" i="86" s="1"/>
  <c r="R48" i="86" s="1"/>
  <c r="U48" i="86" s="1"/>
  <c r="F10" i="85"/>
  <c r="G10" i="85" a="1"/>
  <c r="G10" i="85" l="1"/>
  <c r="H10" i="85" s="1"/>
  <c r="J10" i="85" s="1"/>
  <c r="K10" i="85" s="1"/>
  <c r="L10" i="85" s="1"/>
  <c r="Q48" i="86"/>
  <c r="W48" i="86" s="1"/>
  <c r="X48" i="86" s="1"/>
  <c r="Q10" i="85" l="1"/>
  <c r="O10" i="85"/>
  <c r="Y48" i="86"/>
  <c r="Z48" i="86" s="1"/>
  <c r="J4" i="86" s="1"/>
  <c r="E8" i="87" s="1"/>
  <c r="V48" i="86"/>
  <c r="J3" i="86" s="1"/>
  <c r="D8" i="87" s="1"/>
  <c r="S48" i="86"/>
  <c r="R10" i="85"/>
  <c r="M10" i="85"/>
  <c r="J2" i="86" l="1"/>
  <c r="C8" i="87" s="1"/>
  <c r="AC48" i="86"/>
  <c r="S10" i="85"/>
  <c r="E11" i="85"/>
  <c r="P10" i="85"/>
  <c r="F11" i="85" l="1"/>
  <c r="G11" i="85" a="1"/>
  <c r="G11" i="85" l="1"/>
  <c r="H11" i="85" s="1"/>
  <c r="J11" i="85" s="1"/>
  <c r="K11" i="85" s="1"/>
  <c r="L11" i="85" l="1"/>
  <c r="O11" i="85" l="1"/>
  <c r="Q11" i="85"/>
  <c r="R11" i="85" s="1"/>
  <c r="M11" i="85"/>
  <c r="S11" i="85"/>
  <c r="E12" i="85"/>
  <c r="P11" i="85"/>
  <c r="F12" i="85" l="1"/>
  <c r="G12" i="85" a="1"/>
  <c r="G12" i="85" l="1"/>
  <c r="H12" i="85"/>
  <c r="J12" i="85" s="1"/>
  <c r="K12" i="85" s="1"/>
  <c r="L12" i="85" l="1"/>
  <c r="O12" i="85" l="1"/>
  <c r="Q12" i="85"/>
  <c r="R12" i="85" s="1"/>
  <c r="S12" i="85" s="1"/>
  <c r="M12" i="85"/>
  <c r="P12" i="85"/>
  <c r="E13" i="85"/>
  <c r="F13" i="85" l="1"/>
  <c r="G13" i="85" a="1"/>
  <c r="G13" i="85" l="1"/>
  <c r="H13" i="85"/>
  <c r="J13" i="85" s="1"/>
  <c r="K13" i="85" s="1"/>
  <c r="L13" i="85" l="1"/>
  <c r="O13" i="85" l="1"/>
  <c r="Q13" i="85"/>
  <c r="R13" i="85" s="1"/>
  <c r="M13" i="85"/>
  <c r="S13" i="85"/>
  <c r="E14" i="85"/>
  <c r="P13" i="85"/>
  <c r="F14" i="85" l="1"/>
  <c r="G14" i="85" a="1"/>
  <c r="G14" i="85" l="1"/>
  <c r="H14" i="85" s="1"/>
  <c r="J14" i="85" s="1"/>
  <c r="K14" i="85" s="1"/>
  <c r="L14" i="85" l="1"/>
  <c r="O14" i="85" l="1"/>
  <c r="Q14" i="85"/>
  <c r="R14" i="85" s="1"/>
  <c r="M14" i="85"/>
  <c r="S14" i="85"/>
  <c r="E15" i="85"/>
  <c r="P14" i="85"/>
  <c r="F15" i="85" l="1"/>
  <c r="G15" i="85" a="1"/>
  <c r="G15" i="85" l="1"/>
  <c r="H15" i="85" s="1"/>
  <c r="J15" i="85" s="1"/>
  <c r="K15" i="85" s="1"/>
  <c r="L15" i="85" l="1"/>
  <c r="O15" i="85" l="1"/>
  <c r="Q15" i="85"/>
  <c r="R15" i="85" s="1"/>
  <c r="M15" i="85"/>
  <c r="S15" i="85"/>
  <c r="P15" i="85"/>
  <c r="E16" i="85"/>
  <c r="F16" i="85" l="1"/>
  <c r="G16" i="85" a="1"/>
  <c r="G16" i="85" l="1"/>
  <c r="H16" i="85" s="1"/>
  <c r="J16" i="85" s="1"/>
  <c r="K16" i="85" s="1"/>
  <c r="L16" i="85" l="1"/>
  <c r="O16" i="85" l="1"/>
  <c r="Q16" i="85"/>
  <c r="R16" i="85" s="1"/>
  <c r="S16" i="85" s="1"/>
  <c r="M16" i="85"/>
  <c r="E17" i="85"/>
  <c r="P16" i="85"/>
  <c r="F17" i="85" l="1"/>
  <c r="G17" i="85" a="1"/>
  <c r="G17" i="85" l="1"/>
  <c r="H17" i="85" s="1"/>
  <c r="J17" i="85" s="1"/>
  <c r="K17" i="85" s="1"/>
  <c r="L17" i="85" l="1"/>
  <c r="O17" i="85" l="1"/>
  <c r="Q17" i="85"/>
  <c r="R17" i="85" s="1"/>
  <c r="S17" i="85" s="1"/>
  <c r="M17" i="85"/>
  <c r="P17" i="85"/>
  <c r="E18" i="85"/>
  <c r="F18" i="85" l="1"/>
  <c r="G18" i="85" a="1"/>
  <c r="G18" i="85" l="1"/>
  <c r="H18" i="85" s="1"/>
  <c r="J18" i="85" s="1"/>
  <c r="K18" i="85" s="1"/>
  <c r="L18" i="85" l="1"/>
  <c r="O18" i="85" l="1"/>
  <c r="Q18" i="85"/>
  <c r="R18" i="85" s="1"/>
  <c r="M18" i="85"/>
  <c r="S18" i="85"/>
  <c r="P18" i="85"/>
  <c r="E19" i="85"/>
  <c r="F19" i="85" l="1"/>
  <c r="G19" i="85" a="1"/>
  <c r="G19" i="85" l="1"/>
  <c r="H19" i="85" s="1"/>
  <c r="J19" i="85" s="1"/>
  <c r="K19" i="85" s="1"/>
  <c r="L19" i="85" l="1"/>
  <c r="O19" i="85" l="1"/>
  <c r="Q19" i="85"/>
  <c r="R19" i="85" s="1"/>
  <c r="S19" i="85" s="1"/>
  <c r="M19" i="85"/>
  <c r="E20" i="85"/>
  <c r="P19" i="85"/>
  <c r="F20" i="85" l="1"/>
  <c r="G20" i="85" a="1"/>
  <c r="G20" i="85" l="1"/>
  <c r="H20" i="85" s="1"/>
  <c r="J20" i="85" s="1"/>
  <c r="K20" i="85" s="1"/>
  <c r="L20" i="85" l="1"/>
  <c r="M20" i="85"/>
  <c r="O20" i="85" l="1"/>
  <c r="Q20" i="85"/>
  <c r="R20" i="85" s="1"/>
  <c r="S20" i="85" s="1"/>
  <c r="P20" i="85"/>
  <c r="E21" i="85"/>
  <c r="F21" i="85" l="1"/>
  <c r="G21" i="85" a="1"/>
  <c r="G21" i="85" l="1"/>
  <c r="H21" i="85" s="1"/>
  <c r="J21" i="85" s="1"/>
  <c r="K21" i="85" s="1"/>
  <c r="L21" i="85" l="1"/>
  <c r="O21" i="85" l="1"/>
  <c r="Q21" i="85"/>
  <c r="R21" i="85" s="1"/>
  <c r="M21" i="85"/>
  <c r="S21" i="85"/>
  <c r="E22" i="85"/>
  <c r="P21" i="85"/>
  <c r="F22" i="85" l="1"/>
  <c r="G22" i="85" a="1"/>
  <c r="G22" i="85" l="1"/>
  <c r="H22" i="85" s="1"/>
  <c r="J22" i="85" s="1"/>
  <c r="K22" i="85" s="1"/>
  <c r="L22" i="85" l="1"/>
  <c r="O22" i="85" l="1"/>
  <c r="Q22" i="85"/>
  <c r="R22" i="85" s="1"/>
  <c r="S22" i="85" s="1"/>
  <c r="M22" i="85"/>
  <c r="E23" i="85"/>
  <c r="P22" i="85"/>
  <c r="F23" i="85" l="1"/>
  <c r="G23" i="85" a="1"/>
  <c r="G23" i="85" l="1"/>
  <c r="H23" i="85" s="1"/>
  <c r="J23" i="85" s="1"/>
  <c r="K23" i="85" s="1"/>
  <c r="L23" i="85" l="1"/>
  <c r="O23" i="85" l="1"/>
  <c r="Q23" i="85"/>
  <c r="R23" i="85" s="1"/>
  <c r="M23" i="85"/>
  <c r="S23" i="85"/>
  <c r="P23" i="85"/>
  <c r="E24" i="85"/>
  <c r="F24" i="85" l="1"/>
  <c r="G24" i="85" a="1"/>
  <c r="G24" i="85" l="1"/>
  <c r="H24" i="85"/>
  <c r="J24" i="85" s="1"/>
  <c r="K24" i="85" s="1"/>
  <c r="L24" i="85" l="1"/>
  <c r="O24" i="85" l="1"/>
  <c r="Q24" i="85"/>
  <c r="R24" i="85" s="1"/>
  <c r="M24" i="85"/>
  <c r="S24" i="85"/>
  <c r="P24" i="85"/>
  <c r="E25" i="85"/>
  <c r="F25" i="85" l="1"/>
  <c r="G25" i="85" a="1"/>
  <c r="G25" i="85" l="1"/>
  <c r="H25" i="85" s="1"/>
  <c r="J25" i="85" s="1"/>
  <c r="K25" i="85" s="1"/>
  <c r="L25" i="85" l="1"/>
  <c r="O25" i="85" l="1"/>
  <c r="Q25" i="85"/>
  <c r="R25" i="85" s="1"/>
  <c r="M25" i="85"/>
  <c r="S25" i="85"/>
  <c r="E26" i="85"/>
  <c r="P25" i="85"/>
  <c r="F26" i="85" l="1"/>
  <c r="G26" i="85" a="1"/>
  <c r="G26" i="85" l="1"/>
  <c r="H26" i="85" s="1"/>
  <c r="J26" i="85" s="1"/>
  <c r="K26" i="85" s="1"/>
  <c r="L26" i="85" l="1"/>
  <c r="O26" i="85" l="1"/>
  <c r="Q26" i="85"/>
  <c r="R26" i="85" s="1"/>
  <c r="M26" i="85"/>
  <c r="S26" i="85"/>
  <c r="P26" i="85"/>
  <c r="E27" i="85"/>
  <c r="F27" i="85" l="1"/>
  <c r="G27" i="85" a="1"/>
  <c r="G27" i="85" l="1"/>
  <c r="H27" i="85" s="1"/>
  <c r="J27" i="85" s="1"/>
  <c r="K27" i="85" s="1"/>
  <c r="L27" i="85" l="1"/>
  <c r="O27" i="85" l="1"/>
  <c r="Q27" i="85"/>
  <c r="R27" i="85" s="1"/>
  <c r="M27" i="85"/>
  <c r="S27" i="85"/>
  <c r="E28" i="85"/>
  <c r="P27" i="85"/>
  <c r="F28" i="85" l="1"/>
  <c r="G28" i="85" a="1"/>
  <c r="G28" i="85" l="1"/>
  <c r="H28" i="85" s="1"/>
  <c r="J28" i="85" s="1"/>
  <c r="K28" i="85" s="1"/>
  <c r="L28" i="85" l="1"/>
  <c r="O28" i="85" l="1"/>
  <c r="Q28" i="85"/>
  <c r="R28" i="85" s="1"/>
  <c r="M28" i="85"/>
  <c r="S28" i="85"/>
  <c r="P28" i="85"/>
  <c r="E29" i="85"/>
  <c r="F29" i="85" l="1"/>
  <c r="G29" i="85" a="1"/>
  <c r="G29" i="85" l="1"/>
  <c r="H29" i="85" s="1"/>
  <c r="J29" i="85" s="1"/>
  <c r="K29" i="85" s="1"/>
  <c r="L29" i="85" l="1"/>
  <c r="Q29" i="85" s="1"/>
  <c r="R29" i="85" s="1"/>
  <c r="M29" i="85" l="1"/>
  <c r="O29" i="85"/>
  <c r="E30" i="85" s="1"/>
  <c r="S29" i="85"/>
  <c r="P29" i="85" l="1"/>
  <c r="F30" i="85"/>
  <c r="G30" i="85" a="1"/>
  <c r="G30" i="85" l="1"/>
  <c r="H30" i="85" s="1"/>
  <c r="J30" i="85" s="1"/>
  <c r="K30" i="85" s="1"/>
  <c r="L30" i="85" l="1"/>
  <c r="O30" i="85" l="1"/>
  <c r="Q30" i="85"/>
  <c r="R30" i="85" s="1"/>
  <c r="M30" i="85"/>
  <c r="S30" i="85"/>
  <c r="P30" i="85"/>
  <c r="E31" i="85"/>
  <c r="F31" i="85" l="1"/>
  <c r="G31" i="85" a="1"/>
  <c r="G31" i="85" l="1"/>
  <c r="H31" i="85" s="1"/>
  <c r="J31" i="85" s="1"/>
  <c r="K31" i="85" s="1"/>
  <c r="L31" i="85" l="1"/>
  <c r="O31" i="85" l="1"/>
  <c r="Q31" i="85"/>
  <c r="R31" i="85" s="1"/>
  <c r="S31" i="85" s="1"/>
  <c r="M31" i="85"/>
  <c r="P31" i="85"/>
  <c r="E32" i="85"/>
  <c r="F32" i="85" l="1"/>
  <c r="G32" i="85" a="1"/>
  <c r="G32" i="85" l="1"/>
  <c r="H32" i="85" s="1"/>
  <c r="J32" i="85" s="1"/>
  <c r="K32" i="85" s="1"/>
  <c r="L32" i="85" l="1"/>
  <c r="O32" i="85" l="1"/>
  <c r="Q32" i="85"/>
  <c r="R32" i="85" s="1"/>
  <c r="M32" i="85"/>
  <c r="S32" i="85"/>
  <c r="E33" i="85"/>
  <c r="P32" i="85"/>
  <c r="F33" i="85" l="1"/>
  <c r="G33" i="85" a="1"/>
  <c r="G33" i="85" l="1"/>
  <c r="H33" i="85" s="1"/>
  <c r="J33" i="85" s="1"/>
  <c r="K33" i="85" s="1"/>
  <c r="L33" i="85" l="1"/>
  <c r="O33" i="85" l="1"/>
  <c r="E34" i="85" s="1"/>
  <c r="Q33" i="85"/>
  <c r="R33" i="85" s="1"/>
  <c r="S33" i="85" s="1"/>
  <c r="M33" i="85"/>
  <c r="P33" i="85" l="1"/>
  <c r="F34" i="85"/>
  <c r="G34" i="85" a="1"/>
  <c r="G34" i="85" l="1"/>
  <c r="H34" i="85" s="1"/>
  <c r="J34" i="85" s="1"/>
  <c r="K34" i="85" s="1"/>
  <c r="L34" i="85" l="1"/>
  <c r="O34" i="85" l="1"/>
  <c r="Q34" i="85"/>
  <c r="R34" i="85" s="1"/>
  <c r="M34" i="85"/>
  <c r="S34" i="85"/>
  <c r="P34" i="85"/>
  <c r="E35" i="85"/>
  <c r="F35" i="85" l="1"/>
  <c r="G35" i="85" a="1"/>
  <c r="G35" i="85" l="1"/>
  <c r="H35" i="85" s="1"/>
  <c r="J35" i="85" s="1"/>
  <c r="K35" i="85" s="1"/>
  <c r="L35" i="85" l="1"/>
  <c r="O35" i="85" l="1"/>
  <c r="Q35" i="85"/>
  <c r="R35" i="85" s="1"/>
  <c r="S35" i="85" s="1"/>
  <c r="M35" i="85"/>
  <c r="E36" i="85"/>
  <c r="P35" i="85"/>
  <c r="F36" i="85" l="1"/>
  <c r="G36" i="85" a="1"/>
  <c r="G36" i="85" l="1"/>
  <c r="H36" i="85" s="1"/>
  <c r="J36" i="85" s="1"/>
  <c r="K36" i="85" s="1"/>
  <c r="L36" i="85" l="1"/>
  <c r="O36" i="85" l="1"/>
  <c r="Q36" i="85"/>
  <c r="R36" i="85" s="1"/>
  <c r="S36" i="85" s="1"/>
  <c r="M36" i="85"/>
  <c r="P36" i="85"/>
  <c r="E37" i="85"/>
  <c r="F37" i="85" l="1"/>
  <c r="G37" i="85" a="1"/>
  <c r="G37" i="85" l="1"/>
  <c r="H37" i="85" s="1"/>
  <c r="J37" i="85" s="1"/>
  <c r="K37" i="85" s="1"/>
  <c r="L37" i="85" l="1"/>
  <c r="M37" i="85"/>
  <c r="O37" i="85" l="1"/>
  <c r="Q37" i="85"/>
  <c r="R37" i="85" s="1"/>
  <c r="S37" i="85" s="1"/>
  <c r="E38" i="85"/>
  <c r="P37" i="85"/>
  <c r="F38" i="85" l="1"/>
  <c r="G38" i="85" a="1"/>
  <c r="G38" i="85" l="1"/>
  <c r="H38" i="85" s="1"/>
  <c r="J38" i="85" s="1"/>
  <c r="K38" i="85" s="1"/>
  <c r="L38" i="85" l="1"/>
  <c r="O38" i="85" l="1"/>
  <c r="Q38" i="85"/>
  <c r="R38" i="85" s="1"/>
  <c r="S38" i="85" s="1"/>
  <c r="M38" i="85"/>
  <c r="P38" i="85"/>
  <c r="E39" i="85"/>
  <c r="F39" i="85" l="1"/>
  <c r="G39" i="85" a="1"/>
  <c r="G39" i="85" l="1"/>
  <c r="H39" i="85" s="1"/>
  <c r="J39" i="85" s="1"/>
  <c r="K39" i="85" s="1"/>
  <c r="L39" i="85" l="1"/>
  <c r="O39" i="85" l="1"/>
  <c r="Q39" i="85"/>
  <c r="R39" i="85" s="1"/>
  <c r="M39" i="85"/>
  <c r="S39" i="85"/>
  <c r="P39" i="85"/>
  <c r="E40" i="85"/>
  <c r="F40" i="85" l="1"/>
  <c r="G40" i="85" a="1"/>
  <c r="G40" i="85" l="1"/>
  <c r="H40" i="85" s="1"/>
  <c r="J40" i="85" s="1"/>
  <c r="K40" i="85" s="1"/>
  <c r="L40" i="85" l="1"/>
  <c r="M40" i="85" s="1"/>
  <c r="O40" i="85" l="1"/>
  <c r="E41" i="85" s="1"/>
  <c r="Q40" i="85"/>
  <c r="R40" i="85" s="1"/>
  <c r="P40" i="85"/>
  <c r="S40" i="85"/>
  <c r="F41" i="85" l="1"/>
  <c r="G41" i="85" a="1"/>
  <c r="G41" i="85" l="1"/>
  <c r="H41" i="85" s="1"/>
  <c r="J41" i="85" s="1"/>
  <c r="K41" i="85" s="1"/>
  <c r="L41" i="85" l="1"/>
  <c r="M41" i="85" s="1"/>
  <c r="O41" i="85" l="1"/>
  <c r="Q41" i="85"/>
  <c r="R41" i="85" s="1"/>
  <c r="S41" i="85"/>
  <c r="P41" i="85"/>
  <c r="E42" i="85"/>
  <c r="F42" i="85" l="1"/>
  <c r="G42" i="85" a="1"/>
  <c r="G42" i="85" l="1"/>
  <c r="H42" i="85" s="1"/>
  <c r="J42" i="85" s="1"/>
  <c r="K42" i="85" s="1"/>
  <c r="L42" i="85" l="1"/>
  <c r="M42" i="85" s="1"/>
  <c r="O42" i="85" l="1"/>
  <c r="Q42" i="85"/>
  <c r="R42" i="85" s="1"/>
  <c r="S42" i="85" s="1"/>
  <c r="E43" i="85"/>
  <c r="P42" i="85"/>
  <c r="F43" i="85" l="1"/>
  <c r="G43" i="85" a="1"/>
  <c r="G43" i="85" l="1"/>
  <c r="H43" i="85"/>
  <c r="J43" i="85" s="1"/>
  <c r="K43" i="85" s="1"/>
  <c r="L43" i="85" l="1"/>
  <c r="O43" i="85" l="1"/>
  <c r="Q43" i="85"/>
  <c r="R43" i="85" s="1"/>
  <c r="M43" i="85"/>
  <c r="S43" i="85"/>
  <c r="P43" i="85"/>
  <c r="E44" i="85"/>
  <c r="F44" i="85" l="1"/>
  <c r="G44" i="85" a="1"/>
  <c r="G44" i="85" l="1"/>
  <c r="H44" i="85" s="1"/>
  <c r="J44" i="85" s="1"/>
  <c r="K44" i="85" s="1"/>
  <c r="L44" i="85" l="1"/>
  <c r="O44" i="85" l="1"/>
  <c r="Q44" i="85"/>
  <c r="R44" i="85" s="1"/>
  <c r="M44" i="85"/>
  <c r="S44" i="85"/>
  <c r="E45" i="85"/>
  <c r="P44" i="85"/>
  <c r="F45" i="85" l="1"/>
  <c r="G45" i="85" a="1"/>
  <c r="G45" i="85" l="1"/>
  <c r="H45" i="85" s="1"/>
  <c r="J45" i="85" s="1"/>
  <c r="K45" i="85" s="1"/>
  <c r="L45" i="85" l="1"/>
  <c r="O45" i="85" l="1"/>
  <c r="Q45" i="85"/>
  <c r="R45" i="85" s="1"/>
  <c r="S45" i="85" s="1"/>
  <c r="M45" i="85"/>
  <c r="P45" i="85"/>
  <c r="E46" i="85"/>
  <c r="F46" i="85" l="1"/>
  <c r="G46" i="85" a="1"/>
  <c r="G46" i="85" l="1"/>
  <c r="H46" i="85" s="1"/>
  <c r="J46" i="85" s="1"/>
  <c r="K46" i="85" s="1"/>
  <c r="L46" i="85" l="1"/>
  <c r="O46" i="85" l="1"/>
  <c r="Q46" i="85"/>
  <c r="R46" i="85" s="1"/>
  <c r="S46" i="85" s="1"/>
  <c r="M46" i="85"/>
  <c r="E47" i="85"/>
  <c r="P46" i="85"/>
  <c r="F47" i="85" l="1"/>
  <c r="G47" i="85" a="1"/>
  <c r="G47" i="85" l="1"/>
  <c r="H47" i="85"/>
  <c r="J47" i="85" s="1"/>
  <c r="K47" i="85" s="1"/>
  <c r="L47" i="85" l="1"/>
  <c r="O47" i="85" l="1"/>
  <c r="Q47" i="85"/>
  <c r="R47" i="85" s="1"/>
  <c r="S47" i="85" s="1"/>
  <c r="M47" i="85"/>
  <c r="P47" i="85"/>
  <c r="E48" i="85"/>
  <c r="F48" i="85" l="1"/>
  <c r="G48" i="85" a="1"/>
  <c r="G48" i="85" l="1"/>
  <c r="H48" i="85" s="1"/>
  <c r="J48" i="85" s="1"/>
  <c r="K48" i="85" s="1"/>
  <c r="L48" i="85" l="1"/>
  <c r="Q48" i="85" s="1"/>
  <c r="R48" i="85" s="1"/>
  <c r="S48" i="85" s="1"/>
  <c r="J4" i="85" s="1"/>
  <c r="M48" i="85" l="1"/>
  <c r="J2" i="85" s="1"/>
  <c r="O48" i="85"/>
  <c r="E49" i="85" s="1"/>
  <c r="P48" i="85" l="1"/>
  <c r="J3" i="85" s="1"/>
  <c r="E9" i="84"/>
  <c r="B9" i="84"/>
  <c r="B10" i="84" s="1"/>
  <c r="B11" i="84" s="1"/>
  <c r="B12" i="84" s="1"/>
  <c r="B13" i="84" s="1"/>
  <c r="B14" i="84" s="1"/>
  <c r="B15" i="84" s="1"/>
  <c r="B16" i="84" s="1"/>
  <c r="B17" i="84" s="1"/>
  <c r="B18" i="84" s="1"/>
  <c r="B19" i="84" s="1"/>
  <c r="B20" i="84" s="1"/>
  <c r="B21" i="84" s="1"/>
  <c r="B22" i="84" s="1"/>
  <c r="B23" i="84" s="1"/>
  <c r="B24" i="84" s="1"/>
  <c r="B25" i="84" s="1"/>
  <c r="B26" i="84" s="1"/>
  <c r="B27" i="84" s="1"/>
  <c r="B28" i="84" s="1"/>
  <c r="B29" i="84" s="1"/>
  <c r="B30" i="84" s="1"/>
  <c r="B31" i="84" s="1"/>
  <c r="B32" i="84" s="1"/>
  <c r="B33" i="84" s="1"/>
  <c r="B34" i="84" s="1"/>
  <c r="B35" i="84" s="1"/>
  <c r="B36" i="84" s="1"/>
  <c r="B37" i="84" s="1"/>
  <c r="B38" i="84" s="1"/>
  <c r="B39" i="84" s="1"/>
  <c r="B40" i="84" s="1"/>
  <c r="B41" i="84" s="1"/>
  <c r="B42" i="84" s="1"/>
  <c r="B43" i="84" s="1"/>
  <c r="B44" i="84" s="1"/>
  <c r="B45" i="84" s="1"/>
  <c r="B46" i="84" s="1"/>
  <c r="B47" i="84" s="1"/>
  <c r="B48" i="84" s="1"/>
  <c r="S8" i="84"/>
  <c r="E8" i="84"/>
  <c r="B8" i="84"/>
  <c r="N3" i="84"/>
  <c r="N2" i="84"/>
  <c r="D46" i="84" l="1"/>
  <c r="D34" i="84"/>
  <c r="D43" i="84"/>
  <c r="D31" i="84"/>
  <c r="D19" i="84"/>
  <c r="D45" i="84"/>
  <c r="D38" i="84"/>
  <c r="D26" i="84"/>
  <c r="D14" i="84"/>
  <c r="D8" i="84"/>
  <c r="D33" i="84"/>
  <c r="D21" i="84"/>
  <c r="D9" i="84"/>
  <c r="D32" i="84"/>
  <c r="D23" i="84"/>
  <c r="D35" i="84"/>
  <c r="D24" i="84"/>
  <c r="D22" i="84"/>
  <c r="D37" i="84"/>
  <c r="D36" i="84"/>
  <c r="D20" i="84"/>
  <c r="D39" i="84"/>
  <c r="D16" i="84"/>
  <c r="D42" i="84"/>
  <c r="D41" i="84"/>
  <c r="D17" i="84"/>
  <c r="D15" i="84"/>
  <c r="D28" i="84"/>
  <c r="D13" i="84"/>
  <c r="D47" i="84"/>
  <c r="D44" i="84"/>
  <c r="D25" i="84"/>
  <c r="D10" i="84"/>
  <c r="D11" i="84"/>
  <c r="D30" i="84"/>
  <c r="D48" i="84"/>
  <c r="D29" i="84"/>
  <c r="D12" i="84"/>
  <c r="D40" i="84"/>
  <c r="D18" i="84"/>
  <c r="D27" i="84"/>
  <c r="F8" i="84"/>
  <c r="F9" i="84"/>
  <c r="D30" i="64" a="1"/>
  <c r="D53" i="64" a="1"/>
  <c r="D25" i="64" a="1"/>
  <c r="C65" i="64" a="1"/>
  <c r="C59" i="64" a="1"/>
  <c r="D53" i="63" a="1"/>
  <c r="D37" i="64" a="1"/>
  <c r="C56" i="63" a="1"/>
  <c r="D23" i="64" a="1"/>
  <c r="C58" i="63" a="1"/>
  <c r="D17" i="63" a="1"/>
  <c r="C47" i="64" a="1"/>
  <c r="C56" i="64" a="1"/>
  <c r="C43" i="64" a="1"/>
  <c r="C33" i="63" a="1"/>
  <c r="C34" i="63" a="1"/>
  <c r="D38" i="63" a="1"/>
  <c r="C29" i="63" a="1"/>
  <c r="C16" i="63" a="1"/>
  <c r="D42" i="63" a="1"/>
  <c r="C15" i="64" a="1"/>
  <c r="C18" i="63" a="1"/>
  <c r="C59" i="63" a="1"/>
  <c r="D28" i="63" a="1"/>
  <c r="C12" i="64" a="1"/>
  <c r="D25" i="63" a="1"/>
  <c r="D55" i="63" a="1"/>
  <c r="C25" i="63" a="1"/>
  <c r="C24" i="63" a="1"/>
  <c r="C63" i="64" a="1"/>
  <c r="C60" i="64" a="1"/>
  <c r="C20" i="63" a="1"/>
  <c r="C22" i="64" a="1"/>
  <c r="C32" i="63" a="1"/>
  <c r="D19" i="63" a="1"/>
  <c r="D20" i="63" a="1"/>
  <c r="C70" i="64" a="1"/>
  <c r="D58" i="64" a="1"/>
  <c r="C11" i="64" a="1"/>
  <c r="D61" i="64" a="1"/>
  <c r="D20" i="64" a="1"/>
  <c r="D15" i="63" a="1"/>
  <c r="D37" i="63" a="1"/>
  <c r="C42" i="64" a="1"/>
  <c r="C53" i="63" a="1"/>
  <c r="D27" i="64" a="1"/>
  <c r="C49" i="63" a="1"/>
  <c r="D52" i="64" a="1"/>
  <c r="D45" i="64" a="1"/>
  <c r="D39" i="64" a="1"/>
  <c r="C42" i="63" a="1"/>
  <c r="D44" i="64" a="1"/>
  <c r="C38" i="64" a="1"/>
  <c r="C57" i="63" a="1"/>
  <c r="C41" i="63" a="1"/>
  <c r="D31" i="64" a="1"/>
  <c r="D16" i="64" a="1"/>
  <c r="D44" i="63" a="1"/>
  <c r="C68" i="64" a="1"/>
  <c r="C19" i="64" a="1"/>
  <c r="C18" i="64" a="1"/>
  <c r="D45" i="63" a="1"/>
  <c r="D48" i="64" a="1"/>
  <c r="D51" i="63" a="1"/>
  <c r="C58" i="64" a="1"/>
  <c r="C10" i="63" a="1"/>
  <c r="C51" i="63" a="1"/>
  <c r="C66" i="64" a="1"/>
  <c r="D16" i="63" a="1"/>
  <c r="C23" i="63" a="1"/>
  <c r="D11" i="64" a="1"/>
  <c r="D14" i="64" a="1"/>
  <c r="D34" i="63" a="1"/>
  <c r="C41" i="64" a="1"/>
  <c r="C46" i="64" a="1"/>
  <c r="C48" i="63" a="1"/>
  <c r="C62" i="64" a="1"/>
  <c r="C39" i="63" a="1"/>
  <c r="C13" i="64" a="1"/>
  <c r="D21" i="63" a="1"/>
  <c r="C45" i="63" a="1"/>
  <c r="D69" i="64" a="1"/>
  <c r="D32" i="64" a="1"/>
  <c r="D50" i="63" a="1"/>
  <c r="D43" i="64" a="1"/>
  <c r="D56" i="63" a="1"/>
  <c r="C43" i="63" a="1"/>
  <c r="C50" i="63" a="1"/>
  <c r="D54" i="63" a="1"/>
  <c r="C12" i="63" a="1"/>
  <c r="C40" i="64" a="1"/>
  <c r="D59" i="64" a="1"/>
  <c r="C26" i="63" a="1"/>
  <c r="C44" i="63" a="1"/>
  <c r="C55" i="63" a="1"/>
  <c r="D42" i="64" a="1"/>
  <c r="C26" i="64" a="1"/>
  <c r="C25" i="64" a="1"/>
  <c r="D68" i="64" a="1"/>
  <c r="D36" i="63" a="1"/>
  <c r="C29" i="64" a="1"/>
  <c r="D66" i="64" a="1"/>
  <c r="D36" i="64" a="1"/>
  <c r="C52" i="64" a="1"/>
  <c r="D63" i="64" a="1"/>
  <c r="C64" i="64" a="1"/>
  <c r="G8" i="84"/>
  <c r="D19" i="64" a="1"/>
  <c r="G9" i="84"/>
  <c r="C28" i="63" a="1"/>
  <c r="D32" i="63" a="1"/>
  <c r="D28" i="64" a="1"/>
  <c r="C16" i="64" a="1"/>
  <c r="D29" i="63" a="1"/>
  <c r="C54" i="63" a="1"/>
  <c r="D27" i="63" a="1"/>
  <c r="D14" i="63" a="1"/>
  <c r="C22" i="63" a="1"/>
  <c r="C32" i="64" a="1"/>
  <c r="C44" i="64" a="1"/>
  <c r="C54" i="64" a="1"/>
  <c r="D18" i="64" a="1"/>
  <c r="C39" i="64" a="1"/>
  <c r="C69" i="64" a="1"/>
  <c r="C14" i="63" a="1"/>
  <c r="D59" i="63" a="1"/>
  <c r="D41" i="63" a="1"/>
  <c r="C27" i="63" a="1"/>
  <c r="C23" i="64" a="1"/>
  <c r="C35" i="63" a="1"/>
  <c r="C33" i="64" a="1"/>
  <c r="D52" i="63" a="1"/>
  <c r="C37" i="63" a="1"/>
  <c r="C67" i="64" a="1"/>
  <c r="D47" i="64" a="1"/>
  <c r="C57" i="64" a="1"/>
  <c r="C36" i="64" a="1"/>
  <c r="D49" i="64" a="1"/>
  <c r="C36" i="63" a="1"/>
  <c r="C20" i="64" a="1"/>
  <c r="D17" i="64" a="1"/>
  <c r="D67" i="64" a="1"/>
  <c r="C38" i="63" a="1"/>
  <c r="D11" i="63" a="1"/>
  <c r="C48" i="64" a="1"/>
  <c r="C40" i="63" a="1"/>
  <c r="D58" i="63" a="1"/>
  <c r="D70" i="64" a="1"/>
  <c r="D48" i="63" a="1"/>
  <c r="C24" i="64" a="1"/>
  <c r="C27" i="64" a="1"/>
  <c r="D23" i="63" a="1"/>
  <c r="D30" i="63" a="1"/>
  <c r="D62" i="64" a="1"/>
  <c r="C51" i="64" a="1"/>
  <c r="C49" i="64" a="1"/>
  <c r="C14" i="64" a="1"/>
  <c r="D10" i="64" a="1"/>
  <c r="D41" i="64" a="1"/>
  <c r="D40" i="63" a="1"/>
  <c r="D60" i="64" a="1"/>
  <c r="D51" i="64" a="1"/>
  <c r="D12" i="64" a="1"/>
  <c r="C31" i="64" a="1"/>
  <c r="C47" i="63" a="1"/>
  <c r="C10" i="64" a="1"/>
  <c r="C15" i="63" a="1"/>
  <c r="C28" i="64" a="1"/>
  <c r="D10" i="63" a="1"/>
  <c r="D22" i="64" a="1"/>
  <c r="D65" i="64" a="1"/>
  <c r="D24" i="63" a="1"/>
  <c r="D39" i="63" a="1"/>
  <c r="C31" i="63" a="1"/>
  <c r="D13" i="64" a="1"/>
  <c r="D57" i="64" a="1"/>
  <c r="C53" i="64" a="1"/>
  <c r="D56" i="64" a="1"/>
  <c r="D47" i="63" a="1"/>
  <c r="D55" i="64" a="1"/>
  <c r="D64" i="64" a="1"/>
  <c r="D43" i="63" a="1"/>
  <c r="D31" i="63" a="1"/>
  <c r="D46" i="63" a="1"/>
  <c r="D34" i="64" a="1"/>
  <c r="D15" i="64" a="1"/>
  <c r="D49" i="63" a="1"/>
  <c r="C30" i="64" a="1"/>
  <c r="D50" i="64" a="1"/>
  <c r="C21" i="63" a="1"/>
  <c r="D21" i="64" a="1"/>
  <c r="D29" i="64" a="1"/>
  <c r="D33" i="63" a="1"/>
  <c r="D35" i="63" a="1"/>
  <c r="D33" i="64" a="1"/>
  <c r="D18" i="63" a="1"/>
  <c r="C19" i="63" a="1"/>
  <c r="C17" i="63" a="1"/>
  <c r="C52" i="63" a="1"/>
  <c r="D26" i="63" a="1"/>
  <c r="D57" i="63" a="1"/>
  <c r="C50" i="64" a="1"/>
  <c r="D46" i="64" a="1"/>
  <c r="C45" i="64" a="1"/>
  <c r="D40" i="64" a="1"/>
  <c r="D12" i="63" a="1"/>
  <c r="D54" i="64" a="1"/>
  <c r="D35" i="64" a="1"/>
  <c r="C61" i="64" a="1"/>
  <c r="C35" i="64" a="1"/>
  <c r="D26" i="64" a="1"/>
  <c r="C11" i="63" a="1"/>
  <c r="C21" i="64" a="1"/>
  <c r="C17" i="64" a="1"/>
  <c r="D13" i="63" a="1"/>
  <c r="C55" i="64" a="1"/>
  <c r="C46" i="63" a="1"/>
  <c r="C13" i="63" a="1"/>
  <c r="C60" i="63" a="1"/>
  <c r="D22" i="63" a="1"/>
  <c r="C34" i="64" a="1"/>
  <c r="D24" i="64" a="1"/>
  <c r="C37" i="64" a="1"/>
  <c r="C30" i="63" a="1"/>
  <c r="D38" i="64" a="1"/>
  <c r="D60" i="63" a="1"/>
  <c r="H9" i="84" l="1"/>
  <c r="J9" i="84" s="1"/>
  <c r="K9" i="84" s="1"/>
  <c r="H8" i="84"/>
  <c r="J8" i="84" s="1"/>
  <c r="K8" i="84" s="1"/>
  <c r="D65" i="64"/>
  <c r="D70" i="64"/>
  <c r="D52" i="64"/>
  <c r="D34" i="64"/>
  <c r="D16" i="64"/>
  <c r="D69" i="64"/>
  <c r="D51" i="64"/>
  <c r="D33" i="64"/>
  <c r="D27" i="64"/>
  <c r="D68" i="64"/>
  <c r="D50" i="64"/>
  <c r="D32" i="64"/>
  <c r="D20" i="64"/>
  <c r="D55" i="64"/>
  <c r="D37" i="64"/>
  <c r="D31" i="64"/>
  <c r="D25" i="64"/>
  <c r="D19" i="64"/>
  <c r="D13" i="64"/>
  <c r="D53" i="64"/>
  <c r="D59" i="64"/>
  <c r="D64" i="64"/>
  <c r="D46" i="64"/>
  <c r="D22" i="64"/>
  <c r="D63" i="64"/>
  <c r="D39" i="64"/>
  <c r="D15" i="64"/>
  <c r="D62" i="64"/>
  <c r="D38" i="64"/>
  <c r="D26" i="64"/>
  <c r="D61" i="64"/>
  <c r="D43" i="64"/>
  <c r="D60" i="64"/>
  <c r="D42" i="64"/>
  <c r="D18" i="64"/>
  <c r="D58" i="64"/>
  <c r="D40" i="64"/>
  <c r="D28" i="64"/>
  <c r="D57" i="64"/>
  <c r="D45" i="64"/>
  <c r="D21" i="64"/>
  <c r="D56" i="64"/>
  <c r="D44" i="64"/>
  <c r="D14" i="64"/>
  <c r="D67" i="64"/>
  <c r="D49" i="64"/>
  <c r="D66" i="64"/>
  <c r="D54" i="64"/>
  <c r="D48" i="64"/>
  <c r="D36" i="64"/>
  <c r="D30" i="64"/>
  <c r="D24" i="64"/>
  <c r="D12" i="64"/>
  <c r="D47" i="64"/>
  <c r="D41" i="64"/>
  <c r="D35" i="64"/>
  <c r="D29" i="64"/>
  <c r="D23" i="64"/>
  <c r="D17" i="64"/>
  <c r="D11" i="64"/>
  <c r="D10" i="64"/>
  <c r="C15" i="64"/>
  <c r="C64" i="64"/>
  <c r="C46" i="64"/>
  <c r="C16" i="64"/>
  <c r="C51" i="64"/>
  <c r="C56" i="64"/>
  <c r="C58" i="64"/>
  <c r="C40" i="64"/>
  <c r="C28" i="64"/>
  <c r="C63" i="64"/>
  <c r="C45" i="64"/>
  <c r="C33" i="64"/>
  <c r="C21" i="64"/>
  <c r="C62" i="64"/>
  <c r="C44" i="64"/>
  <c r="C32" i="64"/>
  <c r="C20" i="64"/>
  <c r="C67" i="64"/>
  <c r="C49" i="64"/>
  <c r="C37" i="64"/>
  <c r="C25" i="64"/>
  <c r="C19" i="64"/>
  <c r="C60" i="64"/>
  <c r="C36" i="64"/>
  <c r="C18" i="64"/>
  <c r="C70" i="64"/>
  <c r="C52" i="64"/>
  <c r="C34" i="64"/>
  <c r="C22" i="64"/>
  <c r="C69" i="64"/>
  <c r="C57" i="64"/>
  <c r="C39" i="64"/>
  <c r="C27" i="64"/>
  <c r="C68" i="64"/>
  <c r="C50" i="64"/>
  <c r="C38" i="64"/>
  <c r="C26" i="64"/>
  <c r="C14" i="64"/>
  <c r="C61" i="64"/>
  <c r="C55" i="64"/>
  <c r="C43" i="64"/>
  <c r="C31" i="64"/>
  <c r="C13" i="64"/>
  <c r="C66" i="64"/>
  <c r="C54" i="64"/>
  <c r="C48" i="64"/>
  <c r="C42" i="64"/>
  <c r="C30" i="64"/>
  <c r="C24" i="64"/>
  <c r="C12" i="64"/>
  <c r="C65" i="64"/>
  <c r="C59" i="64"/>
  <c r="C53" i="64"/>
  <c r="C47" i="64"/>
  <c r="C41" i="64"/>
  <c r="C35" i="64"/>
  <c r="C29" i="64"/>
  <c r="C23" i="64"/>
  <c r="C17" i="64"/>
  <c r="C11" i="64"/>
  <c r="C10" i="64"/>
  <c r="D46" i="63"/>
  <c r="D28" i="63"/>
  <c r="D45" i="63"/>
  <c r="D21" i="63"/>
  <c r="D14" i="63"/>
  <c r="D53" i="63"/>
  <c r="D52" i="63"/>
  <c r="D34" i="63"/>
  <c r="D22" i="63"/>
  <c r="D51" i="63"/>
  <c r="D33" i="63"/>
  <c r="D15" i="63"/>
  <c r="D56" i="63"/>
  <c r="D50" i="63"/>
  <c r="D38" i="63"/>
  <c r="D26" i="63"/>
  <c r="D55" i="63"/>
  <c r="D43" i="63"/>
  <c r="D31" i="63"/>
  <c r="D19" i="63"/>
  <c r="D60" i="63"/>
  <c r="D42" i="63"/>
  <c r="D24" i="63"/>
  <c r="D12" i="63"/>
  <c r="D59" i="63"/>
  <c r="D58" i="63"/>
  <c r="D40" i="63"/>
  <c r="D16" i="63"/>
  <c r="D57" i="63"/>
  <c r="D39" i="63"/>
  <c r="D27" i="63"/>
  <c r="D44" i="63"/>
  <c r="D32" i="63"/>
  <c r="D20" i="63"/>
  <c r="D49" i="63"/>
  <c r="D37" i="63"/>
  <c r="D25" i="63"/>
  <c r="D13" i="63"/>
  <c r="D54" i="63"/>
  <c r="D48" i="63"/>
  <c r="D36" i="63"/>
  <c r="D30" i="63"/>
  <c r="D18" i="63"/>
  <c r="D47" i="63"/>
  <c r="D41" i="63"/>
  <c r="D35" i="63"/>
  <c r="D29" i="63"/>
  <c r="D23" i="63"/>
  <c r="D17" i="63"/>
  <c r="D11" i="63"/>
  <c r="D10" i="63"/>
  <c r="C59" i="63"/>
  <c r="C29" i="63"/>
  <c r="C23" i="63"/>
  <c r="C17" i="63"/>
  <c r="C58" i="63"/>
  <c r="C52" i="63"/>
  <c r="C46" i="63"/>
  <c r="C40" i="63"/>
  <c r="C34" i="63"/>
  <c r="C28" i="63"/>
  <c r="C22" i="63"/>
  <c r="C16" i="63"/>
  <c r="C57" i="63"/>
  <c r="C51" i="63"/>
  <c r="C45" i="63"/>
  <c r="C39" i="63"/>
  <c r="C33" i="63"/>
  <c r="C27" i="63"/>
  <c r="C21" i="63"/>
  <c r="C15" i="63"/>
  <c r="C53" i="63"/>
  <c r="C35" i="63"/>
  <c r="C50" i="63"/>
  <c r="C38" i="63"/>
  <c r="C26" i="63"/>
  <c r="C14" i="63"/>
  <c r="C55" i="63"/>
  <c r="C43" i="63"/>
  <c r="C31" i="63"/>
  <c r="C19" i="63"/>
  <c r="C60" i="63"/>
  <c r="C42" i="63"/>
  <c r="C18" i="63"/>
  <c r="C47" i="63"/>
  <c r="C56" i="63"/>
  <c r="C44" i="63"/>
  <c r="C32" i="63"/>
  <c r="C20" i="63"/>
  <c r="C49" i="63"/>
  <c r="C37" i="63"/>
  <c r="C25" i="63"/>
  <c r="C13" i="63"/>
  <c r="C54" i="63"/>
  <c r="C48" i="63"/>
  <c r="C36" i="63"/>
  <c r="C30" i="63"/>
  <c r="C24" i="63"/>
  <c r="C12" i="63"/>
  <c r="C41" i="63"/>
  <c r="C11" i="63"/>
  <c r="C10" i="63"/>
  <c r="Q121" i="74"/>
  <c r="Q120" i="74"/>
  <c r="Q119" i="74"/>
  <c r="Q118" i="74"/>
  <c r="Q117" i="74"/>
  <c r="Q116" i="74"/>
  <c r="Q115" i="74"/>
  <c r="Q114" i="74"/>
  <c r="Q113" i="74"/>
  <c r="Q112" i="74"/>
  <c r="Q111" i="74"/>
  <c r="Q110" i="74"/>
  <c r="Q109" i="74"/>
  <c r="Q108" i="74"/>
  <c r="Q107" i="74"/>
  <c r="Q106" i="74"/>
  <c r="Q105" i="74"/>
  <c r="Q104" i="74"/>
  <c r="Q103" i="74"/>
  <c r="Q102" i="74"/>
  <c r="Q101" i="74"/>
  <c r="Q100" i="74"/>
  <c r="Q99" i="74"/>
  <c r="Q98" i="74"/>
  <c r="Q97" i="74"/>
  <c r="Q96" i="74"/>
  <c r="Q95" i="74"/>
  <c r="Q94" i="74"/>
  <c r="Q93" i="74"/>
  <c r="Q92" i="74"/>
  <c r="Q91" i="74"/>
  <c r="Q90" i="74"/>
  <c r="Q89" i="74"/>
  <c r="Q88" i="74"/>
  <c r="Q87" i="74"/>
  <c r="Q86" i="74"/>
  <c r="Q85" i="74"/>
  <c r="Q84" i="74"/>
  <c r="Q83" i="74"/>
  <c r="Q82" i="74"/>
  <c r="Q81" i="74"/>
  <c r="Q80" i="74"/>
  <c r="Q79" i="74"/>
  <c r="Q78" i="74"/>
  <c r="Q77" i="74"/>
  <c r="Q76" i="74"/>
  <c r="Q75" i="74"/>
  <c r="Q74" i="74"/>
  <c r="Q73" i="74"/>
  <c r="Q72" i="74"/>
  <c r="Q71" i="74"/>
  <c r="Q70" i="74"/>
  <c r="Q69" i="74"/>
  <c r="Q68" i="74"/>
  <c r="Q67" i="74"/>
  <c r="Q66" i="74"/>
  <c r="Q65" i="74"/>
  <c r="Q64" i="74"/>
  <c r="Q63" i="74"/>
  <c r="Q62" i="74"/>
  <c r="Q61" i="74"/>
  <c r="Q60" i="74"/>
  <c r="Q59" i="74"/>
  <c r="Q58" i="74"/>
  <c r="Q57" i="74"/>
  <c r="Q56" i="74"/>
  <c r="Q55" i="74"/>
  <c r="Q54" i="74"/>
  <c r="Q53" i="74"/>
  <c r="Q52" i="74"/>
  <c r="Q51" i="74"/>
  <c r="Q50" i="74"/>
  <c r="Q49" i="74"/>
  <c r="Q48" i="74"/>
  <c r="Q47" i="74"/>
  <c r="Q46" i="74"/>
  <c r="Q45" i="74"/>
  <c r="Q44" i="74"/>
  <c r="Q43" i="74"/>
  <c r="Q42" i="74"/>
  <c r="Q41" i="74"/>
  <c r="Q40" i="74"/>
  <c r="Q39" i="74"/>
  <c r="Q38" i="74"/>
  <c r="Q37" i="74"/>
  <c r="Q36" i="74"/>
  <c r="Q35" i="74"/>
  <c r="Q34" i="74"/>
  <c r="Q33" i="74"/>
  <c r="Q32" i="74"/>
  <c r="Q31" i="74"/>
  <c r="Q30" i="74"/>
  <c r="Q29" i="74"/>
  <c r="Q28" i="74"/>
  <c r="Q27" i="74"/>
  <c r="Q26" i="74"/>
  <c r="Q25" i="74"/>
  <c r="Q24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21" i="77"/>
  <c r="Q120" i="77"/>
  <c r="Q119" i="77"/>
  <c r="Q118" i="77"/>
  <c r="Q117" i="77"/>
  <c r="Q116" i="77"/>
  <c r="Q115" i="77"/>
  <c r="Q114" i="77"/>
  <c r="Q113" i="77"/>
  <c r="Q112" i="77"/>
  <c r="Q111" i="77"/>
  <c r="Q110" i="77"/>
  <c r="Q109" i="77"/>
  <c r="Q108" i="77"/>
  <c r="Q107" i="77"/>
  <c r="Q106" i="77"/>
  <c r="Q105" i="77"/>
  <c r="Q104" i="77"/>
  <c r="Q103" i="77"/>
  <c r="Q102" i="77"/>
  <c r="Q101" i="77"/>
  <c r="Q100" i="77"/>
  <c r="Q99" i="77"/>
  <c r="Q98" i="77"/>
  <c r="Q97" i="77"/>
  <c r="Q96" i="77"/>
  <c r="Q95" i="77"/>
  <c r="Q94" i="77"/>
  <c r="Q93" i="77"/>
  <c r="Q92" i="77"/>
  <c r="Q91" i="77"/>
  <c r="Q90" i="77"/>
  <c r="Q89" i="77"/>
  <c r="Q88" i="77"/>
  <c r="Q87" i="77"/>
  <c r="Q86" i="77"/>
  <c r="Q85" i="77"/>
  <c r="Q84" i="77"/>
  <c r="Q83" i="77"/>
  <c r="Q82" i="77"/>
  <c r="Q81" i="77"/>
  <c r="Q80" i="77"/>
  <c r="Q79" i="77"/>
  <c r="Q78" i="77"/>
  <c r="Q77" i="77"/>
  <c r="Q76" i="77"/>
  <c r="Q75" i="77"/>
  <c r="Q74" i="77"/>
  <c r="Q73" i="77"/>
  <c r="Q72" i="77"/>
  <c r="Q71" i="77"/>
  <c r="Q70" i="77"/>
  <c r="Q69" i="77"/>
  <c r="Q68" i="77"/>
  <c r="Q67" i="77"/>
  <c r="Q66" i="77"/>
  <c r="Q65" i="77"/>
  <c r="Q64" i="77"/>
  <c r="Q63" i="77"/>
  <c r="Q62" i="77"/>
  <c r="Q61" i="77"/>
  <c r="Q60" i="77"/>
  <c r="Q59" i="77"/>
  <c r="Q58" i="77"/>
  <c r="Q57" i="77"/>
  <c r="Q56" i="77"/>
  <c r="Q55" i="77"/>
  <c r="Q54" i="77"/>
  <c r="Q53" i="77"/>
  <c r="Q52" i="77"/>
  <c r="Q51" i="77"/>
  <c r="Q50" i="77"/>
  <c r="Q49" i="77"/>
  <c r="Q48" i="77"/>
  <c r="Q47" i="77"/>
  <c r="Q46" i="77"/>
  <c r="Q45" i="77"/>
  <c r="Q44" i="77"/>
  <c r="Q43" i="77"/>
  <c r="Q42" i="77"/>
  <c r="Q41" i="77"/>
  <c r="Q40" i="77"/>
  <c r="Q39" i="77"/>
  <c r="Q38" i="77"/>
  <c r="Q37" i="77"/>
  <c r="Q36" i="77"/>
  <c r="Q35" i="77"/>
  <c r="Q34" i="77"/>
  <c r="Q33" i="77"/>
  <c r="Q32" i="77"/>
  <c r="Q31" i="77"/>
  <c r="Q30" i="77"/>
  <c r="Q29" i="77"/>
  <c r="Q28" i="77"/>
  <c r="Q27" i="77"/>
  <c r="Q26" i="77"/>
  <c r="Q25" i="77"/>
  <c r="Q24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21" i="76"/>
  <c r="Q120" i="76"/>
  <c r="Q119" i="76"/>
  <c r="Q118" i="76"/>
  <c r="Q117" i="76"/>
  <c r="Q116" i="76"/>
  <c r="Q115" i="76"/>
  <c r="Q114" i="76"/>
  <c r="Q113" i="76"/>
  <c r="Q112" i="76"/>
  <c r="Q111" i="76"/>
  <c r="Q110" i="76"/>
  <c r="Q109" i="76"/>
  <c r="Q108" i="76"/>
  <c r="Q107" i="76"/>
  <c r="Q106" i="76"/>
  <c r="Q105" i="76"/>
  <c r="Q104" i="76"/>
  <c r="Q103" i="76"/>
  <c r="Q102" i="76"/>
  <c r="Q101" i="76"/>
  <c r="Q100" i="76"/>
  <c r="Q99" i="76"/>
  <c r="Q98" i="76"/>
  <c r="Q97" i="76"/>
  <c r="Q96" i="76"/>
  <c r="Q95" i="76"/>
  <c r="Q94" i="76"/>
  <c r="Q93" i="76"/>
  <c r="Q92" i="76"/>
  <c r="Q91" i="76"/>
  <c r="Q90" i="76"/>
  <c r="Q89" i="76"/>
  <c r="Q88" i="76"/>
  <c r="Q87" i="76"/>
  <c r="Q86" i="76"/>
  <c r="Q85" i="76"/>
  <c r="Q84" i="76"/>
  <c r="Q83" i="76"/>
  <c r="Q82" i="76"/>
  <c r="Q81" i="76"/>
  <c r="Q80" i="76"/>
  <c r="Q79" i="76"/>
  <c r="Q78" i="76"/>
  <c r="Q77" i="76"/>
  <c r="Q76" i="76"/>
  <c r="Q75" i="76"/>
  <c r="Q74" i="76"/>
  <c r="Q73" i="76"/>
  <c r="Q72" i="76"/>
  <c r="Q71" i="76"/>
  <c r="Q70" i="76"/>
  <c r="Q69" i="76"/>
  <c r="Q68" i="76"/>
  <c r="Q67" i="76"/>
  <c r="Q66" i="76"/>
  <c r="Q65" i="76"/>
  <c r="Q64" i="76"/>
  <c r="Q63" i="76"/>
  <c r="Q62" i="76"/>
  <c r="Q61" i="76"/>
  <c r="Q60" i="76"/>
  <c r="Q59" i="76"/>
  <c r="Q58" i="76"/>
  <c r="Q57" i="76"/>
  <c r="Q56" i="76"/>
  <c r="Q55" i="76"/>
  <c r="Q54" i="76"/>
  <c r="Q53" i="76"/>
  <c r="Q52" i="76"/>
  <c r="Q51" i="76"/>
  <c r="Q50" i="76"/>
  <c r="Q49" i="76"/>
  <c r="Q48" i="76"/>
  <c r="Q47" i="76"/>
  <c r="Q46" i="76"/>
  <c r="Q45" i="76"/>
  <c r="Q44" i="76"/>
  <c r="Q43" i="76"/>
  <c r="Q42" i="76"/>
  <c r="Q41" i="76"/>
  <c r="Q40" i="76"/>
  <c r="Q39" i="76"/>
  <c r="Q38" i="76"/>
  <c r="Q37" i="76"/>
  <c r="Q36" i="76"/>
  <c r="Q35" i="76"/>
  <c r="Q34" i="76"/>
  <c r="Q33" i="76"/>
  <c r="Q32" i="76"/>
  <c r="Q31" i="76"/>
  <c r="Q30" i="76"/>
  <c r="Q29" i="76"/>
  <c r="Q28" i="76"/>
  <c r="Q27" i="76"/>
  <c r="Q26" i="76"/>
  <c r="Q25" i="76"/>
  <c r="Q24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21" i="75"/>
  <c r="Q120" i="75"/>
  <c r="Q119" i="75"/>
  <c r="Q118" i="75"/>
  <c r="Q117" i="75"/>
  <c r="Q116" i="75"/>
  <c r="Q115" i="75"/>
  <c r="Q114" i="75"/>
  <c r="Q113" i="75"/>
  <c r="Q112" i="75"/>
  <c r="Q111" i="75"/>
  <c r="Q110" i="75"/>
  <c r="Q109" i="75"/>
  <c r="Q108" i="75"/>
  <c r="Q107" i="75"/>
  <c r="Q106" i="75"/>
  <c r="Q105" i="75"/>
  <c r="Q104" i="75"/>
  <c r="Q103" i="75"/>
  <c r="Q102" i="75"/>
  <c r="Q101" i="75"/>
  <c r="Q100" i="75"/>
  <c r="Q99" i="75"/>
  <c r="Q98" i="75"/>
  <c r="Q97" i="75"/>
  <c r="Q96" i="75"/>
  <c r="Q95" i="75"/>
  <c r="Q94" i="75"/>
  <c r="Q93" i="75"/>
  <c r="Q92" i="75"/>
  <c r="Q91" i="75"/>
  <c r="Q90" i="75"/>
  <c r="Q89" i="75"/>
  <c r="Q88" i="75"/>
  <c r="Q87" i="75"/>
  <c r="Q86" i="75"/>
  <c r="Q85" i="75"/>
  <c r="Q84" i="75"/>
  <c r="Q83" i="75"/>
  <c r="Q82" i="75"/>
  <c r="Q81" i="75"/>
  <c r="Q80" i="75"/>
  <c r="Q79" i="75"/>
  <c r="Q78" i="75"/>
  <c r="Q77" i="75"/>
  <c r="Q76" i="75"/>
  <c r="Q75" i="75"/>
  <c r="Q74" i="75"/>
  <c r="Q73" i="75"/>
  <c r="Q72" i="75"/>
  <c r="Q71" i="75"/>
  <c r="Q70" i="75"/>
  <c r="Q69" i="75"/>
  <c r="Q68" i="75"/>
  <c r="Q67" i="75"/>
  <c r="Q66" i="75"/>
  <c r="Q65" i="75"/>
  <c r="Q64" i="75"/>
  <c r="Q63" i="75"/>
  <c r="Q62" i="75"/>
  <c r="Q61" i="75"/>
  <c r="Q60" i="75"/>
  <c r="Q59" i="75"/>
  <c r="Q58" i="75"/>
  <c r="Q57" i="75"/>
  <c r="Q56" i="75"/>
  <c r="Q55" i="75"/>
  <c r="Q54" i="75"/>
  <c r="Q53" i="75"/>
  <c r="Q52" i="75"/>
  <c r="Q51" i="75"/>
  <c r="Q50" i="75"/>
  <c r="Q49" i="75"/>
  <c r="Q48" i="75"/>
  <c r="Q47" i="75"/>
  <c r="Q46" i="75"/>
  <c r="Q45" i="75"/>
  <c r="Q44" i="75"/>
  <c r="Q43" i="75"/>
  <c r="Q42" i="75"/>
  <c r="Q41" i="75"/>
  <c r="Q40" i="75"/>
  <c r="Q39" i="75"/>
  <c r="Q38" i="75"/>
  <c r="Q37" i="75"/>
  <c r="Q36" i="75"/>
  <c r="Q35" i="75"/>
  <c r="Q34" i="75"/>
  <c r="Q33" i="75"/>
  <c r="Q32" i="75"/>
  <c r="Q31" i="75"/>
  <c r="Q30" i="75"/>
  <c r="Q29" i="75"/>
  <c r="Q28" i="75"/>
  <c r="Q27" i="75"/>
  <c r="Q26" i="75"/>
  <c r="Q25" i="75"/>
  <c r="Q24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D36" i="61" a="1"/>
  <c r="C17" i="62" a="1"/>
  <c r="C28" i="61" a="1"/>
  <c r="C8" i="62" a="1"/>
  <c r="C18" i="62" a="1"/>
  <c r="D14" i="61" a="1"/>
  <c r="D55" i="62" a="1"/>
  <c r="C31" i="62" a="1"/>
  <c r="C31" i="61" a="1"/>
  <c r="C43" i="62" a="1"/>
  <c r="C33" i="61" a="1"/>
  <c r="C23" i="62" a="1"/>
  <c r="C47" i="61" a="1"/>
  <c r="D39" i="62" a="1"/>
  <c r="C46" i="62" a="1"/>
  <c r="C17" i="61" a="1"/>
  <c r="C18" i="61" a="1"/>
  <c r="D30" i="61" a="1"/>
  <c r="D22" i="61" a="1"/>
  <c r="C40" i="61" a="1"/>
  <c r="D32" i="61" a="1"/>
  <c r="C29" i="62" a="1"/>
  <c r="C8" i="61" a="1"/>
  <c r="C24" i="62" a="1"/>
  <c r="D42" i="62" a="1"/>
  <c r="D15" i="62" a="1"/>
  <c r="D15" i="61" a="1"/>
  <c r="D47" i="62" a="1"/>
  <c r="D25" i="61" a="1"/>
  <c r="C10" i="62" a="1"/>
  <c r="D36" i="62" a="1"/>
  <c r="D32" i="62" a="1"/>
  <c r="C42" i="61" a="1"/>
  <c r="D13" i="61" a="1"/>
  <c r="C27" i="62" a="1"/>
  <c r="C22" i="61" a="1"/>
  <c r="D41" i="62" a="1"/>
  <c r="D29" i="61" a="1"/>
  <c r="D53" i="62" a="1"/>
  <c r="C34" i="62" a="1"/>
  <c r="C37" i="61" a="1"/>
  <c r="C21" i="61" a="1"/>
  <c r="C32" i="61" a="1"/>
  <c r="D24" i="61" a="1"/>
  <c r="D38" i="61" a="1"/>
  <c r="D51" i="62" a="1"/>
  <c r="C52" i="62" a="1"/>
  <c r="C41" i="62" a="1"/>
  <c r="D10" i="61" a="1"/>
  <c r="C14" i="61" a="1"/>
  <c r="C41" i="61" a="1"/>
  <c r="C11" i="62" a="1"/>
  <c r="D23" i="62" a="1"/>
  <c r="C33" i="62" a="1"/>
  <c r="D19" i="61" a="1"/>
  <c r="D40" i="62" a="1"/>
  <c r="D8" i="62" a="1"/>
  <c r="D47" i="61" a="1"/>
  <c r="C50" i="62" a="1"/>
  <c r="C48" i="61" a="1"/>
  <c r="D33" i="62" a="1"/>
  <c r="C39" i="61" a="1"/>
  <c r="D33" i="61" a="1"/>
  <c r="D18" i="62" a="1"/>
  <c r="C36" i="62" a="1"/>
  <c r="C35" i="61" a="1"/>
  <c r="D27" i="61" a="1"/>
  <c r="D12" i="62" a="1"/>
  <c r="C54" i="62" a="1"/>
  <c r="D35" i="61" a="1"/>
  <c r="D37" i="61" a="1"/>
  <c r="C49" i="62" a="1"/>
  <c r="C38" i="62" a="1"/>
  <c r="D20" i="61" a="1"/>
  <c r="C44" i="62" a="1"/>
  <c r="D16" i="61" a="1"/>
  <c r="C30" i="61" a="1"/>
  <c r="C30" i="62" a="1"/>
  <c r="D12" i="61" a="1"/>
  <c r="C15" i="61" a="1"/>
  <c r="C20" i="62" a="1"/>
  <c r="C25" i="62" a="1"/>
  <c r="C45" i="61" a="1"/>
  <c r="D24" i="62" a="1"/>
  <c r="D14" i="62" a="1"/>
  <c r="C51" i="62" a="1"/>
  <c r="D20" i="62" a="1"/>
  <c r="D28" i="62" a="1"/>
  <c r="D11" i="62" a="1"/>
  <c r="C11" i="61" a="1"/>
  <c r="D16" i="62" a="1"/>
  <c r="D10" i="62" a="1"/>
  <c r="C29" i="61" a="1"/>
  <c r="C28" i="62" a="1"/>
  <c r="C55" i="62" a="1"/>
  <c r="D40" i="61" a="1"/>
  <c r="D29" i="62" a="1"/>
  <c r="C13" i="62" a="1"/>
  <c r="D45" i="62" a="1"/>
  <c r="D38" i="62" a="1"/>
  <c r="D25" i="62" a="1"/>
  <c r="D31" i="61" a="1"/>
  <c r="D46" i="61" a="1"/>
  <c r="D21" i="62" a="1"/>
  <c r="D34" i="62" a="1"/>
  <c r="D22" i="62" a="1"/>
  <c r="C14" i="62" a="1"/>
  <c r="D43" i="61" a="1"/>
  <c r="D26" i="62" a="1"/>
  <c r="C12" i="62" a="1"/>
  <c r="D8" i="61" a="1"/>
  <c r="D54" i="62" a="1"/>
  <c r="C42" i="62" a="1"/>
  <c r="D35" i="62" a="1"/>
  <c r="C47" i="62" a="1"/>
  <c r="D42" i="61" a="1"/>
  <c r="C9" i="62" a="1"/>
  <c r="D46" i="62" a="1"/>
  <c r="C13" i="61" a="1"/>
  <c r="C10" i="61" a="1"/>
  <c r="D27" i="62" a="1"/>
  <c r="D9" i="61" a="1"/>
  <c r="D26" i="61" a="1"/>
  <c r="D9" i="62" a="1"/>
  <c r="D19" i="62" a="1"/>
  <c r="D17" i="62" a="1"/>
  <c r="C38" i="61" a="1"/>
  <c r="D41" i="61" a="1"/>
  <c r="C26" i="61" a="1"/>
  <c r="C21" i="62" a="1"/>
  <c r="D30" i="62" a="1"/>
  <c r="C20" i="61" a="1"/>
  <c r="C19" i="62" a="1"/>
  <c r="C37" i="62" a="1"/>
  <c r="D44" i="61" a="1"/>
  <c r="C48" i="62" a="1"/>
  <c r="D43" i="62" a="1"/>
  <c r="C43" i="61" a="1"/>
  <c r="D17" i="61" a="1"/>
  <c r="D50" i="62" a="1"/>
  <c r="D45" i="61" a="1"/>
  <c r="C58" i="62" a="1"/>
  <c r="C9" i="61" a="1"/>
  <c r="D58" i="62" a="1"/>
  <c r="C53" i="62" a="1"/>
  <c r="D52" i="62" a="1"/>
  <c r="C45" i="62" a="1"/>
  <c r="D28" i="61" a="1"/>
  <c r="C40" i="62" a="1"/>
  <c r="C16" i="61" a="1"/>
  <c r="C32" i="62" a="1"/>
  <c r="C24" i="61" a="1"/>
  <c r="D57" i="62" a="1"/>
  <c r="C23" i="61" a="1"/>
  <c r="C12" i="61" a="1"/>
  <c r="C22" i="62" a="1"/>
  <c r="C27" i="61" a="1"/>
  <c r="D48" i="61" a="1"/>
  <c r="C16" i="62" a="1"/>
  <c r="D34" i="61" a="1"/>
  <c r="C15" i="62" a="1"/>
  <c r="C26" i="62" a="1"/>
  <c r="D21" i="61" a="1"/>
  <c r="C35" i="62" a="1"/>
  <c r="C46" i="61" a="1"/>
  <c r="C19" i="61" a="1"/>
  <c r="C57" i="62" a="1"/>
  <c r="D11" i="61" a="1"/>
  <c r="D44" i="62" a="1"/>
  <c r="C25" i="61" a="1"/>
  <c r="D13" i="62" a="1"/>
  <c r="D48" i="62" a="1"/>
  <c r="D49" i="62" a="1"/>
  <c r="C44" i="61" a="1"/>
  <c r="C34" i="61" a="1"/>
  <c r="C56" i="62" a="1"/>
  <c r="D37" i="62" a="1"/>
  <c r="D39" i="61" a="1"/>
  <c r="D56" i="62" a="1"/>
  <c r="D23" i="61" a="1"/>
  <c r="D18" i="61" a="1"/>
  <c r="C36" i="61" a="1"/>
  <c r="C39" i="62" a="1"/>
  <c r="D31" i="62" a="1"/>
  <c r="L9" i="84" l="1"/>
  <c r="Q9" i="84"/>
  <c r="O9" i="84"/>
  <c r="M9" i="84"/>
  <c r="D20" i="62"/>
  <c r="D19" i="62"/>
  <c r="D54" i="62"/>
  <c r="D18" i="62"/>
  <c r="D53" i="62"/>
  <c r="D47" i="62"/>
  <c r="D41" i="62"/>
  <c r="D35" i="62"/>
  <c r="D29" i="62"/>
  <c r="D23" i="62"/>
  <c r="D11" i="62"/>
  <c r="D50" i="62"/>
  <c r="D14" i="62"/>
  <c r="D49" i="62"/>
  <c r="D13" i="62"/>
  <c r="D42" i="62"/>
  <c r="D12" i="62"/>
  <c r="D17" i="62"/>
  <c r="D44" i="62"/>
  <c r="D38" i="62"/>
  <c r="D55" i="62"/>
  <c r="D31" i="62"/>
  <c r="D36" i="62"/>
  <c r="D52" i="62"/>
  <c r="D40" i="62"/>
  <c r="D34" i="62"/>
  <c r="D28" i="62"/>
  <c r="D22" i="62"/>
  <c r="D10" i="62"/>
  <c r="D56" i="62"/>
  <c r="D26" i="62"/>
  <c r="D25" i="62"/>
  <c r="D48" i="62"/>
  <c r="D24" i="62"/>
  <c r="D58" i="62"/>
  <c r="D46" i="62"/>
  <c r="D16" i="62"/>
  <c r="D32" i="62"/>
  <c r="D43" i="62"/>
  <c r="D37" i="62"/>
  <c r="D30" i="62"/>
  <c r="D57" i="62"/>
  <c r="D51" i="62"/>
  <c r="D45" i="62"/>
  <c r="D39" i="62"/>
  <c r="D33" i="62"/>
  <c r="D27" i="62"/>
  <c r="D21" i="62"/>
  <c r="D15" i="62"/>
  <c r="D9" i="62"/>
  <c r="D8" i="62"/>
  <c r="C56" i="62"/>
  <c r="C44" i="62"/>
  <c r="C38" i="62"/>
  <c r="C32" i="62"/>
  <c r="C26" i="62"/>
  <c r="C14" i="62"/>
  <c r="C55" i="62"/>
  <c r="C49" i="62"/>
  <c r="C43" i="62"/>
  <c r="C37" i="62"/>
  <c r="C31" i="62"/>
  <c r="C25" i="62"/>
  <c r="C19" i="62"/>
  <c r="C13" i="62"/>
  <c r="C50" i="62"/>
  <c r="C20" i="62"/>
  <c r="C54" i="62"/>
  <c r="C48" i="62"/>
  <c r="C42" i="62"/>
  <c r="C36" i="62"/>
  <c r="C30" i="62"/>
  <c r="C24" i="62"/>
  <c r="C18" i="62"/>
  <c r="C12" i="62"/>
  <c r="C47" i="62"/>
  <c r="C35" i="62"/>
  <c r="C17" i="62"/>
  <c r="C10" i="62"/>
  <c r="C53" i="62"/>
  <c r="C41" i="62"/>
  <c r="C29" i="62"/>
  <c r="C23" i="62"/>
  <c r="C11" i="62"/>
  <c r="C58" i="62"/>
  <c r="C52" i="62"/>
  <c r="C46" i="62"/>
  <c r="C40" i="62"/>
  <c r="C34" i="62"/>
  <c r="C28" i="62"/>
  <c r="C22" i="62"/>
  <c r="C16" i="62"/>
  <c r="C57" i="62"/>
  <c r="C51" i="62"/>
  <c r="C45" i="62"/>
  <c r="C39" i="62"/>
  <c r="C33" i="62"/>
  <c r="C27" i="62"/>
  <c r="C21" i="62"/>
  <c r="C15" i="62"/>
  <c r="C9" i="62"/>
  <c r="C8" i="62"/>
  <c r="D33" i="61"/>
  <c r="D15" i="61"/>
  <c r="D26" i="61"/>
  <c r="D11" i="61"/>
  <c r="D45" i="61"/>
  <c r="D27" i="61"/>
  <c r="D21" i="61"/>
  <c r="D38" i="61"/>
  <c r="D14" i="61"/>
  <c r="D43" i="61"/>
  <c r="D31" i="61"/>
  <c r="D25" i="61"/>
  <c r="D13" i="61"/>
  <c r="D42" i="61"/>
  <c r="D36" i="61"/>
  <c r="D30" i="61"/>
  <c r="D24" i="61"/>
  <c r="D12" i="61"/>
  <c r="D47" i="61"/>
  <c r="D41" i="61"/>
  <c r="D35" i="61"/>
  <c r="D29" i="61"/>
  <c r="D23" i="61"/>
  <c r="D17" i="61"/>
  <c r="D39" i="61"/>
  <c r="D9" i="61"/>
  <c r="D44" i="61"/>
  <c r="D32" i="61"/>
  <c r="D20" i="61"/>
  <c r="D37" i="61"/>
  <c r="D19" i="61"/>
  <c r="D48" i="61"/>
  <c r="D18" i="61"/>
  <c r="D46" i="61"/>
  <c r="D40" i="61"/>
  <c r="D34" i="61"/>
  <c r="D28" i="61"/>
  <c r="D22" i="61"/>
  <c r="D16" i="61"/>
  <c r="D10" i="61"/>
  <c r="D8" i="61"/>
  <c r="C32" i="61"/>
  <c r="C19" i="61"/>
  <c r="C18" i="61"/>
  <c r="C47" i="61"/>
  <c r="C41" i="61"/>
  <c r="C35" i="61"/>
  <c r="C29" i="61"/>
  <c r="C23" i="61"/>
  <c r="C17" i="61"/>
  <c r="C11" i="61"/>
  <c r="C44" i="61"/>
  <c r="C14" i="61"/>
  <c r="C37" i="61"/>
  <c r="C25" i="61"/>
  <c r="C42" i="61"/>
  <c r="C30" i="61"/>
  <c r="C46" i="61"/>
  <c r="C28" i="61"/>
  <c r="C10" i="61"/>
  <c r="C26" i="61"/>
  <c r="C13" i="61"/>
  <c r="C36" i="61"/>
  <c r="C12" i="61"/>
  <c r="C40" i="61"/>
  <c r="C34" i="61"/>
  <c r="C22" i="61"/>
  <c r="C16" i="61"/>
  <c r="C38" i="61"/>
  <c r="C20" i="61"/>
  <c r="C43" i="61"/>
  <c r="C31" i="61"/>
  <c r="C48" i="61"/>
  <c r="C24" i="61"/>
  <c r="C45" i="61"/>
  <c r="C39" i="61"/>
  <c r="C33" i="61"/>
  <c r="C27" i="61"/>
  <c r="C21" i="61"/>
  <c r="C15" i="61"/>
  <c r="C9" i="61"/>
  <c r="C8" i="61"/>
  <c r="Q12" i="67"/>
  <c r="Q13" i="67"/>
  <c r="Q14" i="67"/>
  <c r="Q15" i="67"/>
  <c r="Q16" i="67"/>
  <c r="Q17" i="67"/>
  <c r="Q18" i="67"/>
  <c r="Q19" i="67"/>
  <c r="Q20" i="67"/>
  <c r="Q21" i="67"/>
  <c r="Q22" i="67"/>
  <c r="Q23" i="67"/>
  <c r="Q24" i="67"/>
  <c r="Q25" i="67"/>
  <c r="Q26" i="67"/>
  <c r="Q27" i="67"/>
  <c r="Q28" i="67"/>
  <c r="Q29" i="67"/>
  <c r="Q30" i="67"/>
  <c r="Q31" i="67"/>
  <c r="Q32" i="67"/>
  <c r="Q33" i="67"/>
  <c r="Q34" i="67"/>
  <c r="Q35" i="67"/>
  <c r="Q36" i="67"/>
  <c r="Q37" i="67"/>
  <c r="Q38" i="67"/>
  <c r="Q39" i="67"/>
  <c r="Q40" i="67"/>
  <c r="Q41" i="67"/>
  <c r="Q42" i="67"/>
  <c r="Q43" i="67"/>
  <c r="Q44" i="67"/>
  <c r="Q45" i="67"/>
  <c r="Q46" i="67"/>
  <c r="Q47" i="67"/>
  <c r="Q48" i="67"/>
  <c r="Q49" i="67"/>
  <c r="Q50" i="67"/>
  <c r="Q51" i="67"/>
  <c r="Q52" i="67"/>
  <c r="Q53" i="67"/>
  <c r="Q54" i="67"/>
  <c r="Q55" i="67"/>
  <c r="Q56" i="67"/>
  <c r="Q57" i="67"/>
  <c r="Q58" i="67"/>
  <c r="Q59" i="67"/>
  <c r="Q60" i="67"/>
  <c r="Q61" i="67"/>
  <c r="Q62" i="67"/>
  <c r="Q63" i="67"/>
  <c r="Q64" i="67"/>
  <c r="Q65" i="67"/>
  <c r="Q66" i="67"/>
  <c r="Q67" i="67"/>
  <c r="Q68" i="67"/>
  <c r="Q69" i="67"/>
  <c r="Q70" i="67"/>
  <c r="Q71" i="67"/>
  <c r="Q72" i="67"/>
  <c r="Q73" i="67"/>
  <c r="Q74" i="67"/>
  <c r="Q75" i="67"/>
  <c r="Q76" i="67"/>
  <c r="Q77" i="67"/>
  <c r="Q78" i="67"/>
  <c r="Q79" i="67"/>
  <c r="Q80" i="67"/>
  <c r="Q81" i="67"/>
  <c r="Q82" i="67"/>
  <c r="Q83" i="67"/>
  <c r="Q84" i="67"/>
  <c r="Q85" i="67"/>
  <c r="Q86" i="67"/>
  <c r="Q87" i="67"/>
  <c r="Q88" i="67"/>
  <c r="Q89" i="67"/>
  <c r="Q90" i="67"/>
  <c r="Q91" i="67"/>
  <c r="Q92" i="67"/>
  <c r="Q93" i="67"/>
  <c r="Q94" i="67"/>
  <c r="Q95" i="67"/>
  <c r="Q96" i="67"/>
  <c r="Q97" i="67"/>
  <c r="Q98" i="67"/>
  <c r="Q99" i="67"/>
  <c r="Q100" i="67"/>
  <c r="Q101" i="67"/>
  <c r="Q102" i="67"/>
  <c r="Q103" i="67"/>
  <c r="Q104" i="67"/>
  <c r="Q105" i="67"/>
  <c r="Q106" i="67"/>
  <c r="Q107" i="67"/>
  <c r="Q108" i="67"/>
  <c r="Q109" i="67"/>
  <c r="Q110" i="67"/>
  <c r="Q111" i="67"/>
  <c r="Q112" i="67"/>
  <c r="Q113" i="67"/>
  <c r="Q114" i="67"/>
  <c r="Q115" i="67"/>
  <c r="Q116" i="67"/>
  <c r="Q117" i="67"/>
  <c r="Q118" i="67"/>
  <c r="Q119" i="67"/>
  <c r="Q120" i="67"/>
  <c r="Q121" i="67"/>
  <c r="B11" i="77"/>
  <c r="B11" i="76"/>
  <c r="B11" i="75"/>
  <c r="B11" i="74"/>
  <c r="C64" i="51"/>
  <c r="C65" i="51" s="1"/>
  <c r="I11" i="74"/>
  <c r="H11" i="75"/>
  <c r="H11" i="77"/>
  <c r="H5" i="77"/>
  <c r="I11" i="77"/>
  <c r="H11" i="74"/>
  <c r="H7" i="76"/>
  <c r="H6" i="75"/>
  <c r="H5" i="74"/>
  <c r="H6" i="76"/>
  <c r="I11" i="76"/>
  <c r="H5" i="76"/>
  <c r="I11" i="75"/>
  <c r="H7" i="74"/>
  <c r="H7" i="77"/>
  <c r="H5" i="75"/>
  <c r="H11" i="76"/>
  <c r="H7" i="75"/>
  <c r="H6" i="77"/>
  <c r="H6" i="74"/>
  <c r="R9" i="84" l="1"/>
  <c r="S9" i="84" s="1"/>
  <c r="P9" i="84"/>
  <c r="E107" i="74"/>
  <c r="E113" i="74"/>
  <c r="E119" i="74"/>
  <c r="E102" i="74"/>
  <c r="E120" i="74"/>
  <c r="E104" i="74"/>
  <c r="E108" i="74"/>
  <c r="E121" i="74"/>
  <c r="E116" i="74"/>
  <c r="E114" i="74"/>
  <c r="E109" i="74"/>
  <c r="E115" i="74"/>
  <c r="E103" i="74"/>
  <c r="E110" i="74"/>
  <c r="E105" i="74"/>
  <c r="E111" i="74"/>
  <c r="E117" i="74"/>
  <c r="E106" i="74"/>
  <c r="E112" i="74"/>
  <c r="E118" i="74"/>
  <c r="D108" i="74"/>
  <c r="D114" i="74"/>
  <c r="D120" i="74"/>
  <c r="D105" i="74"/>
  <c r="D107" i="74"/>
  <c r="D102" i="74"/>
  <c r="D111" i="74"/>
  <c r="D103" i="74"/>
  <c r="D109" i="74"/>
  <c r="D115" i="74"/>
  <c r="D121" i="74"/>
  <c r="D117" i="74"/>
  <c r="D104" i="74"/>
  <c r="D110" i="74"/>
  <c r="D116" i="74"/>
  <c r="D113" i="74"/>
  <c r="D106" i="74"/>
  <c r="D112" i="74"/>
  <c r="D118" i="74"/>
  <c r="D119" i="74"/>
  <c r="B12" i="74"/>
  <c r="E115" i="76"/>
  <c r="E111" i="76"/>
  <c r="E112" i="76"/>
  <c r="E107" i="76"/>
  <c r="E113" i="76"/>
  <c r="E119" i="76"/>
  <c r="E109" i="76"/>
  <c r="E102" i="76"/>
  <c r="E108" i="76"/>
  <c r="E114" i="76"/>
  <c r="E120" i="76"/>
  <c r="E103" i="76"/>
  <c r="E121" i="76"/>
  <c r="E117" i="76"/>
  <c r="E118" i="76"/>
  <c r="E104" i="76"/>
  <c r="E110" i="76"/>
  <c r="E116" i="76"/>
  <c r="E105" i="76"/>
  <c r="E106" i="76"/>
  <c r="D107" i="76"/>
  <c r="D113" i="76"/>
  <c r="D119" i="76"/>
  <c r="D109" i="76"/>
  <c r="D104" i="76"/>
  <c r="D117" i="76"/>
  <c r="D106" i="76"/>
  <c r="D121" i="76"/>
  <c r="D105" i="76"/>
  <c r="D102" i="76"/>
  <c r="D108" i="76"/>
  <c r="D114" i="76"/>
  <c r="D120" i="76"/>
  <c r="D115" i="76"/>
  <c r="D116" i="76"/>
  <c r="D103" i="76"/>
  <c r="D110" i="76"/>
  <c r="D118" i="76"/>
  <c r="D111" i="76"/>
  <c r="D112" i="76"/>
  <c r="B12" i="76"/>
  <c r="D107" i="75"/>
  <c r="D119" i="75"/>
  <c r="D109" i="75"/>
  <c r="D104" i="75"/>
  <c r="D106" i="75"/>
  <c r="D112" i="75"/>
  <c r="D118" i="75"/>
  <c r="D102" i="75"/>
  <c r="D103" i="75"/>
  <c r="D105" i="75"/>
  <c r="D113" i="75"/>
  <c r="D115" i="75"/>
  <c r="D116" i="75"/>
  <c r="D117" i="75"/>
  <c r="D108" i="75"/>
  <c r="D114" i="75"/>
  <c r="D120" i="75"/>
  <c r="D121" i="75"/>
  <c r="D110" i="75"/>
  <c r="D111" i="75"/>
  <c r="E105" i="75"/>
  <c r="E111" i="75"/>
  <c r="E117" i="75"/>
  <c r="E107" i="75"/>
  <c r="E103" i="75"/>
  <c r="E119" i="75"/>
  <c r="E109" i="75"/>
  <c r="E116" i="75"/>
  <c r="E106" i="75"/>
  <c r="E112" i="75"/>
  <c r="E118" i="75"/>
  <c r="E113" i="75"/>
  <c r="E121" i="75"/>
  <c r="E104" i="75"/>
  <c r="E102" i="75"/>
  <c r="E108" i="75"/>
  <c r="E114" i="75"/>
  <c r="E120" i="75"/>
  <c r="E115" i="75"/>
  <c r="E110" i="75"/>
  <c r="B12" i="75"/>
  <c r="D105" i="77"/>
  <c r="D111" i="77"/>
  <c r="D117" i="77"/>
  <c r="D104" i="77"/>
  <c r="D110" i="77"/>
  <c r="D106" i="77"/>
  <c r="D112" i="77"/>
  <c r="D118" i="77"/>
  <c r="D115" i="77"/>
  <c r="D107" i="77"/>
  <c r="D113" i="77"/>
  <c r="D119" i="77"/>
  <c r="D103" i="77"/>
  <c r="D116" i="77"/>
  <c r="D109" i="77"/>
  <c r="D102" i="77"/>
  <c r="D108" i="77"/>
  <c r="D114" i="77"/>
  <c r="D120" i="77"/>
  <c r="D121" i="77"/>
  <c r="E105" i="77"/>
  <c r="E111" i="77"/>
  <c r="E117" i="77"/>
  <c r="E106" i="77"/>
  <c r="E112" i="77"/>
  <c r="E118" i="77"/>
  <c r="E108" i="77"/>
  <c r="E121" i="77"/>
  <c r="E103" i="77"/>
  <c r="E107" i="77"/>
  <c r="E113" i="77"/>
  <c r="E119" i="77"/>
  <c r="E120" i="77"/>
  <c r="E109" i="77"/>
  <c r="E102" i="77"/>
  <c r="E115" i="77"/>
  <c r="E104" i="77"/>
  <c r="E110" i="77"/>
  <c r="E116" i="77"/>
  <c r="E114" i="77"/>
  <c r="B12" i="77"/>
  <c r="D100" i="77"/>
  <c r="D99" i="77"/>
  <c r="D87" i="77"/>
  <c r="D75" i="77"/>
  <c r="D63" i="77"/>
  <c r="D51" i="77"/>
  <c r="D39" i="77"/>
  <c r="D27" i="77"/>
  <c r="D98" i="77"/>
  <c r="D86" i="77"/>
  <c r="D74" i="77"/>
  <c r="D62" i="77"/>
  <c r="D50" i="77"/>
  <c r="D95" i="77"/>
  <c r="D83" i="77"/>
  <c r="D71" i="77"/>
  <c r="D59" i="77"/>
  <c r="D47" i="77"/>
  <c r="D35" i="77"/>
  <c r="D23" i="77"/>
  <c r="D93" i="77"/>
  <c r="D66" i="77"/>
  <c r="D61" i="77"/>
  <c r="D45" i="77"/>
  <c r="D37" i="77"/>
  <c r="D16" i="77"/>
  <c r="D46" i="77"/>
  <c r="D18" i="77"/>
  <c r="D77" i="77"/>
  <c r="D72" i="77"/>
  <c r="D56" i="77"/>
  <c r="D38" i="77"/>
  <c r="D17" i="77"/>
  <c r="D15" i="77"/>
  <c r="D73" i="77"/>
  <c r="D101" i="77"/>
  <c r="D94" i="77"/>
  <c r="D88" i="77"/>
  <c r="D67" i="77"/>
  <c r="D28" i="77"/>
  <c r="D14" i="77"/>
  <c r="D57" i="77"/>
  <c r="D78" i="77"/>
  <c r="D96" i="77"/>
  <c r="D70" i="77"/>
  <c r="D68" i="77"/>
  <c r="D21" i="77"/>
  <c r="D36" i="77"/>
  <c r="D24" i="77"/>
  <c r="D90" i="77"/>
  <c r="D44" i="77"/>
  <c r="D42" i="77"/>
  <c r="D81" i="77"/>
  <c r="D79" i="77"/>
  <c r="D92" i="77"/>
  <c r="D55" i="77"/>
  <c r="D53" i="77"/>
  <c r="D34" i="77"/>
  <c r="D31" i="77"/>
  <c r="D84" i="77"/>
  <c r="D58" i="77"/>
  <c r="D49" i="77"/>
  <c r="D40" i="77"/>
  <c r="D25" i="77"/>
  <c r="D69" i="77"/>
  <c r="D60" i="77"/>
  <c r="D32" i="77"/>
  <c r="D33" i="77"/>
  <c r="D30" i="77"/>
  <c r="D19" i="77"/>
  <c r="D12" i="77"/>
  <c r="D43" i="77"/>
  <c r="D91" i="77"/>
  <c r="D82" i="77"/>
  <c r="D65" i="77"/>
  <c r="D29" i="77"/>
  <c r="D41" i="77"/>
  <c r="D26" i="77"/>
  <c r="D80" i="77"/>
  <c r="D76" i="77"/>
  <c r="D97" i="77"/>
  <c r="D64" i="77"/>
  <c r="D89" i="77"/>
  <c r="D85" i="77"/>
  <c r="D48" i="77"/>
  <c r="D11" i="77"/>
  <c r="D52" i="77"/>
  <c r="D20" i="77"/>
  <c r="D22" i="77"/>
  <c r="D13" i="77"/>
  <c r="D54" i="77"/>
  <c r="E99" i="77"/>
  <c r="E98" i="77"/>
  <c r="E86" i="77"/>
  <c r="E74" i="77"/>
  <c r="E62" i="77"/>
  <c r="E50" i="77"/>
  <c r="E38" i="77"/>
  <c r="E26" i="77"/>
  <c r="E97" i="77"/>
  <c r="E85" i="77"/>
  <c r="E73" i="77"/>
  <c r="E61" i="77"/>
  <c r="E49" i="77"/>
  <c r="E94" i="77"/>
  <c r="E82" i="77"/>
  <c r="E70" i="77"/>
  <c r="E58" i="77"/>
  <c r="E46" i="77"/>
  <c r="E34" i="77"/>
  <c r="E22" i="77"/>
  <c r="E77" i="77"/>
  <c r="E72" i="77"/>
  <c r="E56" i="77"/>
  <c r="E27" i="77"/>
  <c r="E17" i="77"/>
  <c r="E15" i="77"/>
  <c r="E39" i="77"/>
  <c r="E13" i="77"/>
  <c r="E101" i="77"/>
  <c r="E88" i="77"/>
  <c r="E83" i="77"/>
  <c r="E67" i="77"/>
  <c r="E28" i="77"/>
  <c r="E18" i="77"/>
  <c r="E14" i="77"/>
  <c r="E78" i="77"/>
  <c r="E57" i="77"/>
  <c r="E51" i="77"/>
  <c r="E29" i="77"/>
  <c r="E19" i="77"/>
  <c r="E68" i="77"/>
  <c r="E40" i="77"/>
  <c r="E89" i="77"/>
  <c r="E84" i="77"/>
  <c r="E81" i="77"/>
  <c r="E79" i="77"/>
  <c r="E36" i="77"/>
  <c r="E24" i="77"/>
  <c r="E44" i="77"/>
  <c r="E55" i="77"/>
  <c r="E53" i="77"/>
  <c r="E92" i="77"/>
  <c r="E90" i="77"/>
  <c r="E42" i="77"/>
  <c r="E100" i="77"/>
  <c r="E31" i="77"/>
  <c r="E66" i="77"/>
  <c r="E64" i="77"/>
  <c r="E95" i="77"/>
  <c r="E75" i="77"/>
  <c r="E69" i="77"/>
  <c r="E60" i="77"/>
  <c r="E11" i="77"/>
  <c r="E80" i="77"/>
  <c r="E71" i="77"/>
  <c r="E32" i="77"/>
  <c r="E33" i="77"/>
  <c r="E30" i="77"/>
  <c r="E91" i="77"/>
  <c r="E65" i="77"/>
  <c r="E52" i="77"/>
  <c r="E48" i="77"/>
  <c r="E93" i="77"/>
  <c r="E47" i="77"/>
  <c r="E20" i="77"/>
  <c r="E96" i="77"/>
  <c r="E12" i="77"/>
  <c r="E45" i="77"/>
  <c r="E76" i="77"/>
  <c r="E43" i="77"/>
  <c r="E25" i="77"/>
  <c r="E54" i="77"/>
  <c r="E87" i="77"/>
  <c r="E35" i="77"/>
  <c r="E16" i="77"/>
  <c r="E63" i="77"/>
  <c r="E23" i="77"/>
  <c r="E41" i="77"/>
  <c r="E21" i="77"/>
  <c r="E59" i="77"/>
  <c r="E37" i="77"/>
  <c r="E99" i="76"/>
  <c r="E87" i="76"/>
  <c r="E75" i="76"/>
  <c r="E63" i="76"/>
  <c r="E51" i="76"/>
  <c r="E39" i="76"/>
  <c r="E27" i="76"/>
  <c r="E98" i="76"/>
  <c r="E86" i="76"/>
  <c r="E74" i="76"/>
  <c r="E62" i="76"/>
  <c r="E50" i="76"/>
  <c r="E38" i="76"/>
  <c r="E26" i="76"/>
  <c r="E97" i="76"/>
  <c r="E85" i="76"/>
  <c r="E73" i="76"/>
  <c r="E61" i="76"/>
  <c r="E49" i="76"/>
  <c r="E37" i="76"/>
  <c r="E25" i="76"/>
  <c r="E84" i="76"/>
  <c r="E78" i="76"/>
  <c r="E57" i="76"/>
  <c r="E36" i="76"/>
  <c r="E30" i="76"/>
  <c r="E79" i="76"/>
  <c r="E58" i="76"/>
  <c r="E52" i="76"/>
  <c r="E95" i="76"/>
  <c r="E89" i="76"/>
  <c r="E68" i="76"/>
  <c r="E47" i="76"/>
  <c r="E41" i="76"/>
  <c r="E20" i="76"/>
  <c r="E100" i="76"/>
  <c r="E31" i="76"/>
  <c r="E101" i="76"/>
  <c r="E59" i="76"/>
  <c r="E53" i="76"/>
  <c r="E96" i="76"/>
  <c r="E90" i="76"/>
  <c r="E69" i="76"/>
  <c r="E48" i="76"/>
  <c r="E42" i="76"/>
  <c r="E21" i="76"/>
  <c r="E80" i="76"/>
  <c r="E94" i="76"/>
  <c r="E81" i="76"/>
  <c r="E56" i="76"/>
  <c r="E43" i="76"/>
  <c r="E28" i="76"/>
  <c r="E64" i="76"/>
  <c r="E22" i="76"/>
  <c r="E70" i="76"/>
  <c r="E45" i="76"/>
  <c r="E11" i="76"/>
  <c r="E91" i="76"/>
  <c r="E72" i="76"/>
  <c r="E16" i="76"/>
  <c r="E76" i="76"/>
  <c r="E77" i="76"/>
  <c r="E24" i="76"/>
  <c r="E83" i="76"/>
  <c r="E35" i="76"/>
  <c r="E33" i="76"/>
  <c r="E15" i="76"/>
  <c r="E66" i="76"/>
  <c r="E93" i="76"/>
  <c r="E55" i="76"/>
  <c r="E18" i="76"/>
  <c r="E12" i="76"/>
  <c r="E71" i="76"/>
  <c r="E46" i="76"/>
  <c r="E17" i="76"/>
  <c r="E14" i="76"/>
  <c r="E65" i="76"/>
  <c r="E40" i="76"/>
  <c r="E60" i="76"/>
  <c r="E44" i="76"/>
  <c r="E23" i="76"/>
  <c r="E13" i="76"/>
  <c r="E54" i="76"/>
  <c r="E34" i="76"/>
  <c r="E19" i="76"/>
  <c r="E29" i="76"/>
  <c r="E82" i="76"/>
  <c r="E88" i="76"/>
  <c r="E32" i="76"/>
  <c r="E92" i="76"/>
  <c r="E67" i="76"/>
  <c r="D100" i="76"/>
  <c r="D88" i="76"/>
  <c r="D76" i="76"/>
  <c r="D64" i="76"/>
  <c r="D52" i="76"/>
  <c r="D40" i="76"/>
  <c r="D28" i="76"/>
  <c r="D99" i="76"/>
  <c r="D87" i="76"/>
  <c r="D75" i="76"/>
  <c r="D63" i="76"/>
  <c r="D51" i="76"/>
  <c r="D39" i="76"/>
  <c r="D27" i="76"/>
  <c r="D98" i="76"/>
  <c r="D86" i="76"/>
  <c r="D74" i="76"/>
  <c r="D62" i="76"/>
  <c r="D50" i="76"/>
  <c r="D38" i="76"/>
  <c r="D26" i="76"/>
  <c r="D94" i="76"/>
  <c r="D73" i="76"/>
  <c r="D67" i="76"/>
  <c r="D46" i="76"/>
  <c r="D25" i="76"/>
  <c r="D19" i="76"/>
  <c r="D68" i="76"/>
  <c r="D47" i="76"/>
  <c r="D41" i="76"/>
  <c r="D20" i="76"/>
  <c r="D90" i="76"/>
  <c r="D69" i="76"/>
  <c r="D48" i="76"/>
  <c r="D84" i="76"/>
  <c r="D78" i="76"/>
  <c r="D57" i="76"/>
  <c r="D36" i="76"/>
  <c r="D30" i="76"/>
  <c r="D95" i="76"/>
  <c r="D89" i="76"/>
  <c r="D42" i="76"/>
  <c r="D85" i="76"/>
  <c r="D79" i="76"/>
  <c r="D58" i="76"/>
  <c r="D37" i="76"/>
  <c r="D31" i="76"/>
  <c r="D96" i="76"/>
  <c r="D60" i="76"/>
  <c r="D17" i="76"/>
  <c r="D14" i="76"/>
  <c r="D43" i="76"/>
  <c r="D77" i="76"/>
  <c r="D49" i="76"/>
  <c r="D22" i="76"/>
  <c r="D45" i="76"/>
  <c r="D15" i="76"/>
  <c r="D11" i="76"/>
  <c r="D66" i="76"/>
  <c r="D53" i="76"/>
  <c r="D97" i="76"/>
  <c r="D72" i="76"/>
  <c r="D93" i="76"/>
  <c r="D80" i="76"/>
  <c r="D81" i="76"/>
  <c r="D56" i="76"/>
  <c r="D24" i="76"/>
  <c r="D83" i="76"/>
  <c r="D70" i="76"/>
  <c r="D35" i="76"/>
  <c r="D33" i="76"/>
  <c r="D91" i="76"/>
  <c r="D59" i="76"/>
  <c r="D55" i="76"/>
  <c r="D101" i="76"/>
  <c r="D92" i="76"/>
  <c r="D71" i="76"/>
  <c r="D16" i="76"/>
  <c r="D65" i="76"/>
  <c r="D44" i="76"/>
  <c r="D23" i="76"/>
  <c r="D13" i="76"/>
  <c r="D54" i="76"/>
  <c r="D34" i="76"/>
  <c r="D18" i="76"/>
  <c r="D12" i="76"/>
  <c r="D29" i="76"/>
  <c r="D82" i="76"/>
  <c r="D21" i="76"/>
  <c r="D32" i="76"/>
  <c r="D61" i="76"/>
  <c r="D100" i="75"/>
  <c r="D88" i="75"/>
  <c r="D76" i="75"/>
  <c r="D64" i="75"/>
  <c r="D52" i="75"/>
  <c r="D40" i="75"/>
  <c r="D28" i="75"/>
  <c r="D95" i="75"/>
  <c r="D83" i="75"/>
  <c r="D98" i="75"/>
  <c r="D77" i="75"/>
  <c r="D99" i="75"/>
  <c r="D78" i="75"/>
  <c r="D101" i="75"/>
  <c r="D91" i="75"/>
  <c r="D81" i="75"/>
  <c r="D93" i="75"/>
  <c r="D68" i="75"/>
  <c r="D51" i="75"/>
  <c r="D45" i="75"/>
  <c r="D22" i="75"/>
  <c r="D16" i="75"/>
  <c r="D96" i="75"/>
  <c r="D90" i="75"/>
  <c r="D74" i="75"/>
  <c r="D63" i="75"/>
  <c r="D57" i="75"/>
  <c r="D34" i="75"/>
  <c r="D58" i="75"/>
  <c r="D87" i="75"/>
  <c r="D84" i="75"/>
  <c r="D69" i="75"/>
  <c r="D46" i="75"/>
  <c r="D23" i="75"/>
  <c r="D17" i="75"/>
  <c r="D82" i="75"/>
  <c r="D59" i="75"/>
  <c r="D53" i="75"/>
  <c r="D36" i="75"/>
  <c r="D30" i="75"/>
  <c r="D19" i="75"/>
  <c r="D11" i="75"/>
  <c r="D43" i="75"/>
  <c r="D97" i="75"/>
  <c r="D85" i="75"/>
  <c r="D79" i="75"/>
  <c r="D71" i="75"/>
  <c r="D65" i="75"/>
  <c r="D48" i="75"/>
  <c r="D42" i="75"/>
  <c r="D25" i="75"/>
  <c r="D66" i="75"/>
  <c r="D60" i="75"/>
  <c r="D54" i="75"/>
  <c r="D37" i="75"/>
  <c r="D31" i="75"/>
  <c r="D72" i="75"/>
  <c r="D49" i="75"/>
  <c r="D92" i="75"/>
  <c r="D75" i="75"/>
  <c r="D50" i="75"/>
  <c r="D33" i="75"/>
  <c r="D47" i="75"/>
  <c r="D44" i="75"/>
  <c r="D38" i="75"/>
  <c r="D18" i="75"/>
  <c r="D41" i="75"/>
  <c r="D35" i="75"/>
  <c r="D67" i="75"/>
  <c r="D20" i="75"/>
  <c r="D27" i="75"/>
  <c r="D56" i="75"/>
  <c r="D32" i="75"/>
  <c r="D13" i="75"/>
  <c r="D70" i="75"/>
  <c r="D55" i="75"/>
  <c r="D15" i="75"/>
  <c r="D73" i="75"/>
  <c r="D94" i="75"/>
  <c r="D26" i="75"/>
  <c r="D12" i="75"/>
  <c r="D80" i="75"/>
  <c r="D39" i="75"/>
  <c r="D21" i="75"/>
  <c r="D29" i="75"/>
  <c r="D62" i="75"/>
  <c r="D24" i="75"/>
  <c r="D89" i="75"/>
  <c r="D61" i="75"/>
  <c r="D14" i="75"/>
  <c r="D86" i="75"/>
  <c r="E99" i="75"/>
  <c r="E87" i="75"/>
  <c r="E75" i="75"/>
  <c r="E63" i="75"/>
  <c r="E51" i="75"/>
  <c r="E39" i="75"/>
  <c r="E27" i="75"/>
  <c r="E94" i="75"/>
  <c r="E82" i="75"/>
  <c r="E88" i="75"/>
  <c r="E78" i="75"/>
  <c r="E100" i="75"/>
  <c r="E89" i="75"/>
  <c r="E79" i="75"/>
  <c r="E92" i="75"/>
  <c r="E96" i="75"/>
  <c r="E90" i="75"/>
  <c r="E74" i="75"/>
  <c r="E57" i="75"/>
  <c r="E34" i="75"/>
  <c r="E28" i="75"/>
  <c r="E84" i="75"/>
  <c r="E81" i="75"/>
  <c r="E69" i="75"/>
  <c r="E46" i="75"/>
  <c r="E40" i="75"/>
  <c r="E23" i="75"/>
  <c r="E17" i="75"/>
  <c r="E70" i="75"/>
  <c r="E64" i="75"/>
  <c r="E58" i="75"/>
  <c r="E52" i="75"/>
  <c r="E35" i="75"/>
  <c r="E29" i="75"/>
  <c r="E97" i="75"/>
  <c r="E85" i="75"/>
  <c r="E71" i="75"/>
  <c r="E65" i="75"/>
  <c r="E48" i="75"/>
  <c r="E42" i="75"/>
  <c r="E25" i="75"/>
  <c r="E19" i="75"/>
  <c r="E60" i="75"/>
  <c r="E54" i="75"/>
  <c r="E37" i="75"/>
  <c r="E31" i="75"/>
  <c r="E11" i="75"/>
  <c r="E12" i="75"/>
  <c r="E55" i="75"/>
  <c r="E38" i="75"/>
  <c r="E76" i="75"/>
  <c r="E72" i="75"/>
  <c r="E66" i="75"/>
  <c r="E49" i="75"/>
  <c r="E43" i="75"/>
  <c r="E26" i="75"/>
  <c r="E20" i="75"/>
  <c r="E61" i="75"/>
  <c r="E32" i="75"/>
  <c r="E95" i="75"/>
  <c r="E53" i="75"/>
  <c r="E47" i="75"/>
  <c r="E44" i="75"/>
  <c r="E18" i="75"/>
  <c r="E83" i="75"/>
  <c r="E67" i="75"/>
  <c r="E41" i="75"/>
  <c r="E30" i="75"/>
  <c r="E13" i="75"/>
  <c r="E15" i="75"/>
  <c r="E73" i="75"/>
  <c r="E56" i="75"/>
  <c r="E59" i="75"/>
  <c r="E22" i="75"/>
  <c r="E24" i="75"/>
  <c r="E101" i="75"/>
  <c r="E91" i="75"/>
  <c r="E86" i="75"/>
  <c r="E98" i="75"/>
  <c r="E33" i="75"/>
  <c r="E62" i="75"/>
  <c r="E77" i="75"/>
  <c r="E80" i="75"/>
  <c r="E45" i="75"/>
  <c r="E21" i="75"/>
  <c r="E14" i="75"/>
  <c r="E36" i="75"/>
  <c r="E93" i="75"/>
  <c r="E68" i="75"/>
  <c r="E50" i="75"/>
  <c r="E16" i="75"/>
  <c r="E99" i="74"/>
  <c r="E87" i="74"/>
  <c r="E75" i="74"/>
  <c r="E63" i="74"/>
  <c r="E51" i="74"/>
  <c r="E39" i="74"/>
  <c r="E27" i="74"/>
  <c r="E98" i="74"/>
  <c r="E86" i="74"/>
  <c r="E74" i="74"/>
  <c r="E62" i="74"/>
  <c r="E50" i="74"/>
  <c r="E38" i="74"/>
  <c r="E26" i="74"/>
  <c r="E97" i="74"/>
  <c r="E85" i="74"/>
  <c r="E73" i="74"/>
  <c r="E61" i="74"/>
  <c r="E49" i="74"/>
  <c r="E84" i="74"/>
  <c r="E78" i="74"/>
  <c r="E57" i="74"/>
  <c r="E28" i="74"/>
  <c r="E18" i="74"/>
  <c r="E14" i="74"/>
  <c r="E95" i="74"/>
  <c r="E89" i="74"/>
  <c r="E68" i="74"/>
  <c r="E47" i="74"/>
  <c r="E29" i="74"/>
  <c r="E19" i="74"/>
  <c r="E13" i="74"/>
  <c r="E100" i="74"/>
  <c r="E79" i="74"/>
  <c r="E92" i="74"/>
  <c r="E71" i="74"/>
  <c r="E65" i="74"/>
  <c r="E44" i="74"/>
  <c r="E35" i="74"/>
  <c r="E25" i="74"/>
  <c r="E82" i="74"/>
  <c r="E94" i="74"/>
  <c r="E72" i="74"/>
  <c r="E53" i="74"/>
  <c r="E70" i="74"/>
  <c r="E43" i="74"/>
  <c r="E40" i="74"/>
  <c r="E37" i="74"/>
  <c r="E83" i="74"/>
  <c r="E81" i="74"/>
  <c r="E56" i="74"/>
  <c r="E34" i="74"/>
  <c r="E31" i="74"/>
  <c r="E59" i="74"/>
  <c r="E46" i="74"/>
  <c r="E22" i="74"/>
  <c r="E15" i="74"/>
  <c r="E69" i="74"/>
  <c r="E52" i="74"/>
  <c r="E23" i="74"/>
  <c r="E20" i="74"/>
  <c r="E12" i="74"/>
  <c r="E101" i="74"/>
  <c r="E80" i="74"/>
  <c r="E60" i="74"/>
  <c r="E96" i="74"/>
  <c r="E76" i="74"/>
  <c r="E48" i="74"/>
  <c r="E24" i="74"/>
  <c r="E21" i="74"/>
  <c r="E41" i="74"/>
  <c r="E32" i="74"/>
  <c r="E67" i="74"/>
  <c r="E16" i="74"/>
  <c r="E42" i="74"/>
  <c r="E64" i="74"/>
  <c r="E54" i="74"/>
  <c r="E17" i="74"/>
  <c r="E55" i="74"/>
  <c r="E36" i="74"/>
  <c r="E66" i="74"/>
  <c r="E77" i="74"/>
  <c r="E90" i="74"/>
  <c r="E88" i="74"/>
  <c r="E93" i="74"/>
  <c r="E11" i="74"/>
  <c r="E58" i="74"/>
  <c r="E45" i="74"/>
  <c r="E33" i="74"/>
  <c r="E30" i="74"/>
  <c r="E91" i="74"/>
  <c r="D100" i="74"/>
  <c r="D88" i="74"/>
  <c r="D76" i="74"/>
  <c r="D64" i="74"/>
  <c r="D52" i="74"/>
  <c r="D40" i="74"/>
  <c r="D28" i="74"/>
  <c r="D99" i="74"/>
  <c r="D87" i="74"/>
  <c r="D75" i="74"/>
  <c r="D63" i="74"/>
  <c r="D51" i="74"/>
  <c r="D39" i="74"/>
  <c r="D27" i="74"/>
  <c r="D98" i="74"/>
  <c r="D86" i="74"/>
  <c r="D74" i="74"/>
  <c r="D62" i="74"/>
  <c r="D50" i="74"/>
  <c r="D94" i="74"/>
  <c r="D73" i="74"/>
  <c r="D67" i="74"/>
  <c r="D46" i="74"/>
  <c r="D17" i="74"/>
  <c r="D15" i="74"/>
  <c r="D84" i="74"/>
  <c r="D78" i="74"/>
  <c r="D57" i="74"/>
  <c r="D18" i="74"/>
  <c r="D14" i="74"/>
  <c r="D95" i="74"/>
  <c r="D89" i="74"/>
  <c r="D68" i="74"/>
  <c r="D81" i="74"/>
  <c r="D60" i="74"/>
  <c r="D54" i="74"/>
  <c r="D34" i="74"/>
  <c r="D24" i="74"/>
  <c r="D92" i="74"/>
  <c r="D96" i="74"/>
  <c r="D48" i="74"/>
  <c r="D21" i="74"/>
  <c r="D72" i="74"/>
  <c r="D61" i="74"/>
  <c r="D53" i="74"/>
  <c r="D83" i="74"/>
  <c r="D85" i="74"/>
  <c r="D70" i="74"/>
  <c r="D43" i="74"/>
  <c r="D37" i="74"/>
  <c r="D79" i="74"/>
  <c r="D56" i="74"/>
  <c r="D31" i="74"/>
  <c r="D25" i="74"/>
  <c r="D97" i="74"/>
  <c r="D71" i="74"/>
  <c r="D47" i="74"/>
  <c r="D32" i="74"/>
  <c r="D29" i="74"/>
  <c r="D26" i="74"/>
  <c r="D82" i="74"/>
  <c r="D69" i="74"/>
  <c r="D23" i="74"/>
  <c r="D20" i="74"/>
  <c r="D12" i="74"/>
  <c r="D101" i="74"/>
  <c r="D80" i="74"/>
  <c r="D90" i="74"/>
  <c r="D65" i="74"/>
  <c r="D58" i="74"/>
  <c r="D45" i="74"/>
  <c r="D33" i="74"/>
  <c r="D30" i="74"/>
  <c r="D44" i="74"/>
  <c r="D38" i="74"/>
  <c r="D66" i="74"/>
  <c r="D36" i="74"/>
  <c r="D41" i="74"/>
  <c r="D93" i="74"/>
  <c r="D22" i="74"/>
  <c r="D35" i="74"/>
  <c r="D59" i="74"/>
  <c r="D49" i="74"/>
  <c r="D11" i="74"/>
  <c r="D19" i="74"/>
  <c r="D16" i="74"/>
  <c r="D91" i="74"/>
  <c r="D55" i="74"/>
  <c r="D13" i="74"/>
  <c r="D77" i="74"/>
  <c r="D42" i="74"/>
  <c r="C10" i="29" a="1"/>
  <c r="C10" i="29" s="1"/>
  <c r="G8" i="71"/>
  <c r="F49" i="75"/>
  <c r="F55" i="75"/>
  <c r="F69" i="74"/>
  <c r="F67" i="71" a="1"/>
  <c r="I12" i="74"/>
  <c r="F67" i="76"/>
  <c r="F62" i="74"/>
  <c r="F16" i="75"/>
  <c r="F69" i="71" a="1"/>
  <c r="F114" i="74"/>
  <c r="F81" i="74"/>
  <c r="F50" i="76"/>
  <c r="F113" i="76"/>
  <c r="F63" i="76"/>
  <c r="F39" i="76"/>
  <c r="F16" i="74"/>
  <c r="F56" i="75"/>
  <c r="F14" i="76"/>
  <c r="F75" i="71" a="1"/>
  <c r="F32" i="71" a="1"/>
  <c r="F115" i="76"/>
  <c r="F46" i="75"/>
  <c r="F38" i="76"/>
  <c r="F64" i="74"/>
  <c r="F96" i="76"/>
  <c r="F93" i="77"/>
  <c r="F86" i="74"/>
  <c r="F42" i="76"/>
  <c r="F64" i="77"/>
  <c r="F73" i="74"/>
  <c r="F47" i="77"/>
  <c r="F59" i="74"/>
  <c r="F109" i="74"/>
  <c r="F117" i="77"/>
  <c r="F52" i="71" a="1"/>
  <c r="F105" i="74"/>
  <c r="F47" i="74"/>
  <c r="F19" i="75"/>
  <c r="F53" i="77"/>
  <c r="F93" i="75"/>
  <c r="F86" i="75"/>
  <c r="F23" i="75"/>
  <c r="F110" i="74"/>
  <c r="F106" i="76"/>
  <c r="F89" i="76"/>
  <c r="F96" i="74"/>
  <c r="F28" i="71" a="1"/>
  <c r="G7" i="71"/>
  <c r="F18" i="75"/>
  <c r="F59" i="75"/>
  <c r="F55" i="77"/>
  <c r="F75" i="75"/>
  <c r="F92" i="77"/>
  <c r="F86" i="77"/>
  <c r="F79" i="77"/>
  <c r="F65" i="76"/>
  <c r="F58" i="71" a="1"/>
  <c r="F31" i="76"/>
  <c r="F77" i="74"/>
  <c r="F62" i="75"/>
  <c r="F101" i="75"/>
  <c r="F33" i="71" a="1"/>
  <c r="F49" i="71" a="1"/>
  <c r="I12" i="75"/>
  <c r="F91" i="75"/>
  <c r="F60" i="75"/>
  <c r="H12" i="74"/>
  <c r="F46" i="76"/>
  <c r="F53" i="75"/>
  <c r="F87" i="75"/>
  <c r="F97" i="77"/>
  <c r="F116" i="76"/>
  <c r="F23" i="77"/>
  <c r="F17" i="74"/>
  <c r="F32" i="77"/>
  <c r="F35" i="71" a="1"/>
  <c r="F44" i="75"/>
  <c r="F16" i="76"/>
  <c r="F58" i="76"/>
  <c r="F11" i="77"/>
  <c r="F87" i="77"/>
  <c r="F59" i="71" a="1"/>
  <c r="F92" i="74"/>
  <c r="F101" i="76"/>
  <c r="F31" i="77"/>
  <c r="F18" i="77"/>
  <c r="F94" i="77"/>
  <c r="F89" i="74"/>
  <c r="F60" i="77"/>
  <c r="F81" i="75"/>
  <c r="F107" i="74"/>
  <c r="F114" i="77"/>
  <c r="F20" i="71" a="1"/>
  <c r="F14" i="74"/>
  <c r="F40" i="77"/>
  <c r="F71" i="75"/>
  <c r="F29" i="77"/>
  <c r="F42" i="74"/>
  <c r="F85" i="75"/>
  <c r="F34" i="75"/>
  <c r="F113" i="74"/>
  <c r="F21" i="76"/>
  <c r="F45" i="76"/>
  <c r="F40" i="74"/>
  <c r="F117" i="76"/>
  <c r="F28" i="75"/>
  <c r="F37" i="71" a="1"/>
  <c r="F118" i="75"/>
  <c r="F107" i="76"/>
  <c r="F27" i="74"/>
  <c r="F90" i="74"/>
  <c r="F17" i="76"/>
  <c r="F75" i="76"/>
  <c r="F34" i="76"/>
  <c r="F110" i="75"/>
  <c r="F22" i="76"/>
  <c r="F54" i="77"/>
  <c r="F50" i="71" a="1"/>
  <c r="F46" i="74"/>
  <c r="F74" i="77"/>
  <c r="F41" i="76"/>
  <c r="F62" i="71" a="1"/>
  <c r="F19" i="71" a="1"/>
  <c r="F98" i="77"/>
  <c r="F11" i="74"/>
  <c r="F50" i="77"/>
  <c r="F21" i="75"/>
  <c r="F55" i="74"/>
  <c r="F45" i="74"/>
  <c r="F86" i="76"/>
  <c r="F72" i="74"/>
  <c r="F19" i="77"/>
  <c r="F97" i="74"/>
  <c r="F71" i="71" a="1"/>
  <c r="F54" i="71" a="1"/>
  <c r="F112" i="76"/>
  <c r="F29" i="76"/>
  <c r="F16" i="71" a="1"/>
  <c r="F67" i="74"/>
  <c r="F23" i="76"/>
  <c r="F87" i="74"/>
  <c r="F95" i="76"/>
  <c r="F35" i="77"/>
  <c r="F102" i="76"/>
  <c r="F118" i="77"/>
  <c r="F81" i="76"/>
  <c r="F20" i="77"/>
  <c r="F57" i="71" a="1"/>
  <c r="F83" i="75"/>
  <c r="F28" i="77"/>
  <c r="F67" i="75"/>
  <c r="F72" i="76"/>
  <c r="F51" i="77"/>
  <c r="F94" i="74"/>
  <c r="F66" i="74"/>
  <c r="F12" i="75"/>
  <c r="F49" i="74"/>
  <c r="F74" i="71" a="1"/>
  <c r="H12" i="76"/>
  <c r="F15" i="77"/>
  <c r="F77" i="75"/>
  <c r="F97" i="75"/>
  <c r="F72" i="71" a="1"/>
  <c r="F23" i="71" a="1"/>
  <c r="F67" i="77"/>
  <c r="F43" i="77"/>
  <c r="F16" i="77"/>
  <c r="F80" i="75"/>
  <c r="F114" i="75"/>
  <c r="F59" i="77"/>
  <c r="F39" i="71" a="1"/>
  <c r="F87" i="76"/>
  <c r="F104" i="76"/>
  <c r="F117" i="74"/>
  <c r="F61" i="71" a="1"/>
  <c r="F118" i="76"/>
  <c r="F75" i="77"/>
  <c r="F50" i="75"/>
  <c r="F33" i="74"/>
  <c r="F95" i="75"/>
  <c r="F81" i="77"/>
  <c r="F76" i="75"/>
  <c r="F120" i="75"/>
  <c r="F66" i="77"/>
  <c r="F43" i="74"/>
  <c r="F33" i="75"/>
  <c r="F84" i="76"/>
  <c r="F116" i="77"/>
  <c r="F116" i="75"/>
  <c r="F37" i="76"/>
  <c r="F73" i="75"/>
  <c r="F121" i="77"/>
  <c r="F111" i="76"/>
  <c r="F53" i="74"/>
  <c r="F25" i="74"/>
  <c r="F52" i="75"/>
  <c r="F26" i="74"/>
  <c r="G6" i="71"/>
  <c r="F61" i="75"/>
  <c r="F69" i="76"/>
  <c r="F43" i="75"/>
  <c r="F104" i="74"/>
  <c r="F31" i="71" a="1"/>
  <c r="F76" i="77"/>
  <c r="F36" i="77"/>
  <c r="F52" i="76"/>
  <c r="F103" i="77"/>
  <c r="F73" i="71" a="1"/>
  <c r="F102" i="77"/>
  <c r="F22" i="77"/>
  <c r="F110" i="77"/>
  <c r="F90" i="77"/>
  <c r="F58" i="77"/>
  <c r="F54" i="75"/>
  <c r="F27" i="76"/>
  <c r="F40" i="75"/>
  <c r="F46" i="77"/>
  <c r="F36" i="76"/>
  <c r="F88" i="77"/>
  <c r="F19" i="74"/>
  <c r="F25" i="77"/>
  <c r="F27" i="75"/>
  <c r="F37" i="77"/>
  <c r="F119" i="74"/>
  <c r="F57" i="77"/>
  <c r="F30" i="74"/>
  <c r="F70" i="75"/>
  <c r="F31" i="75"/>
  <c r="F78" i="76"/>
  <c r="F80" i="76"/>
  <c r="F83" i="76"/>
  <c r="F21" i="77"/>
  <c r="F60" i="71" a="1"/>
  <c r="F27" i="77"/>
  <c r="F108" i="76"/>
  <c r="F35" i="74"/>
  <c r="F109" i="75"/>
  <c r="F65" i="77"/>
  <c r="F39" i="74"/>
  <c r="F71" i="77"/>
  <c r="F74" i="75"/>
  <c r="F39" i="75"/>
  <c r="F44" i="77"/>
  <c r="F13" i="75"/>
  <c r="F99" i="75"/>
  <c r="F114" i="76"/>
  <c r="F111" i="75"/>
  <c r="F20" i="76"/>
  <c r="F102" i="74"/>
  <c r="F91" i="74"/>
  <c r="H12" i="77"/>
  <c r="F62" i="76"/>
  <c r="F72" i="75"/>
  <c r="F79" i="75"/>
  <c r="F77" i="76"/>
  <c r="F55" i="76"/>
  <c r="F93" i="76"/>
  <c r="F52" i="77"/>
  <c r="F115" i="74"/>
  <c r="F30" i="75"/>
  <c r="F26" i="71" a="1"/>
  <c r="F49" i="76"/>
  <c r="F69" i="77"/>
  <c r="F101" i="77"/>
  <c r="F29" i="75"/>
  <c r="F17" i="77"/>
  <c r="F105" i="77"/>
  <c r="F57" i="75"/>
  <c r="F68" i="76"/>
  <c r="F41" i="77"/>
  <c r="F38" i="77"/>
  <c r="F82" i="77"/>
  <c r="F76" i="76"/>
  <c r="F56" i="74"/>
  <c r="F92" i="75"/>
  <c r="F72" i="77"/>
  <c r="F91" i="77"/>
  <c r="F42" i="75"/>
  <c r="F12" i="76"/>
  <c r="F115" i="75"/>
  <c r="F103" i="76"/>
  <c r="F36" i="74"/>
  <c r="F40" i="76"/>
  <c r="F15" i="75"/>
  <c r="F116" i="74"/>
  <c r="F94" i="76"/>
  <c r="F103" i="75"/>
  <c r="F38" i="75"/>
  <c r="F12" i="74"/>
  <c r="F109" i="77"/>
  <c r="F70" i="74"/>
  <c r="F54" i="74"/>
  <c r="F64" i="75"/>
  <c r="F98" i="76"/>
  <c r="F88" i="76"/>
  <c r="F48" i="74"/>
  <c r="F22" i="75"/>
  <c r="F61" i="77"/>
  <c r="F26" i="75"/>
  <c r="F115" i="77"/>
  <c r="F39" i="77"/>
  <c r="F74" i="74"/>
  <c r="F26" i="77"/>
  <c r="F32" i="76"/>
  <c r="F24" i="75"/>
  <c r="F79" i="74"/>
  <c r="H12" i="75"/>
  <c r="F15" i="76"/>
  <c r="F28" i="74"/>
  <c r="F68" i="74"/>
  <c r="F41" i="75"/>
  <c r="F44" i="71" a="1"/>
  <c r="F30" i="71" a="1"/>
  <c r="F121" i="76"/>
  <c r="F73" i="76"/>
  <c r="F119" i="77"/>
  <c r="F49" i="77"/>
  <c r="F65" i="71" a="1"/>
  <c r="F90" i="75"/>
  <c r="F23" i="74"/>
  <c r="F108" i="74"/>
  <c r="F74" i="76"/>
  <c r="F48" i="71" a="1"/>
  <c r="F35" i="75"/>
  <c r="F121" i="74"/>
  <c r="F25" i="76"/>
  <c r="F97" i="76"/>
  <c r="F84" i="74"/>
  <c r="F94" i="75"/>
  <c r="F56" i="76"/>
  <c r="F119" i="76"/>
  <c r="F34" i="74"/>
  <c r="F113" i="77"/>
  <c r="F51" i="74"/>
  <c r="F119" i="75"/>
  <c r="F63" i="71" a="1"/>
  <c r="F78" i="77"/>
  <c r="F58" i="75"/>
  <c r="F120" i="77"/>
  <c r="F84" i="75"/>
  <c r="F48" i="77"/>
  <c r="F111" i="77"/>
  <c r="F29" i="71" a="1"/>
  <c r="F44" i="74"/>
  <c r="F83" i="74"/>
  <c r="F106" i="75"/>
  <c r="F75" i="74"/>
  <c r="F40" i="71" a="1"/>
  <c r="F57" i="74"/>
  <c r="F51" i="75"/>
  <c r="F82" i="75"/>
  <c r="F60" i="74"/>
  <c r="F24" i="76"/>
  <c r="F45" i="77"/>
  <c r="F104" i="77"/>
  <c r="F112" i="74"/>
  <c r="F47" i="75"/>
  <c r="F68" i="75"/>
  <c r="F21" i="74"/>
  <c r="F109" i="76"/>
  <c r="F70" i="76"/>
  <c r="F66" i="76"/>
  <c r="F82" i="74"/>
  <c r="F78" i="75"/>
  <c r="F107" i="77"/>
  <c r="F54" i="76"/>
  <c r="F48" i="76"/>
  <c r="F70" i="71" a="1"/>
  <c r="F85" i="74"/>
  <c r="F38" i="71" a="1"/>
  <c r="F35" i="76"/>
  <c r="F30" i="77"/>
  <c r="F99" i="77"/>
  <c r="F88" i="74"/>
  <c r="F100" i="77"/>
  <c r="F95" i="74"/>
  <c r="F25" i="71" a="1"/>
  <c r="F64" i="76"/>
  <c r="F104" i="75"/>
  <c r="F51" i="76"/>
  <c r="F88" i="75"/>
  <c r="F46" i="71" a="1"/>
  <c r="F100" i="74"/>
  <c r="F68" i="71" a="1"/>
  <c r="F71" i="74"/>
  <c r="F89" i="77"/>
  <c r="F32" i="74"/>
  <c r="F83" i="77"/>
  <c r="F34" i="77"/>
  <c r="F73" i="77"/>
  <c r="F108" i="77"/>
  <c r="F85" i="76"/>
  <c r="F111" i="74"/>
  <c r="F64" i="71" a="1"/>
  <c r="F13" i="76"/>
  <c r="F18" i="76"/>
  <c r="F18" i="74"/>
  <c r="F59" i="76"/>
  <c r="F56" i="77"/>
  <c r="F33" i="77"/>
  <c r="F37" i="74"/>
  <c r="F37" i="75"/>
  <c r="F53" i="76"/>
  <c r="F103" i="74"/>
  <c r="F24" i="77"/>
  <c r="F96" i="77"/>
  <c r="F79" i="76"/>
  <c r="F120" i="76"/>
  <c r="F96" i="75"/>
  <c r="F61" i="74"/>
  <c r="F63" i="77"/>
  <c r="F32" i="75"/>
  <c r="F63" i="74"/>
  <c r="F57" i="76"/>
  <c r="F101" i="74"/>
  <c r="F17" i="75"/>
  <c r="F41" i="71" a="1"/>
  <c r="F50" i="74"/>
  <c r="F28" i="76"/>
  <c r="F11" i="75"/>
  <c r="F91" i="76"/>
  <c r="F66" i="71" a="1"/>
  <c r="F24" i="71" a="1"/>
  <c r="F15" i="71" a="1"/>
  <c r="F19" i="76"/>
  <c r="F41" i="74"/>
  <c r="F80" i="74"/>
  <c r="F36" i="75"/>
  <c r="F99" i="76"/>
  <c r="F85" i="77"/>
  <c r="F68" i="77"/>
  <c r="F38" i="74"/>
  <c r="F106" i="74"/>
  <c r="F29" i="74"/>
  <c r="F58" i="74"/>
  <c r="F33" i="76"/>
  <c r="F52" i="74"/>
  <c r="F106" i="77"/>
  <c r="F47" i="76"/>
  <c r="F112" i="75"/>
  <c r="F15" i="74"/>
  <c r="F112" i="77"/>
  <c r="F100" i="76"/>
  <c r="F45" i="75"/>
  <c r="F98" i="75"/>
  <c r="F100" i="75"/>
  <c r="F47" i="71" a="1"/>
  <c r="F55" i="71" a="1"/>
  <c r="F98" i="74"/>
  <c r="F20" i="75"/>
  <c r="I12" i="76"/>
  <c r="F92" i="76"/>
  <c r="F105" i="75"/>
  <c r="F63" i="75"/>
  <c r="F27" i="71" a="1"/>
  <c r="F43" i="71" a="1"/>
  <c r="F78" i="74"/>
  <c r="F107" i="75"/>
  <c r="F110" i="76"/>
  <c r="F36" i="71" a="1"/>
  <c r="I12" i="77"/>
  <c r="F65" i="75"/>
  <c r="F70" i="77"/>
  <c r="F99" i="74"/>
  <c r="F30" i="76"/>
  <c r="F71" i="76"/>
  <c r="F90" i="76"/>
  <c r="F102" i="75"/>
  <c r="F14" i="77"/>
  <c r="F21" i="71" a="1"/>
  <c r="F53" i="71" a="1"/>
  <c r="F12" i="77"/>
  <c r="F82" i="76"/>
  <c r="F120" i="74"/>
  <c r="F105" i="76"/>
  <c r="F26" i="76"/>
  <c r="F80" i="77"/>
  <c r="F61" i="76"/>
  <c r="F13" i="77"/>
  <c r="F31" i="74"/>
  <c r="F113" i="75"/>
  <c r="F34" i="71" a="1"/>
  <c r="F93" i="74"/>
  <c r="F17" i="71" a="1"/>
  <c r="F118" i="74"/>
  <c r="F22" i="74"/>
  <c r="F62" i="77"/>
  <c r="F11" i="76"/>
  <c r="F66" i="75"/>
  <c r="F13" i="71" a="1"/>
  <c r="F42" i="77"/>
  <c r="F108" i="75"/>
  <c r="F13" i="74"/>
  <c r="F24" i="74"/>
  <c r="F51" i="71" a="1"/>
  <c r="F121" i="75"/>
  <c r="F48" i="75"/>
  <c r="F95" i="77"/>
  <c r="F89" i="75"/>
  <c r="F42" i="71" a="1"/>
  <c r="F45" i="71" a="1"/>
  <c r="F69" i="75"/>
  <c r="F44" i="76"/>
  <c r="F65" i="74"/>
  <c r="F117" i="75"/>
  <c r="F77" i="77"/>
  <c r="F76" i="74"/>
  <c r="F25" i="75"/>
  <c r="F22" i="71" a="1"/>
  <c r="F14" i="71" a="1"/>
  <c r="F84" i="77"/>
  <c r="F14" i="75"/>
  <c r="F20" i="74"/>
  <c r="F56" i="71" a="1"/>
  <c r="F18" i="71" a="1"/>
  <c r="F43" i="76"/>
  <c r="F60" i="76"/>
  <c r="N56" i="71" l="1"/>
  <c r="N58" i="71" s="1"/>
  <c r="N33" i="71" s="1"/>
  <c r="N42" i="71"/>
  <c r="N44" i="71" s="1"/>
  <c r="N32" i="71" s="1"/>
  <c r="N38" i="71"/>
  <c r="N52" i="71"/>
  <c r="B4" i="94"/>
  <c r="L31" i="94" s="1"/>
  <c r="B110" i="94"/>
  <c r="E10" i="84"/>
  <c r="F10" i="84" s="1"/>
  <c r="G115" i="74"/>
  <c r="G114" i="74"/>
  <c r="G116" i="74"/>
  <c r="G112" i="74"/>
  <c r="G108" i="74"/>
  <c r="G109" i="74"/>
  <c r="G121" i="74"/>
  <c r="G106" i="74"/>
  <c r="G120" i="74"/>
  <c r="G111" i="74"/>
  <c r="G102" i="74"/>
  <c r="G118" i="74"/>
  <c r="G104" i="74"/>
  <c r="G117" i="74"/>
  <c r="G105" i="74"/>
  <c r="G119" i="74"/>
  <c r="G110" i="74"/>
  <c r="G113" i="74"/>
  <c r="G103" i="74"/>
  <c r="G107" i="74"/>
  <c r="B13" i="74"/>
  <c r="G108" i="76"/>
  <c r="G102" i="76"/>
  <c r="G109" i="76"/>
  <c r="G103" i="76"/>
  <c r="G120" i="76"/>
  <c r="G114" i="76"/>
  <c r="G119" i="76"/>
  <c r="G113" i="76"/>
  <c r="G104" i="76"/>
  <c r="G107" i="76"/>
  <c r="G110" i="76"/>
  <c r="G118" i="76"/>
  <c r="G112" i="76"/>
  <c r="G106" i="76"/>
  <c r="G105" i="76"/>
  <c r="G116" i="76"/>
  <c r="G117" i="76"/>
  <c r="G111" i="76"/>
  <c r="G121" i="76"/>
  <c r="G115" i="76"/>
  <c r="B13" i="76"/>
  <c r="G108" i="75"/>
  <c r="G107" i="75"/>
  <c r="G105" i="75"/>
  <c r="G112" i="75"/>
  <c r="G117" i="75"/>
  <c r="G121" i="75"/>
  <c r="G118" i="75"/>
  <c r="G106" i="75"/>
  <c r="G113" i="75"/>
  <c r="G110" i="75"/>
  <c r="G116" i="75"/>
  <c r="G115" i="75"/>
  <c r="G109" i="75"/>
  <c r="G102" i="75"/>
  <c r="G111" i="75"/>
  <c r="G120" i="75"/>
  <c r="G119" i="75"/>
  <c r="G104" i="75"/>
  <c r="G114" i="75"/>
  <c r="G103" i="75"/>
  <c r="B13" i="75"/>
  <c r="G117" i="77"/>
  <c r="G105" i="77"/>
  <c r="G119" i="77"/>
  <c r="G109" i="77"/>
  <c r="G113" i="77"/>
  <c r="G120" i="77"/>
  <c r="G107" i="77"/>
  <c r="G102" i="77"/>
  <c r="G103" i="77"/>
  <c r="G114" i="77"/>
  <c r="G121" i="77"/>
  <c r="G116" i="77"/>
  <c r="G108" i="77"/>
  <c r="G115" i="77"/>
  <c r="G111" i="77"/>
  <c r="G110" i="77"/>
  <c r="G118" i="77"/>
  <c r="G106" i="77"/>
  <c r="G104" i="77"/>
  <c r="G112" i="77"/>
  <c r="B13" i="77"/>
  <c r="G21" i="77"/>
  <c r="G71" i="77"/>
  <c r="G68" i="77"/>
  <c r="G58" i="77"/>
  <c r="G96" i="77"/>
  <c r="G92" i="77"/>
  <c r="G70" i="77"/>
  <c r="G23" i="77"/>
  <c r="G11" i="77"/>
  <c r="G29" i="77"/>
  <c r="G82" i="77"/>
  <c r="G63" i="77"/>
  <c r="G60" i="77"/>
  <c r="G51" i="77"/>
  <c r="G94" i="77"/>
  <c r="G16" i="77"/>
  <c r="G69" i="77"/>
  <c r="G17" i="77"/>
  <c r="G99" i="77"/>
  <c r="G35" i="77"/>
  <c r="G75" i="77"/>
  <c r="G78" i="77"/>
  <c r="G61" i="77"/>
  <c r="G87" i="77"/>
  <c r="G95" i="77"/>
  <c r="G14" i="77"/>
  <c r="G73" i="77"/>
  <c r="G65" i="77"/>
  <c r="G79" i="77"/>
  <c r="G72" i="77"/>
  <c r="G91" i="77"/>
  <c r="G81" i="77"/>
  <c r="G77" i="77"/>
  <c r="G43" i="77"/>
  <c r="G31" i="77"/>
  <c r="G84" i="77"/>
  <c r="G22" i="77"/>
  <c r="G37" i="77"/>
  <c r="G76" i="77"/>
  <c r="G33" i="77"/>
  <c r="G100" i="77"/>
  <c r="G89" i="77"/>
  <c r="G83" i="77"/>
  <c r="G34" i="77"/>
  <c r="G38" i="77"/>
  <c r="G12" i="77"/>
  <c r="G90" i="77"/>
  <c r="G101" i="77"/>
  <c r="G62" i="77"/>
  <c r="G41" i="77"/>
  <c r="G80" i="77"/>
  <c r="G19" i="77"/>
  <c r="G13" i="77"/>
  <c r="G74" i="77"/>
  <c r="G20" i="77"/>
  <c r="G53" i="77"/>
  <c r="G39" i="77"/>
  <c r="G86" i="77"/>
  <c r="G47" i="77"/>
  <c r="G55" i="77"/>
  <c r="G15" i="77"/>
  <c r="G98" i="77"/>
  <c r="G93" i="77"/>
  <c r="G44" i="77"/>
  <c r="G57" i="77"/>
  <c r="G49" i="77"/>
  <c r="G48" i="77"/>
  <c r="G24" i="77"/>
  <c r="G27" i="77"/>
  <c r="G52" i="77"/>
  <c r="G36" i="77"/>
  <c r="G56" i="77"/>
  <c r="G54" i="77"/>
  <c r="G64" i="77"/>
  <c r="G18" i="77"/>
  <c r="G85" i="77"/>
  <c r="G25" i="77"/>
  <c r="G66" i="77"/>
  <c r="G28" i="77"/>
  <c r="G97" i="77"/>
  <c r="G30" i="77"/>
  <c r="G67" i="77"/>
  <c r="G26" i="77"/>
  <c r="G59" i="77"/>
  <c r="G45" i="77"/>
  <c r="G32" i="77"/>
  <c r="G42" i="77"/>
  <c r="G40" i="77"/>
  <c r="G88" i="77"/>
  <c r="G46" i="77"/>
  <c r="G50" i="77"/>
  <c r="G34" i="76"/>
  <c r="G16" i="76"/>
  <c r="G94" i="76"/>
  <c r="G78" i="76"/>
  <c r="G74" i="76"/>
  <c r="G23" i="76"/>
  <c r="G93" i="76"/>
  <c r="G11" i="76"/>
  <c r="G42" i="76"/>
  <c r="G47" i="76"/>
  <c r="G25" i="76"/>
  <c r="G86" i="76"/>
  <c r="G44" i="76"/>
  <c r="G66" i="76"/>
  <c r="G45" i="76"/>
  <c r="G48" i="76"/>
  <c r="G68" i="76"/>
  <c r="G37" i="76"/>
  <c r="G98" i="76"/>
  <c r="G67" i="76"/>
  <c r="G60" i="76"/>
  <c r="G15" i="76"/>
  <c r="G70" i="76"/>
  <c r="G69" i="76"/>
  <c r="G89" i="76"/>
  <c r="G49" i="76"/>
  <c r="G27" i="76"/>
  <c r="G72" i="76"/>
  <c r="G12" i="76"/>
  <c r="G100" i="76"/>
  <c r="G62" i="76"/>
  <c r="G13" i="76"/>
  <c r="G84" i="76"/>
  <c r="G40" i="76"/>
  <c r="G90" i="76"/>
  <c r="G95" i="76"/>
  <c r="G35" i="76"/>
  <c r="G96" i="76"/>
  <c r="G52" i="76"/>
  <c r="G83" i="76"/>
  <c r="G63" i="76"/>
  <c r="G82" i="76"/>
  <c r="G17" i="76"/>
  <c r="G24" i="76"/>
  <c r="G43" i="76"/>
  <c r="G59" i="76"/>
  <c r="G79" i="76"/>
  <c r="G97" i="76"/>
  <c r="G75" i="76"/>
  <c r="G50" i="76"/>
  <c r="G54" i="76"/>
  <c r="G20" i="76"/>
  <c r="G55" i="76"/>
  <c r="G41" i="76"/>
  <c r="G92" i="76"/>
  <c r="G22" i="76"/>
  <c r="G61" i="76"/>
  <c r="G65" i="76"/>
  <c r="G51" i="76"/>
  <c r="G14" i="76"/>
  <c r="G28" i="76"/>
  <c r="G85" i="76"/>
  <c r="G29" i="76"/>
  <c r="G46" i="76"/>
  <c r="G77" i="76"/>
  <c r="G56" i="76"/>
  <c r="G101" i="76"/>
  <c r="G30" i="76"/>
  <c r="G26" i="76"/>
  <c r="G87" i="76"/>
  <c r="G57" i="76"/>
  <c r="G18" i="76"/>
  <c r="G80" i="76"/>
  <c r="G91" i="76"/>
  <c r="G21" i="76"/>
  <c r="G33" i="76"/>
  <c r="G39" i="76"/>
  <c r="G32" i="76"/>
  <c r="G64" i="76"/>
  <c r="G73" i="76"/>
  <c r="G88" i="76"/>
  <c r="G53" i="76"/>
  <c r="G58" i="76"/>
  <c r="G19" i="76"/>
  <c r="G71" i="76"/>
  <c r="G76" i="76"/>
  <c r="G81" i="76"/>
  <c r="G31" i="76"/>
  <c r="G36" i="76"/>
  <c r="G38" i="76"/>
  <c r="G99" i="76"/>
  <c r="G83" i="75"/>
  <c r="G51" i="75"/>
  <c r="G42" i="75"/>
  <c r="G36" i="75"/>
  <c r="G48" i="75"/>
  <c r="G75" i="75"/>
  <c r="G22" i="75"/>
  <c r="G47" i="75"/>
  <c r="G40" i="75"/>
  <c r="G21" i="75"/>
  <c r="G55" i="75"/>
  <c r="G89" i="75"/>
  <c r="G45" i="75"/>
  <c r="G56" i="75"/>
  <c r="G95" i="75"/>
  <c r="G12" i="75"/>
  <c r="G85" i="75"/>
  <c r="G69" i="75"/>
  <c r="G100" i="75"/>
  <c r="G80" i="75"/>
  <c r="G73" i="75"/>
  <c r="G32" i="75"/>
  <c r="G11" i="75"/>
  <c r="G97" i="75"/>
  <c r="G81" i="75"/>
  <c r="G78" i="75"/>
  <c r="G68" i="75"/>
  <c r="G25" i="75"/>
  <c r="G72" i="75"/>
  <c r="G63" i="75"/>
  <c r="G76" i="75"/>
  <c r="G92" i="75"/>
  <c r="G38" i="75"/>
  <c r="G79" i="75"/>
  <c r="G53" i="75"/>
  <c r="G46" i="75"/>
  <c r="G77" i="75"/>
  <c r="G15" i="75"/>
  <c r="G61" i="75"/>
  <c r="G31" i="75"/>
  <c r="G29" i="75"/>
  <c r="G84" i="75"/>
  <c r="G88" i="75"/>
  <c r="G62" i="75"/>
  <c r="G13" i="75"/>
  <c r="G20" i="75"/>
  <c r="G37" i="75"/>
  <c r="G35" i="75"/>
  <c r="G28" i="75"/>
  <c r="G82" i="75"/>
  <c r="G91" i="75"/>
  <c r="G90" i="75"/>
  <c r="G18" i="75"/>
  <c r="G96" i="75"/>
  <c r="G44" i="75"/>
  <c r="G70" i="75"/>
  <c r="G101" i="75"/>
  <c r="G17" i="75"/>
  <c r="G24" i="75"/>
  <c r="G23" i="75"/>
  <c r="G14" i="75"/>
  <c r="G65" i="75"/>
  <c r="G87" i="75"/>
  <c r="G59" i="75"/>
  <c r="G71" i="75"/>
  <c r="G99" i="75"/>
  <c r="G33" i="75"/>
  <c r="G30" i="75"/>
  <c r="G26" i="75"/>
  <c r="G54" i="75"/>
  <c r="G52" i="75"/>
  <c r="G34" i="75"/>
  <c r="G94" i="75"/>
  <c r="G16" i="75"/>
  <c r="G98" i="75"/>
  <c r="G41" i="75"/>
  <c r="G43" i="75"/>
  <c r="G60" i="75"/>
  <c r="G58" i="75"/>
  <c r="G57" i="75"/>
  <c r="G27" i="75"/>
  <c r="G66" i="75"/>
  <c r="G93" i="75"/>
  <c r="G50" i="75"/>
  <c r="G86" i="75"/>
  <c r="G67" i="75"/>
  <c r="G49" i="75"/>
  <c r="G19" i="75"/>
  <c r="G64" i="75"/>
  <c r="G74" i="75"/>
  <c r="G39" i="75"/>
  <c r="M33" i="71"/>
  <c r="G23" i="74"/>
  <c r="G50" i="74"/>
  <c r="G40" i="74"/>
  <c r="G28" i="74"/>
  <c r="G77" i="74"/>
  <c r="G57" i="74"/>
  <c r="G24" i="74"/>
  <c r="G100" i="74"/>
  <c r="G48" i="74"/>
  <c r="G53" i="74"/>
  <c r="G76" i="74"/>
  <c r="G49" i="74"/>
  <c r="G17" i="74"/>
  <c r="G59" i="74"/>
  <c r="G39" i="74"/>
  <c r="G33" i="74"/>
  <c r="G54" i="74"/>
  <c r="G60" i="74"/>
  <c r="G31" i="74"/>
  <c r="G82" i="74"/>
  <c r="G47" i="74"/>
  <c r="G73" i="74"/>
  <c r="G51" i="74"/>
  <c r="G32" i="74"/>
  <c r="G71" i="74"/>
  <c r="G41" i="74"/>
  <c r="G62" i="74"/>
  <c r="G21" i="74"/>
  <c r="G79" i="74"/>
  <c r="G70" i="74"/>
  <c r="G78" i="74"/>
  <c r="G36" i="74"/>
  <c r="G22" i="74"/>
  <c r="G13" i="74"/>
  <c r="G98" i="74"/>
  <c r="G55" i="74"/>
  <c r="G46" i="74"/>
  <c r="G72" i="74"/>
  <c r="G27" i="74"/>
  <c r="G61" i="74"/>
  <c r="G45" i="74"/>
  <c r="G64" i="74"/>
  <c r="G80" i="74"/>
  <c r="G34" i="74"/>
  <c r="G25" i="74"/>
  <c r="G68" i="74"/>
  <c r="G85" i="74"/>
  <c r="G63" i="74"/>
  <c r="G91" i="74"/>
  <c r="G19" i="74"/>
  <c r="G30" i="74"/>
  <c r="G96" i="74"/>
  <c r="G94" i="74"/>
  <c r="G29" i="74"/>
  <c r="G58" i="74"/>
  <c r="G42" i="74"/>
  <c r="G101" i="74"/>
  <c r="G56" i="74"/>
  <c r="G35" i="74"/>
  <c r="G89" i="74"/>
  <c r="G97" i="74"/>
  <c r="G75" i="74"/>
  <c r="G37" i="74"/>
  <c r="G90" i="74"/>
  <c r="G69" i="74"/>
  <c r="G66" i="74"/>
  <c r="G84" i="74"/>
  <c r="G11" i="74"/>
  <c r="G16" i="74"/>
  <c r="G12" i="74"/>
  <c r="G81" i="74"/>
  <c r="G44" i="74"/>
  <c r="G95" i="74"/>
  <c r="G26" i="74"/>
  <c r="G87" i="74"/>
  <c r="G88" i="74"/>
  <c r="G18" i="74"/>
  <c r="G52" i="74"/>
  <c r="G92" i="74"/>
  <c r="G43" i="74"/>
  <c r="G74" i="74"/>
  <c r="G15" i="74"/>
  <c r="G86" i="74"/>
  <c r="G93" i="74"/>
  <c r="G67" i="74"/>
  <c r="G20" i="74"/>
  <c r="G83" i="74"/>
  <c r="G65" i="74"/>
  <c r="G14" i="74"/>
  <c r="G38" i="74"/>
  <c r="G99" i="74"/>
  <c r="F75" i="71"/>
  <c r="C64" i="71"/>
  <c r="C70" i="71"/>
  <c r="C67" i="71"/>
  <c r="C73" i="71"/>
  <c r="C68" i="71"/>
  <c r="C74" i="71"/>
  <c r="C69" i="71"/>
  <c r="C75" i="71"/>
  <c r="C65" i="71"/>
  <c r="C71" i="71"/>
  <c r="C66" i="71"/>
  <c r="C72" i="71"/>
  <c r="F74" i="71"/>
  <c r="F72" i="71"/>
  <c r="F71" i="71"/>
  <c r="F70" i="71"/>
  <c r="F69" i="71"/>
  <c r="F68" i="71"/>
  <c r="F67" i="71"/>
  <c r="F65" i="71"/>
  <c r="F64" i="71"/>
  <c r="F73" i="71"/>
  <c r="F66" i="71"/>
  <c r="C16" i="71"/>
  <c r="C22" i="71"/>
  <c r="C28" i="71"/>
  <c r="C34" i="71"/>
  <c r="C40" i="71"/>
  <c r="C46" i="71"/>
  <c r="C52" i="71"/>
  <c r="C58" i="71"/>
  <c r="C17" i="71"/>
  <c r="C23" i="71"/>
  <c r="C29" i="71"/>
  <c r="C35" i="71"/>
  <c r="C41" i="71"/>
  <c r="C47" i="71"/>
  <c r="C53" i="71"/>
  <c r="C59" i="71"/>
  <c r="C19" i="71"/>
  <c r="C31" i="71"/>
  <c r="C43" i="71"/>
  <c r="C55" i="71"/>
  <c r="C14" i="71"/>
  <c r="C26" i="71"/>
  <c r="C44" i="71"/>
  <c r="C56" i="71"/>
  <c r="C15" i="71"/>
  <c r="C33" i="71"/>
  <c r="C45" i="71"/>
  <c r="C57" i="71"/>
  <c r="C18" i="71"/>
  <c r="C24" i="71"/>
  <c r="C30" i="71"/>
  <c r="C36" i="71"/>
  <c r="C42" i="71"/>
  <c r="C48" i="71"/>
  <c r="C54" i="71"/>
  <c r="C60" i="71"/>
  <c r="C25" i="71"/>
  <c r="C37" i="71"/>
  <c r="C49" i="71"/>
  <c r="C61" i="71"/>
  <c r="C20" i="71"/>
  <c r="C32" i="71"/>
  <c r="C38" i="71"/>
  <c r="C50" i="71"/>
  <c r="C62" i="71"/>
  <c r="C21" i="71"/>
  <c r="C27" i="71"/>
  <c r="C39" i="71"/>
  <c r="C51" i="71"/>
  <c r="C63" i="71"/>
  <c r="F38" i="71"/>
  <c r="F61" i="71"/>
  <c r="F55" i="71"/>
  <c r="F49" i="71"/>
  <c r="F46" i="71"/>
  <c r="F43" i="71"/>
  <c r="F40" i="71"/>
  <c r="F37" i="71"/>
  <c r="F34" i="71"/>
  <c r="F31" i="71"/>
  <c r="F28" i="71"/>
  <c r="F25" i="71"/>
  <c r="F22" i="71"/>
  <c r="F19" i="71"/>
  <c r="F16" i="71"/>
  <c r="F62" i="71"/>
  <c r="F56" i="71"/>
  <c r="F50" i="71"/>
  <c r="F57" i="71"/>
  <c r="F44" i="71"/>
  <c r="F35" i="71"/>
  <c r="F32" i="71"/>
  <c r="F29" i="71"/>
  <c r="F26" i="71"/>
  <c r="F23" i="71"/>
  <c r="F20" i="71"/>
  <c r="F17" i="71"/>
  <c r="F14" i="71"/>
  <c r="F51" i="71"/>
  <c r="F58" i="71"/>
  <c r="F63" i="71"/>
  <c r="F47" i="71"/>
  <c r="F41" i="71"/>
  <c r="F53" i="71"/>
  <c r="F21" i="71"/>
  <c r="F52" i="71"/>
  <c r="F59" i="71"/>
  <c r="F48" i="71"/>
  <c r="F45" i="71"/>
  <c r="F42" i="71"/>
  <c r="F39" i="71"/>
  <c r="F36" i="71"/>
  <c r="F33" i="71"/>
  <c r="F30" i="71"/>
  <c r="F27" i="71"/>
  <c r="F24" i="71"/>
  <c r="F18" i="71"/>
  <c r="F15" i="71"/>
  <c r="F60" i="71"/>
  <c r="F54" i="71"/>
  <c r="F13" i="71"/>
  <c r="C13" i="71"/>
  <c r="M115" i="77" a="1"/>
  <c r="M105" i="74" a="1"/>
  <c r="D18" i="71"/>
  <c r="E36" i="51" a="1"/>
  <c r="D17" i="71"/>
  <c r="M111" i="76" a="1"/>
  <c r="H13" i="76"/>
  <c r="E20" i="51" a="1"/>
  <c r="D49" i="71"/>
  <c r="E27" i="51" a="1"/>
  <c r="D66" i="71"/>
  <c r="E25" i="51" a="1"/>
  <c r="D42" i="71"/>
  <c r="M119" i="77" a="1"/>
  <c r="M108" i="75" a="1"/>
  <c r="D37" i="71"/>
  <c r="E55" i="51" a="1"/>
  <c r="D16" i="71"/>
  <c r="M113" i="75" a="1"/>
  <c r="M111" i="74" a="1"/>
  <c r="I13" i="74"/>
  <c r="D23" i="71"/>
  <c r="E38" i="51" a="1"/>
  <c r="D26" i="71"/>
  <c r="E53" i="51" a="1"/>
  <c r="D44" i="71"/>
  <c r="E46" i="51" a="1"/>
  <c r="D34" i="71"/>
  <c r="D40" i="71"/>
  <c r="I13" i="77"/>
  <c r="M108" i="77" a="1"/>
  <c r="I13" i="75"/>
  <c r="M113" i="77" a="1"/>
  <c r="H13" i="74"/>
  <c r="M105" i="75" a="1"/>
  <c r="E56" i="51" a="1"/>
  <c r="D65" i="71"/>
  <c r="D13" i="71"/>
  <c r="E12" i="51" a="1"/>
  <c r="M103" i="74" a="1"/>
  <c r="M107" i="77" a="1"/>
  <c r="M114" i="75" a="1"/>
  <c r="M113" i="74" a="1"/>
  <c r="D69" i="71"/>
  <c r="E29" i="51" a="1"/>
  <c r="D53" i="71"/>
  <c r="D52" i="71"/>
  <c r="M116" i="77" a="1"/>
  <c r="D74" i="71"/>
  <c r="D63" i="71"/>
  <c r="D56" i="71"/>
  <c r="E58" i="51" a="1"/>
  <c r="D54" i="71"/>
  <c r="M110" i="77" a="1"/>
  <c r="M111" i="77" a="1"/>
  <c r="M117" i="75" a="1"/>
  <c r="D45" i="71"/>
  <c r="E24" i="51" a="1"/>
  <c r="D61" i="71"/>
  <c r="H13" i="75"/>
  <c r="M117" i="76" a="1"/>
  <c r="E42" i="51" a="1"/>
  <c r="E34" i="51" a="1"/>
  <c r="M118" i="75" a="1"/>
  <c r="D22" i="71"/>
  <c r="I13" i="76"/>
  <c r="D73" i="71"/>
  <c r="M114" i="74" a="1"/>
  <c r="M119" i="76" a="1"/>
  <c r="M104" i="77" a="1"/>
  <c r="D39" i="71"/>
  <c r="E61" i="51" a="1"/>
  <c r="E21" i="51" a="1"/>
  <c r="M116" i="74" a="1"/>
  <c r="D28" i="71"/>
  <c r="M119" i="75" a="1"/>
  <c r="D72" i="71"/>
  <c r="M105" i="76" a="1"/>
  <c r="M110" i="75" a="1"/>
  <c r="M117" i="74" a="1"/>
  <c r="M118" i="74" a="1"/>
  <c r="D64" i="71"/>
  <c r="D75" i="71"/>
  <c r="E16" i="51" a="1"/>
  <c r="E35" i="51" a="1"/>
  <c r="E45" i="51" a="1"/>
  <c r="N39" i="71" a="1"/>
  <c r="D57" i="71"/>
  <c r="M116" i="75" a="1"/>
  <c r="D30" i="71"/>
  <c r="M115" i="74" a="1"/>
  <c r="M113" i="76" a="1"/>
  <c r="M120" i="77" a="1"/>
  <c r="M106" i="76" a="1"/>
  <c r="M120" i="75" a="1"/>
  <c r="D29" i="71"/>
  <c r="M118" i="76" a="1"/>
  <c r="D35" i="71"/>
  <c r="E19" i="51" a="1"/>
  <c r="E40" i="51" a="1"/>
  <c r="M112" i="75" a="1"/>
  <c r="E47" i="51" a="1"/>
  <c r="E33" i="51" a="1"/>
  <c r="D48" i="71"/>
  <c r="D67" i="71"/>
  <c r="M103" i="75" a="1"/>
  <c r="D58" i="71"/>
  <c r="M105" i="77" a="1"/>
  <c r="M121" i="75" a="1"/>
  <c r="M112" i="74" a="1"/>
  <c r="M118" i="77" a="1"/>
  <c r="M116" i="76" a="1"/>
  <c r="M107" i="75" a="1"/>
  <c r="M112" i="77" a="1"/>
  <c r="D47" i="71"/>
  <c r="E60" i="51" a="1"/>
  <c r="E44" i="51" a="1"/>
  <c r="M119" i="74" a="1"/>
  <c r="E52" i="51" a="1"/>
  <c r="E37" i="51" a="1"/>
  <c r="D21" i="71"/>
  <c r="D70" i="71"/>
  <c r="M115" i="75" a="1"/>
  <c r="E32" i="51" a="1"/>
  <c r="D38" i="71"/>
  <c r="M117" i="77" a="1"/>
  <c r="M112" i="76" a="1"/>
  <c r="M121" i="77" a="1"/>
  <c r="D68" i="71"/>
  <c r="D50" i="71"/>
  <c r="E26" i="51" a="1"/>
  <c r="G10" i="84"/>
  <c r="M108" i="76" a="1"/>
  <c r="E43" i="51" a="1"/>
  <c r="E31" i="51" a="1"/>
  <c r="D14" i="71"/>
  <c r="D46" i="71"/>
  <c r="M102" i="76" a="1"/>
  <c r="E22" i="51" a="1"/>
  <c r="D51" i="71"/>
  <c r="M110" i="74" a="1"/>
  <c r="D60" i="71"/>
  <c r="M109" i="75" a="1"/>
  <c r="M108" i="74" a="1"/>
  <c r="D41" i="71"/>
  <c r="E11" i="51" a="1"/>
  <c r="M121" i="74" a="1"/>
  <c r="M107" i="76" a="1"/>
  <c r="D43" i="71"/>
  <c r="D32" i="71"/>
  <c r="E30" i="51" a="1"/>
  <c r="M120" i="76" a="1"/>
  <c r="E39" i="51" a="1"/>
  <c r="E14" i="51" a="1"/>
  <c r="D19" i="71"/>
  <c r="D62" i="71"/>
  <c r="M104" i="74" a="1"/>
  <c r="E18" i="51" a="1"/>
  <c r="D36" i="71"/>
  <c r="M106" i="77" a="1"/>
  <c r="D33" i="71"/>
  <c r="E51" i="51" a="1"/>
  <c r="E17" i="51" a="1"/>
  <c r="E13" i="51" a="1"/>
  <c r="H13" i="77"/>
  <c r="N53" i="71" a="1"/>
  <c r="M114" i="76" a="1"/>
  <c r="M110" i="76" a="1"/>
  <c r="E15" i="51" a="1"/>
  <c r="E41" i="51" a="1"/>
  <c r="E48" i="51" a="1"/>
  <c r="M109" i="77" a="1"/>
  <c r="M109" i="74" a="1"/>
  <c r="D59" i="71"/>
  <c r="D20" i="71"/>
  <c r="E49" i="51" a="1"/>
  <c r="E57" i="51" a="1"/>
  <c r="M104" i="75" a="1"/>
  <c r="D31" i="71"/>
  <c r="D25" i="71"/>
  <c r="M104" i="76" a="1"/>
  <c r="E28" i="51" a="1"/>
  <c r="E59" i="51" a="1"/>
  <c r="E50" i="51" a="1"/>
  <c r="D24" i="71"/>
  <c r="M106" i="75" a="1"/>
  <c r="D27" i="71"/>
  <c r="E54" i="51" a="1"/>
  <c r="E23" i="51" a="1"/>
  <c r="M102" i="74" a="1"/>
  <c r="M102" i="77" a="1"/>
  <c r="M107" i="74" a="1"/>
  <c r="D55" i="71"/>
  <c r="D71" i="71"/>
  <c r="D15" i="71"/>
  <c r="M103" i="77" a="1"/>
  <c r="M111" i="75" a="1"/>
  <c r="M121" i="76" a="1"/>
  <c r="M103" i="76" a="1"/>
  <c r="M106" i="74" a="1"/>
  <c r="M109" i="76" a="1"/>
  <c r="M115" i="76" a="1"/>
  <c r="M114" i="77" a="1"/>
  <c r="M102" i="75" a="1"/>
  <c r="M120" i="74" a="1"/>
  <c r="E46" i="51" l="1"/>
  <c r="E53" i="51"/>
  <c r="E25" i="51"/>
  <c r="E61" i="51"/>
  <c r="E51" i="51"/>
  <c r="E54" i="51"/>
  <c r="E24" i="51"/>
  <c r="E29" i="51"/>
  <c r="E38" i="51"/>
  <c r="E27" i="51"/>
  <c r="E42" i="51"/>
  <c r="E16" i="51"/>
  <c r="E20" i="51"/>
  <c r="E56" i="51"/>
  <c r="E40" i="51"/>
  <c r="E26" i="51"/>
  <c r="E50" i="51"/>
  <c r="E48" i="51"/>
  <c r="E17" i="51"/>
  <c r="E49" i="51"/>
  <c r="E19" i="51"/>
  <c r="E59" i="51"/>
  <c r="E41" i="51"/>
  <c r="E18" i="51"/>
  <c r="E60" i="51"/>
  <c r="E28" i="51"/>
  <c r="E15" i="51"/>
  <c r="E11" i="51"/>
  <c r="E22" i="51"/>
  <c r="E32" i="51"/>
  <c r="E58" i="51"/>
  <c r="E12" i="51"/>
  <c r="E55" i="51"/>
  <c r="E36" i="51"/>
  <c r="E44" i="51"/>
  <c r="E23" i="51"/>
  <c r="E30" i="51"/>
  <c r="E14" i="51"/>
  <c r="E31" i="51"/>
  <c r="E37" i="51"/>
  <c r="E33" i="51"/>
  <c r="E45" i="51"/>
  <c r="E21" i="51"/>
  <c r="E34" i="51"/>
  <c r="M102" i="77"/>
  <c r="O102" i="77" s="1"/>
  <c r="E57" i="51"/>
  <c r="E13" i="51"/>
  <c r="E39" i="51"/>
  <c r="E43" i="51"/>
  <c r="E52" i="51"/>
  <c r="E47" i="51"/>
  <c r="E35" i="51"/>
  <c r="M32" i="71"/>
  <c r="M118" i="77"/>
  <c r="O118" i="77" s="1"/>
  <c r="M103" i="77"/>
  <c r="O103" i="77" s="1"/>
  <c r="M117" i="77"/>
  <c r="O117" i="77" s="1"/>
  <c r="M102" i="75"/>
  <c r="O102" i="75" s="1"/>
  <c r="M121" i="75"/>
  <c r="O121" i="75" s="1"/>
  <c r="M121" i="76"/>
  <c r="O121" i="76" s="1"/>
  <c r="M110" i="76"/>
  <c r="O110" i="76" s="1"/>
  <c r="M110" i="77"/>
  <c r="O110" i="77" s="1"/>
  <c r="M109" i="75"/>
  <c r="O109" i="75" s="1"/>
  <c r="M117" i="75"/>
  <c r="O117" i="75" s="1"/>
  <c r="M111" i="76"/>
  <c r="O111" i="76" s="1"/>
  <c r="M107" i="76"/>
  <c r="O107" i="76" s="1"/>
  <c r="M102" i="76"/>
  <c r="O102" i="76" s="1"/>
  <c r="M105" i="74"/>
  <c r="O105" i="74" s="1"/>
  <c r="M121" i="74"/>
  <c r="O121" i="74" s="1"/>
  <c r="M112" i="75"/>
  <c r="O112" i="75" s="1"/>
  <c r="M111" i="77"/>
  <c r="O111" i="77" s="1"/>
  <c r="M103" i="75"/>
  <c r="O103" i="75" s="1"/>
  <c r="M117" i="76"/>
  <c r="O117" i="76" s="1"/>
  <c r="M108" i="76"/>
  <c r="O108" i="76" s="1"/>
  <c r="M117" i="74"/>
  <c r="O117" i="74" s="1"/>
  <c r="M115" i="77"/>
  <c r="O115" i="77" s="1"/>
  <c r="M120" i="77"/>
  <c r="O120" i="77" s="1"/>
  <c r="M114" i="75"/>
  <c r="O114" i="75" s="1"/>
  <c r="M116" i="75"/>
  <c r="O116" i="75" s="1"/>
  <c r="M105" i="75"/>
  <c r="O105" i="75" s="1"/>
  <c r="M116" i="76"/>
  <c r="O116" i="76" s="1"/>
  <c r="M113" i="76"/>
  <c r="O113" i="76" s="1"/>
  <c r="M104" i="74"/>
  <c r="O104" i="74" s="1"/>
  <c r="M108" i="74"/>
  <c r="O108" i="74" s="1"/>
  <c r="N53" i="71"/>
  <c r="N54" i="71" s="1"/>
  <c r="N49" i="71" s="1"/>
  <c r="L33" i="71" s="1"/>
  <c r="M108" i="77"/>
  <c r="O108" i="77" s="1"/>
  <c r="M113" i="77"/>
  <c r="O113" i="77" s="1"/>
  <c r="M104" i="75"/>
  <c r="O104" i="75" s="1"/>
  <c r="M110" i="75"/>
  <c r="O110" i="75" s="1"/>
  <c r="M107" i="75"/>
  <c r="O107" i="75" s="1"/>
  <c r="M105" i="76"/>
  <c r="O105" i="76" s="1"/>
  <c r="M119" i="76"/>
  <c r="O119" i="76" s="1"/>
  <c r="M107" i="74"/>
  <c r="O107" i="74" s="1"/>
  <c r="M118" i="74"/>
  <c r="O118" i="74" s="1"/>
  <c r="M112" i="74"/>
  <c r="O112" i="74" s="1"/>
  <c r="N39" i="71"/>
  <c r="N40" i="71" s="1"/>
  <c r="N35" i="71" s="1"/>
  <c r="L32" i="71" s="1"/>
  <c r="M107" i="77"/>
  <c r="O107" i="77" s="1"/>
  <c r="M115" i="75"/>
  <c r="O115" i="75" s="1"/>
  <c r="M104" i="76"/>
  <c r="O104" i="76" s="1"/>
  <c r="M109" i="74"/>
  <c r="O109" i="74" s="1"/>
  <c r="M112" i="77"/>
  <c r="O112" i="77" s="1"/>
  <c r="M116" i="77"/>
  <c r="O116" i="77" s="1"/>
  <c r="M109" i="77"/>
  <c r="O109" i="77" s="1"/>
  <c r="M119" i="75"/>
  <c r="O119" i="75" s="1"/>
  <c r="M113" i="75"/>
  <c r="O113" i="75" s="1"/>
  <c r="M108" i="75"/>
  <c r="O108" i="75" s="1"/>
  <c r="M106" i="76"/>
  <c r="O106" i="76" s="1"/>
  <c r="M114" i="76"/>
  <c r="O114" i="76" s="1"/>
  <c r="M103" i="74"/>
  <c r="O103" i="74" s="1"/>
  <c r="M102" i="74"/>
  <c r="O102" i="74" s="1"/>
  <c r="M116" i="74"/>
  <c r="O116" i="74" s="1"/>
  <c r="M104" i="77"/>
  <c r="O104" i="77" s="1"/>
  <c r="M121" i="77"/>
  <c r="O121" i="77" s="1"/>
  <c r="M119" i="77"/>
  <c r="O119" i="77" s="1"/>
  <c r="M120" i="75"/>
  <c r="O120" i="75" s="1"/>
  <c r="M106" i="75"/>
  <c r="O106" i="75" s="1"/>
  <c r="M112" i="76"/>
  <c r="O112" i="76" s="1"/>
  <c r="M120" i="76"/>
  <c r="O120" i="76" s="1"/>
  <c r="M113" i="74"/>
  <c r="O113" i="74" s="1"/>
  <c r="M111" i="74"/>
  <c r="O111" i="74" s="1"/>
  <c r="M114" i="74"/>
  <c r="O114" i="74" s="1"/>
  <c r="M106" i="77"/>
  <c r="O106" i="77" s="1"/>
  <c r="M114" i="77"/>
  <c r="O114" i="77" s="1"/>
  <c r="M105" i="77"/>
  <c r="O105" i="77" s="1"/>
  <c r="M111" i="75"/>
  <c r="O111" i="75" s="1"/>
  <c r="M118" i="75"/>
  <c r="O118" i="75" s="1"/>
  <c r="M115" i="76"/>
  <c r="O115" i="76" s="1"/>
  <c r="M118" i="76"/>
  <c r="O118" i="76" s="1"/>
  <c r="M103" i="76"/>
  <c r="O103" i="76" s="1"/>
  <c r="M110" i="74"/>
  <c r="O110" i="74" s="1"/>
  <c r="M120" i="74"/>
  <c r="O120" i="74" s="1"/>
  <c r="M115" i="74"/>
  <c r="O115" i="74" s="1"/>
  <c r="M109" i="76"/>
  <c r="O109" i="76" s="1"/>
  <c r="M119" i="74"/>
  <c r="O119" i="74" s="1"/>
  <c r="M106" i="74"/>
  <c r="O106" i="74" s="1"/>
  <c r="T14" i="74"/>
  <c r="T95" i="74"/>
  <c r="T101" i="74"/>
  <c r="T45" i="74"/>
  <c r="T71" i="74"/>
  <c r="T48" i="74"/>
  <c r="T19" i="75"/>
  <c r="T34" i="75"/>
  <c r="T70" i="75"/>
  <c r="T35" i="75"/>
  <c r="T92" i="75"/>
  <c r="T97" i="75"/>
  <c r="T47" i="75"/>
  <c r="T65" i="74"/>
  <c r="T43" i="74"/>
  <c r="T90" i="74"/>
  <c r="T83" i="74"/>
  <c r="T81" i="74"/>
  <c r="T58" i="74"/>
  <c r="T27" i="74"/>
  <c r="T51" i="74"/>
  <c r="T24" i="74"/>
  <c r="T67" i="75"/>
  <c r="T60" i="75"/>
  <c r="T54" i="75"/>
  <c r="T96" i="75"/>
  <c r="T20" i="75"/>
  <c r="T15" i="75"/>
  <c r="T63" i="75"/>
  <c r="T32" i="75"/>
  <c r="T56" i="75"/>
  <c r="T75" i="75"/>
  <c r="T36" i="76"/>
  <c r="T88" i="76"/>
  <c r="T80" i="76"/>
  <c r="T77" i="76"/>
  <c r="T61" i="76"/>
  <c r="T75" i="76"/>
  <c r="T63" i="76"/>
  <c r="T84" i="76"/>
  <c r="T89" i="76"/>
  <c r="T68" i="76"/>
  <c r="T42" i="76"/>
  <c r="T34" i="76"/>
  <c r="T59" i="77"/>
  <c r="T85" i="77"/>
  <c r="T24" i="77"/>
  <c r="T55" i="77"/>
  <c r="T19" i="77"/>
  <c r="T34" i="77"/>
  <c r="T84" i="77"/>
  <c r="T65" i="77"/>
  <c r="T35" i="77"/>
  <c r="T63" i="77"/>
  <c r="T58" i="77"/>
  <c r="T118" i="77"/>
  <c r="N118" i="77"/>
  <c r="N103" i="77"/>
  <c r="T103" i="77"/>
  <c r="T117" i="77"/>
  <c r="N117" i="77"/>
  <c r="N102" i="75"/>
  <c r="T102" i="75"/>
  <c r="T121" i="75"/>
  <c r="N121" i="75"/>
  <c r="N121" i="76"/>
  <c r="T121" i="76"/>
  <c r="N110" i="76"/>
  <c r="T110" i="76"/>
  <c r="T20" i="74"/>
  <c r="T52" i="74"/>
  <c r="T12" i="74"/>
  <c r="T75" i="74"/>
  <c r="T29" i="74"/>
  <c r="T68" i="74"/>
  <c r="T72" i="74"/>
  <c r="T70" i="74"/>
  <c r="T73" i="74"/>
  <c r="T59" i="74"/>
  <c r="T57" i="74"/>
  <c r="T86" i="75"/>
  <c r="T43" i="75"/>
  <c r="T26" i="75"/>
  <c r="T14" i="75"/>
  <c r="T18" i="75"/>
  <c r="T13" i="75"/>
  <c r="T77" i="75"/>
  <c r="T72" i="75"/>
  <c r="T73" i="75"/>
  <c r="T45" i="75"/>
  <c r="T48" i="75"/>
  <c r="T31" i="76"/>
  <c r="T73" i="76"/>
  <c r="T18" i="76"/>
  <c r="T46" i="76"/>
  <c r="T22" i="76"/>
  <c r="T97" i="76"/>
  <c r="T83" i="76"/>
  <c r="T13" i="76"/>
  <c r="T69" i="76"/>
  <c r="T48" i="76"/>
  <c r="L51" i="101" a="1"/>
  <c r="L51" i="101" s="1"/>
  <c r="T11" i="76"/>
  <c r="T50" i="77"/>
  <c r="T26" i="77"/>
  <c r="T18" i="77"/>
  <c r="T48" i="77"/>
  <c r="T47" i="77"/>
  <c r="T80" i="77"/>
  <c r="T83" i="77"/>
  <c r="T31" i="77"/>
  <c r="T73" i="77"/>
  <c r="T99" i="77"/>
  <c r="T82" i="77"/>
  <c r="T68" i="77"/>
  <c r="T110" i="77"/>
  <c r="N110" i="77"/>
  <c r="T102" i="77"/>
  <c r="N102" i="77"/>
  <c r="T109" i="75"/>
  <c r="N109" i="75"/>
  <c r="N117" i="75"/>
  <c r="T117" i="75"/>
  <c r="T111" i="76"/>
  <c r="N111" i="76"/>
  <c r="T107" i="76"/>
  <c r="N107" i="76"/>
  <c r="N102" i="76"/>
  <c r="T102" i="76"/>
  <c r="T105" i="74"/>
  <c r="N105" i="74"/>
  <c r="T121" i="74"/>
  <c r="N121" i="74"/>
  <c r="T94" i="74"/>
  <c r="T46" i="75"/>
  <c r="T64" i="76"/>
  <c r="N112" i="75"/>
  <c r="T112" i="75"/>
  <c r="V51" i="101" a="1"/>
  <c r="V51" i="101" s="1"/>
  <c r="T11" i="74"/>
  <c r="T96" i="74"/>
  <c r="T21" i="74"/>
  <c r="T28" i="74"/>
  <c r="T93" i="75"/>
  <c r="T88" i="75"/>
  <c r="T18" i="74"/>
  <c r="T97" i="74"/>
  <c r="T46" i="74"/>
  <c r="T79" i="74"/>
  <c r="T17" i="74"/>
  <c r="T41" i="75"/>
  <c r="T23" i="75"/>
  <c r="T62" i="75"/>
  <c r="T25" i="75"/>
  <c r="T89" i="75"/>
  <c r="T81" i="76"/>
  <c r="T29" i="76"/>
  <c r="T79" i="76"/>
  <c r="T62" i="76"/>
  <c r="T70" i="76"/>
  <c r="T93" i="76"/>
  <c r="T67" i="77"/>
  <c r="T49" i="77"/>
  <c r="T41" i="77"/>
  <c r="T43" i="77"/>
  <c r="T17" i="77"/>
  <c r="T71" i="77"/>
  <c r="T111" i="77"/>
  <c r="N111" i="77"/>
  <c r="T103" i="75"/>
  <c r="N103" i="75"/>
  <c r="T117" i="76"/>
  <c r="N117" i="76"/>
  <c r="T108" i="76"/>
  <c r="N108" i="76"/>
  <c r="N117" i="74"/>
  <c r="T117" i="74"/>
  <c r="T93" i="74"/>
  <c r="T89" i="74"/>
  <c r="T34" i="74"/>
  <c r="T55" i="74"/>
  <c r="T82" i="74"/>
  <c r="T49" i="74"/>
  <c r="T39" i="75"/>
  <c r="T98" i="75"/>
  <c r="T33" i="75"/>
  <c r="T24" i="75"/>
  <c r="T91" i="75"/>
  <c r="T53" i="75"/>
  <c r="T68" i="75"/>
  <c r="T100" i="75"/>
  <c r="T55" i="75"/>
  <c r="T42" i="75"/>
  <c r="T76" i="76"/>
  <c r="T32" i="76"/>
  <c r="T87" i="76"/>
  <c r="T85" i="76"/>
  <c r="T41" i="76"/>
  <c r="T59" i="76"/>
  <c r="T96" i="76"/>
  <c r="T100" i="76"/>
  <c r="T15" i="76"/>
  <c r="T66" i="76"/>
  <c r="T23" i="76"/>
  <c r="T88" i="77"/>
  <c r="T30" i="77"/>
  <c r="T54" i="77"/>
  <c r="T57" i="77"/>
  <c r="T39" i="77"/>
  <c r="T62" i="77"/>
  <c r="T100" i="77"/>
  <c r="T77" i="77"/>
  <c r="T95" i="77"/>
  <c r="T69" i="77"/>
  <c r="Q51" i="101" a="1"/>
  <c r="Q51" i="101" s="1"/>
  <c r="T11" i="77"/>
  <c r="T21" i="77"/>
  <c r="T115" i="77"/>
  <c r="N115" i="77"/>
  <c r="N120" i="77"/>
  <c r="T120" i="77"/>
  <c r="N114" i="75"/>
  <c r="T114" i="75"/>
  <c r="T116" i="75"/>
  <c r="N116" i="75"/>
  <c r="T105" i="75"/>
  <c r="N105" i="75"/>
  <c r="N116" i="76"/>
  <c r="T116" i="76"/>
  <c r="N113" i="76"/>
  <c r="T113" i="76"/>
  <c r="T104" i="74"/>
  <c r="N104" i="74"/>
  <c r="T108" i="74"/>
  <c r="N108" i="74"/>
  <c r="T99" i="74"/>
  <c r="T86" i="74"/>
  <c r="T87" i="74"/>
  <c r="T84" i="74"/>
  <c r="T35" i="74"/>
  <c r="T30" i="74"/>
  <c r="T80" i="74"/>
  <c r="T98" i="74"/>
  <c r="T62" i="74"/>
  <c r="T31" i="74"/>
  <c r="T76" i="74"/>
  <c r="T40" i="74"/>
  <c r="T74" i="75"/>
  <c r="T66" i="75"/>
  <c r="T16" i="75"/>
  <c r="T99" i="75"/>
  <c r="T17" i="75"/>
  <c r="T82" i="75"/>
  <c r="T84" i="75"/>
  <c r="T79" i="75"/>
  <c r="T78" i="75"/>
  <c r="T69" i="75"/>
  <c r="T21" i="75"/>
  <c r="T51" i="75"/>
  <c r="T71" i="76"/>
  <c r="T39" i="76"/>
  <c r="T26" i="76"/>
  <c r="T28" i="76"/>
  <c r="T55" i="76"/>
  <c r="T43" i="76"/>
  <c r="T35" i="76"/>
  <c r="T12" i="76"/>
  <c r="T60" i="76"/>
  <c r="T44" i="76"/>
  <c r="T74" i="76"/>
  <c r="T40" i="77"/>
  <c r="T97" i="77"/>
  <c r="T56" i="77"/>
  <c r="T44" i="77"/>
  <c r="T53" i="77"/>
  <c r="T101" i="77"/>
  <c r="T33" i="77"/>
  <c r="T81" i="77"/>
  <c r="T87" i="77"/>
  <c r="T16" i="77"/>
  <c r="T23" i="77"/>
  <c r="N108" i="77"/>
  <c r="T108" i="77"/>
  <c r="T113" i="77"/>
  <c r="N113" i="77"/>
  <c r="N104" i="75"/>
  <c r="T104" i="75"/>
  <c r="N110" i="75"/>
  <c r="T110" i="75"/>
  <c r="T107" i="75"/>
  <c r="N107" i="75"/>
  <c r="N105" i="76"/>
  <c r="T105" i="76"/>
  <c r="T119" i="76"/>
  <c r="N119" i="76"/>
  <c r="N107" i="74"/>
  <c r="T107" i="74"/>
  <c r="N118" i="74"/>
  <c r="T118" i="74"/>
  <c r="T112" i="74"/>
  <c r="N112" i="74"/>
  <c r="T67" i="74"/>
  <c r="T16" i="74"/>
  <c r="T25" i="74"/>
  <c r="T47" i="74"/>
  <c r="T77" i="74"/>
  <c r="T50" i="75"/>
  <c r="T30" i="75"/>
  <c r="T90" i="75"/>
  <c r="T80" i="75"/>
  <c r="T36" i="75"/>
  <c r="T57" i="76"/>
  <c r="T92" i="76"/>
  <c r="T52" i="76"/>
  <c r="T45" i="76"/>
  <c r="T46" i="77"/>
  <c r="T64" i="77"/>
  <c r="T86" i="77"/>
  <c r="T89" i="77"/>
  <c r="T14" i="77"/>
  <c r="T29" i="77"/>
  <c r="T107" i="77"/>
  <c r="N107" i="77"/>
  <c r="T115" i="75"/>
  <c r="N115" i="75"/>
  <c r="T104" i="76"/>
  <c r="N104" i="76"/>
  <c r="T109" i="74"/>
  <c r="N109" i="74"/>
  <c r="T88" i="74"/>
  <c r="T38" i="74"/>
  <c r="T15" i="74"/>
  <c r="T26" i="74"/>
  <c r="T66" i="74"/>
  <c r="T56" i="74"/>
  <c r="T19" i="74"/>
  <c r="T64" i="74"/>
  <c r="T13" i="74"/>
  <c r="T41" i="74"/>
  <c r="T60" i="74"/>
  <c r="T53" i="74"/>
  <c r="T50" i="74"/>
  <c r="T64" i="75"/>
  <c r="T27" i="75"/>
  <c r="T94" i="75"/>
  <c r="T71" i="75"/>
  <c r="T101" i="75"/>
  <c r="T28" i="75"/>
  <c r="T29" i="75"/>
  <c r="T38" i="75"/>
  <c r="T81" i="75"/>
  <c r="T85" i="75"/>
  <c r="T40" i="75"/>
  <c r="T83" i="75"/>
  <c r="T19" i="76"/>
  <c r="T33" i="76"/>
  <c r="T30" i="76"/>
  <c r="T14" i="76"/>
  <c r="T20" i="76"/>
  <c r="T24" i="76"/>
  <c r="T95" i="76"/>
  <c r="T72" i="76"/>
  <c r="T67" i="76"/>
  <c r="T86" i="76"/>
  <c r="T78" i="76"/>
  <c r="T42" i="77"/>
  <c r="T28" i="77"/>
  <c r="T36" i="77"/>
  <c r="T93" i="77"/>
  <c r="T20" i="77"/>
  <c r="T90" i="77"/>
  <c r="T76" i="77"/>
  <c r="T91" i="77"/>
  <c r="T61" i="77"/>
  <c r="T94" i="77"/>
  <c r="T70" i="77"/>
  <c r="N112" i="77"/>
  <c r="T112" i="77"/>
  <c r="T116" i="77"/>
  <c r="N116" i="77"/>
  <c r="T109" i="77"/>
  <c r="N109" i="77"/>
  <c r="N119" i="75"/>
  <c r="T119" i="75"/>
  <c r="T113" i="75"/>
  <c r="N113" i="75"/>
  <c r="T108" i="75"/>
  <c r="N108" i="75"/>
  <c r="T106" i="76"/>
  <c r="N106" i="76"/>
  <c r="T114" i="76"/>
  <c r="N114" i="76"/>
  <c r="T103" i="74"/>
  <c r="N103" i="74"/>
  <c r="N102" i="74"/>
  <c r="T102" i="74"/>
  <c r="T116" i="74"/>
  <c r="N116" i="74"/>
  <c r="T58" i="76"/>
  <c r="T21" i="76"/>
  <c r="T101" i="76"/>
  <c r="T51" i="76"/>
  <c r="T54" i="76"/>
  <c r="T17" i="76"/>
  <c r="T90" i="76"/>
  <c r="T27" i="76"/>
  <c r="T98" i="76"/>
  <c r="T25" i="76"/>
  <c r="T94" i="76"/>
  <c r="T32" i="77"/>
  <c r="T66" i="77"/>
  <c r="T52" i="77"/>
  <c r="T98" i="77"/>
  <c r="T74" i="77"/>
  <c r="T12" i="77"/>
  <c r="T37" i="77"/>
  <c r="T72" i="77"/>
  <c r="T78" i="77"/>
  <c r="T51" i="77"/>
  <c r="T92" i="77"/>
  <c r="N104" i="77"/>
  <c r="T104" i="77"/>
  <c r="T121" i="77"/>
  <c r="N121" i="77"/>
  <c r="N119" i="77"/>
  <c r="T119" i="77"/>
  <c r="N120" i="75"/>
  <c r="T120" i="75"/>
  <c r="N106" i="75"/>
  <c r="T106" i="75"/>
  <c r="T112" i="76"/>
  <c r="N112" i="76"/>
  <c r="T120" i="76"/>
  <c r="N120" i="76"/>
  <c r="T113" i="74"/>
  <c r="N113" i="74"/>
  <c r="T111" i="74"/>
  <c r="N111" i="74"/>
  <c r="T114" i="74"/>
  <c r="N114" i="74"/>
  <c r="T42" i="74"/>
  <c r="T63" i="74"/>
  <c r="T61" i="74"/>
  <c r="T36" i="74"/>
  <c r="T32" i="74"/>
  <c r="T33" i="74"/>
  <c r="T100" i="74"/>
  <c r="T49" i="75"/>
  <c r="T58" i="75"/>
  <c r="T52" i="75"/>
  <c r="T87" i="75"/>
  <c r="T44" i="75"/>
  <c r="T37" i="75"/>
  <c r="T61" i="75"/>
  <c r="T76" i="75"/>
  <c r="G51" i="101" a="1"/>
  <c r="G51" i="101" s="1"/>
  <c r="T11" i="75"/>
  <c r="T95" i="75"/>
  <c r="T22" i="75"/>
  <c r="T38" i="76"/>
  <c r="T53" i="76"/>
  <c r="T91" i="76"/>
  <c r="T56" i="76"/>
  <c r="T65" i="76"/>
  <c r="T50" i="76"/>
  <c r="T82" i="76"/>
  <c r="T40" i="76"/>
  <c r="T49" i="76"/>
  <c r="T37" i="76"/>
  <c r="T47" i="76"/>
  <c r="T16" i="76"/>
  <c r="T45" i="77"/>
  <c r="T25" i="77"/>
  <c r="T27" i="77"/>
  <c r="T15" i="77"/>
  <c r="T13" i="77"/>
  <c r="T38" i="77"/>
  <c r="T22" i="77"/>
  <c r="T79" i="77"/>
  <c r="T75" i="77"/>
  <c r="T60" i="77"/>
  <c r="T96" i="77"/>
  <c r="T106" i="77"/>
  <c r="N106" i="77"/>
  <c r="T114" i="77"/>
  <c r="N114" i="77"/>
  <c r="T105" i="77"/>
  <c r="N105" i="77"/>
  <c r="N111" i="75"/>
  <c r="T111" i="75"/>
  <c r="N118" i="75"/>
  <c r="T118" i="75"/>
  <c r="T115" i="76"/>
  <c r="N115" i="76"/>
  <c r="T118" i="76"/>
  <c r="N118" i="76"/>
  <c r="T103" i="76"/>
  <c r="N103" i="76"/>
  <c r="N110" i="74"/>
  <c r="T110" i="74"/>
  <c r="T120" i="74"/>
  <c r="N120" i="74"/>
  <c r="N115" i="74"/>
  <c r="T115" i="74"/>
  <c r="T74" i="74"/>
  <c r="T69" i="74"/>
  <c r="T91" i="74"/>
  <c r="T22" i="74"/>
  <c r="T54" i="74"/>
  <c r="T23" i="74"/>
  <c r="T57" i="75"/>
  <c r="T59" i="75"/>
  <c r="T31" i="75"/>
  <c r="T12" i="75"/>
  <c r="T99" i="76"/>
  <c r="T44" i="74"/>
  <c r="T92" i="74"/>
  <c r="T37" i="74"/>
  <c r="T85" i="74"/>
  <c r="T78" i="74"/>
  <c r="T39" i="74"/>
  <c r="T65" i="75"/>
  <c r="N109" i="76"/>
  <c r="T109" i="76"/>
  <c r="T119" i="74"/>
  <c r="N119" i="74"/>
  <c r="T106" i="74"/>
  <c r="N106" i="74"/>
  <c r="L32" i="94"/>
  <c r="L55" i="94" s="1"/>
  <c r="Q32" i="94"/>
  <c r="H10" i="84"/>
  <c r="J10" i="84" s="1"/>
  <c r="K10" i="84" s="1"/>
  <c r="J12" i="74"/>
  <c r="J13" i="74"/>
  <c r="B14" i="74"/>
  <c r="J11" i="74"/>
  <c r="J13" i="76"/>
  <c r="J11" i="76"/>
  <c r="J12" i="76"/>
  <c r="B14" i="76"/>
  <c r="J12" i="75"/>
  <c r="J13" i="75"/>
  <c r="J11" i="75"/>
  <c r="B14" i="75"/>
  <c r="J11" i="77"/>
  <c r="J12" i="77"/>
  <c r="J13" i="77"/>
  <c r="B14" i="77"/>
  <c r="M90" i="71"/>
  <c r="M101" i="71"/>
  <c r="M102" i="71" s="1"/>
  <c r="E70" i="71"/>
  <c r="G70" i="71" s="1"/>
  <c r="H70" i="71" s="1"/>
  <c r="E74" i="71"/>
  <c r="G74" i="71" s="1"/>
  <c r="H74" i="71" s="1"/>
  <c r="E66" i="71"/>
  <c r="G66" i="71" s="1"/>
  <c r="H66" i="71" s="1"/>
  <c r="E68" i="71"/>
  <c r="G68" i="71" s="1"/>
  <c r="H68" i="71" s="1"/>
  <c r="E75" i="71"/>
  <c r="G75" i="71" s="1"/>
  <c r="H75" i="71" s="1"/>
  <c r="E64" i="71"/>
  <c r="G64" i="71" s="1"/>
  <c r="H64" i="71" s="1"/>
  <c r="E72" i="71"/>
  <c r="G72" i="71" s="1"/>
  <c r="H72" i="71" s="1"/>
  <c r="E71" i="71"/>
  <c r="G71" i="71" s="1"/>
  <c r="H71" i="71" s="1"/>
  <c r="E73" i="71"/>
  <c r="G73" i="71" s="1"/>
  <c r="H73" i="71" s="1"/>
  <c r="E67" i="71"/>
  <c r="G67" i="71" s="1"/>
  <c r="H67" i="71" s="1"/>
  <c r="E65" i="71"/>
  <c r="G65" i="71" s="1"/>
  <c r="H65" i="71" s="1"/>
  <c r="E69" i="71"/>
  <c r="G69" i="71" s="1"/>
  <c r="H69" i="71" s="1"/>
  <c r="E38" i="71"/>
  <c r="G38" i="71" s="1"/>
  <c r="H38" i="71" s="1"/>
  <c r="E30" i="71"/>
  <c r="G30" i="71" s="1"/>
  <c r="H30" i="71" s="1"/>
  <c r="E43" i="71"/>
  <c r="G43" i="71" s="1"/>
  <c r="H43" i="71" s="1"/>
  <c r="E16" i="71"/>
  <c r="G16" i="71" s="1"/>
  <c r="H16" i="71" s="1"/>
  <c r="E39" i="71"/>
  <c r="G39" i="71" s="1"/>
  <c r="H39" i="71" s="1"/>
  <c r="E60" i="71"/>
  <c r="G60" i="71" s="1"/>
  <c r="H60" i="71" s="1"/>
  <c r="E56" i="71"/>
  <c r="G56" i="71" s="1"/>
  <c r="H56" i="71" s="1"/>
  <c r="E31" i="71"/>
  <c r="G31" i="71" s="1"/>
  <c r="H31" i="71" s="1"/>
  <c r="E46" i="71"/>
  <c r="G46" i="71" s="1"/>
  <c r="H46" i="71" s="1"/>
  <c r="E27" i="71"/>
  <c r="G27" i="71" s="1"/>
  <c r="H27" i="71" s="1"/>
  <c r="E20" i="71"/>
  <c r="G20" i="71" s="1"/>
  <c r="H20" i="71" s="1"/>
  <c r="E54" i="71"/>
  <c r="G54" i="71" s="1"/>
  <c r="H54" i="71" s="1"/>
  <c r="E18" i="71"/>
  <c r="G18" i="71" s="1"/>
  <c r="H18" i="71" s="1"/>
  <c r="E44" i="71"/>
  <c r="G44" i="71" s="1"/>
  <c r="H44" i="71" s="1"/>
  <c r="E19" i="71"/>
  <c r="G19" i="71" s="1"/>
  <c r="H19" i="71" s="1"/>
  <c r="E29" i="71"/>
  <c r="G29" i="71" s="1"/>
  <c r="H29" i="71" s="1"/>
  <c r="E40" i="71"/>
  <c r="G40" i="71" s="1"/>
  <c r="H40" i="71" s="1"/>
  <c r="E51" i="71"/>
  <c r="G51" i="71" s="1"/>
  <c r="H51" i="71" s="1"/>
  <c r="E25" i="71"/>
  <c r="G25" i="71" s="1"/>
  <c r="H25" i="71" s="1"/>
  <c r="E15" i="71"/>
  <c r="G15" i="71" s="1"/>
  <c r="H15" i="71" s="1"/>
  <c r="E41" i="71"/>
  <c r="G41" i="71" s="1"/>
  <c r="H41" i="71" s="1"/>
  <c r="E52" i="71"/>
  <c r="G52" i="71" s="1"/>
  <c r="H52" i="71" s="1"/>
  <c r="E32" i="71"/>
  <c r="G32" i="71" s="1"/>
  <c r="H32" i="71" s="1"/>
  <c r="E24" i="71"/>
  <c r="G24" i="71" s="1"/>
  <c r="H24" i="71" s="1"/>
  <c r="E35" i="71"/>
  <c r="G35" i="71" s="1"/>
  <c r="H35" i="71" s="1"/>
  <c r="E21" i="71"/>
  <c r="G21" i="71" s="1"/>
  <c r="H21" i="71" s="1"/>
  <c r="E61" i="71"/>
  <c r="G61" i="71" s="1"/>
  <c r="H61" i="71" s="1"/>
  <c r="E48" i="71"/>
  <c r="G48" i="71" s="1"/>
  <c r="H48" i="71" s="1"/>
  <c r="E57" i="71"/>
  <c r="G57" i="71" s="1"/>
  <c r="H57" i="71" s="1"/>
  <c r="E26" i="71"/>
  <c r="G26" i="71" s="1"/>
  <c r="H26" i="71" s="1"/>
  <c r="E59" i="71"/>
  <c r="G59" i="71" s="1"/>
  <c r="H59" i="71" s="1"/>
  <c r="E23" i="71"/>
  <c r="G23" i="71" s="1"/>
  <c r="H23" i="71" s="1"/>
  <c r="E34" i="71"/>
  <c r="G34" i="71" s="1"/>
  <c r="H34" i="71" s="1"/>
  <c r="E62" i="71"/>
  <c r="G62" i="71" s="1"/>
  <c r="H62" i="71" s="1"/>
  <c r="E49" i="71"/>
  <c r="G49" i="71" s="1"/>
  <c r="H49" i="71" s="1"/>
  <c r="E42" i="71"/>
  <c r="G42" i="71" s="1"/>
  <c r="H42" i="71" s="1"/>
  <c r="E45" i="71"/>
  <c r="G45" i="71" s="1"/>
  <c r="H45" i="71" s="1"/>
  <c r="E14" i="71"/>
  <c r="G14" i="71" s="1"/>
  <c r="H14" i="71" s="1"/>
  <c r="E53" i="71"/>
  <c r="G53" i="71" s="1"/>
  <c r="H53" i="71" s="1"/>
  <c r="E17" i="71"/>
  <c r="G17" i="71" s="1"/>
  <c r="H17" i="71" s="1"/>
  <c r="E28" i="71"/>
  <c r="G28" i="71" s="1"/>
  <c r="H28" i="71" s="1"/>
  <c r="E63" i="71"/>
  <c r="G63" i="71" s="1"/>
  <c r="H63" i="71" s="1"/>
  <c r="E50" i="71"/>
  <c r="G50" i="71" s="1"/>
  <c r="H50" i="71" s="1"/>
  <c r="E37" i="71"/>
  <c r="G37" i="71" s="1"/>
  <c r="H37" i="71" s="1"/>
  <c r="E36" i="71"/>
  <c r="G36" i="71" s="1"/>
  <c r="H36" i="71" s="1"/>
  <c r="E33" i="71"/>
  <c r="G33" i="71" s="1"/>
  <c r="H33" i="71" s="1"/>
  <c r="E55" i="71"/>
  <c r="G55" i="71" s="1"/>
  <c r="H55" i="71" s="1"/>
  <c r="E47" i="71"/>
  <c r="G47" i="71" s="1"/>
  <c r="H47" i="71" s="1"/>
  <c r="E58" i="71"/>
  <c r="G58" i="71" s="1"/>
  <c r="H58" i="71" s="1"/>
  <c r="E22" i="71"/>
  <c r="G22" i="71" s="1"/>
  <c r="H22" i="71" s="1"/>
  <c r="E13" i="71"/>
  <c r="G13" i="71" s="1"/>
  <c r="H13" i="71" s="1"/>
  <c r="M88" i="71" s="1"/>
  <c r="M89" i="71" s="1"/>
  <c r="I14" i="77"/>
  <c r="K13" i="77" a="1"/>
  <c r="H14" i="76"/>
  <c r="K12" i="75" a="1"/>
  <c r="K11" i="75" a="1"/>
  <c r="K12" i="74" a="1"/>
  <c r="N12" i="71" a="1"/>
  <c r="K13" i="74" a="1"/>
  <c r="K11" i="76" a="1"/>
  <c r="I14" i="76"/>
  <c r="I14" i="75"/>
  <c r="H14" i="77"/>
  <c r="I14" i="74"/>
  <c r="K12" i="77" a="1"/>
  <c r="K13" i="75" a="1"/>
  <c r="K12" i="76" a="1"/>
  <c r="H14" i="75"/>
  <c r="K13" i="76" a="1"/>
  <c r="H14" i="74"/>
  <c r="K11" i="74" a="1"/>
  <c r="K11" i="77" a="1"/>
  <c r="K11" i="77" l="1"/>
  <c r="L10" i="84"/>
  <c r="V12" i="75"/>
  <c r="U12" i="75"/>
  <c r="U54" i="74"/>
  <c r="V54" i="74"/>
  <c r="U24" i="76"/>
  <c r="V24" i="76"/>
  <c r="U65" i="75"/>
  <c r="V65" i="75"/>
  <c r="U27" i="77"/>
  <c r="V27" i="77"/>
  <c r="V59" i="75"/>
  <c r="U59" i="75"/>
  <c r="U110" i="74"/>
  <c r="V110" i="74"/>
  <c r="V25" i="77"/>
  <c r="U25" i="77"/>
  <c r="U63" i="74"/>
  <c r="V63" i="74"/>
  <c r="V54" i="76"/>
  <c r="U54" i="76"/>
  <c r="V93" i="77"/>
  <c r="U93" i="77"/>
  <c r="V33" i="76"/>
  <c r="U33" i="76"/>
  <c r="V64" i="75"/>
  <c r="U64" i="75"/>
  <c r="U50" i="75"/>
  <c r="V50" i="75"/>
  <c r="M91" i="71"/>
  <c r="U78" i="74"/>
  <c r="V78" i="74"/>
  <c r="U44" i="74"/>
  <c r="V44" i="74"/>
  <c r="V69" i="74"/>
  <c r="U69" i="74"/>
  <c r="U106" i="77"/>
  <c r="V106" i="77"/>
  <c r="V53" i="76"/>
  <c r="U53" i="76"/>
  <c r="U42" i="74"/>
  <c r="V42" i="74"/>
  <c r="U120" i="76"/>
  <c r="V120" i="76"/>
  <c r="V36" i="77"/>
  <c r="U36" i="77"/>
  <c r="V15" i="74"/>
  <c r="U15" i="74"/>
  <c r="V40" i="75"/>
  <c r="U40" i="75"/>
  <c r="U119" i="74"/>
  <c r="V119" i="74"/>
  <c r="U111" i="75"/>
  <c r="V111" i="75"/>
  <c r="V16" i="76"/>
  <c r="U16" i="76"/>
  <c r="U33" i="74"/>
  <c r="V33" i="74"/>
  <c r="V25" i="76"/>
  <c r="U25" i="76"/>
  <c r="U29" i="75"/>
  <c r="V29" i="75"/>
  <c r="V38" i="74"/>
  <c r="U38" i="74"/>
  <c r="U23" i="74"/>
  <c r="V23" i="74"/>
  <c r="U38" i="77"/>
  <c r="V38" i="77"/>
  <c r="V47" i="76"/>
  <c r="U47" i="76"/>
  <c r="V50" i="76"/>
  <c r="U50" i="76"/>
  <c r="U61" i="75"/>
  <c r="V61" i="75"/>
  <c r="V52" i="75"/>
  <c r="U52" i="75"/>
  <c r="U32" i="74"/>
  <c r="V32" i="74"/>
  <c r="V98" i="76"/>
  <c r="U98" i="76"/>
  <c r="U112" i="77"/>
  <c r="V112" i="77"/>
  <c r="U28" i="75"/>
  <c r="V28" i="75"/>
  <c r="V46" i="77"/>
  <c r="U46" i="77"/>
  <c r="U107" i="74"/>
  <c r="V107" i="74"/>
  <c r="U110" i="75"/>
  <c r="V110" i="75"/>
  <c r="U23" i="77"/>
  <c r="V23" i="77"/>
  <c r="V37" i="74"/>
  <c r="U37" i="74"/>
  <c r="U22" i="74"/>
  <c r="V22" i="74"/>
  <c r="V118" i="76"/>
  <c r="U118" i="76"/>
  <c r="U105" i="77"/>
  <c r="V105" i="77"/>
  <c r="V60" i="77"/>
  <c r="U60" i="77"/>
  <c r="U15" i="77"/>
  <c r="V15" i="77"/>
  <c r="U56" i="76"/>
  <c r="V56" i="76"/>
  <c r="U37" i="77"/>
  <c r="V37" i="77"/>
  <c r="V52" i="77"/>
  <c r="U52" i="77"/>
  <c r="V70" i="77"/>
  <c r="U70" i="77"/>
  <c r="V78" i="76"/>
  <c r="U78" i="76"/>
  <c r="U20" i="76"/>
  <c r="V20" i="76"/>
  <c r="U45" i="76"/>
  <c r="V45" i="76"/>
  <c r="U115" i="74"/>
  <c r="V115" i="74"/>
  <c r="U37" i="76"/>
  <c r="V37" i="76"/>
  <c r="U60" i="74"/>
  <c r="V60" i="74"/>
  <c r="U120" i="75"/>
  <c r="V120" i="75"/>
  <c r="V92" i="77"/>
  <c r="U92" i="77"/>
  <c r="U66" i="77"/>
  <c r="V66" i="77"/>
  <c r="U58" i="76"/>
  <c r="V58" i="76"/>
  <c r="V114" i="76"/>
  <c r="U114" i="76"/>
  <c r="V86" i="76"/>
  <c r="U86" i="76"/>
  <c r="V94" i="75"/>
  <c r="U94" i="75"/>
  <c r="U14" i="77"/>
  <c r="V14" i="77"/>
  <c r="U90" i="75"/>
  <c r="V90" i="75"/>
  <c r="V27" i="76"/>
  <c r="U27" i="76"/>
  <c r="V101" i="75"/>
  <c r="U101" i="75"/>
  <c r="V79" i="77"/>
  <c r="U79" i="77"/>
  <c r="V40" i="76"/>
  <c r="U40" i="76"/>
  <c r="V11" i="75"/>
  <c r="U11" i="75"/>
  <c r="V113" i="74"/>
  <c r="U113" i="74"/>
  <c r="V30" i="76"/>
  <c r="U30" i="76"/>
  <c r="V27" i="75"/>
  <c r="U27" i="75"/>
  <c r="V104" i="76"/>
  <c r="U104" i="76"/>
  <c r="V118" i="75"/>
  <c r="U118" i="75"/>
  <c r="U22" i="75"/>
  <c r="V22" i="75"/>
  <c r="V76" i="75"/>
  <c r="U76" i="75"/>
  <c r="U100" i="74"/>
  <c r="V100" i="74"/>
  <c r="U61" i="74"/>
  <c r="V61" i="74"/>
  <c r="U111" i="74"/>
  <c r="V111" i="74"/>
  <c r="V72" i="77"/>
  <c r="U72" i="77"/>
  <c r="V98" i="77"/>
  <c r="U98" i="77"/>
  <c r="U90" i="76"/>
  <c r="V90" i="76"/>
  <c r="V108" i="75"/>
  <c r="U108" i="75"/>
  <c r="V116" i="77"/>
  <c r="U116" i="77"/>
  <c r="U20" i="77"/>
  <c r="V20" i="77"/>
  <c r="U42" i="77"/>
  <c r="V42" i="77"/>
  <c r="V72" i="76"/>
  <c r="U72" i="76"/>
  <c r="V83" i="75"/>
  <c r="U83" i="75"/>
  <c r="U50" i="74"/>
  <c r="V50" i="74"/>
  <c r="U66" i="74"/>
  <c r="V66" i="74"/>
  <c r="U88" i="74"/>
  <c r="V88" i="74"/>
  <c r="U107" i="77"/>
  <c r="V107" i="77"/>
  <c r="U86" i="77"/>
  <c r="V86" i="77"/>
  <c r="U77" i="74"/>
  <c r="V77" i="74"/>
  <c r="U119" i="76"/>
  <c r="V119" i="76"/>
  <c r="U16" i="77"/>
  <c r="V16" i="77"/>
  <c r="U101" i="77"/>
  <c r="V101" i="77"/>
  <c r="U97" i="77"/>
  <c r="V97" i="77"/>
  <c r="U60" i="76"/>
  <c r="V60" i="76"/>
  <c r="U55" i="76"/>
  <c r="V55" i="76"/>
  <c r="V71" i="76"/>
  <c r="U71" i="76"/>
  <c r="U78" i="75"/>
  <c r="V78" i="75"/>
  <c r="V17" i="75"/>
  <c r="U17" i="75"/>
  <c r="U69" i="77"/>
  <c r="V69" i="77"/>
  <c r="V15" i="76"/>
  <c r="U15" i="76"/>
  <c r="V41" i="76"/>
  <c r="U41" i="76"/>
  <c r="V43" i="77"/>
  <c r="U43" i="77"/>
  <c r="V93" i="76"/>
  <c r="U93" i="76"/>
  <c r="V62" i="75"/>
  <c r="U62" i="75"/>
  <c r="U88" i="75"/>
  <c r="V88" i="75"/>
  <c r="V64" i="76"/>
  <c r="U64" i="76"/>
  <c r="V105" i="74"/>
  <c r="U105" i="74"/>
  <c r="V68" i="77"/>
  <c r="U68" i="77"/>
  <c r="U31" i="77"/>
  <c r="V31" i="77"/>
  <c r="V48" i="77"/>
  <c r="U48" i="77"/>
  <c r="U11" i="76"/>
  <c r="V11" i="76"/>
  <c r="V13" i="75"/>
  <c r="U13" i="75"/>
  <c r="U102" i="75"/>
  <c r="V102" i="75"/>
  <c r="U56" i="75"/>
  <c r="V56" i="75"/>
  <c r="U43" i="74"/>
  <c r="V43" i="74"/>
  <c r="U105" i="76"/>
  <c r="V105" i="76"/>
  <c r="U87" i="77"/>
  <c r="V87" i="77"/>
  <c r="V79" i="75"/>
  <c r="U79" i="75"/>
  <c r="U62" i="77"/>
  <c r="V62" i="77"/>
  <c r="U30" i="77"/>
  <c r="V30" i="77"/>
  <c r="U76" i="76"/>
  <c r="V76" i="76"/>
  <c r="V68" i="75"/>
  <c r="U68" i="75"/>
  <c r="V33" i="75"/>
  <c r="U33" i="75"/>
  <c r="U82" i="74"/>
  <c r="V82" i="74"/>
  <c r="U93" i="74"/>
  <c r="V93" i="74"/>
  <c r="V103" i="75"/>
  <c r="U103" i="75"/>
  <c r="V29" i="76"/>
  <c r="U29" i="76"/>
  <c r="U79" i="74"/>
  <c r="V79" i="74"/>
  <c r="V96" i="74"/>
  <c r="U96" i="74"/>
  <c r="U46" i="75"/>
  <c r="V46" i="75"/>
  <c r="U102" i="76"/>
  <c r="V102" i="76"/>
  <c r="V83" i="76"/>
  <c r="U83" i="76"/>
  <c r="U18" i="76"/>
  <c r="V18" i="76"/>
  <c r="V45" i="75"/>
  <c r="U45" i="75"/>
  <c r="U43" i="75"/>
  <c r="V43" i="75"/>
  <c r="V73" i="74"/>
  <c r="U73" i="74"/>
  <c r="U29" i="74"/>
  <c r="V29" i="74"/>
  <c r="V20" i="74"/>
  <c r="U20" i="74"/>
  <c r="U58" i="77"/>
  <c r="V58" i="77"/>
  <c r="V84" i="77"/>
  <c r="U84" i="77"/>
  <c r="U24" i="77"/>
  <c r="V24" i="77"/>
  <c r="U42" i="76"/>
  <c r="V42" i="76"/>
  <c r="U63" i="76"/>
  <c r="V63" i="76"/>
  <c r="V80" i="76"/>
  <c r="U80" i="76"/>
  <c r="V20" i="75"/>
  <c r="U20" i="75"/>
  <c r="U67" i="75"/>
  <c r="V67" i="75"/>
  <c r="V58" i="74"/>
  <c r="U58" i="74"/>
  <c r="U92" i="75"/>
  <c r="V92" i="75"/>
  <c r="U19" i="75"/>
  <c r="V19" i="75"/>
  <c r="V101" i="74"/>
  <c r="U101" i="74"/>
  <c r="V17" i="76"/>
  <c r="U17" i="76"/>
  <c r="V113" i="75"/>
  <c r="U113" i="75"/>
  <c r="V91" i="77"/>
  <c r="U91" i="77"/>
  <c r="U95" i="76"/>
  <c r="V95" i="76"/>
  <c r="V53" i="74"/>
  <c r="U53" i="74"/>
  <c r="U26" i="74"/>
  <c r="V26" i="74"/>
  <c r="U47" i="74"/>
  <c r="V47" i="74"/>
  <c r="V84" i="74"/>
  <c r="U84" i="74"/>
  <c r="U42" i="75"/>
  <c r="V42" i="75"/>
  <c r="V98" i="75"/>
  <c r="U98" i="75"/>
  <c r="U70" i="76"/>
  <c r="V70" i="76"/>
  <c r="V81" i="76"/>
  <c r="U81" i="76"/>
  <c r="U23" i="75"/>
  <c r="V23" i="75"/>
  <c r="U46" i="74"/>
  <c r="V46" i="74"/>
  <c r="V11" i="74"/>
  <c r="U11" i="74"/>
  <c r="V109" i="75"/>
  <c r="U109" i="75"/>
  <c r="V82" i="77"/>
  <c r="U82" i="77"/>
  <c r="U83" i="77"/>
  <c r="V83" i="77"/>
  <c r="V18" i="77"/>
  <c r="U18" i="77"/>
  <c r="V73" i="76"/>
  <c r="U73" i="76"/>
  <c r="V86" i="75"/>
  <c r="U86" i="75"/>
  <c r="V70" i="74"/>
  <c r="U70" i="74"/>
  <c r="U75" i="74"/>
  <c r="V75" i="74"/>
  <c r="V110" i="76"/>
  <c r="U110" i="76"/>
  <c r="V32" i="75"/>
  <c r="U32" i="75"/>
  <c r="V96" i="75"/>
  <c r="U96" i="75"/>
  <c r="U21" i="76"/>
  <c r="V21" i="76"/>
  <c r="U103" i="74"/>
  <c r="V103" i="74"/>
  <c r="U64" i="74"/>
  <c r="V64" i="74"/>
  <c r="U109" i="74"/>
  <c r="V109" i="74"/>
  <c r="V29" i="77"/>
  <c r="U29" i="77"/>
  <c r="U64" i="77"/>
  <c r="V64" i="77"/>
  <c r="U92" i="76"/>
  <c r="V92" i="76"/>
  <c r="V112" i="74"/>
  <c r="U112" i="74"/>
  <c r="U113" i="77"/>
  <c r="V113" i="77"/>
  <c r="V53" i="77"/>
  <c r="U53" i="77"/>
  <c r="U40" i="77"/>
  <c r="V40" i="77"/>
  <c r="V12" i="76"/>
  <c r="U12" i="76"/>
  <c r="V28" i="76"/>
  <c r="U28" i="76"/>
  <c r="U51" i="75"/>
  <c r="V51" i="75"/>
  <c r="U99" i="75"/>
  <c r="V99" i="75"/>
  <c r="U40" i="74"/>
  <c r="V40" i="74"/>
  <c r="U98" i="74"/>
  <c r="V98" i="74"/>
  <c r="U108" i="74"/>
  <c r="V108" i="74"/>
  <c r="V105" i="75"/>
  <c r="U105" i="75"/>
  <c r="U115" i="77"/>
  <c r="V115" i="77"/>
  <c r="V39" i="77"/>
  <c r="U39" i="77"/>
  <c r="V117" i="74"/>
  <c r="U117" i="74"/>
  <c r="V106" i="74"/>
  <c r="U106" i="74"/>
  <c r="U39" i="74"/>
  <c r="V39" i="74"/>
  <c r="U92" i="74"/>
  <c r="V92" i="74"/>
  <c r="U31" i="75"/>
  <c r="V31" i="75"/>
  <c r="V74" i="74"/>
  <c r="U74" i="74"/>
  <c r="U103" i="76"/>
  <c r="V103" i="76"/>
  <c r="U96" i="77"/>
  <c r="V96" i="77"/>
  <c r="U22" i="77"/>
  <c r="V22" i="77"/>
  <c r="U82" i="76"/>
  <c r="V82" i="76"/>
  <c r="V91" i="76"/>
  <c r="U91" i="76"/>
  <c r="U95" i="75"/>
  <c r="V95" i="75"/>
  <c r="V37" i="75"/>
  <c r="U37" i="75"/>
  <c r="U58" i="75"/>
  <c r="V58" i="75"/>
  <c r="U119" i="77"/>
  <c r="V119" i="77"/>
  <c r="U51" i="77"/>
  <c r="V51" i="77"/>
  <c r="U12" i="77"/>
  <c r="V12" i="77"/>
  <c r="V119" i="75"/>
  <c r="U119" i="75"/>
  <c r="U76" i="77"/>
  <c r="V76" i="77"/>
  <c r="V85" i="75"/>
  <c r="U85" i="75"/>
  <c r="V19" i="74"/>
  <c r="U19" i="74"/>
  <c r="U57" i="76"/>
  <c r="V57" i="76"/>
  <c r="V118" i="74"/>
  <c r="U118" i="74"/>
  <c r="U108" i="77"/>
  <c r="V108" i="77"/>
  <c r="U44" i="77"/>
  <c r="V44" i="77"/>
  <c r="U21" i="75"/>
  <c r="V21" i="75"/>
  <c r="V16" i="75"/>
  <c r="U16" i="75"/>
  <c r="U95" i="77"/>
  <c r="V95" i="77"/>
  <c r="V88" i="77"/>
  <c r="U88" i="77"/>
  <c r="V100" i="76"/>
  <c r="U100" i="76"/>
  <c r="V85" i="76"/>
  <c r="U85" i="76"/>
  <c r="V53" i="75"/>
  <c r="U53" i="75"/>
  <c r="U55" i="74"/>
  <c r="V55" i="74"/>
  <c r="V111" i="77"/>
  <c r="U111" i="77"/>
  <c r="V41" i="77"/>
  <c r="U41" i="77"/>
  <c r="U93" i="75"/>
  <c r="V93" i="75"/>
  <c r="V94" i="74"/>
  <c r="U94" i="74"/>
  <c r="V48" i="76"/>
  <c r="U48" i="76"/>
  <c r="V97" i="76"/>
  <c r="U97" i="76"/>
  <c r="V73" i="75"/>
  <c r="U73" i="75"/>
  <c r="U18" i="75"/>
  <c r="V18" i="75"/>
  <c r="V117" i="77"/>
  <c r="U117" i="77"/>
  <c r="U63" i="77"/>
  <c r="V63" i="77"/>
  <c r="U34" i="77"/>
  <c r="V34" i="77"/>
  <c r="U85" i="77"/>
  <c r="V85" i="77"/>
  <c r="V68" i="76"/>
  <c r="U68" i="76"/>
  <c r="U75" i="76"/>
  <c r="V75" i="76"/>
  <c r="U88" i="76"/>
  <c r="V88" i="76"/>
  <c r="V24" i="74"/>
  <c r="U24" i="74"/>
  <c r="U81" i="74"/>
  <c r="V81" i="74"/>
  <c r="U65" i="74"/>
  <c r="V65" i="74"/>
  <c r="U35" i="75"/>
  <c r="V35" i="75"/>
  <c r="V48" i="74"/>
  <c r="U48" i="74"/>
  <c r="V95" i="74"/>
  <c r="U95" i="74"/>
  <c r="U30" i="75"/>
  <c r="V30" i="75"/>
  <c r="V25" i="74"/>
  <c r="U25" i="74"/>
  <c r="U107" i="75"/>
  <c r="V107" i="75"/>
  <c r="V81" i="77"/>
  <c r="U81" i="77"/>
  <c r="U74" i="76"/>
  <c r="V74" i="76"/>
  <c r="V35" i="76"/>
  <c r="U35" i="76"/>
  <c r="U26" i="76"/>
  <c r="V26" i="76"/>
  <c r="U84" i="75"/>
  <c r="V84" i="75"/>
  <c r="U76" i="74"/>
  <c r="V76" i="74"/>
  <c r="V80" i="74"/>
  <c r="U80" i="74"/>
  <c r="U87" i="74"/>
  <c r="V87" i="74"/>
  <c r="U104" i="74"/>
  <c r="V104" i="74"/>
  <c r="U116" i="75"/>
  <c r="V116" i="75"/>
  <c r="V21" i="77"/>
  <c r="U21" i="77"/>
  <c r="U77" i="77"/>
  <c r="V77" i="77"/>
  <c r="U23" i="76"/>
  <c r="V23" i="76"/>
  <c r="U55" i="75"/>
  <c r="V55" i="75"/>
  <c r="V71" i="77"/>
  <c r="U71" i="77"/>
  <c r="V62" i="76"/>
  <c r="U62" i="76"/>
  <c r="U107" i="76"/>
  <c r="V107" i="76"/>
  <c r="V102" i="77"/>
  <c r="U102" i="77"/>
  <c r="V99" i="77"/>
  <c r="U99" i="77"/>
  <c r="U80" i="77"/>
  <c r="V80" i="77"/>
  <c r="V26" i="77"/>
  <c r="U26" i="77"/>
  <c r="V69" i="76"/>
  <c r="U69" i="76"/>
  <c r="V31" i="76"/>
  <c r="U31" i="76"/>
  <c r="V72" i="75"/>
  <c r="U72" i="75"/>
  <c r="U121" i="76"/>
  <c r="V121" i="76"/>
  <c r="V103" i="77"/>
  <c r="U103" i="77"/>
  <c r="V35" i="77"/>
  <c r="U35" i="77"/>
  <c r="U19" i="77"/>
  <c r="V19" i="77"/>
  <c r="U59" i="77"/>
  <c r="V59" i="77"/>
  <c r="V89" i="76"/>
  <c r="U89" i="76"/>
  <c r="V61" i="76"/>
  <c r="U61" i="76"/>
  <c r="V36" i="76"/>
  <c r="U36" i="76"/>
  <c r="U63" i="75"/>
  <c r="V63" i="75"/>
  <c r="U54" i="75"/>
  <c r="V54" i="75"/>
  <c r="V51" i="74"/>
  <c r="U51" i="74"/>
  <c r="V83" i="74"/>
  <c r="U83" i="74"/>
  <c r="V47" i="75"/>
  <c r="U47" i="75"/>
  <c r="V39" i="76"/>
  <c r="U39" i="76"/>
  <c r="U69" i="75"/>
  <c r="V69" i="75"/>
  <c r="V82" i="75"/>
  <c r="U82" i="75"/>
  <c r="V66" i="75"/>
  <c r="U66" i="75"/>
  <c r="V30" i="74"/>
  <c r="U30" i="74"/>
  <c r="V86" i="74"/>
  <c r="U86" i="74"/>
  <c r="U113" i="76"/>
  <c r="V113" i="76"/>
  <c r="U114" i="75"/>
  <c r="V114" i="75"/>
  <c r="U57" i="77"/>
  <c r="V57" i="77"/>
  <c r="V96" i="76"/>
  <c r="U96" i="76"/>
  <c r="U87" i="76"/>
  <c r="V87" i="76"/>
  <c r="V91" i="75"/>
  <c r="U91" i="75"/>
  <c r="V39" i="75"/>
  <c r="U39" i="75"/>
  <c r="U34" i="74"/>
  <c r="V34" i="74"/>
  <c r="U108" i="76"/>
  <c r="V108" i="76"/>
  <c r="V49" i="77"/>
  <c r="U49" i="77"/>
  <c r="V89" i="75"/>
  <c r="U89" i="75"/>
  <c r="V41" i="75"/>
  <c r="U41" i="75"/>
  <c r="U97" i="74"/>
  <c r="V97" i="74"/>
  <c r="U28" i="74"/>
  <c r="V28" i="74"/>
  <c r="V112" i="75"/>
  <c r="U112" i="75"/>
  <c r="U22" i="76"/>
  <c r="V22" i="76"/>
  <c r="U14" i="75"/>
  <c r="V14" i="75"/>
  <c r="U57" i="74"/>
  <c r="V57" i="74"/>
  <c r="U72" i="74"/>
  <c r="V72" i="74"/>
  <c r="U12" i="74"/>
  <c r="V12" i="74"/>
  <c r="U70" i="75"/>
  <c r="V70" i="75"/>
  <c r="U71" i="74"/>
  <c r="V71" i="74"/>
  <c r="U14" i="74"/>
  <c r="V14" i="74"/>
  <c r="U109" i="76"/>
  <c r="V109" i="76"/>
  <c r="U91" i="74"/>
  <c r="V91" i="74"/>
  <c r="U75" i="77"/>
  <c r="V75" i="77"/>
  <c r="U13" i="77"/>
  <c r="V13" i="77"/>
  <c r="U45" i="77"/>
  <c r="V45" i="77"/>
  <c r="U49" i="76"/>
  <c r="V49" i="76"/>
  <c r="V44" i="75"/>
  <c r="U44" i="75"/>
  <c r="V49" i="75"/>
  <c r="U49" i="75"/>
  <c r="U36" i="74"/>
  <c r="V36" i="74"/>
  <c r="U114" i="74"/>
  <c r="V114" i="74"/>
  <c r="U112" i="76"/>
  <c r="V112" i="76"/>
  <c r="U121" i="77"/>
  <c r="V121" i="77"/>
  <c r="V78" i="77"/>
  <c r="U78" i="77"/>
  <c r="U74" i="77"/>
  <c r="V74" i="77"/>
  <c r="V32" i="77"/>
  <c r="U32" i="77"/>
  <c r="V51" i="76"/>
  <c r="U51" i="76"/>
  <c r="V116" i="74"/>
  <c r="U116" i="74"/>
  <c r="U106" i="76"/>
  <c r="V106" i="76"/>
  <c r="V109" i="77"/>
  <c r="U109" i="77"/>
  <c r="U94" i="77"/>
  <c r="V94" i="77"/>
  <c r="U90" i="77"/>
  <c r="V90" i="77"/>
  <c r="U28" i="77"/>
  <c r="V28" i="77"/>
  <c r="V67" i="76"/>
  <c r="U67" i="76"/>
  <c r="V19" i="76"/>
  <c r="U19" i="76"/>
  <c r="U81" i="75"/>
  <c r="V81" i="75"/>
  <c r="V41" i="74"/>
  <c r="U41" i="74"/>
  <c r="U56" i="74"/>
  <c r="V56" i="74"/>
  <c r="V115" i="75"/>
  <c r="U115" i="75"/>
  <c r="V89" i="77"/>
  <c r="U89" i="77"/>
  <c r="U36" i="75"/>
  <c r="V36" i="75"/>
  <c r="V16" i="74"/>
  <c r="U16" i="74"/>
  <c r="V33" i="77"/>
  <c r="U33" i="77"/>
  <c r="V56" i="77"/>
  <c r="U56" i="77"/>
  <c r="U44" i="76"/>
  <c r="V44" i="76"/>
  <c r="V43" i="76"/>
  <c r="U43" i="76"/>
  <c r="V31" i="74"/>
  <c r="U31" i="74"/>
  <c r="V11" i="77"/>
  <c r="U11" i="77"/>
  <c r="U24" i="75"/>
  <c r="V24" i="75"/>
  <c r="V67" i="77"/>
  <c r="U67" i="77"/>
  <c r="V121" i="74"/>
  <c r="U121" i="74"/>
  <c r="V111" i="76"/>
  <c r="U111" i="76"/>
  <c r="U110" i="77"/>
  <c r="V110" i="77"/>
  <c r="U73" i="77"/>
  <c r="V73" i="77"/>
  <c r="V47" i="77"/>
  <c r="U47" i="77"/>
  <c r="V50" i="77"/>
  <c r="U50" i="77"/>
  <c r="U46" i="76"/>
  <c r="V46" i="76"/>
  <c r="V48" i="75"/>
  <c r="U48" i="75"/>
  <c r="U77" i="75"/>
  <c r="V77" i="75"/>
  <c r="V26" i="75"/>
  <c r="U26" i="75"/>
  <c r="V59" i="74"/>
  <c r="U59" i="74"/>
  <c r="U55" i="77"/>
  <c r="V55" i="77"/>
  <c r="V84" i="76"/>
  <c r="U84" i="76"/>
  <c r="V77" i="76"/>
  <c r="U77" i="76"/>
  <c r="V27" i="74"/>
  <c r="U27" i="74"/>
  <c r="V34" i="75"/>
  <c r="U34" i="75"/>
  <c r="V85" i="74"/>
  <c r="U85" i="74"/>
  <c r="V99" i="76"/>
  <c r="U99" i="76"/>
  <c r="V57" i="75"/>
  <c r="U57" i="75"/>
  <c r="U120" i="74"/>
  <c r="V120" i="74"/>
  <c r="U115" i="76"/>
  <c r="V115" i="76"/>
  <c r="V114" i="77"/>
  <c r="U114" i="77"/>
  <c r="V65" i="76"/>
  <c r="U65" i="76"/>
  <c r="U38" i="76"/>
  <c r="V38" i="76"/>
  <c r="V87" i="75"/>
  <c r="U87" i="75"/>
  <c r="U106" i="75"/>
  <c r="V106" i="75"/>
  <c r="V104" i="77"/>
  <c r="U104" i="77"/>
  <c r="V94" i="76"/>
  <c r="U94" i="76"/>
  <c r="V101" i="76"/>
  <c r="U101" i="76"/>
  <c r="V102" i="74"/>
  <c r="U102" i="74"/>
  <c r="V61" i="77"/>
  <c r="U61" i="77"/>
  <c r="V14" i="76"/>
  <c r="U14" i="76"/>
  <c r="U38" i="75"/>
  <c r="V38" i="75"/>
  <c r="V71" i="75"/>
  <c r="U71" i="75"/>
  <c r="U13" i="74"/>
  <c r="V13" i="74"/>
  <c r="U52" i="76"/>
  <c r="V52" i="76"/>
  <c r="V80" i="75"/>
  <c r="U80" i="75"/>
  <c r="V67" i="74"/>
  <c r="U67" i="74"/>
  <c r="U104" i="75"/>
  <c r="V104" i="75"/>
  <c r="V74" i="75"/>
  <c r="U74" i="75"/>
  <c r="U62" i="74"/>
  <c r="V62" i="74"/>
  <c r="V35" i="74"/>
  <c r="U35" i="74"/>
  <c r="U99" i="74"/>
  <c r="V99" i="74"/>
  <c r="V116" i="76"/>
  <c r="U116" i="76"/>
  <c r="V120" i="77"/>
  <c r="U120" i="77"/>
  <c r="V100" i="77"/>
  <c r="U100" i="77"/>
  <c r="U54" i="77"/>
  <c r="V54" i="77"/>
  <c r="V66" i="76"/>
  <c r="U66" i="76"/>
  <c r="U59" i="76"/>
  <c r="V59" i="76"/>
  <c r="V32" i="76"/>
  <c r="U32" i="76"/>
  <c r="U100" i="75"/>
  <c r="V100" i="75"/>
  <c r="U49" i="74"/>
  <c r="V49" i="74"/>
  <c r="U89" i="74"/>
  <c r="V89" i="74"/>
  <c r="V117" i="76"/>
  <c r="U117" i="76"/>
  <c r="U17" i="77"/>
  <c r="V17" i="77"/>
  <c r="V79" i="76"/>
  <c r="U79" i="76"/>
  <c r="U25" i="75"/>
  <c r="V25" i="75"/>
  <c r="V17" i="74"/>
  <c r="U17" i="74"/>
  <c r="U18" i="74"/>
  <c r="V18" i="74"/>
  <c r="V21" i="74"/>
  <c r="U21" i="74"/>
  <c r="U117" i="75"/>
  <c r="V117" i="75"/>
  <c r="V13" i="76"/>
  <c r="U13" i="76"/>
  <c r="U68" i="74"/>
  <c r="V68" i="74"/>
  <c r="V52" i="74"/>
  <c r="U52" i="74"/>
  <c r="U121" i="75"/>
  <c r="V121" i="75"/>
  <c r="V118" i="77"/>
  <c r="U118" i="77"/>
  <c r="V65" i="77"/>
  <c r="U65" i="77"/>
  <c r="U34" i="76"/>
  <c r="V34" i="76"/>
  <c r="V75" i="75"/>
  <c r="U75" i="75"/>
  <c r="V15" i="75"/>
  <c r="U15" i="75"/>
  <c r="V60" i="75"/>
  <c r="U60" i="75"/>
  <c r="V90" i="74"/>
  <c r="U90" i="74"/>
  <c r="U97" i="75"/>
  <c r="V97" i="75"/>
  <c r="U45" i="74"/>
  <c r="V45" i="74"/>
  <c r="N12" i="71"/>
  <c r="Q55" i="94"/>
  <c r="L36" i="94"/>
  <c r="Q36" i="94" s="1"/>
  <c r="M10" i="84"/>
  <c r="K12" i="74"/>
  <c r="L12" i="74" s="1"/>
  <c r="J14" i="74"/>
  <c r="K11" i="74"/>
  <c r="L11" i="74" s="1"/>
  <c r="K13" i="74"/>
  <c r="L13" i="74" s="1"/>
  <c r="B15" i="74"/>
  <c r="K12" i="76"/>
  <c r="L12" i="76" s="1"/>
  <c r="K11" i="76"/>
  <c r="L11" i="76" s="1"/>
  <c r="K13" i="76"/>
  <c r="L13" i="76" s="1"/>
  <c r="J14" i="76"/>
  <c r="B15" i="76"/>
  <c r="K13" i="75"/>
  <c r="L13" i="75" s="1"/>
  <c r="J14" i="75"/>
  <c r="K11" i="75"/>
  <c r="L11" i="75" s="1"/>
  <c r="K12" i="75"/>
  <c r="L12" i="75" s="1"/>
  <c r="B15" i="75"/>
  <c r="L11" i="77"/>
  <c r="J14" i="77"/>
  <c r="K12" i="77"/>
  <c r="L12" i="77" s="1"/>
  <c r="K13" i="77"/>
  <c r="L13" i="77" s="1"/>
  <c r="B15" i="77"/>
  <c r="M86" i="71"/>
  <c r="L86" i="71"/>
  <c r="M99" i="71"/>
  <c r="L99" i="71"/>
  <c r="H15" i="76"/>
  <c r="K14" i="75" a="1"/>
  <c r="U124" i="74" a="1"/>
  <c r="V126" i="75" a="1"/>
  <c r="M11" i="74" a="1"/>
  <c r="M13" i="75" a="1"/>
  <c r="V126" i="77" a="1"/>
  <c r="H15" i="74"/>
  <c r="H15" i="77"/>
  <c r="U124" i="75" a="1"/>
  <c r="M13" i="74" a="1"/>
  <c r="M12" i="77" a="1"/>
  <c r="M12" i="74" a="1"/>
  <c r="K14" i="77" a="1"/>
  <c r="M12" i="76" a="1"/>
  <c r="I15" i="77"/>
  <c r="H15" i="75"/>
  <c r="U124" i="76" a="1"/>
  <c r="M13" i="76" a="1"/>
  <c r="I15" i="76"/>
  <c r="V126" i="74" a="1"/>
  <c r="K14" i="76" a="1"/>
  <c r="I15" i="74"/>
  <c r="M11" i="77" a="1"/>
  <c r="I15" i="75"/>
  <c r="V126" i="76" a="1"/>
  <c r="M12" i="75" a="1"/>
  <c r="K14" i="74" a="1"/>
  <c r="M11" i="76" a="1"/>
  <c r="M13" i="77" a="1"/>
  <c r="M11" i="75" a="1"/>
  <c r="U124" i="77" a="1"/>
  <c r="U124" i="77" l="1"/>
  <c r="U124" i="74"/>
  <c r="V126" i="77"/>
  <c r="Q10" i="84"/>
  <c r="R10" i="84" s="1"/>
  <c r="O10" i="84"/>
  <c r="E11" i="84" s="1"/>
  <c r="V126" i="76"/>
  <c r="M11" i="77"/>
  <c r="O11" i="77" s="1"/>
  <c r="M13" i="76"/>
  <c r="O13" i="76" s="1"/>
  <c r="M11" i="76"/>
  <c r="O11" i="76" s="1"/>
  <c r="V126" i="75"/>
  <c r="M12" i="77"/>
  <c r="O12" i="77" s="1"/>
  <c r="M12" i="75"/>
  <c r="O12" i="75" s="1"/>
  <c r="M12" i="76"/>
  <c r="O12" i="76" s="1"/>
  <c r="U124" i="75"/>
  <c r="V126" i="74"/>
  <c r="M12" i="74"/>
  <c r="O12" i="74" s="1"/>
  <c r="M11" i="75"/>
  <c r="O11" i="75" s="1"/>
  <c r="M13" i="74"/>
  <c r="O13" i="74" s="1"/>
  <c r="M13" i="77"/>
  <c r="O13" i="77" s="1"/>
  <c r="M13" i="75"/>
  <c r="O13" i="75" s="1"/>
  <c r="M11" i="74"/>
  <c r="O11" i="74" s="1"/>
  <c r="U124" i="76"/>
  <c r="N11" i="77"/>
  <c r="N13" i="76"/>
  <c r="N11" i="76"/>
  <c r="N12" i="77"/>
  <c r="N12" i="75"/>
  <c r="N12" i="76"/>
  <c r="N12" i="74"/>
  <c r="N11" i="75"/>
  <c r="N13" i="74"/>
  <c r="N13" i="77"/>
  <c r="N13" i="75"/>
  <c r="N11" i="74"/>
  <c r="N25" i="71"/>
  <c r="O10" i="71" s="1"/>
  <c r="L37" i="94"/>
  <c r="Q37" i="94" s="1"/>
  <c r="S10" i="84"/>
  <c r="J15" i="74"/>
  <c r="K14" i="74"/>
  <c r="L14" i="74" s="1"/>
  <c r="B16" i="74"/>
  <c r="J15" i="76"/>
  <c r="K14" i="76"/>
  <c r="L14" i="76" s="1"/>
  <c r="B16" i="76"/>
  <c r="K14" i="75"/>
  <c r="L14" i="75" s="1"/>
  <c r="J15" i="75"/>
  <c r="B16" i="75"/>
  <c r="K14" i="77"/>
  <c r="L14" i="77" s="1"/>
  <c r="J15" i="77"/>
  <c r="B16" i="77"/>
  <c r="N86" i="71"/>
  <c r="K10" i="71"/>
  <c r="M74" i="71"/>
  <c r="K72" i="71" s="1"/>
  <c r="G13" i="70"/>
  <c r="G14" i="70"/>
  <c r="G15" i="70"/>
  <c r="G16" i="70"/>
  <c r="G17" i="70"/>
  <c r="G18" i="70"/>
  <c r="G19" i="70"/>
  <c r="G20" i="70"/>
  <c r="G21" i="70"/>
  <c r="G22" i="70"/>
  <c r="G23" i="70"/>
  <c r="G24" i="70"/>
  <c r="G25" i="70"/>
  <c r="G26" i="70"/>
  <c r="G27" i="70"/>
  <c r="G28" i="70"/>
  <c r="G29" i="70"/>
  <c r="G30" i="70"/>
  <c r="G31" i="70"/>
  <c r="G32" i="70"/>
  <c r="G33" i="70"/>
  <c r="G34" i="70"/>
  <c r="G35" i="70"/>
  <c r="G36" i="70"/>
  <c r="G37" i="70"/>
  <c r="G38" i="70"/>
  <c r="G39" i="70"/>
  <c r="G40" i="70"/>
  <c r="G41" i="70"/>
  <c r="G42" i="70"/>
  <c r="G43" i="70"/>
  <c r="G44" i="70"/>
  <c r="G45" i="70"/>
  <c r="G46" i="70"/>
  <c r="G47" i="70"/>
  <c r="G48" i="70"/>
  <c r="G49" i="70"/>
  <c r="G50" i="70"/>
  <c r="G51" i="70"/>
  <c r="G52" i="70"/>
  <c r="G53" i="70"/>
  <c r="G54" i="70"/>
  <c r="G55" i="70"/>
  <c r="G56" i="70"/>
  <c r="G57" i="70"/>
  <c r="G58" i="70"/>
  <c r="G59" i="70"/>
  <c r="G60" i="70"/>
  <c r="G61" i="70"/>
  <c r="G62" i="70"/>
  <c r="G63" i="70"/>
  <c r="G64" i="70"/>
  <c r="G65" i="70"/>
  <c r="G66" i="70"/>
  <c r="G67" i="70"/>
  <c r="G68" i="70"/>
  <c r="G69" i="70"/>
  <c r="G70" i="70"/>
  <c r="G71" i="70"/>
  <c r="G72" i="70"/>
  <c r="G73" i="70"/>
  <c r="G74" i="70"/>
  <c r="G75" i="70"/>
  <c r="G76" i="70"/>
  <c r="G77" i="70"/>
  <c r="G78" i="70"/>
  <c r="G79" i="70"/>
  <c r="G80" i="70"/>
  <c r="G81" i="70"/>
  <c r="G82" i="70"/>
  <c r="G83" i="70"/>
  <c r="G84" i="70"/>
  <c r="G85" i="70"/>
  <c r="G86" i="70"/>
  <c r="G87" i="70"/>
  <c r="G88" i="70"/>
  <c r="G89" i="70"/>
  <c r="G90" i="70"/>
  <c r="G91" i="70"/>
  <c r="G92" i="70"/>
  <c r="G93" i="70"/>
  <c r="G94" i="70"/>
  <c r="G95" i="70"/>
  <c r="G96" i="70"/>
  <c r="G97" i="70"/>
  <c r="G98" i="70"/>
  <c r="B13" i="70"/>
  <c r="B14" i="70" s="1"/>
  <c r="B15" i="70" s="1"/>
  <c r="B16" i="70" s="1"/>
  <c r="B17" i="70" s="1"/>
  <c r="B18" i="70" s="1"/>
  <c r="B19" i="70" s="1"/>
  <c r="B20" i="70" s="1"/>
  <c r="B21" i="70" s="1"/>
  <c r="B22" i="70" s="1"/>
  <c r="B23" i="70" s="1"/>
  <c r="B24" i="70" s="1"/>
  <c r="B25" i="70" s="1"/>
  <c r="B26" i="70" s="1"/>
  <c r="B27" i="70" s="1"/>
  <c r="B28" i="70" s="1"/>
  <c r="B29" i="70" s="1"/>
  <c r="B30" i="70" s="1"/>
  <c r="B31" i="70" s="1"/>
  <c r="B32" i="70" s="1"/>
  <c r="B33" i="70" s="1"/>
  <c r="B34" i="70" s="1"/>
  <c r="B35" i="70" s="1"/>
  <c r="B36" i="70" s="1"/>
  <c r="B37" i="70" s="1"/>
  <c r="B38" i="70" s="1"/>
  <c r="B39" i="70" s="1"/>
  <c r="B40" i="70" s="1"/>
  <c r="B41" i="70" s="1"/>
  <c r="B42" i="70" s="1"/>
  <c r="B43" i="70" s="1"/>
  <c r="B44" i="70" s="1"/>
  <c r="B45" i="70" s="1"/>
  <c r="B46" i="70" s="1"/>
  <c r="B47" i="70" s="1"/>
  <c r="B48" i="70" s="1"/>
  <c r="B49" i="70" s="1"/>
  <c r="B50" i="70" s="1"/>
  <c r="B51" i="70" s="1"/>
  <c r="B52" i="70" s="1"/>
  <c r="B53" i="70" s="1"/>
  <c r="B54" i="70" s="1"/>
  <c r="B55" i="70" s="1"/>
  <c r="B56" i="70" s="1"/>
  <c r="B57" i="70" s="1"/>
  <c r="B58" i="70" s="1"/>
  <c r="B59" i="70" s="1"/>
  <c r="B60" i="70" s="1"/>
  <c r="B61" i="70" s="1"/>
  <c r="B62" i="70" s="1"/>
  <c r="B63" i="70" s="1"/>
  <c r="B64" i="70" s="1"/>
  <c r="B65" i="70" s="1"/>
  <c r="B66" i="70" s="1"/>
  <c r="B67" i="70" s="1"/>
  <c r="B68" i="70" s="1"/>
  <c r="B69" i="70" s="1"/>
  <c r="B70" i="70" s="1"/>
  <c r="B71" i="70" s="1"/>
  <c r="B72" i="70" s="1"/>
  <c r="B73" i="70" s="1"/>
  <c r="B74" i="70" s="1"/>
  <c r="B75" i="70" s="1"/>
  <c r="B76" i="70" s="1"/>
  <c r="B77" i="70" s="1"/>
  <c r="B78" i="70" s="1"/>
  <c r="B79" i="70" s="1"/>
  <c r="B80" i="70" s="1"/>
  <c r="B81" i="70" s="1"/>
  <c r="B82" i="70" s="1"/>
  <c r="B83" i="70" s="1"/>
  <c r="B84" i="70" s="1"/>
  <c r="B85" i="70" s="1"/>
  <c r="B86" i="70" s="1"/>
  <c r="B87" i="70" s="1"/>
  <c r="B88" i="70" s="1"/>
  <c r="B89" i="70" s="1"/>
  <c r="B90" i="70" s="1"/>
  <c r="B91" i="70" s="1"/>
  <c r="B92" i="70" s="1"/>
  <c r="B93" i="70" s="1"/>
  <c r="B94" i="70" s="1"/>
  <c r="B95" i="70" s="1"/>
  <c r="B96" i="70" s="1"/>
  <c r="B97" i="70" s="1"/>
  <c r="B98" i="70" s="1"/>
  <c r="I13" i="70"/>
  <c r="I16" i="77"/>
  <c r="K15" i="77" a="1"/>
  <c r="N21" i="71" a="1"/>
  <c r="K15" i="76" a="1"/>
  <c r="N17" i="71" a="1"/>
  <c r="M14" i="75" a="1"/>
  <c r="K15" i="75" a="1"/>
  <c r="M14" i="74" a="1"/>
  <c r="I16" i="75"/>
  <c r="I16" i="74"/>
  <c r="G8" i="70"/>
  <c r="G6" i="70"/>
  <c r="H16" i="77"/>
  <c r="H16" i="74"/>
  <c r="K15" i="74" a="1"/>
  <c r="M14" i="77" a="1"/>
  <c r="G7" i="70"/>
  <c r="M14" i="76" a="1"/>
  <c r="I16" i="76"/>
  <c r="H16" i="76"/>
  <c r="H16" i="75"/>
  <c r="P10" i="84" l="1"/>
  <c r="M14" i="74"/>
  <c r="O14" i="74" s="1"/>
  <c r="M14" i="75"/>
  <c r="O14" i="75" s="1"/>
  <c r="M14" i="77"/>
  <c r="O14" i="77" s="1"/>
  <c r="M14" i="76"/>
  <c r="O14" i="76" s="1"/>
  <c r="N14" i="74"/>
  <c r="N14" i="75"/>
  <c r="N14" i="77"/>
  <c r="N14" i="76"/>
  <c r="N21" i="71"/>
  <c r="M75" i="71" s="1"/>
  <c r="M76" i="71" s="1"/>
  <c r="M78" i="71" s="1"/>
  <c r="N17" i="71"/>
  <c r="L38" i="94"/>
  <c r="F11" i="84"/>
  <c r="J16" i="74"/>
  <c r="K15" i="74"/>
  <c r="L15" i="74" s="1"/>
  <c r="B17" i="74"/>
  <c r="J16" i="76"/>
  <c r="K15" i="76"/>
  <c r="L15" i="76" s="1"/>
  <c r="B17" i="76"/>
  <c r="J16" i="75"/>
  <c r="K15" i="75"/>
  <c r="L15" i="75" s="1"/>
  <c r="B17" i="75"/>
  <c r="J16" i="77"/>
  <c r="K15" i="77"/>
  <c r="L15" i="77" s="1"/>
  <c r="B17" i="77"/>
  <c r="C9" i="70" a="1"/>
  <c r="C9" i="70" s="1"/>
  <c r="O14" i="70"/>
  <c r="M9" i="70" s="1"/>
  <c r="E97" i="70"/>
  <c r="F97" i="70" s="1"/>
  <c r="E93" i="70"/>
  <c r="F93" i="70" s="1"/>
  <c r="E89" i="70"/>
  <c r="F89" i="70" s="1"/>
  <c r="E85" i="70"/>
  <c r="F85" i="70" s="1"/>
  <c r="E81" i="70"/>
  <c r="F81" i="70" s="1"/>
  <c r="E77" i="70"/>
  <c r="F77" i="70" s="1"/>
  <c r="E73" i="70"/>
  <c r="F73" i="70" s="1"/>
  <c r="E69" i="70"/>
  <c r="F69" i="70" s="1"/>
  <c r="E65" i="70"/>
  <c r="F65" i="70" s="1"/>
  <c r="E61" i="70"/>
  <c r="F61" i="70" s="1"/>
  <c r="E57" i="70"/>
  <c r="F57" i="70" s="1"/>
  <c r="E53" i="70"/>
  <c r="F53" i="70" s="1"/>
  <c r="E49" i="70"/>
  <c r="F49" i="70" s="1"/>
  <c r="E45" i="70"/>
  <c r="F45" i="70" s="1"/>
  <c r="E42" i="70"/>
  <c r="F42" i="70" s="1"/>
  <c r="E40" i="70"/>
  <c r="F40" i="70" s="1"/>
  <c r="E38" i="70"/>
  <c r="F38" i="70" s="1"/>
  <c r="E36" i="70"/>
  <c r="F36" i="70" s="1"/>
  <c r="E34" i="70"/>
  <c r="F34" i="70" s="1"/>
  <c r="E32" i="70"/>
  <c r="F32" i="70" s="1"/>
  <c r="E30" i="70"/>
  <c r="F30" i="70" s="1"/>
  <c r="E28" i="70"/>
  <c r="F28" i="70" s="1"/>
  <c r="E26" i="70"/>
  <c r="F26" i="70" s="1"/>
  <c r="E96" i="70"/>
  <c r="F96" i="70" s="1"/>
  <c r="E92" i="70"/>
  <c r="F92" i="70" s="1"/>
  <c r="E88" i="70"/>
  <c r="F88" i="70" s="1"/>
  <c r="E84" i="70"/>
  <c r="F84" i="70" s="1"/>
  <c r="E80" i="70"/>
  <c r="F80" i="70" s="1"/>
  <c r="E76" i="70"/>
  <c r="F76" i="70" s="1"/>
  <c r="E72" i="70"/>
  <c r="F72" i="70" s="1"/>
  <c r="E68" i="70"/>
  <c r="F68" i="70" s="1"/>
  <c r="E64" i="70"/>
  <c r="F64" i="70" s="1"/>
  <c r="E60" i="70"/>
  <c r="F60" i="70" s="1"/>
  <c r="E56" i="70"/>
  <c r="F56" i="70" s="1"/>
  <c r="E52" i="70"/>
  <c r="F52" i="70" s="1"/>
  <c r="E48" i="70"/>
  <c r="F48" i="70" s="1"/>
  <c r="E44" i="70"/>
  <c r="F44" i="70" s="1"/>
  <c r="E78" i="70"/>
  <c r="F78" i="70" s="1"/>
  <c r="E75" i="70"/>
  <c r="F75" i="70" s="1"/>
  <c r="E74" i="70"/>
  <c r="F74" i="70" s="1"/>
  <c r="E82" i="70"/>
  <c r="F82" i="70" s="1"/>
  <c r="E86" i="70"/>
  <c r="F86" i="70" s="1"/>
  <c r="E83" i="70"/>
  <c r="F83" i="70" s="1"/>
  <c r="E67" i="70"/>
  <c r="F67" i="70" s="1"/>
  <c r="E66" i="70"/>
  <c r="F66" i="70" s="1"/>
  <c r="E55" i="70"/>
  <c r="F55" i="70" s="1"/>
  <c r="E54" i="70"/>
  <c r="F54" i="70" s="1"/>
  <c r="E43" i="70"/>
  <c r="F43" i="70" s="1"/>
  <c r="E41" i="70"/>
  <c r="F41" i="70" s="1"/>
  <c r="E39" i="70"/>
  <c r="F39" i="70" s="1"/>
  <c r="E37" i="70"/>
  <c r="F37" i="70" s="1"/>
  <c r="E35" i="70"/>
  <c r="F35" i="70" s="1"/>
  <c r="E33" i="70"/>
  <c r="F33" i="70" s="1"/>
  <c r="E31" i="70"/>
  <c r="F31" i="70" s="1"/>
  <c r="E29" i="70"/>
  <c r="F29" i="70" s="1"/>
  <c r="E27" i="70"/>
  <c r="F27" i="70" s="1"/>
  <c r="E25" i="70"/>
  <c r="F25" i="70" s="1"/>
  <c r="E23" i="70"/>
  <c r="F23" i="70" s="1"/>
  <c r="E21" i="70"/>
  <c r="F21" i="70" s="1"/>
  <c r="E19" i="70"/>
  <c r="F19" i="70" s="1"/>
  <c r="E17" i="70"/>
  <c r="F17" i="70" s="1"/>
  <c r="E15" i="70"/>
  <c r="F15" i="70" s="1"/>
  <c r="E13" i="70"/>
  <c r="F13" i="70" s="1"/>
  <c r="E90" i="70"/>
  <c r="F90" i="70" s="1"/>
  <c r="E87" i="70"/>
  <c r="F87" i="70" s="1"/>
  <c r="E79" i="70"/>
  <c r="F79" i="70" s="1"/>
  <c r="E62" i="70"/>
  <c r="F62" i="70" s="1"/>
  <c r="E94" i="70"/>
  <c r="F94" i="70" s="1"/>
  <c r="E91" i="70"/>
  <c r="F91" i="70" s="1"/>
  <c r="E63" i="70"/>
  <c r="F63" i="70" s="1"/>
  <c r="E59" i="70"/>
  <c r="F59" i="70" s="1"/>
  <c r="E58" i="70"/>
  <c r="F58" i="70" s="1"/>
  <c r="E24" i="70"/>
  <c r="F24" i="70" s="1"/>
  <c r="E20" i="70"/>
  <c r="F20" i="70" s="1"/>
  <c r="E16" i="70"/>
  <c r="F16" i="70" s="1"/>
  <c r="E50" i="70"/>
  <c r="F50" i="70" s="1"/>
  <c r="E95" i="70"/>
  <c r="F95" i="70" s="1"/>
  <c r="E70" i="70"/>
  <c r="F70" i="70" s="1"/>
  <c r="E51" i="70"/>
  <c r="F51" i="70" s="1"/>
  <c r="E46" i="70"/>
  <c r="F46" i="70" s="1"/>
  <c r="E14" i="70"/>
  <c r="F14" i="70" s="1"/>
  <c r="E98" i="70"/>
  <c r="F98" i="70" s="1"/>
  <c r="E18" i="70"/>
  <c r="F18" i="70" s="1"/>
  <c r="E71" i="70"/>
  <c r="F71" i="70" s="1"/>
  <c r="E22" i="70"/>
  <c r="F22" i="70" s="1"/>
  <c r="E47" i="70"/>
  <c r="F47" i="70" s="1"/>
  <c r="D98" i="70"/>
  <c r="D94" i="70"/>
  <c r="D90" i="70"/>
  <c r="D86" i="70"/>
  <c r="D82" i="70"/>
  <c r="D78" i="70"/>
  <c r="D74" i="70"/>
  <c r="D70" i="70"/>
  <c r="D66" i="70"/>
  <c r="D62" i="70"/>
  <c r="D58" i="70"/>
  <c r="D54" i="70"/>
  <c r="D50" i="70"/>
  <c r="D46" i="70"/>
  <c r="D97" i="70"/>
  <c r="D93" i="70"/>
  <c r="D89" i="70"/>
  <c r="D85" i="70"/>
  <c r="D81" i="70"/>
  <c r="D77" i="70"/>
  <c r="D95" i="70"/>
  <c r="D92" i="70"/>
  <c r="D96" i="70"/>
  <c r="D79" i="70"/>
  <c r="D76" i="70"/>
  <c r="D83" i="70"/>
  <c r="D75" i="70"/>
  <c r="D72" i="70"/>
  <c r="D57" i="70"/>
  <c r="D52" i="70"/>
  <c r="D48" i="70"/>
  <c r="D42" i="70"/>
  <c r="D36" i="70"/>
  <c r="D30" i="70"/>
  <c r="D22" i="70"/>
  <c r="D18" i="70"/>
  <c r="D14" i="70"/>
  <c r="D53" i="70"/>
  <c r="D49" i="70"/>
  <c r="D37" i="70"/>
  <c r="D21" i="70"/>
  <c r="D17" i="70"/>
  <c r="D73" i="70"/>
  <c r="D67" i="70"/>
  <c r="D43" i="70"/>
  <c r="D31" i="70"/>
  <c r="D25" i="70"/>
  <c r="D13" i="70"/>
  <c r="D91" i="70"/>
  <c r="D88" i="70"/>
  <c r="D80" i="70"/>
  <c r="D68" i="70"/>
  <c r="D63" i="70"/>
  <c r="D59" i="70"/>
  <c r="D44" i="70"/>
  <c r="D38" i="70"/>
  <c r="D32" i="70"/>
  <c r="D26" i="70"/>
  <c r="D69" i="70"/>
  <c r="D64" i="70"/>
  <c r="D60" i="70"/>
  <c r="D45" i="70"/>
  <c r="D39" i="70"/>
  <c r="D33" i="70"/>
  <c r="D27" i="70"/>
  <c r="D19" i="70"/>
  <c r="D16" i="70"/>
  <c r="D84" i="70"/>
  <c r="D47" i="70"/>
  <c r="D34" i="70"/>
  <c r="D29" i="70"/>
  <c r="D23" i="70"/>
  <c r="D20" i="70"/>
  <c r="D87" i="70"/>
  <c r="D65" i="70"/>
  <c r="D41" i="70"/>
  <c r="D28" i="70"/>
  <c r="D24" i="70"/>
  <c r="D56" i="70"/>
  <c r="D51" i="70"/>
  <c r="D61" i="70"/>
  <c r="D40" i="70"/>
  <c r="D35" i="70"/>
  <c r="D15" i="70"/>
  <c r="D71" i="70"/>
  <c r="D55" i="70"/>
  <c r="I14" i="70"/>
  <c r="N18" i="71" a="1"/>
  <c r="K16" i="74" a="1"/>
  <c r="H17" i="76"/>
  <c r="H17" i="77"/>
  <c r="M15" i="74" a="1"/>
  <c r="K16" i="77" a="1"/>
  <c r="I17" i="77"/>
  <c r="M15" i="77" a="1"/>
  <c r="K16" i="76" a="1"/>
  <c r="I17" i="74"/>
  <c r="H17" i="74"/>
  <c r="K16" i="75" a="1"/>
  <c r="H17" i="75"/>
  <c r="M15" i="76" a="1"/>
  <c r="M15" i="75" a="1"/>
  <c r="I17" i="75"/>
  <c r="I17" i="76"/>
  <c r="G11" i="84"/>
  <c r="M10" i="71" l="1"/>
  <c r="M15" i="74"/>
  <c r="O15" i="74" s="1"/>
  <c r="M15" i="75"/>
  <c r="O15" i="75" s="1"/>
  <c r="M15" i="77"/>
  <c r="O15" i="77" s="1"/>
  <c r="M15" i="76"/>
  <c r="O15" i="76" s="1"/>
  <c r="N15" i="74"/>
  <c r="N15" i="75"/>
  <c r="N15" i="77"/>
  <c r="N15" i="76"/>
  <c r="N18" i="71"/>
  <c r="Q38" i="94"/>
  <c r="L39" i="94"/>
  <c r="H11" i="84"/>
  <c r="J11" i="84" s="1"/>
  <c r="K11" i="84" s="1"/>
  <c r="L11" i="84" s="1"/>
  <c r="J17" i="74"/>
  <c r="K16" i="74"/>
  <c r="L16" i="74" s="1"/>
  <c r="B18" i="74"/>
  <c r="J17" i="76"/>
  <c r="K16" i="76"/>
  <c r="L16" i="76" s="1"/>
  <c r="B18" i="76"/>
  <c r="J17" i="75"/>
  <c r="K16" i="75"/>
  <c r="L16" i="75" s="1"/>
  <c r="B18" i="75"/>
  <c r="J17" i="77"/>
  <c r="K16" i="77"/>
  <c r="L16" i="77" s="1"/>
  <c r="B18" i="77"/>
  <c r="M72" i="71"/>
  <c r="Q9" i="70"/>
  <c r="H91" i="70"/>
  <c r="H60" i="70"/>
  <c r="H22" i="70"/>
  <c r="H27" i="70"/>
  <c r="H64" i="70"/>
  <c r="H69" i="70"/>
  <c r="H68" i="70"/>
  <c r="H14" i="70"/>
  <c r="J14" i="70" s="1"/>
  <c r="H13" i="70"/>
  <c r="J13" i="70" s="1"/>
  <c r="H25" i="70"/>
  <c r="H66" i="70"/>
  <c r="H84" i="70"/>
  <c r="H42" i="70"/>
  <c r="H89" i="70"/>
  <c r="H20" i="70"/>
  <c r="H94" i="70"/>
  <c r="H39" i="70"/>
  <c r="H78" i="70"/>
  <c r="H32" i="70"/>
  <c r="H93" i="70"/>
  <c r="H71" i="70"/>
  <c r="H24" i="70"/>
  <c r="H17" i="70"/>
  <c r="H29" i="70"/>
  <c r="H41" i="70"/>
  <c r="H83" i="70"/>
  <c r="H92" i="70"/>
  <c r="H34" i="70"/>
  <c r="H49" i="70"/>
  <c r="H73" i="70"/>
  <c r="H97" i="70"/>
  <c r="H18" i="70"/>
  <c r="H70" i="70"/>
  <c r="H58" i="70"/>
  <c r="H79" i="70"/>
  <c r="H19" i="70"/>
  <c r="H31" i="70"/>
  <c r="H43" i="70"/>
  <c r="H86" i="70"/>
  <c r="H48" i="70"/>
  <c r="H72" i="70"/>
  <c r="H96" i="70"/>
  <c r="H36" i="70"/>
  <c r="H53" i="70"/>
  <c r="H77" i="70"/>
  <c r="H98" i="70"/>
  <c r="H95" i="70"/>
  <c r="H59" i="70"/>
  <c r="H87" i="70"/>
  <c r="H21" i="70"/>
  <c r="H33" i="70"/>
  <c r="H54" i="70"/>
  <c r="H82" i="70"/>
  <c r="H52" i="70"/>
  <c r="H76" i="70"/>
  <c r="H26" i="70"/>
  <c r="H38" i="70"/>
  <c r="H57" i="70"/>
  <c r="H81" i="70"/>
  <c r="H47" i="70"/>
  <c r="H16" i="70"/>
  <c r="H37" i="70"/>
  <c r="H75" i="70"/>
  <c r="H30" i="70"/>
  <c r="H65" i="70"/>
  <c r="H46" i="70"/>
  <c r="H15" i="70"/>
  <c r="H67" i="70"/>
  <c r="H88" i="70"/>
  <c r="H45" i="70"/>
  <c r="I15" i="70"/>
  <c r="H51" i="70"/>
  <c r="H62" i="70"/>
  <c r="H44" i="70"/>
  <c r="H50" i="70"/>
  <c r="H63" i="70"/>
  <c r="H90" i="70"/>
  <c r="H23" i="70"/>
  <c r="H35" i="70"/>
  <c r="H55" i="70"/>
  <c r="H74" i="70"/>
  <c r="H56" i="70"/>
  <c r="H80" i="70"/>
  <c r="H28" i="70"/>
  <c r="H40" i="70"/>
  <c r="H61" i="70"/>
  <c r="H85" i="70"/>
  <c r="M16" i="76" a="1"/>
  <c r="K17" i="75" a="1"/>
  <c r="K17" i="74" a="1"/>
  <c r="H18" i="76"/>
  <c r="M16" i="75" a="1"/>
  <c r="M16" i="74" a="1"/>
  <c r="N19" i="71" a="1"/>
  <c r="I18" i="74"/>
  <c r="I18" i="76"/>
  <c r="I18" i="77"/>
  <c r="I18" i="75"/>
  <c r="K17" i="77" a="1"/>
  <c r="M16" i="77" a="1"/>
  <c r="N23" i="71" a="1"/>
  <c r="H18" i="75"/>
  <c r="H18" i="74"/>
  <c r="K17" i="76" a="1"/>
  <c r="H18" i="77"/>
  <c r="O11" i="84" l="1"/>
  <c r="Q11" i="84"/>
  <c r="R11" i="84" s="1"/>
  <c r="N23" i="71"/>
  <c r="N10" i="71" s="1"/>
  <c r="M16" i="77"/>
  <c r="O16" i="77" s="1"/>
  <c r="M16" i="75"/>
  <c r="O16" i="75" s="1"/>
  <c r="M16" i="74"/>
  <c r="O16" i="74" s="1"/>
  <c r="M16" i="76"/>
  <c r="O16" i="76" s="1"/>
  <c r="N16" i="77"/>
  <c r="N16" i="75"/>
  <c r="N16" i="74"/>
  <c r="N16" i="76"/>
  <c r="N19" i="71"/>
  <c r="N14" i="71" s="1"/>
  <c r="L10" i="71" s="1"/>
  <c r="Q39" i="94"/>
  <c r="L40" i="94"/>
  <c r="M11" i="84"/>
  <c r="J18" i="74"/>
  <c r="K17" i="74"/>
  <c r="L17" i="74" s="1"/>
  <c r="B19" i="74"/>
  <c r="J18" i="76"/>
  <c r="K17" i="76"/>
  <c r="L17" i="76" s="1"/>
  <c r="B19" i="76"/>
  <c r="J18" i="75"/>
  <c r="K17" i="75"/>
  <c r="L17" i="75" s="1"/>
  <c r="B19" i="75"/>
  <c r="K17" i="77"/>
  <c r="L17" i="77" s="1"/>
  <c r="J18" i="77"/>
  <c r="B19" i="77"/>
  <c r="O72" i="71"/>
  <c r="N72" i="71"/>
  <c r="J15" i="70"/>
  <c r="I16" i="70"/>
  <c r="H19" i="75"/>
  <c r="K18" i="76" a="1"/>
  <c r="I19" i="77"/>
  <c r="I19" i="74"/>
  <c r="I19" i="75"/>
  <c r="I19" i="76"/>
  <c r="H19" i="76"/>
  <c r="M17" i="76" a="1"/>
  <c r="M17" i="77" a="1"/>
  <c r="M17" i="75" a="1"/>
  <c r="K18" i="74" a="1"/>
  <c r="M17" i="74" a="1"/>
  <c r="K18" i="77" a="1"/>
  <c r="H19" i="74"/>
  <c r="H19" i="77"/>
  <c r="K18" i="75" a="1"/>
  <c r="M17" i="77" l="1"/>
  <c r="O17" i="77" s="1"/>
  <c r="M17" i="74"/>
  <c r="O17" i="74" s="1"/>
  <c r="M17" i="75"/>
  <c r="O17" i="75" s="1"/>
  <c r="M17" i="76"/>
  <c r="O17" i="76" s="1"/>
  <c r="N17" i="77"/>
  <c r="N17" i="74"/>
  <c r="N17" i="75"/>
  <c r="N17" i="76"/>
  <c r="L41" i="94"/>
  <c r="Q40" i="94"/>
  <c r="S11" i="84"/>
  <c r="P11" i="84"/>
  <c r="E12" i="84"/>
  <c r="J19" i="74"/>
  <c r="K18" i="74"/>
  <c r="L18" i="74" s="1"/>
  <c r="B20" i="74"/>
  <c r="J19" i="76"/>
  <c r="K18" i="76"/>
  <c r="L18" i="76" s="1"/>
  <c r="B20" i="76"/>
  <c r="J19" i="75"/>
  <c r="K18" i="75"/>
  <c r="L18" i="75" s="1"/>
  <c r="B20" i="75"/>
  <c r="J19" i="77"/>
  <c r="K18" i="77"/>
  <c r="L18" i="77" s="1"/>
  <c r="B20" i="77"/>
  <c r="I17" i="70"/>
  <c r="J16" i="70"/>
  <c r="I20" i="75"/>
  <c r="K19" i="75" a="1"/>
  <c r="I20" i="74"/>
  <c r="M18" i="76" a="1"/>
  <c r="H20" i="74"/>
  <c r="I20" i="76"/>
  <c r="K19" i="77" a="1"/>
  <c r="M18" i="77" a="1"/>
  <c r="H20" i="76"/>
  <c r="H20" i="77"/>
  <c r="K19" i="76" a="1"/>
  <c r="H20" i="75"/>
  <c r="M18" i="75" a="1"/>
  <c r="I20" i="77"/>
  <c r="M18" i="74" a="1"/>
  <c r="K19" i="74" a="1"/>
  <c r="M18" i="77" l="1"/>
  <c r="O18" i="77" s="1"/>
  <c r="M18" i="74"/>
  <c r="O18" i="74" s="1"/>
  <c r="M18" i="75"/>
  <c r="O18" i="75" s="1"/>
  <c r="M18" i="76"/>
  <c r="O18" i="76" s="1"/>
  <c r="N18" i="77"/>
  <c r="N18" i="74"/>
  <c r="N18" i="75"/>
  <c r="N18" i="76"/>
  <c r="Q41" i="94"/>
  <c r="L42" i="94"/>
  <c r="F12" i="84"/>
  <c r="K19" i="74"/>
  <c r="L19" i="74" s="1"/>
  <c r="J20" i="74"/>
  <c r="B21" i="74"/>
  <c r="J20" i="76"/>
  <c r="K19" i="76"/>
  <c r="L19" i="76" s="1"/>
  <c r="B21" i="76"/>
  <c r="J20" i="75"/>
  <c r="K19" i="75"/>
  <c r="L19" i="75" s="1"/>
  <c r="B21" i="75"/>
  <c r="J20" i="77"/>
  <c r="K19" i="77"/>
  <c r="L19" i="77" s="1"/>
  <c r="B21" i="77"/>
  <c r="J17" i="70"/>
  <c r="I18" i="70"/>
  <c r="K20" i="75" a="1"/>
  <c r="M19" i="77" a="1"/>
  <c r="H21" i="76"/>
  <c r="I21" i="75"/>
  <c r="K20" i="76" a="1"/>
  <c r="I21" i="74"/>
  <c r="I21" i="77"/>
  <c r="H21" i="74"/>
  <c r="G12" i="84"/>
  <c r="M19" i="74" a="1"/>
  <c r="I21" i="76"/>
  <c r="H21" i="75"/>
  <c r="K20" i="74" a="1"/>
  <c r="M19" i="76" a="1"/>
  <c r="H21" i="77"/>
  <c r="M19" i="75" a="1"/>
  <c r="K20" i="77" a="1"/>
  <c r="M19" i="76" l="1"/>
  <c r="O19" i="76" s="1"/>
  <c r="M19" i="77"/>
  <c r="O19" i="77" s="1"/>
  <c r="M19" i="74"/>
  <c r="O19" i="74" s="1"/>
  <c r="M19" i="75"/>
  <c r="O19" i="75" s="1"/>
  <c r="N19" i="76"/>
  <c r="N19" i="77"/>
  <c r="N19" i="74"/>
  <c r="N19" i="75"/>
  <c r="Q42" i="94"/>
  <c r="L43" i="94"/>
  <c r="H12" i="84"/>
  <c r="J12" i="84" s="1"/>
  <c r="K12" i="84" s="1"/>
  <c r="K20" i="74"/>
  <c r="L20" i="74" s="1"/>
  <c r="J21" i="74"/>
  <c r="B22" i="74"/>
  <c r="J21" i="76"/>
  <c r="K20" i="76"/>
  <c r="L20" i="76" s="1"/>
  <c r="B22" i="76"/>
  <c r="J21" i="75"/>
  <c r="K20" i="75"/>
  <c r="L20" i="75" s="1"/>
  <c r="B22" i="75"/>
  <c r="J21" i="77"/>
  <c r="K20" i="77"/>
  <c r="L20" i="77" s="1"/>
  <c r="B22" i="77"/>
  <c r="J18" i="70"/>
  <c r="I19" i="70"/>
  <c r="H22" i="77"/>
  <c r="I22" i="77"/>
  <c r="K21" i="75" a="1"/>
  <c r="M20" i="76" a="1"/>
  <c r="H22" i="76"/>
  <c r="K21" i="77" a="1"/>
  <c r="M20" i="75" a="1"/>
  <c r="M20" i="74" a="1"/>
  <c r="M20" i="77" a="1"/>
  <c r="K21" i="76" a="1"/>
  <c r="I22" i="76"/>
  <c r="H22" i="74"/>
  <c r="H22" i="75"/>
  <c r="K21" i="74" a="1"/>
  <c r="I22" i="75"/>
  <c r="I22" i="74"/>
  <c r="L12" i="84" l="1"/>
  <c r="M12" i="84" s="1"/>
  <c r="M20" i="75"/>
  <c r="O20" i="75" s="1"/>
  <c r="M20" i="76"/>
  <c r="O20" i="76" s="1"/>
  <c r="M20" i="77"/>
  <c r="O20" i="77" s="1"/>
  <c r="M20" i="74"/>
  <c r="O20" i="74" s="1"/>
  <c r="N20" i="75"/>
  <c r="N20" i="76"/>
  <c r="N20" i="77"/>
  <c r="N20" i="74"/>
  <c r="L44" i="94"/>
  <c r="Q43" i="94"/>
  <c r="J22" i="74"/>
  <c r="K21" i="74"/>
  <c r="L21" i="74" s="1"/>
  <c r="B23" i="74"/>
  <c r="J22" i="76"/>
  <c r="K21" i="76"/>
  <c r="L21" i="76" s="1"/>
  <c r="B23" i="76"/>
  <c r="J22" i="75"/>
  <c r="K21" i="75"/>
  <c r="L21" i="75" s="1"/>
  <c r="B23" i="75"/>
  <c r="K21" i="77"/>
  <c r="L21" i="77" s="1"/>
  <c r="J22" i="77"/>
  <c r="B23" i="77"/>
  <c r="J19" i="70"/>
  <c r="I20" i="70"/>
  <c r="M21" i="75" a="1"/>
  <c r="K22" i="77" a="1"/>
  <c r="H23" i="74"/>
  <c r="I23" i="76"/>
  <c r="K22" i="75" a="1"/>
  <c r="M21" i="76" a="1"/>
  <c r="I23" i="77"/>
  <c r="I23" i="74"/>
  <c r="H23" i="76"/>
  <c r="M21" i="74" a="1"/>
  <c r="M21" i="77" a="1"/>
  <c r="H23" i="77"/>
  <c r="H23" i="75"/>
  <c r="K22" i="76" a="1"/>
  <c r="I23" i="75"/>
  <c r="K22" i="74" a="1"/>
  <c r="O12" i="84" l="1"/>
  <c r="E13" i="84" s="1"/>
  <c r="Q12" i="84"/>
  <c r="R12" i="84" s="1"/>
  <c r="S12" i="84" s="1"/>
  <c r="M21" i="77"/>
  <c r="O21" i="77" s="1"/>
  <c r="M21" i="74"/>
  <c r="O21" i="74" s="1"/>
  <c r="M21" i="75"/>
  <c r="O21" i="75" s="1"/>
  <c r="M21" i="76"/>
  <c r="O21" i="76" s="1"/>
  <c r="N21" i="77"/>
  <c r="N21" i="74"/>
  <c r="N21" i="75"/>
  <c r="N21" i="76"/>
  <c r="L45" i="94"/>
  <c r="Q44" i="94"/>
  <c r="P12" i="84"/>
  <c r="J23" i="74"/>
  <c r="K22" i="74"/>
  <c r="L22" i="74" s="1"/>
  <c r="B24" i="74"/>
  <c r="J23" i="76"/>
  <c r="K22" i="76"/>
  <c r="L22" i="76" s="1"/>
  <c r="B24" i="76"/>
  <c r="J23" i="75"/>
  <c r="K22" i="75"/>
  <c r="L22" i="75" s="1"/>
  <c r="B24" i="75"/>
  <c r="J23" i="77"/>
  <c r="K22" i="77"/>
  <c r="L22" i="77" s="1"/>
  <c r="B24" i="77"/>
  <c r="I21" i="70"/>
  <c r="J20" i="70"/>
  <c r="I24" i="74"/>
  <c r="K23" i="74" a="1"/>
  <c r="H24" i="77"/>
  <c r="I24" i="76"/>
  <c r="I24" i="77"/>
  <c r="K23" i="77" a="1"/>
  <c r="M22" i="76" a="1"/>
  <c r="M22" i="74" a="1"/>
  <c r="M22" i="75" a="1"/>
  <c r="M22" i="77" a="1"/>
  <c r="H24" i="76"/>
  <c r="K23" i="76" a="1"/>
  <c r="H24" i="74"/>
  <c r="I24" i="75"/>
  <c r="K23" i="75" a="1"/>
  <c r="H24" i="75"/>
  <c r="M22" i="77" l="1"/>
  <c r="O22" i="77" s="1"/>
  <c r="M22" i="75"/>
  <c r="O22" i="75" s="1"/>
  <c r="M22" i="76"/>
  <c r="O22" i="76" s="1"/>
  <c r="M22" i="74"/>
  <c r="O22" i="74" s="1"/>
  <c r="N22" i="77"/>
  <c r="N22" i="75"/>
  <c r="N22" i="76"/>
  <c r="N22" i="74"/>
  <c r="L46" i="94"/>
  <c r="Q45" i="94"/>
  <c r="F13" i="84"/>
  <c r="J24" i="74"/>
  <c r="K23" i="74"/>
  <c r="L23" i="74" s="1"/>
  <c r="B25" i="74"/>
  <c r="J24" i="76"/>
  <c r="K23" i="76"/>
  <c r="L23" i="76" s="1"/>
  <c r="B25" i="76"/>
  <c r="J24" i="75"/>
  <c r="K23" i="75"/>
  <c r="L23" i="75" s="1"/>
  <c r="B25" i="75"/>
  <c r="J24" i="77"/>
  <c r="K23" i="77"/>
  <c r="L23" i="77" s="1"/>
  <c r="B25" i="77"/>
  <c r="J21" i="70"/>
  <c r="I22" i="70"/>
  <c r="M23" i="75" a="1"/>
  <c r="M23" i="76" a="1"/>
  <c r="H25" i="75"/>
  <c r="K24" i="75" a="1"/>
  <c r="H25" i="74"/>
  <c r="I25" i="77"/>
  <c r="M23" i="74" a="1"/>
  <c r="I25" i="74"/>
  <c r="M23" i="77" a="1"/>
  <c r="H25" i="77"/>
  <c r="I25" i="76"/>
  <c r="I25" i="75"/>
  <c r="K24" i="77" a="1"/>
  <c r="K24" i="74" a="1"/>
  <c r="K24" i="76" a="1"/>
  <c r="H25" i="76"/>
  <c r="G13" i="84"/>
  <c r="M23" i="76" l="1"/>
  <c r="O23" i="76" s="1"/>
  <c r="M23" i="75"/>
  <c r="O23" i="75" s="1"/>
  <c r="M23" i="77"/>
  <c r="O23" i="77" s="1"/>
  <c r="M23" i="74"/>
  <c r="O23" i="74" s="1"/>
  <c r="N23" i="76"/>
  <c r="N23" i="75"/>
  <c r="N23" i="77"/>
  <c r="N23" i="74"/>
  <c r="Q46" i="94"/>
  <c r="L47" i="94"/>
  <c r="H13" i="84"/>
  <c r="J13" i="84" s="1"/>
  <c r="K13" i="84" s="1"/>
  <c r="J25" i="74"/>
  <c r="K24" i="74"/>
  <c r="L24" i="74" s="1"/>
  <c r="B26" i="74"/>
  <c r="J25" i="76"/>
  <c r="K24" i="76"/>
  <c r="L24" i="76" s="1"/>
  <c r="B26" i="76"/>
  <c r="K24" i="75"/>
  <c r="L24" i="75" s="1"/>
  <c r="J25" i="75"/>
  <c r="B26" i="75"/>
  <c r="J25" i="77"/>
  <c r="K24" i="77"/>
  <c r="L24" i="77" s="1"/>
  <c r="B26" i="77"/>
  <c r="J22" i="70"/>
  <c r="I23" i="70"/>
  <c r="K25" i="74" a="1"/>
  <c r="I26" i="74"/>
  <c r="H26" i="75"/>
  <c r="M24" i="76" a="1"/>
  <c r="M24" i="75" a="1"/>
  <c r="I26" i="76"/>
  <c r="K25" i="75" a="1"/>
  <c r="I26" i="77"/>
  <c r="K25" i="77" a="1"/>
  <c r="I26" i="75"/>
  <c r="M24" i="74" a="1"/>
  <c r="K25" i="76" a="1"/>
  <c r="M24" i="77" a="1"/>
  <c r="H26" i="74"/>
  <c r="H26" i="76"/>
  <c r="H26" i="77"/>
  <c r="L13" i="84" l="1"/>
  <c r="M24" i="76"/>
  <c r="O24" i="76" s="1"/>
  <c r="M24" i="77"/>
  <c r="O24" i="77" s="1"/>
  <c r="M24" i="74"/>
  <c r="O24" i="74" s="1"/>
  <c r="M24" i="75"/>
  <c r="O24" i="75" s="1"/>
  <c r="N24" i="76"/>
  <c r="N24" i="77"/>
  <c r="N24" i="74"/>
  <c r="N24" i="75"/>
  <c r="Q47" i="94"/>
  <c r="L48" i="94"/>
  <c r="M13" i="84"/>
  <c r="J26" i="74"/>
  <c r="K25" i="74"/>
  <c r="L25" i="74" s="1"/>
  <c r="B27" i="74"/>
  <c r="K25" i="76"/>
  <c r="L25" i="76" s="1"/>
  <c r="J26" i="76"/>
  <c r="B27" i="76"/>
  <c r="J26" i="75"/>
  <c r="K25" i="75"/>
  <c r="L25" i="75" s="1"/>
  <c r="B27" i="75"/>
  <c r="J26" i="77"/>
  <c r="K25" i="77"/>
  <c r="L25" i="77" s="1"/>
  <c r="B27" i="77"/>
  <c r="J23" i="70"/>
  <c r="I24" i="70"/>
  <c r="H27" i="77"/>
  <c r="I27" i="75"/>
  <c r="I27" i="76"/>
  <c r="H27" i="76"/>
  <c r="M25" i="74" a="1"/>
  <c r="M25" i="76" a="1"/>
  <c r="H27" i="75"/>
  <c r="I27" i="74"/>
  <c r="K26" i="76" a="1"/>
  <c r="K26" i="77" a="1"/>
  <c r="H27" i="74"/>
  <c r="K26" i="75" a="1"/>
  <c r="I27" i="77"/>
  <c r="M25" i="75" a="1"/>
  <c r="M25" i="77" a="1"/>
  <c r="K26" i="74" a="1"/>
  <c r="O13" i="84" l="1"/>
  <c r="E14" i="84" s="1"/>
  <c r="Q13" i="84"/>
  <c r="R13" i="84" s="1"/>
  <c r="M25" i="76"/>
  <c r="O25" i="76" s="1"/>
  <c r="M25" i="77"/>
  <c r="O25" i="77" s="1"/>
  <c r="M25" i="74"/>
  <c r="O25" i="74" s="1"/>
  <c r="M25" i="75"/>
  <c r="O25" i="75" s="1"/>
  <c r="N25" i="76"/>
  <c r="N25" i="77"/>
  <c r="N25" i="74"/>
  <c r="N25" i="75"/>
  <c r="L49" i="94"/>
  <c r="Q48" i="94"/>
  <c r="S13" i="84"/>
  <c r="J27" i="74"/>
  <c r="K26" i="74"/>
  <c r="L26" i="74" s="1"/>
  <c r="B28" i="74"/>
  <c r="K26" i="76"/>
  <c r="L26" i="76" s="1"/>
  <c r="J27" i="76"/>
  <c r="B28" i="76"/>
  <c r="J27" i="75"/>
  <c r="K26" i="75"/>
  <c r="L26" i="75" s="1"/>
  <c r="B28" i="75"/>
  <c r="J27" i="77"/>
  <c r="K26" i="77"/>
  <c r="L26" i="77" s="1"/>
  <c r="B28" i="77"/>
  <c r="J24" i="70"/>
  <c r="I25" i="70"/>
  <c r="I28" i="74"/>
  <c r="H28" i="74"/>
  <c r="K27" i="77" a="1"/>
  <c r="I28" i="75"/>
  <c r="I28" i="77"/>
  <c r="H28" i="75"/>
  <c r="H28" i="77"/>
  <c r="K27" i="76" a="1"/>
  <c r="M26" i="77" a="1"/>
  <c r="H28" i="76"/>
  <c r="M26" i="75" a="1"/>
  <c r="K27" i="75" a="1"/>
  <c r="M26" i="76" a="1"/>
  <c r="M26" i="74" a="1"/>
  <c r="I28" i="76"/>
  <c r="K27" i="74" a="1"/>
  <c r="P13" i="84" l="1"/>
  <c r="M26" i="74"/>
  <c r="O26" i="74" s="1"/>
  <c r="M26" i="75"/>
  <c r="O26" i="75" s="1"/>
  <c r="M26" i="77"/>
  <c r="O26" i="77" s="1"/>
  <c r="M26" i="76"/>
  <c r="O26" i="76" s="1"/>
  <c r="N26" i="74"/>
  <c r="N26" i="75"/>
  <c r="N26" i="77"/>
  <c r="N26" i="76"/>
  <c r="L50" i="94"/>
  <c r="Q49" i="94"/>
  <c r="F14" i="84"/>
  <c r="J28" i="74"/>
  <c r="K27" i="74"/>
  <c r="L27" i="74" s="1"/>
  <c r="B29" i="74"/>
  <c r="J28" i="76"/>
  <c r="K27" i="76"/>
  <c r="L27" i="76" s="1"/>
  <c r="B29" i="76"/>
  <c r="J28" i="75"/>
  <c r="K27" i="75"/>
  <c r="L27" i="75" s="1"/>
  <c r="B29" i="75"/>
  <c r="J28" i="77"/>
  <c r="K27" i="77"/>
  <c r="L27" i="77" s="1"/>
  <c r="B29" i="77"/>
  <c r="J25" i="70"/>
  <c r="I26" i="70"/>
  <c r="M27" i="74" a="1"/>
  <c r="I29" i="74"/>
  <c r="I29" i="76"/>
  <c r="H29" i="74"/>
  <c r="M27" i="77" a="1"/>
  <c r="K28" i="77" a="1"/>
  <c r="H29" i="75"/>
  <c r="M27" i="75" a="1"/>
  <c r="I29" i="75"/>
  <c r="I29" i="77"/>
  <c r="K28" i="74" a="1"/>
  <c r="G14" i="84"/>
  <c r="H29" i="76"/>
  <c r="K28" i="76" a="1"/>
  <c r="M27" i="76" a="1"/>
  <c r="K28" i="75" a="1"/>
  <c r="H29" i="77"/>
  <c r="M27" i="75" l="1"/>
  <c r="O27" i="75" s="1"/>
  <c r="M27" i="76"/>
  <c r="O27" i="76" s="1"/>
  <c r="M27" i="77"/>
  <c r="O27" i="77" s="1"/>
  <c r="M27" i="74"/>
  <c r="O27" i="74" s="1"/>
  <c r="N27" i="75"/>
  <c r="N27" i="76"/>
  <c r="N27" i="77"/>
  <c r="N27" i="74"/>
  <c r="Q50" i="94"/>
  <c r="L51" i="94"/>
  <c r="H14" i="84"/>
  <c r="J14" i="84" s="1"/>
  <c r="K14" i="84" s="1"/>
  <c r="J29" i="74"/>
  <c r="K28" i="74"/>
  <c r="L28" i="74" s="1"/>
  <c r="B30" i="74"/>
  <c r="J29" i="76"/>
  <c r="K28" i="76"/>
  <c r="L28" i="76" s="1"/>
  <c r="B30" i="76"/>
  <c r="J29" i="75"/>
  <c r="K28" i="75"/>
  <c r="L28" i="75" s="1"/>
  <c r="B30" i="75"/>
  <c r="J29" i="77"/>
  <c r="K28" i="77"/>
  <c r="L28" i="77" s="1"/>
  <c r="B30" i="77"/>
  <c r="J26" i="70"/>
  <c r="I27" i="70"/>
  <c r="H30" i="76"/>
  <c r="H30" i="75"/>
  <c r="M28" i="76" a="1"/>
  <c r="I30" i="77"/>
  <c r="M28" i="74" a="1"/>
  <c r="K29" i="75" a="1"/>
  <c r="I30" i="75"/>
  <c r="K29" i="77" a="1"/>
  <c r="M28" i="75" a="1"/>
  <c r="I30" i="76"/>
  <c r="I30" i="74"/>
  <c r="K29" i="76" a="1"/>
  <c r="H30" i="74"/>
  <c r="H30" i="77"/>
  <c r="K29" i="74" a="1"/>
  <c r="M28" i="77" a="1"/>
  <c r="L14" i="84" l="1"/>
  <c r="M14" i="84" s="1"/>
  <c r="M28" i="77"/>
  <c r="O28" i="77" s="1"/>
  <c r="M28" i="76"/>
  <c r="O28" i="76" s="1"/>
  <c r="M28" i="74"/>
  <c r="O28" i="74" s="1"/>
  <c r="M28" i="75"/>
  <c r="N28" i="77"/>
  <c r="N28" i="76"/>
  <c r="N28" i="74"/>
  <c r="N28" i="75"/>
  <c r="L52" i="94"/>
  <c r="Q51" i="94"/>
  <c r="J30" i="74"/>
  <c r="K29" i="74"/>
  <c r="L29" i="74" s="1"/>
  <c r="B31" i="74"/>
  <c r="J30" i="76"/>
  <c r="K29" i="76"/>
  <c r="L29" i="76" s="1"/>
  <c r="B31" i="76"/>
  <c r="J30" i="75"/>
  <c r="K29" i="75"/>
  <c r="L29" i="75" s="1"/>
  <c r="B31" i="75"/>
  <c r="J30" i="77"/>
  <c r="K29" i="77"/>
  <c r="L29" i="77" s="1"/>
  <c r="B31" i="77"/>
  <c r="I28" i="70"/>
  <c r="J27" i="70"/>
  <c r="M29" i="74" a="1"/>
  <c r="H31" i="75"/>
  <c r="K30" i="77" a="1"/>
  <c r="I31" i="75"/>
  <c r="H31" i="76"/>
  <c r="I31" i="77"/>
  <c r="K30" i="75" a="1"/>
  <c r="M29" i="76" a="1"/>
  <c r="K30" i="76" a="1"/>
  <c r="H31" i="74"/>
  <c r="M29" i="77" a="1"/>
  <c r="M29" i="75" a="1"/>
  <c r="K30" i="74" a="1"/>
  <c r="I31" i="76"/>
  <c r="H31" i="77"/>
  <c r="I31" i="74"/>
  <c r="O14" i="84" l="1"/>
  <c r="Q14" i="84"/>
  <c r="R14" i="84" s="1"/>
  <c r="S14" i="84" s="1"/>
  <c r="M29" i="75"/>
  <c r="M29" i="77"/>
  <c r="O29" i="77" s="1"/>
  <c r="M29" i="74"/>
  <c r="O29" i="74" s="1"/>
  <c r="M29" i="76"/>
  <c r="O29" i="76" s="1"/>
  <c r="N29" i="75"/>
  <c r="O28" i="75"/>
  <c r="N29" i="77"/>
  <c r="N29" i="74"/>
  <c r="N29" i="76"/>
  <c r="L53" i="94"/>
  <c r="Q52" i="94"/>
  <c r="P14" i="84"/>
  <c r="E15" i="84"/>
  <c r="J31" i="74"/>
  <c r="K30" i="74"/>
  <c r="L30" i="74" s="1"/>
  <c r="B32" i="74"/>
  <c r="J31" i="76"/>
  <c r="K30" i="76"/>
  <c r="L30" i="76" s="1"/>
  <c r="B32" i="76"/>
  <c r="K30" i="75"/>
  <c r="L30" i="75" s="1"/>
  <c r="J31" i="75"/>
  <c r="B32" i="75"/>
  <c r="K30" i="77"/>
  <c r="L30" i="77" s="1"/>
  <c r="J31" i="77"/>
  <c r="B32" i="77"/>
  <c r="J28" i="70"/>
  <c r="I29" i="70"/>
  <c r="I32" i="76"/>
  <c r="I32" i="77"/>
  <c r="H32" i="77"/>
  <c r="K31" i="74" a="1"/>
  <c r="H32" i="75"/>
  <c r="M30" i="77" a="1"/>
  <c r="K31" i="77" a="1"/>
  <c r="M30" i="75" a="1"/>
  <c r="M30" i="74" a="1"/>
  <c r="I32" i="75"/>
  <c r="H32" i="74"/>
  <c r="H32" i="76"/>
  <c r="M30" i="76" a="1"/>
  <c r="K31" i="75" a="1"/>
  <c r="K31" i="76" a="1"/>
  <c r="I32" i="74"/>
  <c r="O29" i="75" l="1"/>
  <c r="M30" i="76"/>
  <c r="O30" i="76" s="1"/>
  <c r="M30" i="77"/>
  <c r="O30" i="77" s="1"/>
  <c r="M30" i="75"/>
  <c r="M30" i="74"/>
  <c r="O30" i="74" s="1"/>
  <c r="N30" i="76"/>
  <c r="N30" i="77"/>
  <c r="N30" i="75"/>
  <c r="N30" i="74"/>
  <c r="L54" i="94"/>
  <c r="Q54" i="94" s="1"/>
  <c r="Q53" i="94"/>
  <c r="F15" i="84"/>
  <c r="J32" i="74"/>
  <c r="K31" i="74"/>
  <c r="L31" i="74" s="1"/>
  <c r="B33" i="74"/>
  <c r="J32" i="76"/>
  <c r="K31" i="76"/>
  <c r="L31" i="76" s="1"/>
  <c r="B33" i="76"/>
  <c r="J32" i="75"/>
  <c r="K31" i="75"/>
  <c r="L31" i="75" s="1"/>
  <c r="B33" i="75"/>
  <c r="J32" i="77"/>
  <c r="K31" i="77"/>
  <c r="L31" i="77" s="1"/>
  <c r="B33" i="77"/>
  <c r="J29" i="70"/>
  <c r="I30" i="70"/>
  <c r="M31" i="75" a="1"/>
  <c r="I33" i="75"/>
  <c r="K32" i="77" a="1"/>
  <c r="I33" i="74"/>
  <c r="I33" i="76"/>
  <c r="M31" i="76" a="1"/>
  <c r="H33" i="75"/>
  <c r="H33" i="77"/>
  <c r="G15" i="84"/>
  <c r="K32" i="74" a="1"/>
  <c r="M31" i="74" a="1"/>
  <c r="H33" i="76"/>
  <c r="I33" i="77"/>
  <c r="M31" i="77" a="1"/>
  <c r="H33" i="74"/>
  <c r="K32" i="75" a="1"/>
  <c r="K32" i="76" a="1"/>
  <c r="O30" i="75" l="1"/>
  <c r="M31" i="77"/>
  <c r="O31" i="77" s="1"/>
  <c r="M31" i="75"/>
  <c r="M31" i="74"/>
  <c r="O31" i="74" s="1"/>
  <c r="M31" i="76"/>
  <c r="O31" i="76" s="1"/>
  <c r="N31" i="77"/>
  <c r="N31" i="75"/>
  <c r="N31" i="74"/>
  <c r="N31" i="76"/>
  <c r="H15" i="84"/>
  <c r="J15" i="84" s="1"/>
  <c r="K15" i="84" s="1"/>
  <c r="L15" i="84" s="1"/>
  <c r="J33" i="74"/>
  <c r="K32" i="74"/>
  <c r="L32" i="74" s="1"/>
  <c r="B34" i="74"/>
  <c r="J33" i="76"/>
  <c r="K32" i="76"/>
  <c r="L32" i="76" s="1"/>
  <c r="B34" i="76"/>
  <c r="J33" i="75"/>
  <c r="K32" i="75"/>
  <c r="L32" i="75" s="1"/>
  <c r="B34" i="75"/>
  <c r="J33" i="77"/>
  <c r="K32" i="77"/>
  <c r="L32" i="77" s="1"/>
  <c r="B34" i="77"/>
  <c r="J30" i="70"/>
  <c r="I31" i="70"/>
  <c r="I34" i="77"/>
  <c r="K33" i="74" a="1"/>
  <c r="K33" i="77" a="1"/>
  <c r="I34" i="74"/>
  <c r="H34" i="77"/>
  <c r="I34" i="75"/>
  <c r="H34" i="74"/>
  <c r="K33" i="75" a="1"/>
  <c r="M32" i="76" a="1"/>
  <c r="I34" i="76"/>
  <c r="M32" i="75" a="1"/>
  <c r="H34" i="75"/>
  <c r="M32" i="77" a="1"/>
  <c r="H34" i="76"/>
  <c r="M32" i="74" a="1"/>
  <c r="K33" i="76" a="1"/>
  <c r="O15" i="84" l="1"/>
  <c r="Q15" i="84"/>
  <c r="R15" i="84" s="1"/>
  <c r="O31" i="75"/>
  <c r="M32" i="77"/>
  <c r="O32" i="77" s="1"/>
  <c r="M32" i="74"/>
  <c r="O32" i="74" s="1"/>
  <c r="M32" i="76"/>
  <c r="O32" i="76" s="1"/>
  <c r="M32" i="75"/>
  <c r="N32" i="77"/>
  <c r="N32" i="74"/>
  <c r="N32" i="76"/>
  <c r="N32" i="75"/>
  <c r="M15" i="84"/>
  <c r="J34" i="74"/>
  <c r="K33" i="74"/>
  <c r="L33" i="74" s="1"/>
  <c r="B35" i="74"/>
  <c r="J34" i="76"/>
  <c r="K33" i="76"/>
  <c r="L33" i="76" s="1"/>
  <c r="B35" i="76"/>
  <c r="J34" i="75"/>
  <c r="K33" i="75"/>
  <c r="L33" i="75" s="1"/>
  <c r="B35" i="75"/>
  <c r="J34" i="77"/>
  <c r="K33" i="77"/>
  <c r="L33" i="77" s="1"/>
  <c r="B35" i="77"/>
  <c r="J31" i="70"/>
  <c r="I32" i="70"/>
  <c r="I35" i="74"/>
  <c r="H35" i="75"/>
  <c r="H35" i="74"/>
  <c r="M33" i="77" a="1"/>
  <c r="M33" i="75" a="1"/>
  <c r="M33" i="76" a="1"/>
  <c r="I35" i="77"/>
  <c r="I35" i="76"/>
  <c r="K34" i="77" a="1"/>
  <c r="K34" i="74" a="1"/>
  <c r="H35" i="77"/>
  <c r="I35" i="75"/>
  <c r="K34" i="76" a="1"/>
  <c r="K34" i="75" a="1"/>
  <c r="M33" i="74" a="1"/>
  <c r="H35" i="76"/>
  <c r="O32" i="75" l="1"/>
  <c r="M33" i="77"/>
  <c r="O33" i="77" s="1"/>
  <c r="M33" i="74"/>
  <c r="O33" i="74" s="1"/>
  <c r="M33" i="75"/>
  <c r="M33" i="76"/>
  <c r="O33" i="76" s="1"/>
  <c r="N33" i="77"/>
  <c r="N33" i="74"/>
  <c r="N33" i="75"/>
  <c r="N33" i="76"/>
  <c r="S15" i="84"/>
  <c r="P15" i="84"/>
  <c r="E16" i="84"/>
  <c r="J35" i="74"/>
  <c r="K34" i="74"/>
  <c r="L34" i="74" s="1"/>
  <c r="B36" i="74"/>
  <c r="J35" i="76"/>
  <c r="K34" i="76"/>
  <c r="L34" i="76" s="1"/>
  <c r="B36" i="76"/>
  <c r="J35" i="75"/>
  <c r="K34" i="75"/>
  <c r="L34" i="75" s="1"/>
  <c r="B36" i="75"/>
  <c r="J35" i="77"/>
  <c r="K34" i="77"/>
  <c r="L34" i="77" s="1"/>
  <c r="B36" i="77"/>
  <c r="J32" i="70"/>
  <c r="I33" i="70"/>
  <c r="H36" i="77"/>
  <c r="K35" i="76" a="1"/>
  <c r="K35" i="75" a="1"/>
  <c r="M34" i="77" a="1"/>
  <c r="I36" i="74"/>
  <c r="M34" i="75" a="1"/>
  <c r="K35" i="74" a="1"/>
  <c r="H36" i="74"/>
  <c r="I36" i="77"/>
  <c r="H36" i="76"/>
  <c r="K35" i="77" a="1"/>
  <c r="H36" i="75"/>
  <c r="M34" i="76" a="1"/>
  <c r="I36" i="75"/>
  <c r="M34" i="74" a="1"/>
  <c r="I36" i="76"/>
  <c r="O33" i="75" l="1"/>
  <c r="M34" i="77"/>
  <c r="O34" i="77" s="1"/>
  <c r="M34" i="74"/>
  <c r="O34" i="74" s="1"/>
  <c r="M34" i="76"/>
  <c r="O34" i="76" s="1"/>
  <c r="M34" i="75"/>
  <c r="N34" i="77"/>
  <c r="N34" i="74"/>
  <c r="N34" i="76"/>
  <c r="N34" i="75"/>
  <c r="F16" i="84"/>
  <c r="J36" i="74"/>
  <c r="K35" i="74"/>
  <c r="L35" i="74" s="1"/>
  <c r="B37" i="74"/>
  <c r="J36" i="76"/>
  <c r="K35" i="76"/>
  <c r="L35" i="76" s="1"/>
  <c r="B37" i="76"/>
  <c r="J36" i="75"/>
  <c r="K35" i="75"/>
  <c r="L35" i="75" s="1"/>
  <c r="B37" i="75"/>
  <c r="J36" i="77"/>
  <c r="K35" i="77"/>
  <c r="L35" i="77" s="1"/>
  <c r="B37" i="77"/>
  <c r="I34" i="70"/>
  <c r="J33" i="70"/>
  <c r="G16" i="84"/>
  <c r="I37" i="75"/>
  <c r="I37" i="77"/>
  <c r="M35" i="74" a="1"/>
  <c r="K36" i="75" a="1"/>
  <c r="H37" i="76"/>
  <c r="H37" i="77"/>
  <c r="K36" i="74" a="1"/>
  <c r="H37" i="75"/>
  <c r="H37" i="74"/>
  <c r="M35" i="75" a="1"/>
  <c r="I37" i="76"/>
  <c r="K36" i="76" a="1"/>
  <c r="M35" i="76" a="1"/>
  <c r="K36" i="77" a="1"/>
  <c r="M35" i="77" a="1"/>
  <c r="I37" i="74"/>
  <c r="O34" i="75" l="1"/>
  <c r="M35" i="76"/>
  <c r="M35" i="77"/>
  <c r="O35" i="77" s="1"/>
  <c r="M35" i="74"/>
  <c r="O35" i="74" s="1"/>
  <c r="M35" i="75"/>
  <c r="N35" i="76"/>
  <c r="N35" i="77"/>
  <c r="N35" i="74"/>
  <c r="N35" i="75"/>
  <c r="H16" i="84"/>
  <c r="J16" i="84" s="1"/>
  <c r="K16" i="84" s="1"/>
  <c r="J37" i="74"/>
  <c r="K36" i="74"/>
  <c r="L36" i="74" s="1"/>
  <c r="B38" i="74"/>
  <c r="J37" i="76"/>
  <c r="K36" i="76"/>
  <c r="L36" i="76" s="1"/>
  <c r="B38" i="76"/>
  <c r="J37" i="75"/>
  <c r="K36" i="75"/>
  <c r="L36" i="75" s="1"/>
  <c r="B38" i="75"/>
  <c r="K36" i="77"/>
  <c r="L36" i="77" s="1"/>
  <c r="J37" i="77"/>
  <c r="B38" i="77"/>
  <c r="J34" i="70"/>
  <c r="I35" i="70"/>
  <c r="I38" i="75"/>
  <c r="H38" i="75"/>
  <c r="H38" i="77"/>
  <c r="K37" i="75" a="1"/>
  <c r="H38" i="74"/>
  <c r="I38" i="74"/>
  <c r="I38" i="77"/>
  <c r="M36" i="77" a="1"/>
  <c r="M36" i="76" a="1"/>
  <c r="M36" i="75" a="1"/>
  <c r="M36" i="74" a="1"/>
  <c r="K37" i="77" a="1"/>
  <c r="K37" i="76" a="1"/>
  <c r="H38" i="76"/>
  <c r="K37" i="74" a="1"/>
  <c r="I38" i="76"/>
  <c r="L16" i="84" l="1"/>
  <c r="M16" i="84" s="1"/>
  <c r="O35" i="75"/>
  <c r="M36" i="76"/>
  <c r="M36" i="77"/>
  <c r="O36" i="77" s="1"/>
  <c r="M36" i="74"/>
  <c r="O36" i="74" s="1"/>
  <c r="M36" i="75"/>
  <c r="N36" i="76"/>
  <c r="N36" i="77"/>
  <c r="N36" i="74"/>
  <c r="N36" i="75"/>
  <c r="O35" i="76"/>
  <c r="J38" i="74"/>
  <c r="K37" i="74"/>
  <c r="L37" i="74" s="1"/>
  <c r="B39" i="74"/>
  <c r="J38" i="76"/>
  <c r="K37" i="76"/>
  <c r="L37" i="76" s="1"/>
  <c r="B39" i="76"/>
  <c r="J38" i="75"/>
  <c r="K37" i="75"/>
  <c r="L37" i="75" s="1"/>
  <c r="B39" i="75"/>
  <c r="K37" i="77"/>
  <c r="L37" i="77" s="1"/>
  <c r="J38" i="77"/>
  <c r="B39" i="77"/>
  <c r="J35" i="70"/>
  <c r="I36" i="70"/>
  <c r="H39" i="74"/>
  <c r="K38" i="76" a="1"/>
  <c r="M37" i="77" a="1"/>
  <c r="K38" i="77" a="1"/>
  <c r="M37" i="76" a="1"/>
  <c r="H39" i="75"/>
  <c r="H39" i="76"/>
  <c r="I39" i="76"/>
  <c r="M37" i="75" a="1"/>
  <c r="I39" i="75"/>
  <c r="I39" i="77"/>
  <c r="K38" i="75" a="1"/>
  <c r="H39" i="77"/>
  <c r="K38" i="74" a="1"/>
  <c r="M37" i="74" a="1"/>
  <c r="I39" i="74"/>
  <c r="O16" i="84" l="1"/>
  <c r="P16" i="84" s="1"/>
  <c r="Q16" i="84"/>
  <c r="R16" i="84" s="1"/>
  <c r="S16" i="84" s="1"/>
  <c r="O36" i="75"/>
  <c r="O36" i="76"/>
  <c r="M37" i="77"/>
  <c r="O37" i="77" s="1"/>
  <c r="M37" i="74"/>
  <c r="O37" i="74" s="1"/>
  <c r="M37" i="75"/>
  <c r="M37" i="76"/>
  <c r="N37" i="77"/>
  <c r="N37" i="74"/>
  <c r="N37" i="75"/>
  <c r="N37" i="76"/>
  <c r="J39" i="74"/>
  <c r="K38" i="74"/>
  <c r="L38" i="74" s="1"/>
  <c r="B40" i="74"/>
  <c r="J39" i="76"/>
  <c r="K38" i="76"/>
  <c r="L38" i="76" s="1"/>
  <c r="B40" i="76"/>
  <c r="J39" i="75"/>
  <c r="K38" i="75"/>
  <c r="L38" i="75" s="1"/>
  <c r="B40" i="75"/>
  <c r="J39" i="77"/>
  <c r="K38" i="77"/>
  <c r="L38" i="77" s="1"/>
  <c r="B40" i="77"/>
  <c r="J36" i="70"/>
  <c r="I37" i="70"/>
  <c r="H40" i="76"/>
  <c r="K39" i="76" a="1"/>
  <c r="H40" i="74"/>
  <c r="M38" i="74" a="1"/>
  <c r="K39" i="74" a="1"/>
  <c r="M38" i="76" a="1"/>
  <c r="M38" i="75" a="1"/>
  <c r="I40" i="74"/>
  <c r="I40" i="76"/>
  <c r="H40" i="75"/>
  <c r="I40" i="77"/>
  <c r="M38" i="77" a="1"/>
  <c r="K39" i="77" a="1"/>
  <c r="H40" i="77"/>
  <c r="I40" i="75"/>
  <c r="K39" i="75" a="1"/>
  <c r="E17" i="84" l="1"/>
  <c r="F17" i="84" s="1"/>
  <c r="O37" i="76"/>
  <c r="O37" i="75"/>
  <c r="M38" i="77"/>
  <c r="O38" i="77" s="1"/>
  <c r="M38" i="74"/>
  <c r="O38" i="74" s="1"/>
  <c r="M38" i="75"/>
  <c r="M38" i="76"/>
  <c r="N38" i="77"/>
  <c r="N38" i="74"/>
  <c r="N38" i="75"/>
  <c r="N38" i="76"/>
  <c r="J40" i="74"/>
  <c r="K39" i="74"/>
  <c r="L39" i="74" s="1"/>
  <c r="B41" i="74"/>
  <c r="J40" i="76"/>
  <c r="K39" i="76"/>
  <c r="L39" i="76" s="1"/>
  <c r="B41" i="76"/>
  <c r="K39" i="75"/>
  <c r="L39" i="75" s="1"/>
  <c r="J40" i="75"/>
  <c r="B41" i="75"/>
  <c r="J40" i="77"/>
  <c r="K39" i="77"/>
  <c r="L39" i="77" s="1"/>
  <c r="B41" i="77"/>
  <c r="J37" i="70"/>
  <c r="I38" i="70"/>
  <c r="I41" i="74"/>
  <c r="I41" i="76"/>
  <c r="G17" i="84"/>
  <c r="M39" i="77" a="1"/>
  <c r="I41" i="77"/>
  <c r="H41" i="75"/>
  <c r="H41" i="74"/>
  <c r="H41" i="77"/>
  <c r="K40" i="74" a="1"/>
  <c r="H41" i="76"/>
  <c r="K40" i="77" a="1"/>
  <c r="K40" i="76" a="1"/>
  <c r="I41" i="75"/>
  <c r="K40" i="75" a="1"/>
  <c r="M39" i="75" a="1"/>
  <c r="M39" i="76" a="1"/>
  <c r="M39" i="74" a="1"/>
  <c r="O38" i="76" l="1"/>
  <c r="O38" i="75"/>
  <c r="M39" i="75"/>
  <c r="M39" i="76"/>
  <c r="M39" i="77"/>
  <c r="O39" i="77" s="1"/>
  <c r="M39" i="74"/>
  <c r="O39" i="74" s="1"/>
  <c r="N39" i="75"/>
  <c r="N39" i="76"/>
  <c r="N39" i="77"/>
  <c r="N39" i="74"/>
  <c r="H17" i="84"/>
  <c r="J17" i="84" s="1"/>
  <c r="K17" i="84" s="1"/>
  <c r="J41" i="74"/>
  <c r="K40" i="74"/>
  <c r="L40" i="74" s="1"/>
  <c r="B42" i="74"/>
  <c r="J41" i="76"/>
  <c r="K40" i="76"/>
  <c r="L40" i="76" s="1"/>
  <c r="B42" i="76"/>
  <c r="J41" i="75"/>
  <c r="K40" i="75"/>
  <c r="L40" i="75" s="1"/>
  <c r="B42" i="75"/>
  <c r="J41" i="77"/>
  <c r="K40" i="77"/>
  <c r="L40" i="77" s="1"/>
  <c r="B42" i="77"/>
  <c r="J38" i="70"/>
  <c r="I39" i="70"/>
  <c r="K41" i="74" a="1"/>
  <c r="M40" i="76" a="1"/>
  <c r="I42" i="75"/>
  <c r="K41" i="76" a="1"/>
  <c r="I42" i="74"/>
  <c r="M40" i="75" a="1"/>
  <c r="M40" i="77" a="1"/>
  <c r="M40" i="74" a="1"/>
  <c r="K41" i="77" a="1"/>
  <c r="I42" i="76"/>
  <c r="I42" i="77"/>
  <c r="H42" i="77"/>
  <c r="H42" i="74"/>
  <c r="K41" i="75" a="1"/>
  <c r="H42" i="76"/>
  <c r="H42" i="75"/>
  <c r="L17" i="84" l="1"/>
  <c r="M17" i="84" s="1"/>
  <c r="O39" i="76"/>
  <c r="O39" i="75"/>
  <c r="M40" i="76"/>
  <c r="M40" i="77"/>
  <c r="O40" i="77" s="1"/>
  <c r="M40" i="74"/>
  <c r="O40" i="74" s="1"/>
  <c r="M40" i="75"/>
  <c r="N40" i="76"/>
  <c r="N40" i="77"/>
  <c r="N40" i="74"/>
  <c r="N40" i="75"/>
  <c r="J42" i="74"/>
  <c r="K41" i="74"/>
  <c r="L41" i="74" s="1"/>
  <c r="B43" i="74"/>
  <c r="K41" i="76"/>
  <c r="L41" i="76" s="1"/>
  <c r="J42" i="76"/>
  <c r="B43" i="76"/>
  <c r="J42" i="75"/>
  <c r="K41" i="75"/>
  <c r="L41" i="75" s="1"/>
  <c r="B43" i="75"/>
  <c r="J42" i="77"/>
  <c r="K41" i="77"/>
  <c r="L41" i="77" s="1"/>
  <c r="B43" i="77"/>
  <c r="I40" i="70"/>
  <c r="J39" i="70"/>
  <c r="I43" i="76"/>
  <c r="M41" i="74" a="1"/>
  <c r="K42" i="75" a="1"/>
  <c r="I43" i="75"/>
  <c r="M41" i="77" a="1"/>
  <c r="H43" i="75"/>
  <c r="K42" i="77" a="1"/>
  <c r="I43" i="77"/>
  <c r="H43" i="76"/>
  <c r="H43" i="74"/>
  <c r="K42" i="74" a="1"/>
  <c r="M41" i="76" a="1"/>
  <c r="I43" i="74"/>
  <c r="H43" i="77"/>
  <c r="M41" i="75" a="1"/>
  <c r="K42" i="76" a="1"/>
  <c r="O17" i="84" l="1"/>
  <c r="P17" i="84" s="1"/>
  <c r="Q17" i="84"/>
  <c r="R17" i="84" s="1"/>
  <c r="O40" i="75"/>
  <c r="O40" i="76"/>
  <c r="M41" i="76"/>
  <c r="M41" i="77"/>
  <c r="O41" i="77" s="1"/>
  <c r="M41" i="74"/>
  <c r="O41" i="74" s="1"/>
  <c r="M41" i="75"/>
  <c r="N41" i="76"/>
  <c r="N41" i="77"/>
  <c r="N41" i="74"/>
  <c r="N41" i="75"/>
  <c r="E18" i="84"/>
  <c r="S17" i="84"/>
  <c r="K42" i="74"/>
  <c r="L42" i="74" s="1"/>
  <c r="J43" i="74"/>
  <c r="B44" i="74"/>
  <c r="J43" i="76"/>
  <c r="K42" i="76"/>
  <c r="L42" i="76" s="1"/>
  <c r="B44" i="76"/>
  <c r="J43" i="75"/>
  <c r="K42" i="75"/>
  <c r="L42" i="75" s="1"/>
  <c r="B44" i="75"/>
  <c r="J43" i="77"/>
  <c r="K42" i="77"/>
  <c r="L42" i="77" s="1"/>
  <c r="B44" i="77"/>
  <c r="J40" i="70"/>
  <c r="I41" i="70"/>
  <c r="I44" i="75"/>
  <c r="K43" i="76" a="1"/>
  <c r="H44" i="76"/>
  <c r="H44" i="75"/>
  <c r="M42" i="75" a="1"/>
  <c r="K43" i="74" a="1"/>
  <c r="M42" i="76" a="1"/>
  <c r="I44" i="77"/>
  <c r="I44" i="76"/>
  <c r="I44" i="74"/>
  <c r="M42" i="77" a="1"/>
  <c r="K43" i="77" a="1"/>
  <c r="M42" i="74" a="1"/>
  <c r="H44" i="77"/>
  <c r="H44" i="74"/>
  <c r="K43" i="75" a="1"/>
  <c r="O41" i="75" l="1"/>
  <c r="O41" i="76"/>
  <c r="M42" i="76"/>
  <c r="M42" i="74"/>
  <c r="O42" i="74" s="1"/>
  <c r="M42" i="75"/>
  <c r="M42" i="77"/>
  <c r="O42" i="77" s="1"/>
  <c r="N42" i="76"/>
  <c r="N42" i="74"/>
  <c r="N42" i="75"/>
  <c r="N42" i="77"/>
  <c r="F18" i="84"/>
  <c r="J44" i="74"/>
  <c r="K43" i="74"/>
  <c r="L43" i="74" s="1"/>
  <c r="B45" i="74"/>
  <c r="J44" i="76"/>
  <c r="K43" i="76"/>
  <c r="L43" i="76" s="1"/>
  <c r="B45" i="76"/>
  <c r="J44" i="75"/>
  <c r="K43" i="75"/>
  <c r="L43" i="75" s="1"/>
  <c r="B45" i="75"/>
  <c r="K43" i="77"/>
  <c r="L43" i="77" s="1"/>
  <c r="J44" i="77"/>
  <c r="B45" i="77"/>
  <c r="J41" i="70"/>
  <c r="I42" i="70"/>
  <c r="M43" i="74" a="1"/>
  <c r="H45" i="77"/>
  <c r="I45" i="75"/>
  <c r="M43" i="77" a="1"/>
  <c r="K44" i="76" a="1"/>
  <c r="G18" i="84"/>
  <c r="K44" i="77" a="1"/>
  <c r="H45" i="75"/>
  <c r="M43" i="76" a="1"/>
  <c r="K44" i="75" a="1"/>
  <c r="M43" i="75" a="1"/>
  <c r="I45" i="77"/>
  <c r="I45" i="74"/>
  <c r="I45" i="76"/>
  <c r="H45" i="74"/>
  <c r="K44" i="74" a="1"/>
  <c r="H45" i="76"/>
  <c r="O42" i="75" l="1"/>
  <c r="O42" i="76"/>
  <c r="M43" i="77"/>
  <c r="O43" i="77" s="1"/>
  <c r="M43" i="74"/>
  <c r="O43" i="74" s="1"/>
  <c r="M43" i="76"/>
  <c r="M43" i="75"/>
  <c r="N43" i="77"/>
  <c r="N43" i="74"/>
  <c r="N43" i="76"/>
  <c r="N43" i="75"/>
  <c r="H18" i="84"/>
  <c r="J18" i="84" s="1"/>
  <c r="K18" i="84" s="1"/>
  <c r="K44" i="74"/>
  <c r="L44" i="74" s="1"/>
  <c r="J45" i="74"/>
  <c r="B46" i="74"/>
  <c r="J45" i="76"/>
  <c r="K44" i="76"/>
  <c r="L44" i="76" s="1"/>
  <c r="B46" i="76"/>
  <c r="J45" i="75"/>
  <c r="K44" i="75"/>
  <c r="L44" i="75" s="1"/>
  <c r="B46" i="75"/>
  <c r="J45" i="77"/>
  <c r="K44" i="77"/>
  <c r="L44" i="77" s="1"/>
  <c r="B46" i="77"/>
  <c r="J42" i="70"/>
  <c r="I43" i="70"/>
  <c r="K45" i="77" a="1"/>
  <c r="M44" i="75" a="1"/>
  <c r="I46" i="76"/>
  <c r="H46" i="74"/>
  <c r="H46" i="77"/>
  <c r="I46" i="74"/>
  <c r="K45" i="75" a="1"/>
  <c r="M44" i="76" a="1"/>
  <c r="I46" i="77"/>
  <c r="K45" i="76" a="1"/>
  <c r="I46" i="75"/>
  <c r="M44" i="77" a="1"/>
  <c r="H46" i="75"/>
  <c r="K45" i="74" a="1"/>
  <c r="M44" i="74" a="1"/>
  <c r="H46" i="76"/>
  <c r="L18" i="84" l="1"/>
  <c r="O43" i="76"/>
  <c r="O43" i="75"/>
  <c r="M44" i="76"/>
  <c r="M44" i="77"/>
  <c r="O44" i="77" s="1"/>
  <c r="M44" i="74"/>
  <c r="O44" i="74" s="1"/>
  <c r="M44" i="75"/>
  <c r="N44" i="76"/>
  <c r="N44" i="77"/>
  <c r="N44" i="74"/>
  <c r="N44" i="75"/>
  <c r="J46" i="74"/>
  <c r="K45" i="74"/>
  <c r="L45" i="74" s="1"/>
  <c r="B47" i="74"/>
  <c r="K45" i="76"/>
  <c r="L45" i="76" s="1"/>
  <c r="J46" i="76"/>
  <c r="B47" i="76"/>
  <c r="J46" i="75"/>
  <c r="K45" i="75"/>
  <c r="L45" i="75" s="1"/>
  <c r="B47" i="75"/>
  <c r="J46" i="77"/>
  <c r="K45" i="77"/>
  <c r="L45" i="77" s="1"/>
  <c r="B47" i="77"/>
  <c r="J43" i="70"/>
  <c r="I44" i="70"/>
  <c r="H47" i="75"/>
  <c r="M45" i="74" a="1"/>
  <c r="M45" i="76" a="1"/>
  <c r="I47" i="74"/>
  <c r="I47" i="75"/>
  <c r="K46" i="76" a="1"/>
  <c r="H47" i="74"/>
  <c r="K46" i="75" a="1"/>
  <c r="K46" i="77" a="1"/>
  <c r="H47" i="77"/>
  <c r="H47" i="76"/>
  <c r="M45" i="77" a="1"/>
  <c r="I47" i="76"/>
  <c r="K46" i="74" a="1"/>
  <c r="M45" i="75" a="1"/>
  <c r="I47" i="77"/>
  <c r="O18" i="84" l="1"/>
  <c r="E19" i="84" s="1"/>
  <c r="Q18" i="84"/>
  <c r="R18" i="84" s="1"/>
  <c r="S18" i="84" s="1"/>
  <c r="M18" i="84"/>
  <c r="O44" i="75"/>
  <c r="O44" i="76"/>
  <c r="M45" i="77"/>
  <c r="O45" i="77" s="1"/>
  <c r="M45" i="74"/>
  <c r="O45" i="74" s="1"/>
  <c r="M45" i="76"/>
  <c r="M45" i="75"/>
  <c r="N45" i="77"/>
  <c r="N45" i="74"/>
  <c r="N45" i="76"/>
  <c r="N45" i="75"/>
  <c r="J47" i="74"/>
  <c r="K46" i="74"/>
  <c r="L46" i="74" s="1"/>
  <c r="B48" i="74"/>
  <c r="J47" i="76"/>
  <c r="K46" i="76"/>
  <c r="L46" i="76" s="1"/>
  <c r="B48" i="76"/>
  <c r="J47" i="75"/>
  <c r="K46" i="75"/>
  <c r="L46" i="75" s="1"/>
  <c r="B48" i="75"/>
  <c r="J47" i="77"/>
  <c r="K46" i="77"/>
  <c r="L46" i="77" s="1"/>
  <c r="B48" i="77"/>
  <c r="I45" i="70"/>
  <c r="J44" i="70"/>
  <c r="I48" i="77"/>
  <c r="I48" i="76"/>
  <c r="K47" i="74" a="1"/>
  <c r="H48" i="75"/>
  <c r="I48" i="74"/>
  <c r="H48" i="76"/>
  <c r="H48" i="77"/>
  <c r="M46" i="77" a="1"/>
  <c r="M46" i="75" a="1"/>
  <c r="H48" i="74"/>
  <c r="I48" i="75"/>
  <c r="K47" i="76" a="1"/>
  <c r="K47" i="77" a="1"/>
  <c r="M46" i="76" a="1"/>
  <c r="M46" i="74" a="1"/>
  <c r="K47" i="75" a="1"/>
  <c r="P18" i="84" l="1"/>
  <c r="O45" i="75"/>
  <c r="O45" i="76"/>
  <c r="M46" i="74"/>
  <c r="O46" i="74" s="1"/>
  <c r="M46" i="76"/>
  <c r="M46" i="75"/>
  <c r="M46" i="77"/>
  <c r="O46" i="77" s="1"/>
  <c r="N46" i="74"/>
  <c r="N46" i="76"/>
  <c r="N46" i="75"/>
  <c r="N46" i="77"/>
  <c r="F19" i="84"/>
  <c r="J48" i="74"/>
  <c r="K47" i="74"/>
  <c r="L47" i="74" s="1"/>
  <c r="B49" i="74"/>
  <c r="J48" i="76"/>
  <c r="K47" i="76"/>
  <c r="L47" i="76" s="1"/>
  <c r="B49" i="76"/>
  <c r="J48" i="75"/>
  <c r="K47" i="75"/>
  <c r="L47" i="75" s="1"/>
  <c r="B49" i="75"/>
  <c r="J48" i="77"/>
  <c r="K47" i="77"/>
  <c r="L47" i="77" s="1"/>
  <c r="B49" i="77"/>
  <c r="I46" i="70"/>
  <c r="J45" i="70"/>
  <c r="M47" i="74" a="1"/>
  <c r="I49" i="76"/>
  <c r="I49" i="77"/>
  <c r="M47" i="77" a="1"/>
  <c r="K48" i="75" a="1"/>
  <c r="K48" i="74" a="1"/>
  <c r="H49" i="74"/>
  <c r="H49" i="76"/>
  <c r="H49" i="75"/>
  <c r="G19" i="84"/>
  <c r="M47" i="76" a="1"/>
  <c r="I49" i="74"/>
  <c r="K48" i="76" a="1"/>
  <c r="K48" i="77" a="1"/>
  <c r="H49" i="77"/>
  <c r="I49" i="75"/>
  <c r="M47" i="75" a="1"/>
  <c r="O46" i="75" l="1"/>
  <c r="O46" i="76"/>
  <c r="M47" i="76"/>
  <c r="M47" i="77"/>
  <c r="M47" i="74"/>
  <c r="O47" i="74" s="1"/>
  <c r="M47" i="75"/>
  <c r="N47" i="76"/>
  <c r="N47" i="77"/>
  <c r="N47" i="74"/>
  <c r="N47" i="75"/>
  <c r="H19" i="84"/>
  <c r="J19" i="84" s="1"/>
  <c r="K19" i="84" s="1"/>
  <c r="L19" i="84" s="1"/>
  <c r="J49" i="74"/>
  <c r="K48" i="74"/>
  <c r="L48" i="74" s="1"/>
  <c r="B50" i="74"/>
  <c r="K48" i="76"/>
  <c r="L48" i="76" s="1"/>
  <c r="J49" i="76"/>
  <c r="B50" i="76"/>
  <c r="K48" i="75"/>
  <c r="L48" i="75" s="1"/>
  <c r="J49" i="75"/>
  <c r="B50" i="75"/>
  <c r="J49" i="77"/>
  <c r="K48" i="77"/>
  <c r="L48" i="77" s="1"/>
  <c r="B50" i="77"/>
  <c r="J46" i="70"/>
  <c r="I47" i="70"/>
  <c r="I50" i="76"/>
  <c r="I50" i="77"/>
  <c r="M48" i="77" a="1"/>
  <c r="K49" i="75" a="1"/>
  <c r="H50" i="77"/>
  <c r="K49" i="76" a="1"/>
  <c r="H50" i="75"/>
  <c r="K49" i="77" a="1"/>
  <c r="H50" i="74"/>
  <c r="K49" i="74" a="1"/>
  <c r="M48" i="74" a="1"/>
  <c r="I50" i="74"/>
  <c r="I50" i="75"/>
  <c r="H50" i="76"/>
  <c r="M48" i="75" a="1"/>
  <c r="M48" i="76" a="1"/>
  <c r="O19" i="84" l="1"/>
  <c r="Q19" i="84"/>
  <c r="O47" i="75"/>
  <c r="O47" i="76"/>
  <c r="M48" i="76"/>
  <c r="M48" i="77"/>
  <c r="M48" i="75"/>
  <c r="M48" i="74"/>
  <c r="O48" i="74" s="1"/>
  <c r="N48" i="76"/>
  <c r="N48" i="77"/>
  <c r="N48" i="75"/>
  <c r="N48" i="74"/>
  <c r="O47" i="77"/>
  <c r="R19" i="84"/>
  <c r="M19" i="84"/>
  <c r="J50" i="74"/>
  <c r="K49" i="74"/>
  <c r="L49" i="74" s="1"/>
  <c r="B51" i="74"/>
  <c r="J50" i="76"/>
  <c r="K49" i="76"/>
  <c r="L49" i="76" s="1"/>
  <c r="B51" i="76"/>
  <c r="J50" i="75"/>
  <c r="K49" i="75"/>
  <c r="L49" i="75" s="1"/>
  <c r="B51" i="75"/>
  <c r="J50" i="77"/>
  <c r="K49" i="77"/>
  <c r="L49" i="77" s="1"/>
  <c r="B51" i="77"/>
  <c r="J47" i="70"/>
  <c r="I48" i="70"/>
  <c r="K50" i="77" a="1"/>
  <c r="I51" i="76"/>
  <c r="I51" i="75"/>
  <c r="K50" i="75" a="1"/>
  <c r="M49" i="74" a="1"/>
  <c r="K50" i="76" a="1"/>
  <c r="H51" i="74"/>
  <c r="K50" i="74" a="1"/>
  <c r="H51" i="77"/>
  <c r="M49" i="77" a="1"/>
  <c r="H51" i="76"/>
  <c r="I51" i="74"/>
  <c r="M49" i="76" a="1"/>
  <c r="H51" i="75"/>
  <c r="I51" i="77"/>
  <c r="M49" i="75" a="1"/>
  <c r="O48" i="75" l="1"/>
  <c r="O48" i="77"/>
  <c r="O48" i="76"/>
  <c r="M49" i="77"/>
  <c r="M49" i="75"/>
  <c r="M49" i="76"/>
  <c r="M49" i="74"/>
  <c r="O49" i="74" s="1"/>
  <c r="N49" i="77"/>
  <c r="N49" i="75"/>
  <c r="N49" i="76"/>
  <c r="N49" i="74"/>
  <c r="S19" i="84"/>
  <c r="P19" i="84"/>
  <c r="E20" i="84"/>
  <c r="J51" i="74"/>
  <c r="K50" i="74"/>
  <c r="L50" i="74" s="1"/>
  <c r="B52" i="74"/>
  <c r="J51" i="76"/>
  <c r="K50" i="76"/>
  <c r="L50" i="76" s="1"/>
  <c r="B52" i="76"/>
  <c r="J51" i="75"/>
  <c r="K50" i="75"/>
  <c r="L50" i="75" s="1"/>
  <c r="B52" i="75"/>
  <c r="J51" i="77"/>
  <c r="K50" i="77"/>
  <c r="L50" i="77" s="1"/>
  <c r="B52" i="77"/>
  <c r="I49" i="70"/>
  <c r="J48" i="70"/>
  <c r="M50" i="77" a="1"/>
  <c r="M50" i="75" a="1"/>
  <c r="M50" i="76" a="1"/>
  <c r="H52" i="75"/>
  <c r="I52" i="74"/>
  <c r="H52" i="77"/>
  <c r="K51" i="74" a="1"/>
  <c r="K51" i="76" a="1"/>
  <c r="M50" i="74" a="1"/>
  <c r="I52" i="76"/>
  <c r="I52" i="77"/>
  <c r="K51" i="77" a="1"/>
  <c r="H52" i="76"/>
  <c r="K51" i="75" a="1"/>
  <c r="I52" i="75"/>
  <c r="H52" i="74"/>
  <c r="O49" i="76" l="1"/>
  <c r="O49" i="75"/>
  <c r="O49" i="77"/>
  <c r="M50" i="74"/>
  <c r="O50" i="74" s="1"/>
  <c r="M50" i="77"/>
  <c r="M50" i="76"/>
  <c r="M50" i="75"/>
  <c r="N50" i="74"/>
  <c r="N50" i="77"/>
  <c r="N50" i="76"/>
  <c r="N50" i="75"/>
  <c r="F20" i="84"/>
  <c r="J52" i="74"/>
  <c r="K51" i="74"/>
  <c r="L51" i="74" s="1"/>
  <c r="B53" i="74"/>
  <c r="J52" i="76"/>
  <c r="K51" i="76"/>
  <c r="L51" i="76" s="1"/>
  <c r="B53" i="76"/>
  <c r="J52" i="75"/>
  <c r="K51" i="75"/>
  <c r="L51" i="75" s="1"/>
  <c r="B53" i="75"/>
  <c r="K51" i="77"/>
  <c r="L51" i="77" s="1"/>
  <c r="J52" i="77"/>
  <c r="B53" i="77"/>
  <c r="I50" i="70"/>
  <c r="J49" i="70"/>
  <c r="I53" i="74"/>
  <c r="I53" i="77"/>
  <c r="H53" i="75"/>
  <c r="K52" i="77" a="1"/>
  <c r="I53" i="76"/>
  <c r="G20" i="84"/>
  <c r="H53" i="77"/>
  <c r="I53" i="75"/>
  <c r="K52" i="76" a="1"/>
  <c r="H53" i="76"/>
  <c r="H53" i="74"/>
  <c r="K52" i="74" a="1"/>
  <c r="M51" i="74" a="1"/>
  <c r="M51" i="77" a="1"/>
  <c r="M51" i="75" a="1"/>
  <c r="M51" i="76" a="1"/>
  <c r="K52" i="75" a="1"/>
  <c r="O50" i="76" l="1"/>
  <c r="O50" i="77"/>
  <c r="O50" i="75"/>
  <c r="M51" i="76"/>
  <c r="M51" i="77"/>
  <c r="M51" i="74"/>
  <c r="O51" i="74" s="1"/>
  <c r="M51" i="75"/>
  <c r="N51" i="76"/>
  <c r="N51" i="77"/>
  <c r="N51" i="74"/>
  <c r="N51" i="75"/>
  <c r="H20" i="84"/>
  <c r="J20" i="84" s="1"/>
  <c r="K20" i="84" s="1"/>
  <c r="J53" i="74"/>
  <c r="K52" i="74"/>
  <c r="L52" i="74" s="1"/>
  <c r="B54" i="74"/>
  <c r="J53" i="76"/>
  <c r="K52" i="76"/>
  <c r="L52" i="76" s="1"/>
  <c r="B54" i="76"/>
  <c r="K52" i="75"/>
  <c r="L52" i="75" s="1"/>
  <c r="J53" i="75"/>
  <c r="B54" i="75"/>
  <c r="J53" i="77"/>
  <c r="K52" i="77"/>
  <c r="L52" i="77" s="1"/>
  <c r="B54" i="77"/>
  <c r="J50" i="70"/>
  <c r="I51" i="70"/>
  <c r="I54" i="75"/>
  <c r="K53" i="74" a="1"/>
  <c r="M52" i="74" a="1"/>
  <c r="H54" i="75"/>
  <c r="H54" i="77"/>
  <c r="K53" i="76" a="1"/>
  <c r="K53" i="75" a="1"/>
  <c r="H54" i="76"/>
  <c r="I54" i="74"/>
  <c r="M52" i="76" a="1"/>
  <c r="K53" i="77" a="1"/>
  <c r="M52" i="77" a="1"/>
  <c r="I54" i="76"/>
  <c r="M52" i="75" a="1"/>
  <c r="H54" i="74"/>
  <c r="I54" i="77"/>
  <c r="L20" i="84" l="1"/>
  <c r="M20" i="84" s="1"/>
  <c r="O51" i="77"/>
  <c r="O51" i="76"/>
  <c r="O51" i="75"/>
  <c r="M52" i="76"/>
  <c r="M52" i="75"/>
  <c r="M52" i="77"/>
  <c r="M52" i="74"/>
  <c r="O52" i="74" s="1"/>
  <c r="N52" i="76"/>
  <c r="N52" i="75"/>
  <c r="N52" i="77"/>
  <c r="N52" i="74"/>
  <c r="J54" i="74"/>
  <c r="K53" i="74"/>
  <c r="L53" i="74" s="1"/>
  <c r="B55" i="74"/>
  <c r="J54" i="76"/>
  <c r="K53" i="76"/>
  <c r="L53" i="76" s="1"/>
  <c r="B55" i="76"/>
  <c r="J54" i="75"/>
  <c r="K53" i="75"/>
  <c r="L53" i="75" s="1"/>
  <c r="B55" i="75"/>
  <c r="J54" i="77"/>
  <c r="K53" i="77"/>
  <c r="L53" i="77" s="1"/>
  <c r="B55" i="77"/>
  <c r="J51" i="70"/>
  <c r="I52" i="70"/>
  <c r="I55" i="77"/>
  <c r="K54" i="76" a="1"/>
  <c r="K54" i="77" a="1"/>
  <c r="M53" i="76" a="1"/>
  <c r="H55" i="75"/>
  <c r="M53" i="75" a="1"/>
  <c r="K54" i="75" a="1"/>
  <c r="K54" i="74" a="1"/>
  <c r="M53" i="77" a="1"/>
  <c r="H55" i="74"/>
  <c r="I55" i="74"/>
  <c r="I55" i="76"/>
  <c r="I55" i="75"/>
  <c r="H55" i="76"/>
  <c r="M53" i="74" a="1"/>
  <c r="H55" i="77"/>
  <c r="O20" i="84" l="1"/>
  <c r="P20" i="84" s="1"/>
  <c r="Q20" i="84"/>
  <c r="R20" i="84" s="1"/>
  <c r="O52" i="77"/>
  <c r="O52" i="75"/>
  <c r="O52" i="76"/>
  <c r="M53" i="77"/>
  <c r="M53" i="76"/>
  <c r="M53" i="75"/>
  <c r="M53" i="74"/>
  <c r="O53" i="74" s="1"/>
  <c r="N53" i="77"/>
  <c r="N53" i="76"/>
  <c r="N53" i="75"/>
  <c r="N53" i="74"/>
  <c r="S20" i="84"/>
  <c r="J55" i="74"/>
  <c r="K54" i="74"/>
  <c r="L54" i="74" s="1"/>
  <c r="B56" i="74"/>
  <c r="K54" i="76"/>
  <c r="L54" i="76" s="1"/>
  <c r="J55" i="76"/>
  <c r="B56" i="76"/>
  <c r="J55" i="75"/>
  <c r="K54" i="75"/>
  <c r="L54" i="75" s="1"/>
  <c r="B56" i="75"/>
  <c r="J55" i="77"/>
  <c r="K54" i="77"/>
  <c r="L54" i="77" s="1"/>
  <c r="B56" i="77"/>
  <c r="I53" i="70"/>
  <c r="J52" i="70"/>
  <c r="I56" i="77"/>
  <c r="M54" i="75" a="1"/>
  <c r="M54" i="74" a="1"/>
  <c r="H56" i="75"/>
  <c r="M54" i="77" a="1"/>
  <c r="H56" i="77"/>
  <c r="H56" i="74"/>
  <c r="I56" i="76"/>
  <c r="I56" i="74"/>
  <c r="K55" i="74" a="1"/>
  <c r="K55" i="77" a="1"/>
  <c r="K55" i="75" a="1"/>
  <c r="K55" i="76" a="1"/>
  <c r="M54" i="76" a="1"/>
  <c r="H56" i="76"/>
  <c r="I56" i="75"/>
  <c r="E21" i="84" l="1"/>
  <c r="O53" i="75"/>
  <c r="O53" i="76"/>
  <c r="O53" i="77"/>
  <c r="M54" i="77"/>
  <c r="M54" i="74"/>
  <c r="O54" i="74" s="1"/>
  <c r="M54" i="75"/>
  <c r="M54" i="76"/>
  <c r="N54" i="77"/>
  <c r="N54" i="74"/>
  <c r="N54" i="75"/>
  <c r="N54" i="76"/>
  <c r="F21" i="84"/>
  <c r="J56" i="74"/>
  <c r="K55" i="74"/>
  <c r="L55" i="74" s="1"/>
  <c r="B57" i="74"/>
  <c r="J56" i="76"/>
  <c r="K55" i="76"/>
  <c r="L55" i="76" s="1"/>
  <c r="B57" i="76"/>
  <c r="J56" i="75"/>
  <c r="K55" i="75"/>
  <c r="L55" i="75" s="1"/>
  <c r="B57" i="75"/>
  <c r="K55" i="77"/>
  <c r="L55" i="77" s="1"/>
  <c r="J56" i="77"/>
  <c r="B57" i="77"/>
  <c r="I54" i="70"/>
  <c r="J53" i="70"/>
  <c r="I57" i="77"/>
  <c r="I57" i="75"/>
  <c r="H57" i="76"/>
  <c r="I57" i="74"/>
  <c r="H57" i="77"/>
  <c r="M55" i="76" a="1"/>
  <c r="M55" i="75" a="1"/>
  <c r="M55" i="77" a="1"/>
  <c r="K56" i="76" a="1"/>
  <c r="G21" i="84"/>
  <c r="H57" i="74"/>
  <c r="M55" i="74" a="1"/>
  <c r="K56" i="77" a="1"/>
  <c r="K56" i="75" a="1"/>
  <c r="I57" i="76"/>
  <c r="K56" i="74" a="1"/>
  <c r="H57" i="75"/>
  <c r="O54" i="75" l="1"/>
  <c r="O54" i="77"/>
  <c r="O54" i="76"/>
  <c r="M55" i="76"/>
  <c r="M55" i="77"/>
  <c r="M55" i="74"/>
  <c r="O55" i="74" s="1"/>
  <c r="M55" i="75"/>
  <c r="N55" i="76"/>
  <c r="N55" i="77"/>
  <c r="N55" i="74"/>
  <c r="N55" i="75"/>
  <c r="H21" i="84"/>
  <c r="J21" i="84" s="1"/>
  <c r="K21" i="84" s="1"/>
  <c r="J57" i="74"/>
  <c r="K56" i="74"/>
  <c r="L56" i="74" s="1"/>
  <c r="B58" i="74"/>
  <c r="J57" i="76"/>
  <c r="K56" i="76"/>
  <c r="L56" i="76" s="1"/>
  <c r="B58" i="76"/>
  <c r="J57" i="75"/>
  <c r="K56" i="75"/>
  <c r="L56" i="75" s="1"/>
  <c r="B58" i="75"/>
  <c r="K56" i="77"/>
  <c r="L56" i="77" s="1"/>
  <c r="J57" i="77"/>
  <c r="B58" i="77"/>
  <c r="J54" i="70"/>
  <c r="I55" i="70"/>
  <c r="M56" i="74" a="1"/>
  <c r="M56" i="77" a="1"/>
  <c r="K57" i="74" a="1"/>
  <c r="K57" i="77" a="1"/>
  <c r="I58" i="76"/>
  <c r="H58" i="75"/>
  <c r="K57" i="76" a="1"/>
  <c r="H58" i="74"/>
  <c r="I58" i="75"/>
  <c r="K57" i="75" a="1"/>
  <c r="H58" i="76"/>
  <c r="I58" i="74"/>
  <c r="H58" i="77"/>
  <c r="M56" i="75" a="1"/>
  <c r="I58" i="77"/>
  <c r="M56" i="76" a="1"/>
  <c r="L21" i="84" l="1"/>
  <c r="M21" i="84" s="1"/>
  <c r="O55" i="75"/>
  <c r="O55" i="77"/>
  <c r="O55" i="76"/>
  <c r="M56" i="76"/>
  <c r="M56" i="77"/>
  <c r="M56" i="74"/>
  <c r="O56" i="74" s="1"/>
  <c r="M56" i="75"/>
  <c r="N56" i="76"/>
  <c r="N56" i="77"/>
  <c r="N56" i="74"/>
  <c r="N56" i="75"/>
  <c r="J58" i="74"/>
  <c r="K57" i="74"/>
  <c r="L57" i="74" s="1"/>
  <c r="B59" i="74"/>
  <c r="K57" i="76"/>
  <c r="L57" i="76" s="1"/>
  <c r="J58" i="76"/>
  <c r="B59" i="76"/>
  <c r="J58" i="75"/>
  <c r="K57" i="75"/>
  <c r="L57" i="75" s="1"/>
  <c r="B59" i="75"/>
  <c r="J58" i="77"/>
  <c r="K57" i="77"/>
  <c r="L57" i="77" s="1"/>
  <c r="B59" i="77"/>
  <c r="J55" i="70"/>
  <c r="I56" i="70"/>
  <c r="M57" i="76" a="1"/>
  <c r="H59" i="76"/>
  <c r="I59" i="76"/>
  <c r="M57" i="75" a="1"/>
  <c r="H59" i="74"/>
  <c r="K58" i="76" a="1"/>
  <c r="K58" i="75" a="1"/>
  <c r="M57" i="77" a="1"/>
  <c r="I59" i="77"/>
  <c r="M57" i="74" a="1"/>
  <c r="K58" i="77" a="1"/>
  <c r="K58" i="74" a="1"/>
  <c r="I59" i="74"/>
  <c r="I59" i="75"/>
  <c r="H59" i="75"/>
  <c r="H59" i="77"/>
  <c r="O21" i="84" l="1"/>
  <c r="E22" i="84" s="1"/>
  <c r="Q21" i="84"/>
  <c r="R21" i="84" s="1"/>
  <c r="S21" i="84" s="1"/>
  <c r="O56" i="77"/>
  <c r="O56" i="76"/>
  <c r="O56" i="75"/>
  <c r="M57" i="77"/>
  <c r="M57" i="74"/>
  <c r="O57" i="74" s="1"/>
  <c r="M57" i="76"/>
  <c r="M57" i="75"/>
  <c r="O57" i="75" s="1"/>
  <c r="N57" i="77"/>
  <c r="N57" i="74"/>
  <c r="N57" i="76"/>
  <c r="N57" i="75"/>
  <c r="K58" i="74"/>
  <c r="L58" i="74" s="1"/>
  <c r="J59" i="74"/>
  <c r="B60" i="74"/>
  <c r="K58" i="76"/>
  <c r="L58" i="76" s="1"/>
  <c r="J59" i="76"/>
  <c r="B60" i="76"/>
  <c r="K58" i="75"/>
  <c r="L58" i="75" s="1"/>
  <c r="J59" i="75"/>
  <c r="B60" i="75"/>
  <c r="J59" i="77"/>
  <c r="K58" i="77"/>
  <c r="L58" i="77" s="1"/>
  <c r="B60" i="77"/>
  <c r="I57" i="70"/>
  <c r="J56" i="70"/>
  <c r="K59" i="76" a="1"/>
  <c r="I60" i="75"/>
  <c r="M58" i="75" a="1"/>
  <c r="K59" i="77" a="1"/>
  <c r="H60" i="75"/>
  <c r="I60" i="76"/>
  <c r="I60" i="74"/>
  <c r="M58" i="77" a="1"/>
  <c r="K59" i="74" a="1"/>
  <c r="M58" i="76" a="1"/>
  <c r="I60" i="77"/>
  <c r="H60" i="76"/>
  <c r="K59" i="75" a="1"/>
  <c r="H60" i="74"/>
  <c r="H60" i="77"/>
  <c r="M58" i="74" a="1"/>
  <c r="P21" i="84" l="1"/>
  <c r="O57" i="76"/>
  <c r="O57" i="77"/>
  <c r="M58" i="76"/>
  <c r="M58" i="74"/>
  <c r="O58" i="74" s="1"/>
  <c r="M58" i="75"/>
  <c r="O58" i="75" s="1"/>
  <c r="M58" i="77"/>
  <c r="N58" i="76"/>
  <c r="N58" i="74"/>
  <c r="N58" i="75"/>
  <c r="N58" i="77"/>
  <c r="F22" i="84"/>
  <c r="J60" i="74"/>
  <c r="K59" i="74"/>
  <c r="L59" i="74" s="1"/>
  <c r="B61" i="74"/>
  <c r="J60" i="76"/>
  <c r="K59" i="76"/>
  <c r="L59" i="76" s="1"/>
  <c r="B61" i="76"/>
  <c r="J60" i="75"/>
  <c r="K59" i="75"/>
  <c r="L59" i="75" s="1"/>
  <c r="B61" i="75"/>
  <c r="J60" i="77"/>
  <c r="K59" i="77"/>
  <c r="L59" i="77" s="1"/>
  <c r="B61" i="77"/>
  <c r="J57" i="70"/>
  <c r="I58" i="70"/>
  <c r="I61" i="77"/>
  <c r="K60" i="75" a="1"/>
  <c r="H61" i="77"/>
  <c r="M59" i="75" a="1"/>
  <c r="H61" i="76"/>
  <c r="M59" i="77" a="1"/>
  <c r="G22" i="84"/>
  <c r="K60" i="76" a="1"/>
  <c r="I61" i="74"/>
  <c r="H61" i="74"/>
  <c r="I61" i="75"/>
  <c r="M59" i="74" a="1"/>
  <c r="H61" i="75"/>
  <c r="I61" i="76"/>
  <c r="K60" i="74" a="1"/>
  <c r="K60" i="77" a="1"/>
  <c r="M59" i="76" a="1"/>
  <c r="F136" i="76" l="1"/>
  <c r="O58" i="77"/>
  <c r="O58" i="76"/>
  <c r="M59" i="76"/>
  <c r="M59" i="77"/>
  <c r="M59" i="74"/>
  <c r="O59" i="74" s="1"/>
  <c r="M59" i="75"/>
  <c r="O59" i="75" s="1"/>
  <c r="N59" i="76"/>
  <c r="N59" i="77"/>
  <c r="N59" i="74"/>
  <c r="N59" i="75"/>
  <c r="H22" i="84"/>
  <c r="J22" i="84" s="1"/>
  <c r="K22" i="84" s="1"/>
  <c r="K60" i="74"/>
  <c r="L60" i="74" s="1"/>
  <c r="J61" i="74"/>
  <c r="B62" i="74"/>
  <c r="J61" i="76"/>
  <c r="K60" i="76"/>
  <c r="L60" i="76" s="1"/>
  <c r="B62" i="76"/>
  <c r="J61" i="75"/>
  <c r="K60" i="75"/>
  <c r="L60" i="75" s="1"/>
  <c r="B62" i="75"/>
  <c r="J61" i="77"/>
  <c r="K60" i="77"/>
  <c r="L60" i="77" s="1"/>
  <c r="B62" i="77"/>
  <c r="J58" i="70"/>
  <c r="I59" i="70"/>
  <c r="H62" i="76"/>
  <c r="M60" i="76" a="1"/>
  <c r="K61" i="74" a="1"/>
  <c r="K61" i="77" a="1"/>
  <c r="M60" i="77" a="1"/>
  <c r="I62" i="77"/>
  <c r="K61" i="76" a="1"/>
  <c r="I62" i="74"/>
  <c r="H62" i="77"/>
  <c r="I62" i="75"/>
  <c r="I62" i="76"/>
  <c r="K61" i="75" a="1"/>
  <c r="H62" i="74"/>
  <c r="M60" i="75" a="1"/>
  <c r="M60" i="74" a="1"/>
  <c r="H62" i="75"/>
  <c r="L22" i="84" l="1"/>
  <c r="O59" i="77"/>
  <c r="O59" i="76"/>
  <c r="M60" i="76"/>
  <c r="M60" i="77"/>
  <c r="M60" i="74"/>
  <c r="O60" i="74" s="1"/>
  <c r="M60" i="75"/>
  <c r="O60" i="75" s="1"/>
  <c r="N60" i="76"/>
  <c r="N60" i="77"/>
  <c r="N60" i="74"/>
  <c r="N60" i="75"/>
  <c r="M22" i="84"/>
  <c r="J62" i="74"/>
  <c r="K61" i="74"/>
  <c r="L61" i="74" s="1"/>
  <c r="B63" i="74"/>
  <c r="J62" i="76"/>
  <c r="K61" i="76"/>
  <c r="L61" i="76" s="1"/>
  <c r="B63" i="76"/>
  <c r="J62" i="75"/>
  <c r="K61" i="75"/>
  <c r="L61" i="75" s="1"/>
  <c r="B63" i="75"/>
  <c r="J62" i="77"/>
  <c r="K61" i="77"/>
  <c r="L61" i="77" s="1"/>
  <c r="B63" i="77"/>
  <c r="I60" i="70"/>
  <c r="J59" i="70"/>
  <c r="K62" i="77" a="1"/>
  <c r="H63" i="75"/>
  <c r="K62" i="76" a="1"/>
  <c r="H63" i="74"/>
  <c r="K62" i="75" a="1"/>
  <c r="I63" i="76"/>
  <c r="M61" i="77" a="1"/>
  <c r="H63" i="76"/>
  <c r="M61" i="75" a="1"/>
  <c r="I63" i="75"/>
  <c r="I63" i="74"/>
  <c r="I63" i="77"/>
  <c r="K62" i="74" a="1"/>
  <c r="M61" i="74" a="1"/>
  <c r="M61" i="76" a="1"/>
  <c r="H63" i="77"/>
  <c r="O22" i="84" l="1"/>
  <c r="E23" i="84" s="1"/>
  <c r="Q22" i="84"/>
  <c r="R22" i="84" s="1"/>
  <c r="S22" i="84" s="1"/>
  <c r="O60" i="77"/>
  <c r="O60" i="76"/>
  <c r="M61" i="76"/>
  <c r="M61" i="77"/>
  <c r="M61" i="74"/>
  <c r="O61" i="74" s="1"/>
  <c r="M61" i="75"/>
  <c r="N61" i="76"/>
  <c r="N61" i="77"/>
  <c r="N61" i="74"/>
  <c r="N61" i="75"/>
  <c r="J63" i="74"/>
  <c r="K62" i="74"/>
  <c r="L62" i="74" s="1"/>
  <c r="B64" i="74"/>
  <c r="J63" i="76"/>
  <c r="K62" i="76"/>
  <c r="L62" i="76" s="1"/>
  <c r="B64" i="76"/>
  <c r="J63" i="75"/>
  <c r="K62" i="75"/>
  <c r="L62" i="75" s="1"/>
  <c r="B64" i="75"/>
  <c r="J63" i="77"/>
  <c r="K62" i="77"/>
  <c r="L62" i="77" s="1"/>
  <c r="B64" i="77"/>
  <c r="I61" i="70"/>
  <c r="J60" i="70"/>
  <c r="I64" i="76"/>
  <c r="I64" i="74"/>
  <c r="H64" i="76"/>
  <c r="M62" i="74" a="1"/>
  <c r="H64" i="74"/>
  <c r="K63" i="77" a="1"/>
  <c r="K63" i="76" a="1"/>
  <c r="M62" i="76" a="1"/>
  <c r="H64" i="77"/>
  <c r="I64" i="77"/>
  <c r="M62" i="75" a="1"/>
  <c r="H64" i="75"/>
  <c r="K63" i="75" a="1"/>
  <c r="K63" i="74" a="1"/>
  <c r="F125" i="75" a="1"/>
  <c r="M62" i="77" a="1"/>
  <c r="I64" i="75"/>
  <c r="P22" i="84" l="1"/>
  <c r="F125" i="75"/>
  <c r="O61" i="75"/>
  <c r="O61" i="77"/>
  <c r="O61" i="76"/>
  <c r="M62" i="76"/>
  <c r="M62" i="77"/>
  <c r="M62" i="74"/>
  <c r="O62" i="74" s="1"/>
  <c r="M62" i="75"/>
  <c r="O62" i="75" s="1"/>
  <c r="N62" i="76"/>
  <c r="N62" i="77"/>
  <c r="N62" i="74"/>
  <c r="N62" i="75"/>
  <c r="F23" i="84"/>
  <c r="J64" i="74"/>
  <c r="K63" i="74"/>
  <c r="L63" i="74" s="1"/>
  <c r="B65" i="74"/>
  <c r="K63" i="76"/>
  <c r="L63" i="76" s="1"/>
  <c r="J64" i="76"/>
  <c r="B65" i="76"/>
  <c r="J64" i="75"/>
  <c r="K63" i="75"/>
  <c r="L63" i="75" s="1"/>
  <c r="B65" i="75"/>
  <c r="K63" i="77"/>
  <c r="L63" i="77" s="1"/>
  <c r="J64" i="77"/>
  <c r="B65" i="77"/>
  <c r="J61" i="70"/>
  <c r="I62" i="70"/>
  <c r="H65" i="76"/>
  <c r="M63" i="75" a="1"/>
  <c r="I65" i="74"/>
  <c r="K64" i="74" a="1"/>
  <c r="I65" i="76"/>
  <c r="G23" i="84"/>
  <c r="H65" i="77"/>
  <c r="I65" i="77"/>
  <c r="M63" i="74" a="1"/>
  <c r="K64" i="77" a="1"/>
  <c r="K64" i="75" a="1"/>
  <c r="H65" i="75"/>
  <c r="M63" i="77" a="1"/>
  <c r="M63" i="76" a="1"/>
  <c r="K64" i="76" a="1"/>
  <c r="H65" i="74"/>
  <c r="I65" i="75"/>
  <c r="F136" i="75" l="1"/>
  <c r="F11" i="78"/>
  <c r="O62" i="77"/>
  <c r="O62" i="76"/>
  <c r="M63" i="76"/>
  <c r="M63" i="77"/>
  <c r="M63" i="74"/>
  <c r="O63" i="74" s="1"/>
  <c r="M63" i="75"/>
  <c r="O63" i="75" s="1"/>
  <c r="N63" i="76"/>
  <c r="N63" i="77"/>
  <c r="N63" i="74"/>
  <c r="N63" i="75"/>
  <c r="H23" i="84"/>
  <c r="J23" i="84" s="1"/>
  <c r="K23" i="84" s="1"/>
  <c r="L23" i="84" s="1"/>
  <c r="J65" i="74"/>
  <c r="K64" i="74"/>
  <c r="L64" i="74" s="1"/>
  <c r="B66" i="74"/>
  <c r="K64" i="76"/>
  <c r="L64" i="76" s="1"/>
  <c r="J65" i="76"/>
  <c r="B66" i="76"/>
  <c r="J65" i="75"/>
  <c r="K64" i="75"/>
  <c r="L64" i="75" s="1"/>
  <c r="B66" i="75"/>
  <c r="J65" i="77"/>
  <c r="K64" i="77"/>
  <c r="L64" i="77" s="1"/>
  <c r="B66" i="77"/>
  <c r="J62" i="70"/>
  <c r="I63" i="70"/>
  <c r="M64" i="75" a="1"/>
  <c r="I66" i="74"/>
  <c r="H66" i="75"/>
  <c r="K65" i="75" a="1"/>
  <c r="M64" i="77" a="1"/>
  <c r="K65" i="76" a="1"/>
  <c r="K65" i="74" a="1"/>
  <c r="I66" i="76"/>
  <c r="I66" i="77"/>
  <c r="H66" i="77"/>
  <c r="I66" i="75"/>
  <c r="M64" i="74" a="1"/>
  <c r="M64" i="76" a="1"/>
  <c r="H66" i="74"/>
  <c r="K65" i="77" a="1"/>
  <c r="H66" i="76"/>
  <c r="O23" i="84" l="1"/>
  <c r="Q23" i="84"/>
  <c r="O63" i="76"/>
  <c r="O63" i="77"/>
  <c r="M64" i="76"/>
  <c r="M64" i="77"/>
  <c r="M64" i="74"/>
  <c r="O64" i="74" s="1"/>
  <c r="M64" i="75"/>
  <c r="O64" i="75" s="1"/>
  <c r="N64" i="76"/>
  <c r="N64" i="77"/>
  <c r="N64" i="74"/>
  <c r="N64" i="75"/>
  <c r="R23" i="84"/>
  <c r="M23" i="84"/>
  <c r="J66" i="74"/>
  <c r="K65" i="74"/>
  <c r="L65" i="74" s="1"/>
  <c r="B67" i="74"/>
  <c r="J66" i="76"/>
  <c r="K65" i="76"/>
  <c r="L65" i="76" s="1"/>
  <c r="B67" i="76"/>
  <c r="J66" i="75"/>
  <c r="K65" i="75"/>
  <c r="L65" i="75" s="1"/>
  <c r="B67" i="75"/>
  <c r="J66" i="77"/>
  <c r="K65" i="77"/>
  <c r="L65" i="77" s="1"/>
  <c r="B67" i="77"/>
  <c r="J63" i="70"/>
  <c r="I64" i="70"/>
  <c r="K66" i="75" a="1"/>
  <c r="I67" i="77"/>
  <c r="I67" i="75"/>
  <c r="M65" i="74" a="1"/>
  <c r="H67" i="75"/>
  <c r="K66" i="74" a="1"/>
  <c r="I67" i="74"/>
  <c r="I67" i="76"/>
  <c r="K66" i="77" a="1"/>
  <c r="M65" i="77" a="1"/>
  <c r="M65" i="75" a="1"/>
  <c r="K66" i="76" a="1"/>
  <c r="M65" i="76" a="1"/>
  <c r="H67" i="74"/>
  <c r="H67" i="76"/>
  <c r="H67" i="77"/>
  <c r="O64" i="77" l="1"/>
  <c r="O64" i="76"/>
  <c r="M65" i="74"/>
  <c r="M65" i="77"/>
  <c r="M65" i="76"/>
  <c r="M65" i="75"/>
  <c r="O65" i="75" s="1"/>
  <c r="N65" i="74"/>
  <c r="N65" i="77"/>
  <c r="N65" i="76"/>
  <c r="N65" i="75"/>
  <c r="S23" i="84"/>
  <c r="P23" i="84"/>
  <c r="E24" i="84"/>
  <c r="J67" i="74"/>
  <c r="K66" i="74"/>
  <c r="L66" i="74" s="1"/>
  <c r="B68" i="74"/>
  <c r="J67" i="76"/>
  <c r="K66" i="76"/>
  <c r="L66" i="76" s="1"/>
  <c r="B68" i="76"/>
  <c r="J67" i="75"/>
  <c r="K66" i="75"/>
  <c r="L66" i="75" s="1"/>
  <c r="B68" i="75"/>
  <c r="J67" i="77"/>
  <c r="K66" i="77"/>
  <c r="L66" i="77" s="1"/>
  <c r="B68" i="77"/>
  <c r="I65" i="70"/>
  <c r="J64" i="70"/>
  <c r="K67" i="76" a="1"/>
  <c r="M66" i="75" a="1"/>
  <c r="K67" i="75" a="1"/>
  <c r="H68" i="76"/>
  <c r="I68" i="76"/>
  <c r="M66" i="77" a="1"/>
  <c r="I68" i="77"/>
  <c r="M66" i="76" a="1"/>
  <c r="K67" i="74" a="1"/>
  <c r="H68" i="75"/>
  <c r="H68" i="77"/>
  <c r="I68" i="74"/>
  <c r="M66" i="74" a="1"/>
  <c r="H68" i="74"/>
  <c r="K67" i="77" a="1"/>
  <c r="I68" i="75"/>
  <c r="O65" i="76" l="1"/>
  <c r="O65" i="77"/>
  <c r="M66" i="76"/>
  <c r="M66" i="74"/>
  <c r="M66" i="75"/>
  <c r="O66" i="75" s="1"/>
  <c r="M66" i="77"/>
  <c r="N66" i="76"/>
  <c r="N66" i="74"/>
  <c r="N66" i="75"/>
  <c r="N66" i="77"/>
  <c r="O65" i="74"/>
  <c r="F24" i="84"/>
  <c r="J68" i="74"/>
  <c r="K67" i="74"/>
  <c r="L67" i="74" s="1"/>
  <c r="B69" i="74"/>
  <c r="J68" i="76"/>
  <c r="K67" i="76"/>
  <c r="L67" i="76" s="1"/>
  <c r="B69" i="76"/>
  <c r="J68" i="75"/>
  <c r="K67" i="75"/>
  <c r="L67" i="75" s="1"/>
  <c r="B69" i="75"/>
  <c r="J68" i="77"/>
  <c r="K67" i="77"/>
  <c r="L67" i="77" s="1"/>
  <c r="B69" i="77"/>
  <c r="J65" i="70"/>
  <c r="I66" i="70"/>
  <c r="H69" i="77"/>
  <c r="I69" i="74"/>
  <c r="M67" i="77" a="1"/>
  <c r="H69" i="74"/>
  <c r="I69" i="76"/>
  <c r="G24" i="84"/>
  <c r="M67" i="75" a="1"/>
  <c r="M67" i="76" a="1"/>
  <c r="K68" i="75" a="1"/>
  <c r="H69" i="75"/>
  <c r="I69" i="77"/>
  <c r="M67" i="74" a="1"/>
  <c r="K68" i="74" a="1"/>
  <c r="K68" i="76" a="1"/>
  <c r="H69" i="76"/>
  <c r="I69" i="75"/>
  <c r="K68" i="77" a="1"/>
  <c r="O66" i="77" l="1"/>
  <c r="O66" i="74"/>
  <c r="O66" i="76"/>
  <c r="M67" i="77"/>
  <c r="M67" i="75"/>
  <c r="O67" i="75" s="1"/>
  <c r="M67" i="74"/>
  <c r="M67" i="76"/>
  <c r="N67" i="77"/>
  <c r="N67" i="75"/>
  <c r="N67" i="74"/>
  <c r="N67" i="76"/>
  <c r="H24" i="84"/>
  <c r="J24" i="84" s="1"/>
  <c r="K24" i="84" s="1"/>
  <c r="K68" i="74"/>
  <c r="L68" i="74" s="1"/>
  <c r="J69" i="74"/>
  <c r="B70" i="74"/>
  <c r="K68" i="76"/>
  <c r="L68" i="76" s="1"/>
  <c r="J69" i="76"/>
  <c r="B70" i="76"/>
  <c r="J69" i="75"/>
  <c r="K68" i="75"/>
  <c r="L68" i="75" s="1"/>
  <c r="B70" i="75"/>
  <c r="J69" i="77"/>
  <c r="K68" i="77"/>
  <c r="L68" i="77" s="1"/>
  <c r="B70" i="77"/>
  <c r="J66" i="70"/>
  <c r="I67" i="70"/>
  <c r="H70" i="75"/>
  <c r="I70" i="76"/>
  <c r="I70" i="75"/>
  <c r="K69" i="74" a="1"/>
  <c r="K69" i="76" a="1"/>
  <c r="I70" i="74"/>
  <c r="M68" i="77" a="1"/>
  <c r="K69" i="77" a="1"/>
  <c r="M68" i="76" a="1"/>
  <c r="I70" i="77"/>
  <c r="H70" i="77"/>
  <c r="M68" i="74" a="1"/>
  <c r="K69" i="75" a="1"/>
  <c r="M68" i="75" a="1"/>
  <c r="H70" i="74"/>
  <c r="H70" i="76"/>
  <c r="L24" i="84" l="1"/>
  <c r="M24" i="84" s="1"/>
  <c r="O67" i="77"/>
  <c r="O67" i="74"/>
  <c r="O67" i="76"/>
  <c r="M68" i="77"/>
  <c r="M68" i="74"/>
  <c r="M68" i="75"/>
  <c r="O68" i="75" s="1"/>
  <c r="M68" i="76"/>
  <c r="N68" i="77"/>
  <c r="N68" i="74"/>
  <c r="N68" i="75"/>
  <c r="N68" i="76"/>
  <c r="J70" i="74"/>
  <c r="K69" i="74"/>
  <c r="L69" i="74" s="1"/>
  <c r="B71" i="74"/>
  <c r="J70" i="76"/>
  <c r="K69" i="76"/>
  <c r="L69" i="76" s="1"/>
  <c r="B71" i="76"/>
  <c r="J70" i="75"/>
  <c r="K69" i="75"/>
  <c r="L69" i="75" s="1"/>
  <c r="B71" i="75"/>
  <c r="J70" i="77"/>
  <c r="K69" i="77"/>
  <c r="L69" i="77" s="1"/>
  <c r="B71" i="77"/>
  <c r="J67" i="70"/>
  <c r="I68" i="70"/>
  <c r="I71" i="77"/>
  <c r="K70" i="77" a="1"/>
  <c r="K70" i="75" a="1"/>
  <c r="H71" i="77"/>
  <c r="I71" i="74"/>
  <c r="I71" i="75"/>
  <c r="H71" i="76"/>
  <c r="M69" i="77" a="1"/>
  <c r="H71" i="74"/>
  <c r="K70" i="76" a="1"/>
  <c r="H71" i="75"/>
  <c r="I71" i="76"/>
  <c r="M69" i="75" a="1"/>
  <c r="M69" i="76" a="1"/>
  <c r="M69" i="74" a="1"/>
  <c r="K70" i="74" a="1"/>
  <c r="O24" i="84" l="1"/>
  <c r="Q24" i="84"/>
  <c r="R24" i="84" s="1"/>
  <c r="O68" i="74"/>
  <c r="O68" i="76"/>
  <c r="O68" i="77"/>
  <c r="M69" i="77"/>
  <c r="M69" i="74"/>
  <c r="M69" i="76"/>
  <c r="O69" i="76" s="1"/>
  <c r="M69" i="75"/>
  <c r="O69" i="75" s="1"/>
  <c r="N69" i="77"/>
  <c r="N69" i="74"/>
  <c r="N69" i="76"/>
  <c r="N69" i="75"/>
  <c r="S24" i="84"/>
  <c r="E25" i="84"/>
  <c r="P24" i="84"/>
  <c r="J71" i="74"/>
  <c r="K70" i="74"/>
  <c r="L70" i="74" s="1"/>
  <c r="B72" i="74"/>
  <c r="J71" i="76"/>
  <c r="K70" i="76"/>
  <c r="L70" i="76" s="1"/>
  <c r="B72" i="76"/>
  <c r="J71" i="75"/>
  <c r="K70" i="75"/>
  <c r="L70" i="75" s="1"/>
  <c r="B72" i="75"/>
  <c r="J71" i="77"/>
  <c r="K70" i="77"/>
  <c r="L70" i="77" s="1"/>
  <c r="B72" i="77"/>
  <c r="I69" i="70"/>
  <c r="J68" i="70"/>
  <c r="I72" i="75"/>
  <c r="M70" i="75" a="1"/>
  <c r="K71" i="77" a="1"/>
  <c r="K71" i="76" a="1"/>
  <c r="I72" i="74"/>
  <c r="H72" i="75"/>
  <c r="I72" i="76"/>
  <c r="H72" i="76"/>
  <c r="H72" i="77"/>
  <c r="M70" i="74" a="1"/>
  <c r="M70" i="77" a="1"/>
  <c r="K71" i="75" a="1"/>
  <c r="I72" i="77"/>
  <c r="K71" i="74" a="1"/>
  <c r="H72" i="74"/>
  <c r="M70" i="76" a="1"/>
  <c r="O69" i="74" l="1"/>
  <c r="O69" i="77"/>
  <c r="M70" i="76"/>
  <c r="O70" i="76" s="1"/>
  <c r="M70" i="77"/>
  <c r="M70" i="74"/>
  <c r="M70" i="75"/>
  <c r="O70" i="75" s="1"/>
  <c r="N70" i="76"/>
  <c r="N70" i="77"/>
  <c r="N70" i="74"/>
  <c r="N70" i="75"/>
  <c r="F25" i="84"/>
  <c r="J72" i="74"/>
  <c r="K71" i="74"/>
  <c r="L71" i="74" s="1"/>
  <c r="B73" i="74"/>
  <c r="J72" i="76"/>
  <c r="K71" i="76"/>
  <c r="L71" i="76" s="1"/>
  <c r="B73" i="76"/>
  <c r="J72" i="75"/>
  <c r="K71" i="75"/>
  <c r="L71" i="75" s="1"/>
  <c r="B73" i="75"/>
  <c r="J72" i="77"/>
  <c r="K71" i="77"/>
  <c r="L71" i="77" s="1"/>
  <c r="B73" i="77"/>
  <c r="I70" i="70"/>
  <c r="J69" i="70"/>
  <c r="M71" i="75" a="1"/>
  <c r="I73" i="74"/>
  <c r="H73" i="77"/>
  <c r="K72" i="75" a="1"/>
  <c r="G25" i="84"/>
  <c r="K72" i="76" a="1"/>
  <c r="M71" i="74" a="1"/>
  <c r="I73" i="75"/>
  <c r="I73" i="76"/>
  <c r="M71" i="77" a="1"/>
  <c r="H73" i="75"/>
  <c r="I73" i="77"/>
  <c r="K72" i="74" a="1"/>
  <c r="K72" i="77" a="1"/>
  <c r="H73" i="74"/>
  <c r="H73" i="76"/>
  <c r="M71" i="76" a="1"/>
  <c r="O70" i="74" l="1"/>
  <c r="O70" i="77"/>
  <c r="M71" i="76"/>
  <c r="O71" i="76" s="1"/>
  <c r="M71" i="77"/>
  <c r="M71" i="74"/>
  <c r="M71" i="75"/>
  <c r="O71" i="75" s="1"/>
  <c r="N71" i="76"/>
  <c r="N71" i="77"/>
  <c r="N71" i="74"/>
  <c r="N71" i="75"/>
  <c r="H25" i="84"/>
  <c r="J25" i="84" s="1"/>
  <c r="K25" i="84" s="1"/>
  <c r="J73" i="74"/>
  <c r="K72" i="74"/>
  <c r="L72" i="74" s="1"/>
  <c r="B74" i="74"/>
  <c r="J73" i="76"/>
  <c r="K72" i="76"/>
  <c r="L72" i="76" s="1"/>
  <c r="B74" i="76"/>
  <c r="J73" i="75"/>
  <c r="K72" i="75"/>
  <c r="L72" i="75" s="1"/>
  <c r="B74" i="75"/>
  <c r="J73" i="77"/>
  <c r="K72" i="77"/>
  <c r="L72" i="77" s="1"/>
  <c r="B74" i="77"/>
  <c r="J70" i="70"/>
  <c r="I71" i="70"/>
  <c r="M72" i="77" a="1"/>
  <c r="I74" i="75"/>
  <c r="K73" i="77" a="1"/>
  <c r="H74" i="75"/>
  <c r="K73" i="74" a="1"/>
  <c r="I74" i="74"/>
  <c r="I74" i="76"/>
  <c r="H74" i="74"/>
  <c r="K73" i="75" a="1"/>
  <c r="H74" i="76"/>
  <c r="M72" i="75" a="1"/>
  <c r="I74" i="77"/>
  <c r="H74" i="77"/>
  <c r="K73" i="76" a="1"/>
  <c r="M72" i="76" a="1"/>
  <c r="M72" i="74" a="1"/>
  <c r="L25" i="84" l="1"/>
  <c r="M25" i="84" s="1"/>
  <c r="O71" i="77"/>
  <c r="O71" i="74"/>
  <c r="M72" i="76"/>
  <c r="O72" i="76" s="1"/>
  <c r="M72" i="74"/>
  <c r="M72" i="77"/>
  <c r="M72" i="75"/>
  <c r="O72" i="75" s="1"/>
  <c r="N72" i="76"/>
  <c r="N72" i="74"/>
  <c r="N72" i="77"/>
  <c r="N72" i="75"/>
  <c r="J74" i="74"/>
  <c r="K73" i="74"/>
  <c r="L73" i="74" s="1"/>
  <c r="B75" i="74"/>
  <c r="J74" i="76"/>
  <c r="K73" i="76"/>
  <c r="L73" i="76" s="1"/>
  <c r="B75" i="76"/>
  <c r="J74" i="75"/>
  <c r="K73" i="75"/>
  <c r="L73" i="75" s="1"/>
  <c r="B75" i="75"/>
  <c r="J74" i="77"/>
  <c r="K73" i="77"/>
  <c r="L73" i="77" s="1"/>
  <c r="B75" i="77"/>
  <c r="J71" i="70"/>
  <c r="I72" i="70"/>
  <c r="I75" i="76"/>
  <c r="M73" i="75" a="1"/>
  <c r="K74" i="74" a="1"/>
  <c r="H75" i="76"/>
  <c r="H75" i="75"/>
  <c r="K74" i="76" a="1"/>
  <c r="M73" i="77" a="1"/>
  <c r="M73" i="74" a="1"/>
  <c r="I75" i="77"/>
  <c r="M73" i="76" a="1"/>
  <c r="I75" i="74"/>
  <c r="I75" i="75"/>
  <c r="H75" i="77"/>
  <c r="K74" i="77" a="1"/>
  <c r="H75" i="74"/>
  <c r="K74" i="75" a="1"/>
  <c r="O25" i="84" l="1"/>
  <c r="P25" i="84" s="1"/>
  <c r="Q25" i="84"/>
  <c r="R25" i="84" s="1"/>
  <c r="S25" i="84" s="1"/>
  <c r="O72" i="77"/>
  <c r="O72" i="74"/>
  <c r="M73" i="76"/>
  <c r="O73" i="76" s="1"/>
  <c r="M73" i="77"/>
  <c r="M73" i="74"/>
  <c r="M73" i="75"/>
  <c r="O73" i="75" s="1"/>
  <c r="N73" i="76"/>
  <c r="N73" i="77"/>
  <c r="N73" i="74"/>
  <c r="N73" i="75"/>
  <c r="K74" i="74"/>
  <c r="L74" i="74" s="1"/>
  <c r="J75" i="74"/>
  <c r="B76" i="74"/>
  <c r="J75" i="76"/>
  <c r="K74" i="76"/>
  <c r="L74" i="76" s="1"/>
  <c r="B76" i="76"/>
  <c r="J75" i="75"/>
  <c r="K74" i="75"/>
  <c r="L74" i="75" s="1"/>
  <c r="B76" i="75"/>
  <c r="J75" i="77"/>
  <c r="K74" i="77"/>
  <c r="L74" i="77" s="1"/>
  <c r="B76" i="77"/>
  <c r="I73" i="70"/>
  <c r="J72" i="70"/>
  <c r="H76" i="76"/>
  <c r="I76" i="76"/>
  <c r="H76" i="74"/>
  <c r="I76" i="75"/>
  <c r="I76" i="74"/>
  <c r="M74" i="74" a="1"/>
  <c r="K75" i="75" a="1"/>
  <c r="K75" i="77" a="1"/>
  <c r="H76" i="77"/>
  <c r="M74" i="77" a="1"/>
  <c r="K75" i="76" a="1"/>
  <c r="M74" i="76" a="1"/>
  <c r="H76" i="75"/>
  <c r="M74" i="75" a="1"/>
  <c r="I76" i="77"/>
  <c r="K75" i="74" a="1"/>
  <c r="E26" i="84" l="1"/>
  <c r="O73" i="74"/>
  <c r="O73" i="77"/>
  <c r="M74" i="76"/>
  <c r="O74" i="76" s="1"/>
  <c r="M74" i="74"/>
  <c r="M74" i="75"/>
  <c r="O74" i="75" s="1"/>
  <c r="M74" i="77"/>
  <c r="N74" i="76"/>
  <c r="N74" i="74"/>
  <c r="N74" i="75"/>
  <c r="N74" i="77"/>
  <c r="F26" i="84"/>
  <c r="J76" i="74"/>
  <c r="K75" i="74"/>
  <c r="L75" i="74" s="1"/>
  <c r="B77" i="74"/>
  <c r="K75" i="76"/>
  <c r="L75" i="76" s="1"/>
  <c r="J76" i="76"/>
  <c r="B77" i="76"/>
  <c r="J76" i="75"/>
  <c r="K75" i="75"/>
  <c r="L75" i="75" s="1"/>
  <c r="B77" i="75"/>
  <c r="K75" i="77"/>
  <c r="L75" i="77" s="1"/>
  <c r="J76" i="77"/>
  <c r="B77" i="77"/>
  <c r="I74" i="70"/>
  <c r="J73" i="70"/>
  <c r="M75" i="74" a="1"/>
  <c r="K76" i="75" a="1"/>
  <c r="M75" i="76" a="1"/>
  <c r="I77" i="76"/>
  <c r="H77" i="76"/>
  <c r="K76" i="77" a="1"/>
  <c r="M75" i="75" a="1"/>
  <c r="H77" i="74"/>
  <c r="G26" i="84"/>
  <c r="K76" i="76" a="1"/>
  <c r="I77" i="74"/>
  <c r="I77" i="75"/>
  <c r="I77" i="77"/>
  <c r="H77" i="77"/>
  <c r="K76" i="74" a="1"/>
  <c r="H77" i="75"/>
  <c r="M75" i="77" a="1"/>
  <c r="O74" i="77" l="1"/>
  <c r="O74" i="74"/>
  <c r="M75" i="77"/>
  <c r="M75" i="76"/>
  <c r="O75" i="76" s="1"/>
  <c r="M75" i="74"/>
  <c r="M75" i="75"/>
  <c r="O75" i="75" s="1"/>
  <c r="N75" i="77"/>
  <c r="N75" i="76"/>
  <c r="N75" i="74"/>
  <c r="N75" i="75"/>
  <c r="H26" i="84"/>
  <c r="J26" i="84" s="1"/>
  <c r="K26" i="84" s="1"/>
  <c r="J77" i="74"/>
  <c r="K76" i="74"/>
  <c r="L76" i="74" s="1"/>
  <c r="B78" i="74"/>
  <c r="K76" i="76"/>
  <c r="L76" i="76" s="1"/>
  <c r="J77" i="76"/>
  <c r="B78" i="76"/>
  <c r="J77" i="75"/>
  <c r="K76" i="75"/>
  <c r="L76" i="75" s="1"/>
  <c r="B78" i="75"/>
  <c r="J77" i="77"/>
  <c r="K76" i="77"/>
  <c r="L76" i="77" s="1"/>
  <c r="B78" i="77"/>
  <c r="J74" i="70"/>
  <c r="I75" i="70"/>
  <c r="I78" i="75"/>
  <c r="I78" i="76"/>
  <c r="M76" i="76" a="1"/>
  <c r="K77" i="75" a="1"/>
  <c r="K77" i="77" a="1"/>
  <c r="M76" i="75" a="1"/>
  <c r="H78" i="76"/>
  <c r="H78" i="77"/>
  <c r="K77" i="76" a="1"/>
  <c r="H78" i="74"/>
  <c r="K77" i="74" a="1"/>
  <c r="M76" i="74" a="1"/>
  <c r="H78" i="75"/>
  <c r="M76" i="77" a="1"/>
  <c r="I78" i="77"/>
  <c r="I78" i="74"/>
  <c r="L26" i="84" l="1"/>
  <c r="M26" i="84" s="1"/>
  <c r="O75" i="74"/>
  <c r="O75" i="77"/>
  <c r="M76" i="76"/>
  <c r="O76" i="76" s="1"/>
  <c r="M76" i="74"/>
  <c r="M76" i="77"/>
  <c r="M76" i="75"/>
  <c r="O76" i="75" s="1"/>
  <c r="N76" i="76"/>
  <c r="N76" i="74"/>
  <c r="N76" i="77"/>
  <c r="N76" i="75"/>
  <c r="J78" i="74"/>
  <c r="K77" i="74"/>
  <c r="L77" i="74" s="1"/>
  <c r="B79" i="74"/>
  <c r="J78" i="76"/>
  <c r="K77" i="76"/>
  <c r="L77" i="76" s="1"/>
  <c r="B79" i="76"/>
  <c r="J78" i="75"/>
  <c r="K77" i="75"/>
  <c r="L77" i="75" s="1"/>
  <c r="B79" i="75"/>
  <c r="J78" i="77"/>
  <c r="K77" i="77"/>
  <c r="L77" i="77" s="1"/>
  <c r="B79" i="77"/>
  <c r="I76" i="70"/>
  <c r="J75" i="70"/>
  <c r="K78" i="76" a="1"/>
  <c r="H79" i="77"/>
  <c r="H79" i="74"/>
  <c r="M77" i="76" a="1"/>
  <c r="I79" i="74"/>
  <c r="M77" i="77" a="1"/>
  <c r="H79" i="76"/>
  <c r="M77" i="75" a="1"/>
  <c r="I79" i="76"/>
  <c r="I79" i="77"/>
  <c r="H79" i="75"/>
  <c r="I79" i="75"/>
  <c r="K78" i="75" a="1"/>
  <c r="K78" i="77" a="1"/>
  <c r="M77" i="74" a="1"/>
  <c r="K78" i="74" a="1"/>
  <c r="O26" i="84" l="1"/>
  <c r="E27" i="84" s="1"/>
  <c r="Q26" i="84"/>
  <c r="R26" i="84" s="1"/>
  <c r="S26" i="84" s="1"/>
  <c r="O76" i="77"/>
  <c r="O76" i="74"/>
  <c r="M77" i="74"/>
  <c r="M77" i="77"/>
  <c r="M77" i="75"/>
  <c r="O77" i="75" s="1"/>
  <c r="M77" i="76"/>
  <c r="O77" i="76" s="1"/>
  <c r="N77" i="74"/>
  <c r="N77" i="77"/>
  <c r="N77" i="75"/>
  <c r="N77" i="76"/>
  <c r="K78" i="74"/>
  <c r="L78" i="74" s="1"/>
  <c r="J79" i="74"/>
  <c r="B80" i="74"/>
  <c r="J79" i="76"/>
  <c r="K78" i="76"/>
  <c r="L78" i="76" s="1"/>
  <c r="B80" i="76"/>
  <c r="J79" i="75"/>
  <c r="K78" i="75"/>
  <c r="L78" i="75" s="1"/>
  <c r="B80" i="75"/>
  <c r="J79" i="77"/>
  <c r="K78" i="77"/>
  <c r="L78" i="77" s="1"/>
  <c r="B80" i="77"/>
  <c r="I77" i="70"/>
  <c r="J76" i="70"/>
  <c r="I80" i="75"/>
  <c r="H80" i="76"/>
  <c r="K79" i="74" a="1"/>
  <c r="M78" i="76" a="1"/>
  <c r="H80" i="77"/>
  <c r="H80" i="74"/>
  <c r="K79" i="76" a="1"/>
  <c r="H80" i="75"/>
  <c r="I80" i="76"/>
  <c r="M78" i="74" a="1"/>
  <c r="M78" i="75" a="1"/>
  <c r="I80" i="77"/>
  <c r="I80" i="74"/>
  <c r="K79" i="77" a="1"/>
  <c r="M78" i="77" a="1"/>
  <c r="K79" i="75" a="1"/>
  <c r="P26" i="84" l="1"/>
  <c r="O77" i="77"/>
  <c r="O77" i="74"/>
  <c r="M78" i="77"/>
  <c r="M78" i="76"/>
  <c r="O78" i="76" s="1"/>
  <c r="M78" i="74"/>
  <c r="M78" i="75"/>
  <c r="O78" i="75" s="1"/>
  <c r="N78" i="77"/>
  <c r="N78" i="76"/>
  <c r="N78" i="74"/>
  <c r="N78" i="75"/>
  <c r="F27" i="84"/>
  <c r="J80" i="74"/>
  <c r="K79" i="74"/>
  <c r="L79" i="74" s="1"/>
  <c r="B81" i="74"/>
  <c r="J80" i="76"/>
  <c r="K79" i="76"/>
  <c r="L79" i="76" s="1"/>
  <c r="B81" i="76"/>
  <c r="J80" i="75"/>
  <c r="K79" i="75"/>
  <c r="L79" i="75" s="1"/>
  <c r="B81" i="75"/>
  <c r="J80" i="77"/>
  <c r="K79" i="77"/>
  <c r="L79" i="77" s="1"/>
  <c r="B81" i="77"/>
  <c r="I78" i="70"/>
  <c r="J77" i="70"/>
  <c r="M79" i="74" a="1"/>
  <c r="H81" i="75"/>
  <c r="K80" i="77" a="1"/>
  <c r="H81" i="77"/>
  <c r="I81" i="76"/>
  <c r="M79" i="77" a="1"/>
  <c r="H81" i="76"/>
  <c r="H81" i="74"/>
  <c r="K80" i="76" a="1"/>
  <c r="G27" i="84"/>
  <c r="K80" i="75" a="1"/>
  <c r="K80" i="74" a="1"/>
  <c r="I81" i="77"/>
  <c r="I81" i="75"/>
  <c r="M79" i="76" a="1"/>
  <c r="I81" i="74"/>
  <c r="M79" i="75" a="1"/>
  <c r="O78" i="74" l="1"/>
  <c r="O78" i="77"/>
  <c r="M79" i="76"/>
  <c r="O79" i="76" s="1"/>
  <c r="M79" i="77"/>
  <c r="M79" i="74"/>
  <c r="M79" i="75"/>
  <c r="O79" i="75" s="1"/>
  <c r="N79" i="76"/>
  <c r="N79" i="77"/>
  <c r="N79" i="74"/>
  <c r="N79" i="75"/>
  <c r="H27" i="84"/>
  <c r="J27" i="84" s="1"/>
  <c r="K27" i="84" s="1"/>
  <c r="L27" i="84" s="1"/>
  <c r="J81" i="74"/>
  <c r="K80" i="74"/>
  <c r="L80" i="74" s="1"/>
  <c r="B82" i="74"/>
  <c r="J81" i="76"/>
  <c r="K80" i="76"/>
  <c r="L80" i="76" s="1"/>
  <c r="B82" i="76"/>
  <c r="J81" i="75"/>
  <c r="K80" i="75"/>
  <c r="L80" i="75" s="1"/>
  <c r="B82" i="75"/>
  <c r="K80" i="77"/>
  <c r="L80" i="77" s="1"/>
  <c r="J81" i="77"/>
  <c r="B82" i="77"/>
  <c r="J78" i="70"/>
  <c r="I79" i="70"/>
  <c r="M80" i="74" a="1"/>
  <c r="H82" i="76"/>
  <c r="I82" i="74"/>
  <c r="I82" i="77"/>
  <c r="K81" i="77" a="1"/>
  <c r="K81" i="75" a="1"/>
  <c r="M80" i="76" a="1"/>
  <c r="H82" i="74"/>
  <c r="K81" i="74" a="1"/>
  <c r="H82" i="77"/>
  <c r="I82" i="75"/>
  <c r="K81" i="76" a="1"/>
  <c r="H82" i="75"/>
  <c r="M80" i="77" a="1"/>
  <c r="M80" i="75" a="1"/>
  <c r="I82" i="76"/>
  <c r="O27" i="84" l="1"/>
  <c r="Q27" i="84"/>
  <c r="R27" i="84" s="1"/>
  <c r="O79" i="77"/>
  <c r="O79" i="74"/>
  <c r="M80" i="76"/>
  <c r="O80" i="76" s="1"/>
  <c r="M80" i="77"/>
  <c r="M80" i="74"/>
  <c r="M80" i="75"/>
  <c r="O80" i="75" s="1"/>
  <c r="N80" i="76"/>
  <c r="N80" i="77"/>
  <c r="N80" i="74"/>
  <c r="N80" i="75"/>
  <c r="M27" i="84"/>
  <c r="K81" i="74"/>
  <c r="L81" i="74" s="1"/>
  <c r="J82" i="74"/>
  <c r="B83" i="74"/>
  <c r="J82" i="76"/>
  <c r="K81" i="76"/>
  <c r="L81" i="76" s="1"/>
  <c r="B83" i="76"/>
  <c r="J82" i="75"/>
  <c r="K81" i="75"/>
  <c r="L81" i="75" s="1"/>
  <c r="B83" i="75"/>
  <c r="J82" i="77"/>
  <c r="K81" i="77"/>
  <c r="L81" i="77" s="1"/>
  <c r="B83" i="77"/>
  <c r="I80" i="70"/>
  <c r="J79" i="70"/>
  <c r="H83" i="76"/>
  <c r="K82" i="76" a="1"/>
  <c r="H83" i="74"/>
  <c r="M81" i="76" a="1"/>
  <c r="I83" i="75"/>
  <c r="I83" i="74"/>
  <c r="I83" i="77"/>
  <c r="H83" i="75"/>
  <c r="M81" i="74" a="1"/>
  <c r="I83" i="76"/>
  <c r="H83" i="77"/>
  <c r="M81" i="75" a="1"/>
  <c r="K82" i="75" a="1"/>
  <c r="M81" i="77" a="1"/>
  <c r="K82" i="77" a="1"/>
  <c r="K82" i="74" a="1"/>
  <c r="O80" i="74" l="1"/>
  <c r="O80" i="77"/>
  <c r="M81" i="77"/>
  <c r="M81" i="74"/>
  <c r="M81" i="76"/>
  <c r="O81" i="76" s="1"/>
  <c r="M81" i="75"/>
  <c r="O81" i="75" s="1"/>
  <c r="N81" i="77"/>
  <c r="N81" i="74"/>
  <c r="N81" i="76"/>
  <c r="N81" i="75"/>
  <c r="S27" i="84"/>
  <c r="E28" i="84"/>
  <c r="P27" i="84"/>
  <c r="K82" i="74"/>
  <c r="L82" i="74" s="1"/>
  <c r="J83" i="74"/>
  <c r="B84" i="74"/>
  <c r="J83" i="76"/>
  <c r="K82" i="76"/>
  <c r="L82" i="76" s="1"/>
  <c r="B84" i="76"/>
  <c r="J83" i="75"/>
  <c r="K82" i="75"/>
  <c r="L82" i="75" s="1"/>
  <c r="B84" i="75"/>
  <c r="J83" i="77"/>
  <c r="K82" i="77"/>
  <c r="L82" i="77" s="1"/>
  <c r="B84" i="77"/>
  <c r="I81" i="70"/>
  <c r="J80" i="70"/>
  <c r="K83" i="75" a="1"/>
  <c r="I84" i="74"/>
  <c r="M82" i="75" a="1"/>
  <c r="M82" i="74" a="1"/>
  <c r="H84" i="75"/>
  <c r="H84" i="74"/>
  <c r="I84" i="75"/>
  <c r="M82" i="77" a="1"/>
  <c r="K83" i="76" a="1"/>
  <c r="I84" i="76"/>
  <c r="M82" i="76" a="1"/>
  <c r="I84" i="77"/>
  <c r="K83" i="77" a="1"/>
  <c r="H84" i="77"/>
  <c r="K83" i="74" a="1"/>
  <c r="H84" i="76"/>
  <c r="O81" i="74" l="1"/>
  <c r="O81" i="77"/>
  <c r="M82" i="76"/>
  <c r="O82" i="76" s="1"/>
  <c r="M82" i="77"/>
  <c r="M82" i="74"/>
  <c r="M82" i="75"/>
  <c r="O82" i="75" s="1"/>
  <c r="N82" i="76"/>
  <c r="N82" i="77"/>
  <c r="N82" i="74"/>
  <c r="N82" i="75"/>
  <c r="F28" i="84"/>
  <c r="K83" i="74"/>
  <c r="L83" i="74" s="1"/>
  <c r="J84" i="74"/>
  <c r="B85" i="74"/>
  <c r="J84" i="76"/>
  <c r="K83" i="76"/>
  <c r="L83" i="76" s="1"/>
  <c r="B85" i="76"/>
  <c r="J84" i="75"/>
  <c r="K83" i="75"/>
  <c r="L83" i="75" s="1"/>
  <c r="B85" i="75"/>
  <c r="J84" i="77"/>
  <c r="K83" i="77"/>
  <c r="L83" i="77" s="1"/>
  <c r="B85" i="77"/>
  <c r="I82" i="70"/>
  <c r="J81" i="70"/>
  <c r="I85" i="76"/>
  <c r="I85" i="77"/>
  <c r="H85" i="77"/>
  <c r="I85" i="74"/>
  <c r="K84" i="76" a="1"/>
  <c r="M83" i="74" a="1"/>
  <c r="H85" i="75"/>
  <c r="I85" i="75"/>
  <c r="G28" i="84"/>
  <c r="H85" i="76"/>
  <c r="K84" i="74" a="1"/>
  <c r="M83" i="77" a="1"/>
  <c r="H85" i="74"/>
  <c r="K84" i="77" a="1"/>
  <c r="M83" i="75" a="1"/>
  <c r="K84" i="75" a="1"/>
  <c r="M83" i="76" a="1"/>
  <c r="O82" i="74" l="1"/>
  <c r="O82" i="77"/>
  <c r="M83" i="76"/>
  <c r="O83" i="76" s="1"/>
  <c r="M83" i="77"/>
  <c r="O83" i="77" s="1"/>
  <c r="M83" i="74"/>
  <c r="M83" i="75"/>
  <c r="O83" i="75" s="1"/>
  <c r="N83" i="76"/>
  <c r="N83" i="77"/>
  <c r="N83" i="74"/>
  <c r="N83" i="75"/>
  <c r="H28" i="84"/>
  <c r="J28" i="84" s="1"/>
  <c r="K28" i="84" s="1"/>
  <c r="J85" i="74"/>
  <c r="K84" i="74"/>
  <c r="L84" i="74" s="1"/>
  <c r="B86" i="74"/>
  <c r="J85" i="76"/>
  <c r="K84" i="76"/>
  <c r="L84" i="76" s="1"/>
  <c r="B86" i="76"/>
  <c r="J85" i="75"/>
  <c r="K84" i="75"/>
  <c r="L84" i="75" s="1"/>
  <c r="B86" i="75"/>
  <c r="J85" i="77"/>
  <c r="K84" i="77"/>
  <c r="L84" i="77" s="1"/>
  <c r="B86" i="77"/>
  <c r="J82" i="70"/>
  <c r="I83" i="70"/>
  <c r="H86" i="76"/>
  <c r="I86" i="76"/>
  <c r="I86" i="77"/>
  <c r="K85" i="76" a="1"/>
  <c r="K85" i="74" a="1"/>
  <c r="K85" i="75" a="1"/>
  <c r="H86" i="75"/>
  <c r="M84" i="75" a="1"/>
  <c r="M84" i="76" a="1"/>
  <c r="I86" i="74"/>
  <c r="M84" i="74" a="1"/>
  <c r="I86" i="75"/>
  <c r="H86" i="74"/>
  <c r="H86" i="77"/>
  <c r="K85" i="77" a="1"/>
  <c r="M84" i="77" a="1"/>
  <c r="L28" i="84" l="1"/>
  <c r="O83" i="74"/>
  <c r="M84" i="75"/>
  <c r="O84" i="75" s="1"/>
  <c r="M84" i="76"/>
  <c r="O84" i="76" s="1"/>
  <c r="M84" i="77"/>
  <c r="O84" i="77" s="1"/>
  <c r="M84" i="74"/>
  <c r="N84" i="75"/>
  <c r="N84" i="76"/>
  <c r="N84" i="77"/>
  <c r="N84" i="74"/>
  <c r="M28" i="84"/>
  <c r="J86" i="74"/>
  <c r="K85" i="74"/>
  <c r="L85" i="74" s="1"/>
  <c r="B87" i="74"/>
  <c r="J86" i="76"/>
  <c r="K85" i="76"/>
  <c r="L85" i="76" s="1"/>
  <c r="B87" i="76"/>
  <c r="J86" i="75"/>
  <c r="K85" i="75"/>
  <c r="L85" i="75" s="1"/>
  <c r="B87" i="75"/>
  <c r="J86" i="77"/>
  <c r="K85" i="77"/>
  <c r="L85" i="77" s="1"/>
  <c r="B87" i="77"/>
  <c r="I84" i="70"/>
  <c r="J83" i="70"/>
  <c r="K86" i="74" a="1"/>
  <c r="H87" i="75"/>
  <c r="K86" i="77" a="1"/>
  <c r="K86" i="75" a="1"/>
  <c r="H87" i="76"/>
  <c r="M85" i="75" a="1"/>
  <c r="M85" i="76" a="1"/>
  <c r="I87" i="74"/>
  <c r="I87" i="75"/>
  <c r="I87" i="77"/>
  <c r="H87" i="77"/>
  <c r="I87" i="76"/>
  <c r="K86" i="76" a="1"/>
  <c r="M85" i="77" a="1"/>
  <c r="M85" i="74" a="1"/>
  <c r="H87" i="74"/>
  <c r="O28" i="84" l="1"/>
  <c r="E29" i="84" s="1"/>
  <c r="Q28" i="84"/>
  <c r="R28" i="84" s="1"/>
  <c r="S28" i="84" s="1"/>
  <c r="O84" i="74"/>
  <c r="M85" i="74"/>
  <c r="M85" i="76"/>
  <c r="O85" i="76" s="1"/>
  <c r="M85" i="77"/>
  <c r="O85" i="77" s="1"/>
  <c r="M85" i="75"/>
  <c r="O85" i="75" s="1"/>
  <c r="N85" i="74"/>
  <c r="N85" i="76"/>
  <c r="N85" i="77"/>
  <c r="N85" i="75"/>
  <c r="J87" i="74"/>
  <c r="K86" i="74"/>
  <c r="L86" i="74" s="1"/>
  <c r="B88" i="74"/>
  <c r="J87" i="76"/>
  <c r="K86" i="76"/>
  <c r="L86" i="76" s="1"/>
  <c r="B88" i="76"/>
  <c r="J87" i="75"/>
  <c r="K86" i="75"/>
  <c r="L86" i="75" s="1"/>
  <c r="B88" i="75"/>
  <c r="J87" i="77"/>
  <c r="K86" i="77"/>
  <c r="L86" i="77" s="1"/>
  <c r="B88" i="77"/>
  <c r="I85" i="70"/>
  <c r="J84" i="70"/>
  <c r="I88" i="76"/>
  <c r="M86" i="77" a="1"/>
  <c r="I88" i="74"/>
  <c r="M86" i="76" a="1"/>
  <c r="K87" i="74" a="1"/>
  <c r="K87" i="77" a="1"/>
  <c r="H88" i="75"/>
  <c r="I88" i="77"/>
  <c r="M86" i="74" a="1"/>
  <c r="I88" i="75"/>
  <c r="K87" i="75" a="1"/>
  <c r="M86" i="75" a="1"/>
  <c r="H88" i="74"/>
  <c r="H88" i="76"/>
  <c r="K87" i="76" a="1"/>
  <c r="H88" i="77"/>
  <c r="P28" i="84" l="1"/>
  <c r="O85" i="74"/>
  <c r="M86" i="77"/>
  <c r="O86" i="77" s="1"/>
  <c r="M86" i="76"/>
  <c r="O86" i="76" s="1"/>
  <c r="M86" i="75"/>
  <c r="O86" i="75" s="1"/>
  <c r="M86" i="74"/>
  <c r="N86" i="77"/>
  <c r="N86" i="76"/>
  <c r="N86" i="75"/>
  <c r="N86" i="74"/>
  <c r="F29" i="84"/>
  <c r="J88" i="74"/>
  <c r="K87" i="74"/>
  <c r="L87" i="74" s="1"/>
  <c r="B89" i="74"/>
  <c r="J88" i="76"/>
  <c r="K87" i="76"/>
  <c r="L87" i="76" s="1"/>
  <c r="B89" i="76"/>
  <c r="J88" i="75"/>
  <c r="K87" i="75"/>
  <c r="L87" i="75" s="1"/>
  <c r="B89" i="75"/>
  <c r="J88" i="77"/>
  <c r="K87" i="77"/>
  <c r="L87" i="77" s="1"/>
  <c r="B89" i="77"/>
  <c r="I86" i="70"/>
  <c r="J85" i="70"/>
  <c r="I89" i="77"/>
  <c r="K88" i="75" a="1"/>
  <c r="K88" i="74" a="1"/>
  <c r="I89" i="74"/>
  <c r="I89" i="75"/>
  <c r="M87" i="75" a="1"/>
  <c r="H89" i="74"/>
  <c r="H89" i="77"/>
  <c r="K88" i="76" a="1"/>
  <c r="I89" i="76"/>
  <c r="G29" i="84"/>
  <c r="H89" i="75"/>
  <c r="M87" i="77" a="1"/>
  <c r="K88" i="77" a="1"/>
  <c r="H89" i="76"/>
  <c r="M87" i="74" a="1"/>
  <c r="M87" i="76" a="1"/>
  <c r="O86" i="74" l="1"/>
  <c r="M87" i="77"/>
  <c r="O87" i="77" s="1"/>
  <c r="M87" i="74"/>
  <c r="M87" i="76"/>
  <c r="O87" i="76" s="1"/>
  <c r="M87" i="75"/>
  <c r="O87" i="75" s="1"/>
  <c r="N87" i="77"/>
  <c r="N87" i="74"/>
  <c r="N87" i="76"/>
  <c r="N87" i="75"/>
  <c r="H29" i="84"/>
  <c r="J29" i="84" s="1"/>
  <c r="K29" i="84" s="1"/>
  <c r="J89" i="74"/>
  <c r="K88" i="74"/>
  <c r="L88" i="74" s="1"/>
  <c r="B90" i="74"/>
  <c r="J89" i="76"/>
  <c r="K88" i="76"/>
  <c r="L88" i="76" s="1"/>
  <c r="B90" i="76"/>
  <c r="J89" i="75"/>
  <c r="K88" i="75"/>
  <c r="L88" i="75" s="1"/>
  <c r="B90" i="75"/>
  <c r="J89" i="77"/>
  <c r="K88" i="77"/>
  <c r="L88" i="77" s="1"/>
  <c r="B90" i="77"/>
  <c r="J86" i="70"/>
  <c r="I87" i="70"/>
  <c r="K89" i="75" a="1"/>
  <c r="K89" i="74" a="1"/>
  <c r="O13" i="70" a="1"/>
  <c r="I90" i="75"/>
  <c r="H90" i="76"/>
  <c r="H90" i="75"/>
  <c r="M88" i="76" a="1"/>
  <c r="M88" i="74" a="1"/>
  <c r="I90" i="77"/>
  <c r="H90" i="77"/>
  <c r="K89" i="77" a="1"/>
  <c r="K89" i="76" a="1"/>
  <c r="I90" i="76"/>
  <c r="I90" i="74"/>
  <c r="M88" i="75" a="1"/>
  <c r="M88" i="77" a="1"/>
  <c r="H90" i="74"/>
  <c r="L29" i="84" l="1"/>
  <c r="M29" i="84" s="1"/>
  <c r="O87" i="74"/>
  <c r="M88" i="75"/>
  <c r="O88" i="75" s="1"/>
  <c r="M88" i="77"/>
  <c r="O88" i="77" s="1"/>
  <c r="M88" i="76"/>
  <c r="O88" i="76" s="1"/>
  <c r="M88" i="74"/>
  <c r="O88" i="74" s="1"/>
  <c r="N88" i="75"/>
  <c r="N88" i="77"/>
  <c r="N88" i="76"/>
  <c r="N88" i="74"/>
  <c r="O13" i="70"/>
  <c r="J90" i="74"/>
  <c r="K89" i="74"/>
  <c r="L89" i="74" s="1"/>
  <c r="B91" i="74"/>
  <c r="J90" i="76"/>
  <c r="K89" i="76"/>
  <c r="L89" i="76" s="1"/>
  <c r="B91" i="76"/>
  <c r="J90" i="75"/>
  <c r="K89" i="75"/>
  <c r="L89" i="75" s="1"/>
  <c r="B91" i="75"/>
  <c r="J90" i="77"/>
  <c r="K89" i="77"/>
  <c r="L89" i="77" s="1"/>
  <c r="B91" i="77"/>
  <c r="J87" i="70"/>
  <c r="I88" i="70"/>
  <c r="O21" i="70" a="1"/>
  <c r="K90" i="74" a="1"/>
  <c r="H91" i="77"/>
  <c r="H91" i="76"/>
  <c r="K90" i="77" a="1"/>
  <c r="I91" i="77"/>
  <c r="H91" i="74"/>
  <c r="O20" i="70" a="1"/>
  <c r="I91" i="75"/>
  <c r="M89" i="77" a="1"/>
  <c r="K90" i="75" a="1"/>
  <c r="M89" i="74" a="1"/>
  <c r="I91" i="76"/>
  <c r="K90" i="76" a="1"/>
  <c r="M89" i="76" a="1"/>
  <c r="H91" i="75"/>
  <c r="I91" i="74"/>
  <c r="M89" i="75" a="1"/>
  <c r="O29" i="84" l="1"/>
  <c r="E30" i="84" s="1"/>
  <c r="Q29" i="84"/>
  <c r="R29" i="84" s="1"/>
  <c r="M89" i="76"/>
  <c r="O89" i="76" s="1"/>
  <c r="M89" i="77"/>
  <c r="O89" i="77" s="1"/>
  <c r="M89" i="75"/>
  <c r="O89" i="75" s="1"/>
  <c r="M89" i="74"/>
  <c r="O89" i="74" s="1"/>
  <c r="N89" i="76"/>
  <c r="N89" i="77"/>
  <c r="N89" i="75"/>
  <c r="N89" i="74"/>
  <c r="O21" i="70"/>
  <c r="O20" i="70"/>
  <c r="S29" i="84"/>
  <c r="K90" i="74"/>
  <c r="L90" i="74" s="1"/>
  <c r="J91" i="74"/>
  <c r="B92" i="74"/>
  <c r="J91" i="76"/>
  <c r="K90" i="76"/>
  <c r="L90" i="76" s="1"/>
  <c r="B92" i="76"/>
  <c r="J91" i="75"/>
  <c r="K90" i="75"/>
  <c r="L90" i="75" s="1"/>
  <c r="B92" i="75"/>
  <c r="J91" i="77"/>
  <c r="K90" i="77"/>
  <c r="L90" i="77" s="1"/>
  <c r="B92" i="77"/>
  <c r="I89" i="70"/>
  <c r="J88" i="70"/>
  <c r="K91" i="75" a="1"/>
  <c r="O25" i="70" a="1"/>
  <c r="H92" i="76"/>
  <c r="M90" i="76" a="1"/>
  <c r="K91" i="76" a="1"/>
  <c r="I92" i="76"/>
  <c r="I92" i="75"/>
  <c r="K91" i="74" a="1"/>
  <c r="M90" i="74" a="1"/>
  <c r="I92" i="77"/>
  <c r="M90" i="75" a="1"/>
  <c r="I92" i="74"/>
  <c r="O22" i="70" a="1"/>
  <c r="K91" i="77" a="1"/>
  <c r="H92" i="75"/>
  <c r="H92" i="74"/>
  <c r="H92" i="77"/>
  <c r="M90" i="77" a="1"/>
  <c r="P29" i="84" l="1"/>
  <c r="M90" i="77"/>
  <c r="O90" i="77" s="1"/>
  <c r="M90" i="74"/>
  <c r="O90" i="74" s="1"/>
  <c r="M90" i="75"/>
  <c r="O90" i="75" s="1"/>
  <c r="M90" i="76"/>
  <c r="O90" i="76" s="1"/>
  <c r="N90" i="77"/>
  <c r="N90" i="74"/>
  <c r="N90" i="75"/>
  <c r="N90" i="76"/>
  <c r="O25" i="70"/>
  <c r="O22" i="70"/>
  <c r="F30" i="84"/>
  <c r="J92" i="74"/>
  <c r="K91" i="74"/>
  <c r="L91" i="74" s="1"/>
  <c r="B93" i="74"/>
  <c r="J92" i="76"/>
  <c r="K91" i="76"/>
  <c r="L91" i="76" s="1"/>
  <c r="B93" i="76"/>
  <c r="J92" i="75"/>
  <c r="K91" i="75"/>
  <c r="L91" i="75" s="1"/>
  <c r="B93" i="75"/>
  <c r="J92" i="77"/>
  <c r="K91" i="77"/>
  <c r="L91" i="77" s="1"/>
  <c r="B93" i="77"/>
  <c r="I90" i="70"/>
  <c r="J89" i="70"/>
  <c r="I93" i="77"/>
  <c r="M91" i="75" a="1"/>
  <c r="K92" i="75" a="1"/>
  <c r="K92" i="74" a="1"/>
  <c r="M91" i="77" a="1"/>
  <c r="I93" i="76"/>
  <c r="M91" i="74" a="1"/>
  <c r="H93" i="77"/>
  <c r="O27" i="70" a="1"/>
  <c r="K92" i="77" a="1"/>
  <c r="M91" i="76" a="1"/>
  <c r="H93" i="75"/>
  <c r="I93" i="74"/>
  <c r="O23" i="70" a="1"/>
  <c r="I93" i="75"/>
  <c r="H93" i="76"/>
  <c r="H93" i="74"/>
  <c r="K92" i="76" a="1"/>
  <c r="G30" i="84"/>
  <c r="M91" i="77" l="1"/>
  <c r="M91" i="74"/>
  <c r="O91" i="74" s="1"/>
  <c r="M91" i="76"/>
  <c r="O91" i="76" s="1"/>
  <c r="M91" i="75"/>
  <c r="O91" i="75" s="1"/>
  <c r="N91" i="77"/>
  <c r="N91" i="74"/>
  <c r="N91" i="76"/>
  <c r="N91" i="75"/>
  <c r="O23" i="70"/>
  <c r="O27" i="70"/>
  <c r="H30" i="84"/>
  <c r="J30" i="84" s="1"/>
  <c r="K30" i="84" s="1"/>
  <c r="K92" i="74"/>
  <c r="L92" i="74" s="1"/>
  <c r="J93" i="74"/>
  <c r="B94" i="74"/>
  <c r="J93" i="76"/>
  <c r="K92" i="76"/>
  <c r="L92" i="76" s="1"/>
  <c r="B94" i="76"/>
  <c r="J93" i="75"/>
  <c r="K92" i="75"/>
  <c r="L92" i="75" s="1"/>
  <c r="B94" i="75"/>
  <c r="J93" i="77"/>
  <c r="K92" i="77"/>
  <c r="L92" i="77" s="1"/>
  <c r="B94" i="77"/>
  <c r="J90" i="70"/>
  <c r="I91" i="70"/>
  <c r="M92" i="77" a="1"/>
  <c r="I94" i="76"/>
  <c r="H94" i="76"/>
  <c r="H94" i="75"/>
  <c r="H94" i="77"/>
  <c r="H94" i="74"/>
  <c r="K93" i="77" a="1"/>
  <c r="K93" i="76" a="1"/>
  <c r="M92" i="74" a="1"/>
  <c r="I94" i="74"/>
  <c r="M92" i="76" a="1"/>
  <c r="F125" i="77" a="1"/>
  <c r="I94" i="77"/>
  <c r="M92" i="75" a="1"/>
  <c r="I94" i="75"/>
  <c r="K93" i="75" a="1"/>
  <c r="O18" i="70" a="1"/>
  <c r="K93" i="74" a="1"/>
  <c r="F125" i="77" l="1"/>
  <c r="F136" i="77" s="1"/>
  <c r="H17" i="78" s="1"/>
  <c r="O91" i="77"/>
  <c r="L30" i="84"/>
  <c r="M92" i="76"/>
  <c r="O92" i="76" s="1"/>
  <c r="M92" i="77"/>
  <c r="O92" i="77" s="1"/>
  <c r="M92" i="74"/>
  <c r="O92" i="74" s="1"/>
  <c r="M92" i="75"/>
  <c r="O92" i="75" s="1"/>
  <c r="N92" i="76"/>
  <c r="N92" i="77"/>
  <c r="N92" i="74"/>
  <c r="N92" i="75"/>
  <c r="O18" i="70"/>
  <c r="J94" i="74"/>
  <c r="K93" i="74"/>
  <c r="L93" i="74" s="1"/>
  <c r="B95" i="74"/>
  <c r="J94" i="76"/>
  <c r="K93" i="76"/>
  <c r="L93" i="76" s="1"/>
  <c r="B95" i="76"/>
  <c r="K93" i="75"/>
  <c r="L93" i="75" s="1"/>
  <c r="J94" i="75"/>
  <c r="B95" i="75"/>
  <c r="J94" i="77"/>
  <c r="K93" i="77"/>
  <c r="L93" i="77" s="1"/>
  <c r="B95" i="77"/>
  <c r="J91" i="70"/>
  <c r="I92" i="70"/>
  <c r="I95" i="76"/>
  <c r="H95" i="75"/>
  <c r="M93" i="76" a="1"/>
  <c r="H95" i="76"/>
  <c r="K94" i="77" a="1"/>
  <c r="H95" i="77"/>
  <c r="I95" i="75"/>
  <c r="H95" i="74"/>
  <c r="M93" i="77" a="1"/>
  <c r="K94" i="76" a="1"/>
  <c r="I95" i="74"/>
  <c r="M93" i="74" a="1"/>
  <c r="K94" i="75" a="1"/>
  <c r="M93" i="75" a="1"/>
  <c r="K94" i="74" a="1"/>
  <c r="I95" i="77"/>
  <c r="O30" i="84" l="1"/>
  <c r="E31" i="84" s="1"/>
  <c r="Q30" i="84"/>
  <c r="R30" i="84" s="1"/>
  <c r="S30" i="84" s="1"/>
  <c r="M30" i="84"/>
  <c r="M93" i="76"/>
  <c r="O93" i="76" s="1"/>
  <c r="M93" i="77"/>
  <c r="O93" i="77" s="1"/>
  <c r="M93" i="74"/>
  <c r="O93" i="74" s="1"/>
  <c r="M93" i="75"/>
  <c r="O93" i="75" s="1"/>
  <c r="N93" i="76"/>
  <c r="N93" i="77"/>
  <c r="N93" i="74"/>
  <c r="N93" i="75"/>
  <c r="J95" i="74"/>
  <c r="K94" i="74"/>
  <c r="L94" i="74" s="1"/>
  <c r="B96" i="74"/>
  <c r="J95" i="76"/>
  <c r="K94" i="76"/>
  <c r="L94" i="76" s="1"/>
  <c r="B96" i="76"/>
  <c r="J95" i="75"/>
  <c r="K94" i="75"/>
  <c r="L94" i="75" s="1"/>
  <c r="B96" i="75"/>
  <c r="J95" i="77"/>
  <c r="K94" i="77"/>
  <c r="L94" i="77" s="1"/>
  <c r="B96" i="77"/>
  <c r="I93" i="70"/>
  <c r="J92" i="70"/>
  <c r="M94" i="74" a="1"/>
  <c r="M94" i="77" a="1"/>
  <c r="K95" i="76" a="1"/>
  <c r="H96" i="76"/>
  <c r="K95" i="75" a="1"/>
  <c r="H96" i="75"/>
  <c r="M94" i="75" a="1"/>
  <c r="I96" i="77"/>
  <c r="H96" i="77"/>
  <c r="I96" i="75"/>
  <c r="K95" i="74" a="1"/>
  <c r="H96" i="74"/>
  <c r="K95" i="77" a="1"/>
  <c r="I96" i="76"/>
  <c r="M94" i="76" a="1"/>
  <c r="I96" i="74"/>
  <c r="P30" i="84" l="1"/>
  <c r="M94" i="76"/>
  <c r="O94" i="76" s="1"/>
  <c r="M94" i="77"/>
  <c r="O94" i="77" s="1"/>
  <c r="M94" i="75"/>
  <c r="O94" i="75" s="1"/>
  <c r="M94" i="74"/>
  <c r="O94" i="74" s="1"/>
  <c r="N94" i="76"/>
  <c r="N94" i="77"/>
  <c r="N94" i="75"/>
  <c r="N94" i="74"/>
  <c r="F31" i="84"/>
  <c r="J96" i="74"/>
  <c r="K95" i="74"/>
  <c r="L95" i="74" s="1"/>
  <c r="B97" i="74"/>
  <c r="J96" i="76"/>
  <c r="K95" i="76"/>
  <c r="L95" i="76" s="1"/>
  <c r="B97" i="76"/>
  <c r="J96" i="75"/>
  <c r="K95" i="75"/>
  <c r="L95" i="75" s="1"/>
  <c r="B97" i="75"/>
  <c r="J96" i="77"/>
  <c r="K95" i="77"/>
  <c r="L95" i="77" s="1"/>
  <c r="B97" i="77"/>
  <c r="I94" i="70"/>
  <c r="J93" i="70"/>
  <c r="K96" i="76" a="1"/>
  <c r="I97" i="75"/>
  <c r="I97" i="74"/>
  <c r="K96" i="75" a="1"/>
  <c r="M95" i="75" a="1"/>
  <c r="I97" i="77"/>
  <c r="K96" i="77" a="1"/>
  <c r="H97" i="75"/>
  <c r="H97" i="74"/>
  <c r="H97" i="76"/>
  <c r="I97" i="76"/>
  <c r="G31" i="84"/>
  <c r="M95" i="76" a="1"/>
  <c r="M95" i="74" a="1"/>
  <c r="H97" i="77"/>
  <c r="M95" i="77" a="1"/>
  <c r="K96" i="74" a="1"/>
  <c r="M95" i="76" l="1"/>
  <c r="O95" i="76" s="1"/>
  <c r="M95" i="77"/>
  <c r="O95" i="77" s="1"/>
  <c r="M95" i="74"/>
  <c r="O95" i="74" s="1"/>
  <c r="M95" i="75"/>
  <c r="O95" i="75" s="1"/>
  <c r="N95" i="76"/>
  <c r="N95" i="77"/>
  <c r="N95" i="74"/>
  <c r="N95" i="75"/>
  <c r="H31" i="84"/>
  <c r="J31" i="84" s="1"/>
  <c r="K31" i="84" s="1"/>
  <c r="L31" i="84" s="1"/>
  <c r="K96" i="74"/>
  <c r="L96" i="74" s="1"/>
  <c r="J97" i="74"/>
  <c r="B98" i="74"/>
  <c r="J97" i="76"/>
  <c r="K96" i="76"/>
  <c r="L96" i="76" s="1"/>
  <c r="B98" i="76"/>
  <c r="J97" i="75"/>
  <c r="K96" i="75"/>
  <c r="L96" i="75" s="1"/>
  <c r="B98" i="75"/>
  <c r="J97" i="77"/>
  <c r="K96" i="77"/>
  <c r="L96" i="77" s="1"/>
  <c r="B98" i="77"/>
  <c r="J94" i="70"/>
  <c r="I95" i="70"/>
  <c r="K97" i="75" a="1"/>
  <c r="I98" i="74"/>
  <c r="K97" i="77" a="1"/>
  <c r="H98" i="74"/>
  <c r="H98" i="77"/>
  <c r="H98" i="76"/>
  <c r="I98" i="77"/>
  <c r="I98" i="76"/>
  <c r="H98" i="75"/>
  <c r="K97" i="76" a="1"/>
  <c r="M96" i="74" a="1"/>
  <c r="M96" i="77" a="1"/>
  <c r="I98" i="75"/>
  <c r="M96" i="75" a="1"/>
  <c r="M96" i="76" a="1"/>
  <c r="K97" i="74" a="1"/>
  <c r="O31" i="84" l="1"/>
  <c r="Q31" i="84"/>
  <c r="R31" i="84" s="1"/>
  <c r="M96" i="76"/>
  <c r="O96" i="76" s="1"/>
  <c r="M96" i="77"/>
  <c r="O96" i="77" s="1"/>
  <c r="M96" i="74"/>
  <c r="O96" i="74" s="1"/>
  <c r="M96" i="75"/>
  <c r="O96" i="75" s="1"/>
  <c r="N96" i="76"/>
  <c r="N96" i="77"/>
  <c r="N96" i="74"/>
  <c r="N96" i="75"/>
  <c r="M31" i="84"/>
  <c r="J98" i="74"/>
  <c r="K97" i="74"/>
  <c r="L97" i="74" s="1"/>
  <c r="B99" i="74"/>
  <c r="J98" i="76"/>
  <c r="K97" i="76"/>
  <c r="L97" i="76" s="1"/>
  <c r="B99" i="76"/>
  <c r="J98" i="75"/>
  <c r="K97" i="75"/>
  <c r="L97" i="75" s="1"/>
  <c r="B99" i="75"/>
  <c r="J98" i="77"/>
  <c r="K97" i="77"/>
  <c r="L97" i="77" s="1"/>
  <c r="B99" i="77"/>
  <c r="J95" i="70"/>
  <c r="I96" i="70"/>
  <c r="K98" i="77" a="1"/>
  <c r="K98" i="75" a="1"/>
  <c r="H99" i="77"/>
  <c r="I99" i="77"/>
  <c r="I99" i="74"/>
  <c r="M97" i="74" a="1"/>
  <c r="K98" i="76" a="1"/>
  <c r="M97" i="76" a="1"/>
  <c r="H99" i="74"/>
  <c r="H99" i="76"/>
  <c r="F131" i="75" a="1"/>
  <c r="M97" i="77" a="1"/>
  <c r="M97" i="75" a="1"/>
  <c r="H99" i="75"/>
  <c r="K98" i="74" a="1"/>
  <c r="I99" i="75"/>
  <c r="I99" i="76"/>
  <c r="F131" i="75" l="1"/>
  <c r="F138" i="75" s="1"/>
  <c r="M97" i="77"/>
  <c r="O97" i="77" s="1"/>
  <c r="M97" i="76"/>
  <c r="M97" i="74"/>
  <c r="O97" i="74" s="1"/>
  <c r="M97" i="75"/>
  <c r="N97" i="77"/>
  <c r="N97" i="76"/>
  <c r="N97" i="74"/>
  <c r="N97" i="75"/>
  <c r="S31" i="84"/>
  <c r="E32" i="84"/>
  <c r="P31" i="84"/>
  <c r="J99" i="74"/>
  <c r="K98" i="74"/>
  <c r="L98" i="74" s="1"/>
  <c r="B100" i="74"/>
  <c r="J99" i="76"/>
  <c r="K98" i="76"/>
  <c r="L98" i="76" s="1"/>
  <c r="B100" i="76"/>
  <c r="J99" i="75"/>
  <c r="K98" i="75"/>
  <c r="L98" i="75" s="1"/>
  <c r="B100" i="75"/>
  <c r="J99" i="77"/>
  <c r="K98" i="77"/>
  <c r="L98" i="77" s="1"/>
  <c r="B100" i="77"/>
  <c r="I97" i="70"/>
  <c r="J96" i="70"/>
  <c r="H100" i="76"/>
  <c r="I100" i="77"/>
  <c r="F124" i="75" a="1"/>
  <c r="H100" i="74"/>
  <c r="M98" i="76" a="1"/>
  <c r="K99" i="76" a="1"/>
  <c r="F131" i="77" a="1"/>
  <c r="F130" i="77" a="1"/>
  <c r="H100" i="75"/>
  <c r="I100" i="74"/>
  <c r="K99" i="77" a="1"/>
  <c r="M98" i="77" a="1"/>
  <c r="M98" i="74" a="1"/>
  <c r="F130" i="75" a="1"/>
  <c r="K99" i="75" a="1"/>
  <c r="M98" i="75" a="1"/>
  <c r="K99" i="74" a="1"/>
  <c r="I100" i="75"/>
  <c r="I100" i="76"/>
  <c r="H100" i="77"/>
  <c r="F130" i="76" a="1"/>
  <c r="F138" i="76" l="1"/>
  <c r="F131" i="77"/>
  <c r="F138" i="77" s="1"/>
  <c r="F130" i="75"/>
  <c r="F130" i="77"/>
  <c r="F124" i="75"/>
  <c r="F12" i="78" s="1"/>
  <c r="F130" i="76"/>
  <c r="G12" i="78"/>
  <c r="O97" i="75"/>
  <c r="O97" i="76"/>
  <c r="M98" i="76"/>
  <c r="O98" i="76" s="1"/>
  <c r="M98" i="77"/>
  <c r="M98" i="74"/>
  <c r="M98" i="75"/>
  <c r="O98" i="75" s="1"/>
  <c r="N98" i="76"/>
  <c r="N98" i="77"/>
  <c r="N98" i="74"/>
  <c r="N98" i="75"/>
  <c r="F32" i="84"/>
  <c r="J100" i="74"/>
  <c r="K99" i="74"/>
  <c r="L99" i="74" s="1"/>
  <c r="B101" i="74"/>
  <c r="J100" i="76"/>
  <c r="G15" i="78"/>
  <c r="K99" i="76"/>
  <c r="L99" i="76" s="1"/>
  <c r="B101" i="76"/>
  <c r="F15" i="78"/>
  <c r="J100" i="75"/>
  <c r="K99" i="75"/>
  <c r="L99" i="75" s="1"/>
  <c r="B101" i="75"/>
  <c r="J100" i="77"/>
  <c r="K99" i="77"/>
  <c r="L99" i="77" s="1"/>
  <c r="B101" i="77"/>
  <c r="I98" i="70"/>
  <c r="J98" i="70" s="1"/>
  <c r="J97" i="70"/>
  <c r="I101" i="74"/>
  <c r="G32" i="84"/>
  <c r="H101" i="76"/>
  <c r="F131" i="74" a="1"/>
  <c r="K100" i="77" a="1"/>
  <c r="I138" i="77" a="1"/>
  <c r="I101" i="77"/>
  <c r="F124" i="77" a="1"/>
  <c r="M99" i="75" a="1"/>
  <c r="M99" i="74" a="1"/>
  <c r="H101" i="77"/>
  <c r="I101" i="75"/>
  <c r="K100" i="74" a="1"/>
  <c r="K100" i="75" a="1"/>
  <c r="K100" i="76" a="1"/>
  <c r="F125" i="74" a="1"/>
  <c r="H101" i="74"/>
  <c r="M99" i="77" a="1"/>
  <c r="I138" i="75" a="1"/>
  <c r="H101" i="75"/>
  <c r="F130" i="74" a="1"/>
  <c r="M99" i="76" a="1"/>
  <c r="I101" i="76"/>
  <c r="F124" i="74" a="1"/>
  <c r="I136" i="76" a="1"/>
  <c r="I138" i="76" a="1"/>
  <c r="F131" i="74" l="1"/>
  <c r="F138" i="74" s="1"/>
  <c r="F125" i="74"/>
  <c r="F136" i="74" s="1"/>
  <c r="I136" i="76"/>
  <c r="I138" i="76"/>
  <c r="F130" i="74"/>
  <c r="I15" i="78" s="1"/>
  <c r="F124" i="74"/>
  <c r="I138" i="77"/>
  <c r="F124" i="77"/>
  <c r="I138" i="75"/>
  <c r="O98" i="74"/>
  <c r="O98" i="77"/>
  <c r="M99" i="76"/>
  <c r="O99" i="76" s="1"/>
  <c r="M99" i="75"/>
  <c r="O99" i="75" s="1"/>
  <c r="M99" i="77"/>
  <c r="O99" i="77" s="1"/>
  <c r="M99" i="74"/>
  <c r="O99" i="74" s="1"/>
  <c r="N99" i="76"/>
  <c r="N99" i="75"/>
  <c r="N99" i="77"/>
  <c r="N99" i="74"/>
  <c r="H32" i="84"/>
  <c r="J32" i="84" s="1"/>
  <c r="K32" i="84" s="1"/>
  <c r="G11" i="78"/>
  <c r="G18" i="78"/>
  <c r="G14" i="78"/>
  <c r="F18" i="78"/>
  <c r="F14" i="78"/>
  <c r="I12" i="78"/>
  <c r="J101" i="74"/>
  <c r="K100" i="74"/>
  <c r="L100" i="74" s="1"/>
  <c r="B102" i="74"/>
  <c r="J101" i="76"/>
  <c r="K100" i="76"/>
  <c r="L100" i="76" s="1"/>
  <c r="B102" i="76"/>
  <c r="J101" i="75"/>
  <c r="K100" i="75"/>
  <c r="L100" i="75" s="1"/>
  <c r="B102" i="75"/>
  <c r="J101" i="77"/>
  <c r="H15" i="78"/>
  <c r="K100" i="77"/>
  <c r="L100" i="77" s="1"/>
  <c r="B102" i="77"/>
  <c r="L9" i="70"/>
  <c r="C8" i="69"/>
  <c r="I138" i="74" a="1"/>
  <c r="G5" i="69"/>
  <c r="M100" i="74" a="1"/>
  <c r="M100" i="75" a="1"/>
  <c r="K101" i="77" a="1"/>
  <c r="M100" i="76" a="1"/>
  <c r="M100" i="77" a="1"/>
  <c r="I136" i="74" a="1"/>
  <c r="K101" i="75" a="1"/>
  <c r="I136" i="75" a="1"/>
  <c r="G7" i="69"/>
  <c r="G6" i="69"/>
  <c r="K101" i="76" a="1"/>
  <c r="I136" i="77" a="1"/>
  <c r="K101" i="74" a="1"/>
  <c r="I136" i="75" l="1"/>
  <c r="D12" i="69"/>
  <c r="D14" i="69" s="1"/>
  <c r="T3" i="69" s="1"/>
  <c r="L32" i="84"/>
  <c r="I136" i="77"/>
  <c r="I136" i="74"/>
  <c r="I138" i="74"/>
  <c r="H12" i="78"/>
  <c r="M100" i="77"/>
  <c r="O100" i="77" s="1"/>
  <c r="M100" i="76"/>
  <c r="O100" i="76" s="1"/>
  <c r="M100" i="74"/>
  <c r="O100" i="74" s="1"/>
  <c r="M100" i="75"/>
  <c r="O100" i="75" s="1"/>
  <c r="N100" i="77"/>
  <c r="N100" i="76"/>
  <c r="N100" i="74"/>
  <c r="N100" i="75"/>
  <c r="M32" i="84"/>
  <c r="I11" i="78"/>
  <c r="I18" i="78"/>
  <c r="I14" i="78"/>
  <c r="H11" i="78"/>
  <c r="H18" i="78"/>
  <c r="H14" i="78"/>
  <c r="G17" i="78"/>
  <c r="F17" i="78"/>
  <c r="K101" i="74"/>
  <c r="L101" i="74" s="1"/>
  <c r="I8" i="78"/>
  <c r="B103" i="74"/>
  <c r="G8" i="78"/>
  <c r="K101" i="76"/>
  <c r="L101" i="76" s="1"/>
  <c r="B103" i="76"/>
  <c r="K101" i="75"/>
  <c r="L101" i="75" s="1"/>
  <c r="F8" i="78"/>
  <c r="B103" i="75"/>
  <c r="K101" i="77"/>
  <c r="L101" i="77" s="1"/>
  <c r="H8" i="78"/>
  <c r="B103" i="77"/>
  <c r="P9" i="70"/>
  <c r="O9" i="70"/>
  <c r="M101" i="74" a="1"/>
  <c r="M101" i="77" a="1"/>
  <c r="M101" i="75" a="1"/>
  <c r="M101" i="76" a="1"/>
  <c r="O32" i="84" l="1"/>
  <c r="Q32" i="84"/>
  <c r="R32" i="84" s="1"/>
  <c r="S32" i="84" s="1"/>
  <c r="F12" i="69"/>
  <c r="D13" i="69"/>
  <c r="V5" i="69" s="1"/>
  <c r="M101" i="76"/>
  <c r="O101" i="76" s="1"/>
  <c r="AC52" i="101" s="1" a="1"/>
  <c r="AC52" i="101" s="1"/>
  <c r="M101" i="77"/>
  <c r="O101" i="77" s="1"/>
  <c r="AD52" i="101" s="1" a="1"/>
  <c r="AD52" i="101" s="1"/>
  <c r="M101" i="74"/>
  <c r="O101" i="74" s="1"/>
  <c r="AE52" i="101" s="1" a="1"/>
  <c r="AE52" i="101" s="1"/>
  <c r="M101" i="75"/>
  <c r="O101" i="75" s="1"/>
  <c r="AB52" i="101" s="1" a="1"/>
  <c r="AB52" i="101" s="1"/>
  <c r="N101" i="76"/>
  <c r="N101" i="77"/>
  <c r="N101" i="74"/>
  <c r="N101" i="75"/>
  <c r="E7" i="90"/>
  <c r="P32" i="84"/>
  <c r="E33" i="84"/>
  <c r="I17" i="78"/>
  <c r="B104" i="74"/>
  <c r="B104" i="76"/>
  <c r="B104" i="75"/>
  <c r="B104" i="77"/>
  <c r="N9" i="70"/>
  <c r="W5" i="69" a="1"/>
  <c r="V17" i="69" l="1"/>
  <c r="V6" i="69"/>
  <c r="W5" i="69"/>
  <c r="C17" i="69"/>
  <c r="E11" i="90" s="1"/>
  <c r="F13" i="69"/>
  <c r="C18" i="69"/>
  <c r="E12" i="90" s="1"/>
  <c r="E9" i="90"/>
  <c r="E8" i="90"/>
  <c r="F33" i="84"/>
  <c r="B105" i="74"/>
  <c r="B105" i="76"/>
  <c r="B105" i="75"/>
  <c r="B105" i="77"/>
  <c r="T7" i="69" a="1"/>
  <c r="G33" i="84"/>
  <c r="V7" i="69" l="1"/>
  <c r="V18" i="69"/>
  <c r="T7" i="69"/>
  <c r="F14" i="69"/>
  <c r="D20" i="69"/>
  <c r="E13" i="90" s="1"/>
  <c r="H33" i="84"/>
  <c r="J33" i="84" s="1"/>
  <c r="K33" i="84" s="1"/>
  <c r="B106" i="74"/>
  <c r="B106" i="76"/>
  <c r="B106" i="75"/>
  <c r="B106" i="77"/>
  <c r="B11" i="67"/>
  <c r="I11" i="67"/>
  <c r="H11" i="67"/>
  <c r="H6" i="67"/>
  <c r="H7" i="67"/>
  <c r="W6" i="69" a="1"/>
  <c r="W17" i="69" a="1"/>
  <c r="Y5" i="69" a="1"/>
  <c r="W17" i="69" l="1"/>
  <c r="W6" i="69"/>
  <c r="V19" i="69"/>
  <c r="V8" i="69"/>
  <c r="Y5" i="69"/>
  <c r="L33" i="84"/>
  <c r="M33" i="84" s="1"/>
  <c r="D11" i="67"/>
  <c r="B107" i="74"/>
  <c r="B107" i="76"/>
  <c r="B107" i="75"/>
  <c r="B107" i="77"/>
  <c r="E105" i="67"/>
  <c r="E111" i="67"/>
  <c r="E117" i="67"/>
  <c r="E114" i="67"/>
  <c r="E121" i="67"/>
  <c r="E110" i="67"/>
  <c r="E107" i="67"/>
  <c r="E113" i="67"/>
  <c r="E108" i="67"/>
  <c r="E109" i="67"/>
  <c r="E116" i="67"/>
  <c r="E106" i="67"/>
  <c r="E112" i="67"/>
  <c r="E118" i="67"/>
  <c r="E119" i="67"/>
  <c r="E102" i="67"/>
  <c r="E120" i="67"/>
  <c r="E103" i="67"/>
  <c r="E115" i="67"/>
  <c r="E104" i="67"/>
  <c r="D105" i="67"/>
  <c r="D111" i="67"/>
  <c r="D117" i="67"/>
  <c r="D121" i="67"/>
  <c r="D110" i="67"/>
  <c r="D106" i="67"/>
  <c r="D112" i="67"/>
  <c r="D118" i="67"/>
  <c r="D107" i="67"/>
  <c r="D119" i="67"/>
  <c r="D102" i="67"/>
  <c r="D114" i="67"/>
  <c r="D109" i="67"/>
  <c r="D116" i="67"/>
  <c r="D113" i="67"/>
  <c r="D108" i="67"/>
  <c r="D120" i="67"/>
  <c r="D103" i="67"/>
  <c r="D115" i="67"/>
  <c r="D104" i="67"/>
  <c r="B12" i="67"/>
  <c r="D100" i="67"/>
  <c r="D99" i="67"/>
  <c r="D98" i="67"/>
  <c r="D97" i="67"/>
  <c r="D96" i="67"/>
  <c r="D92" i="67"/>
  <c r="D101" i="67"/>
  <c r="D95" i="67"/>
  <c r="D90" i="67"/>
  <c r="D89" i="67"/>
  <c r="D88" i="67"/>
  <c r="D82" i="67"/>
  <c r="D83" i="67"/>
  <c r="D94" i="67"/>
  <c r="D93" i="67"/>
  <c r="D86" i="67"/>
  <c r="D79" i="67"/>
  <c r="D78" i="67"/>
  <c r="D72" i="67"/>
  <c r="D87" i="67"/>
  <c r="D85" i="67"/>
  <c r="D80" i="67"/>
  <c r="D76" i="67"/>
  <c r="D91" i="67"/>
  <c r="D77" i="67"/>
  <c r="D66" i="67"/>
  <c r="D84" i="67"/>
  <c r="D81" i="67"/>
  <c r="D74" i="67"/>
  <c r="D65" i="67"/>
  <c r="D71" i="67"/>
  <c r="D68" i="67"/>
  <c r="D62" i="67"/>
  <c r="D75" i="67"/>
  <c r="D73" i="67"/>
  <c r="D63" i="67"/>
  <c r="D61" i="67"/>
  <c r="D55" i="67"/>
  <c r="D49" i="67"/>
  <c r="D69" i="67"/>
  <c r="D67" i="67"/>
  <c r="D52" i="67"/>
  <c r="D45" i="67"/>
  <c r="D70" i="67"/>
  <c r="D64" i="67"/>
  <c r="D59" i="67"/>
  <c r="D56" i="67"/>
  <c r="D48" i="67"/>
  <c r="D42" i="67"/>
  <c r="D51" i="67"/>
  <c r="D47" i="67"/>
  <c r="D37" i="67"/>
  <c r="D50" i="67"/>
  <c r="D46" i="67"/>
  <c r="D60" i="67"/>
  <c r="D58" i="67"/>
  <c r="D41" i="67"/>
  <c r="D53" i="67"/>
  <c r="D39" i="67"/>
  <c r="D30" i="67"/>
  <c r="D38" i="67"/>
  <c r="D36" i="67"/>
  <c r="D29" i="67"/>
  <c r="D23" i="67"/>
  <c r="D54" i="67"/>
  <c r="D44" i="67"/>
  <c r="D34" i="67"/>
  <c r="D28" i="67"/>
  <c r="D43" i="67"/>
  <c r="D33" i="67"/>
  <c r="D32" i="67"/>
  <c r="D27" i="67"/>
  <c r="D16" i="67"/>
  <c r="D15" i="67"/>
  <c r="D35" i="67"/>
  <c r="D31" i="67"/>
  <c r="D24" i="67"/>
  <c r="D21" i="67"/>
  <c r="D26" i="67"/>
  <c r="D22" i="67"/>
  <c r="D20" i="67"/>
  <c r="D14" i="67"/>
  <c r="D17" i="67"/>
  <c r="D25" i="67"/>
  <c r="D19" i="67"/>
  <c r="D13" i="67"/>
  <c r="D57" i="67"/>
  <c r="D40" i="67"/>
  <c r="D18" i="67"/>
  <c r="D12" i="67"/>
  <c r="E101" i="67"/>
  <c r="E99" i="67"/>
  <c r="E98" i="67"/>
  <c r="E97" i="67"/>
  <c r="E95" i="67"/>
  <c r="E94" i="67"/>
  <c r="E90" i="67"/>
  <c r="E89" i="67"/>
  <c r="E88" i="67"/>
  <c r="E100" i="67"/>
  <c r="E91" i="67"/>
  <c r="E87" i="67"/>
  <c r="E81" i="67"/>
  <c r="E96" i="67"/>
  <c r="E93" i="67"/>
  <c r="E92" i="67"/>
  <c r="E82" i="67"/>
  <c r="E77" i="67"/>
  <c r="E86" i="67"/>
  <c r="E79" i="67"/>
  <c r="E84" i="67"/>
  <c r="E75" i="67"/>
  <c r="E72" i="67"/>
  <c r="E71" i="67"/>
  <c r="E65" i="67"/>
  <c r="E68" i="67"/>
  <c r="E76" i="67"/>
  <c r="E73" i="67"/>
  <c r="E63" i="67"/>
  <c r="E85" i="67"/>
  <c r="E69" i="67"/>
  <c r="E66" i="67"/>
  <c r="E60" i="67"/>
  <c r="E54" i="67"/>
  <c r="E83" i="67"/>
  <c r="E78" i="67"/>
  <c r="E74" i="67"/>
  <c r="E58" i="67"/>
  <c r="E55" i="67"/>
  <c r="E70" i="67"/>
  <c r="E64" i="67"/>
  <c r="E61" i="67"/>
  <c r="E59" i="67"/>
  <c r="E80" i="67"/>
  <c r="E62" i="67"/>
  <c r="E51" i="67"/>
  <c r="E47" i="67"/>
  <c r="E50" i="67"/>
  <c r="E46" i="67"/>
  <c r="E44" i="67"/>
  <c r="E36" i="67"/>
  <c r="E49" i="67"/>
  <c r="E45" i="67"/>
  <c r="E57" i="67"/>
  <c r="E42" i="67"/>
  <c r="E40" i="67"/>
  <c r="E48" i="67"/>
  <c r="E38" i="67"/>
  <c r="E29" i="67"/>
  <c r="E56" i="67"/>
  <c r="E37" i="67"/>
  <c r="E34" i="67"/>
  <c r="E28" i="67"/>
  <c r="E22" i="67"/>
  <c r="E43" i="67"/>
  <c r="E33" i="67"/>
  <c r="E27" i="67"/>
  <c r="E52" i="67"/>
  <c r="E32" i="67"/>
  <c r="E41" i="67"/>
  <c r="E35" i="67"/>
  <c r="E31" i="67"/>
  <c r="E24" i="67"/>
  <c r="E53" i="67"/>
  <c r="E26" i="67"/>
  <c r="E67" i="67"/>
  <c r="E23" i="67"/>
  <c r="E21" i="67"/>
  <c r="E15" i="67"/>
  <c r="E13" i="67"/>
  <c r="E16" i="67"/>
  <c r="E20" i="67"/>
  <c r="E14" i="67"/>
  <c r="E25" i="67"/>
  <c r="E19" i="67"/>
  <c r="E18" i="67"/>
  <c r="E12" i="67"/>
  <c r="E39" i="67"/>
  <c r="E30" i="67"/>
  <c r="E17" i="67"/>
  <c r="E11" i="67"/>
  <c r="F119" i="67"/>
  <c r="F80" i="67"/>
  <c r="F115" i="67"/>
  <c r="F33" i="67"/>
  <c r="F98" i="67"/>
  <c r="F91" i="67"/>
  <c r="F11" i="67"/>
  <c r="F13" i="67"/>
  <c r="F86" i="67"/>
  <c r="F20" i="67"/>
  <c r="F53" i="67"/>
  <c r="F12" i="67"/>
  <c r="F66" i="67"/>
  <c r="F67" i="67"/>
  <c r="F27" i="67"/>
  <c r="F69" i="67"/>
  <c r="F111" i="67"/>
  <c r="F81" i="67"/>
  <c r="F16" i="67"/>
  <c r="F104" i="67"/>
  <c r="F50" i="67"/>
  <c r="F100" i="67"/>
  <c r="W18" i="69" a="1"/>
  <c r="F110" i="67"/>
  <c r="F34" i="67"/>
  <c r="F52" i="67"/>
  <c r="F75" i="67"/>
  <c r="F60" i="67"/>
  <c r="F96" i="67"/>
  <c r="F79" i="67"/>
  <c r="F87" i="67"/>
  <c r="F99" i="67"/>
  <c r="F107" i="67"/>
  <c r="F78" i="67"/>
  <c r="F82" i="67"/>
  <c r="F105" i="67"/>
  <c r="F97" i="67"/>
  <c r="F25" i="67"/>
  <c r="F57" i="67"/>
  <c r="F77" i="67"/>
  <c r="F31" i="67"/>
  <c r="F30" i="67"/>
  <c r="F71" i="67"/>
  <c r="F103" i="67"/>
  <c r="F116" i="67"/>
  <c r="F117" i="67"/>
  <c r="F46" i="67"/>
  <c r="F28" i="67"/>
  <c r="F73" i="67"/>
  <c r="F18" i="67"/>
  <c r="F24" i="67"/>
  <c r="F21" i="67"/>
  <c r="F37" i="67"/>
  <c r="F64" i="67"/>
  <c r="F43" i="67"/>
  <c r="F59" i="67"/>
  <c r="F118" i="67"/>
  <c r="F65" i="67"/>
  <c r="F61" i="67"/>
  <c r="F92" i="67"/>
  <c r="F39" i="67"/>
  <c r="I12" i="67"/>
  <c r="W7" i="69" a="1"/>
  <c r="F51" i="67"/>
  <c r="F26" i="67"/>
  <c r="F90" i="67"/>
  <c r="F121" i="67"/>
  <c r="F49" i="67"/>
  <c r="F17" i="67"/>
  <c r="F113" i="67"/>
  <c r="F23" i="67"/>
  <c r="F41" i="67"/>
  <c r="F22" i="67"/>
  <c r="F101" i="67"/>
  <c r="F47" i="67"/>
  <c r="F58" i="67"/>
  <c r="F42" i="67"/>
  <c r="F19" i="67"/>
  <c r="F102" i="67"/>
  <c r="F112" i="67"/>
  <c r="H12" i="67"/>
  <c r="F114" i="67"/>
  <c r="F72" i="67"/>
  <c r="F15" i="67"/>
  <c r="F85" i="67"/>
  <c r="F95" i="67"/>
  <c r="F109" i="67"/>
  <c r="F45" i="67"/>
  <c r="F83" i="67"/>
  <c r="F89" i="67"/>
  <c r="F54" i="67"/>
  <c r="F93" i="67"/>
  <c r="F44" i="67"/>
  <c r="F88" i="67"/>
  <c r="F106" i="67"/>
  <c r="F29" i="67"/>
  <c r="F55" i="67"/>
  <c r="F68" i="67"/>
  <c r="F76" i="67"/>
  <c r="F38" i="67"/>
  <c r="Z5" i="69" a="1"/>
  <c r="F32" i="67"/>
  <c r="F108" i="67"/>
  <c r="F40" i="67"/>
  <c r="F36" i="67"/>
  <c r="X17" i="69" a="1"/>
  <c r="F84" i="67"/>
  <c r="F120" i="67"/>
  <c r="F63" i="67"/>
  <c r="F62" i="67"/>
  <c r="F14" i="67"/>
  <c r="F70" i="67"/>
  <c r="F56" i="67"/>
  <c r="F35" i="67"/>
  <c r="F74" i="67"/>
  <c r="F48" i="67"/>
  <c r="F94" i="67"/>
  <c r="W18" i="69" l="1"/>
  <c r="W7" i="69"/>
  <c r="X17" i="69"/>
  <c r="O33" i="84"/>
  <c r="E34" i="84" s="1"/>
  <c r="Q33" i="84"/>
  <c r="R33" i="84" s="1"/>
  <c r="S33" i="84" s="1"/>
  <c r="V9" i="69"/>
  <c r="V20" i="69"/>
  <c r="Z5" i="69"/>
  <c r="Y6" i="69"/>
  <c r="G11" i="67"/>
  <c r="B108" i="74"/>
  <c r="B108" i="76"/>
  <c r="B108" i="75"/>
  <c r="B108" i="77"/>
  <c r="G113" i="67"/>
  <c r="G120" i="67"/>
  <c r="G121" i="67"/>
  <c r="G110" i="67"/>
  <c r="G102" i="67"/>
  <c r="G114" i="67"/>
  <c r="G106" i="67"/>
  <c r="G116" i="67"/>
  <c r="G119" i="67"/>
  <c r="G117" i="67"/>
  <c r="G109" i="67"/>
  <c r="G108" i="67"/>
  <c r="G115" i="67"/>
  <c r="G103" i="67"/>
  <c r="G118" i="67"/>
  <c r="G111" i="67"/>
  <c r="G104" i="67"/>
  <c r="G107" i="67"/>
  <c r="G112" i="67"/>
  <c r="G105" i="67"/>
  <c r="B13" i="67"/>
  <c r="G56" i="67"/>
  <c r="G30" i="67"/>
  <c r="G14" i="67"/>
  <c r="G23" i="67"/>
  <c r="G35" i="67"/>
  <c r="G43" i="67"/>
  <c r="G29" i="67"/>
  <c r="G45" i="67"/>
  <c r="G72" i="67"/>
  <c r="G82" i="67"/>
  <c r="G91" i="67"/>
  <c r="G95" i="67"/>
  <c r="G21" i="67"/>
  <c r="G50" i="67"/>
  <c r="G71" i="67"/>
  <c r="G63" i="67"/>
  <c r="G39" i="67"/>
  <c r="G20" i="67"/>
  <c r="G67" i="67"/>
  <c r="G41" i="67"/>
  <c r="G22" i="67"/>
  <c r="G38" i="67"/>
  <c r="G49" i="67"/>
  <c r="G51" i="67"/>
  <c r="G70" i="67"/>
  <c r="G54" i="67"/>
  <c r="G73" i="67"/>
  <c r="G75" i="67"/>
  <c r="G92" i="67"/>
  <c r="G100" i="67"/>
  <c r="G97" i="67"/>
  <c r="G31" i="67"/>
  <c r="G61" i="67"/>
  <c r="G87" i="67"/>
  <c r="G83" i="67"/>
  <c r="G12" i="67"/>
  <c r="G16" i="67"/>
  <c r="G26" i="67"/>
  <c r="G32" i="67"/>
  <c r="G28" i="67"/>
  <c r="G48" i="67"/>
  <c r="G36" i="67"/>
  <c r="G62" i="67"/>
  <c r="G55" i="67"/>
  <c r="G60" i="67"/>
  <c r="G76" i="67"/>
  <c r="G84" i="67"/>
  <c r="G93" i="67"/>
  <c r="G88" i="67"/>
  <c r="G98" i="67"/>
  <c r="G17" i="67"/>
  <c r="G33" i="67"/>
  <c r="G78" i="67"/>
  <c r="G94" i="67"/>
  <c r="G47" i="67"/>
  <c r="G18" i="67"/>
  <c r="G13" i="67"/>
  <c r="G53" i="67"/>
  <c r="G52" i="67"/>
  <c r="G34" i="67"/>
  <c r="G40" i="67"/>
  <c r="G44" i="67"/>
  <c r="G80" i="67"/>
  <c r="G58" i="67"/>
  <c r="G66" i="67"/>
  <c r="G68" i="67"/>
  <c r="G79" i="67"/>
  <c r="G96" i="67"/>
  <c r="G89" i="67"/>
  <c r="G99" i="67"/>
  <c r="G25" i="67"/>
  <c r="G57" i="67"/>
  <c r="G85" i="67"/>
  <c r="G77" i="67"/>
  <c r="G64" i="67"/>
  <c r="G19" i="67"/>
  <c r="G15" i="67"/>
  <c r="G24" i="67"/>
  <c r="G27" i="67"/>
  <c r="G37" i="67"/>
  <c r="G42" i="67"/>
  <c r="G46" i="67"/>
  <c r="G59" i="67"/>
  <c r="G74" i="67"/>
  <c r="G69" i="67"/>
  <c r="G65" i="67"/>
  <c r="G86" i="67"/>
  <c r="G81" i="67"/>
  <c r="G90" i="67"/>
  <c r="G101" i="67"/>
  <c r="W19" i="69" a="1"/>
  <c r="M117" i="67" a="1"/>
  <c r="M119" i="67" a="1"/>
  <c r="W8" i="69" a="1"/>
  <c r="M105" i="67" a="1"/>
  <c r="M110" i="67" a="1"/>
  <c r="X18" i="69" a="1"/>
  <c r="AA5" i="69" a="1"/>
  <c r="M116" i="67" a="1"/>
  <c r="AB5" i="69" a="1"/>
  <c r="M109" i="67" a="1"/>
  <c r="M112" i="67" a="1"/>
  <c r="H13" i="67"/>
  <c r="M118" i="67" a="1"/>
  <c r="M115" i="67" a="1"/>
  <c r="M121" i="67" a="1"/>
  <c r="M102" i="67" a="1"/>
  <c r="Z6" i="69" a="1"/>
  <c r="AA18" i="69" a="1"/>
  <c r="M114" i="67" a="1"/>
  <c r="M107" i="67" a="1"/>
  <c r="I13" i="67"/>
  <c r="AC18" i="69" a="1"/>
  <c r="M106" i="67" a="1"/>
  <c r="M108" i="67" a="1"/>
  <c r="M103" i="67" a="1"/>
  <c r="M113" i="67" a="1"/>
  <c r="M120" i="67" a="1"/>
  <c r="M104" i="67" a="1"/>
  <c r="M111" i="67" a="1"/>
  <c r="W8" i="69" l="1"/>
  <c r="W19" i="69"/>
  <c r="AC18" i="69"/>
  <c r="AA18" i="69"/>
  <c r="AD18" i="69" s="1"/>
  <c r="X18" i="69"/>
  <c r="P33" i="84"/>
  <c r="V21" i="69"/>
  <c r="V10" i="69"/>
  <c r="Z6" i="69"/>
  <c r="AB5" i="69"/>
  <c r="AA5" i="69"/>
  <c r="AD5" i="69" s="1"/>
  <c r="Y7" i="69"/>
  <c r="M104" i="67"/>
  <c r="O104" i="67" s="1"/>
  <c r="M119" i="67"/>
  <c r="O119" i="67" s="1"/>
  <c r="M113" i="67"/>
  <c r="O113" i="67" s="1"/>
  <c r="M118" i="67"/>
  <c r="O118" i="67" s="1"/>
  <c r="M106" i="67"/>
  <c r="O106" i="67" s="1"/>
  <c r="M116" i="67"/>
  <c r="O116" i="67" s="1"/>
  <c r="M103" i="67"/>
  <c r="O103" i="67" s="1"/>
  <c r="M114" i="67"/>
  <c r="O114" i="67" s="1"/>
  <c r="M111" i="67"/>
  <c r="O111" i="67" s="1"/>
  <c r="M115" i="67"/>
  <c r="O115" i="67" s="1"/>
  <c r="M102" i="67"/>
  <c r="O102" i="67" s="1"/>
  <c r="M105" i="67"/>
  <c r="O105" i="67" s="1"/>
  <c r="M108" i="67"/>
  <c r="O108" i="67" s="1"/>
  <c r="M110" i="67"/>
  <c r="O110" i="67" s="1"/>
  <c r="M112" i="67"/>
  <c r="O112" i="67" s="1"/>
  <c r="M109" i="67"/>
  <c r="O109" i="67" s="1"/>
  <c r="M121" i="67"/>
  <c r="O121" i="67" s="1"/>
  <c r="M107" i="67"/>
  <c r="O107" i="67" s="1"/>
  <c r="M117" i="67"/>
  <c r="O117" i="67" s="1"/>
  <c r="M120" i="67"/>
  <c r="O120" i="67" s="1"/>
  <c r="T76" i="67"/>
  <c r="T26" i="67"/>
  <c r="T100" i="67"/>
  <c r="T50" i="67"/>
  <c r="T43" i="67"/>
  <c r="T59" i="67"/>
  <c r="B51" i="101" a="1"/>
  <c r="B51" i="101" s="1"/>
  <c r="T11" i="67"/>
  <c r="T96" i="67"/>
  <c r="T34" i="67"/>
  <c r="T33" i="67"/>
  <c r="T55" i="67"/>
  <c r="T12" i="67"/>
  <c r="T75" i="67"/>
  <c r="T41" i="67"/>
  <c r="T95" i="67"/>
  <c r="T23" i="67"/>
  <c r="T104" i="67"/>
  <c r="N104" i="67"/>
  <c r="T119" i="67"/>
  <c r="N119" i="67"/>
  <c r="T113" i="67"/>
  <c r="N113" i="67"/>
  <c r="T15" i="67"/>
  <c r="T101" i="67"/>
  <c r="T52" i="67"/>
  <c r="T83" i="67"/>
  <c r="T14" i="67"/>
  <c r="T90" i="67"/>
  <c r="T77" i="67"/>
  <c r="T53" i="67"/>
  <c r="T98" i="67"/>
  <c r="T36" i="67"/>
  <c r="T87" i="67"/>
  <c r="T54" i="67"/>
  <c r="T20" i="67"/>
  <c r="T82" i="67"/>
  <c r="T30" i="67"/>
  <c r="T118" i="67"/>
  <c r="N118" i="67"/>
  <c r="N106" i="67"/>
  <c r="T106" i="67"/>
  <c r="T99" i="67"/>
  <c r="T64" i="67"/>
  <c r="T62" i="67"/>
  <c r="T67" i="67"/>
  <c r="T116" i="67"/>
  <c r="N116" i="67"/>
  <c r="T42" i="67"/>
  <c r="T68" i="67"/>
  <c r="T81" i="67"/>
  <c r="T37" i="67"/>
  <c r="T85" i="67"/>
  <c r="T66" i="67"/>
  <c r="T13" i="67"/>
  <c r="T88" i="67"/>
  <c r="T48" i="67"/>
  <c r="T61" i="67"/>
  <c r="T70" i="67"/>
  <c r="T39" i="67"/>
  <c r="T72" i="67"/>
  <c r="T56" i="67"/>
  <c r="T103" i="67"/>
  <c r="N103" i="67"/>
  <c r="N114" i="67"/>
  <c r="T114" i="67"/>
  <c r="T69" i="67"/>
  <c r="T46" i="67"/>
  <c r="T79" i="67"/>
  <c r="T73" i="67"/>
  <c r="T111" i="67"/>
  <c r="N111" i="67"/>
  <c r="T27" i="67"/>
  <c r="T57" i="67"/>
  <c r="T58" i="67"/>
  <c r="T18" i="67"/>
  <c r="T93" i="67"/>
  <c r="T28" i="67"/>
  <c r="T31" i="67"/>
  <c r="T51" i="67"/>
  <c r="T63" i="67"/>
  <c r="T45" i="67"/>
  <c r="N115" i="67"/>
  <c r="T115" i="67"/>
  <c r="T102" i="67"/>
  <c r="N102" i="67"/>
  <c r="T44" i="67"/>
  <c r="T17" i="67"/>
  <c r="T91" i="67"/>
  <c r="T86" i="67"/>
  <c r="T65" i="67"/>
  <c r="T24" i="67"/>
  <c r="T25" i="67"/>
  <c r="T80" i="67"/>
  <c r="T47" i="67"/>
  <c r="T84" i="67"/>
  <c r="T32" i="67"/>
  <c r="T97" i="67"/>
  <c r="T49" i="67"/>
  <c r="T71" i="67"/>
  <c r="T29" i="67"/>
  <c r="N105" i="67"/>
  <c r="T105" i="67"/>
  <c r="T108" i="67"/>
  <c r="N108" i="67"/>
  <c r="T110" i="67"/>
  <c r="N110" i="67"/>
  <c r="T94" i="67"/>
  <c r="T38" i="67"/>
  <c r="T112" i="67"/>
  <c r="N112" i="67"/>
  <c r="T109" i="67"/>
  <c r="N109" i="67"/>
  <c r="N121" i="67"/>
  <c r="T121" i="67"/>
  <c r="T74" i="67"/>
  <c r="T19" i="67"/>
  <c r="T89" i="67"/>
  <c r="T40" i="67"/>
  <c r="T78" i="67"/>
  <c r="T60" i="67"/>
  <c r="T16" i="67"/>
  <c r="T92" i="67"/>
  <c r="T22" i="67"/>
  <c r="T21" i="67"/>
  <c r="T35" i="67"/>
  <c r="N107" i="67"/>
  <c r="T107" i="67"/>
  <c r="T117" i="67"/>
  <c r="N117" i="67"/>
  <c r="T120" i="67"/>
  <c r="N120" i="67"/>
  <c r="F34" i="84"/>
  <c r="B109" i="74"/>
  <c r="B109" i="76"/>
  <c r="B109" i="75"/>
  <c r="B109" i="77"/>
  <c r="J12" i="67"/>
  <c r="J11" i="67"/>
  <c r="J13" i="67"/>
  <c r="B14" i="67"/>
  <c r="L11" i="51"/>
  <c r="L12" i="51"/>
  <c r="L19" i="51" s="1"/>
  <c r="L20" i="51" s="1"/>
  <c r="L15" i="51"/>
  <c r="L16" i="51" s="1"/>
  <c r="B9" i="66"/>
  <c r="B10" i="66" s="1"/>
  <c r="B11" i="66" s="1"/>
  <c r="B12" i="66" s="1"/>
  <c r="B13" i="66" s="1"/>
  <c r="B14" i="66" s="1"/>
  <c r="B15" i="66" s="1"/>
  <c r="B16" i="66" s="1"/>
  <c r="B17" i="66" s="1"/>
  <c r="B18" i="66" s="1"/>
  <c r="B19" i="66" s="1"/>
  <c r="B20" i="66" s="1"/>
  <c r="B21" i="66" s="1"/>
  <c r="B22" i="66" s="1"/>
  <c r="B23" i="66" s="1"/>
  <c r="B24" i="66" s="1"/>
  <c r="B25" i="66" s="1"/>
  <c r="B26" i="66" s="1"/>
  <c r="B27" i="66" s="1"/>
  <c r="B28" i="66" s="1"/>
  <c r="B29" i="66" s="1"/>
  <c r="B30" i="66" s="1"/>
  <c r="B31" i="66" s="1"/>
  <c r="B32" i="66" s="1"/>
  <c r="B33" i="66" s="1"/>
  <c r="B34" i="66" s="1"/>
  <c r="B35" i="66" s="1"/>
  <c r="B36" i="66" s="1"/>
  <c r="B37" i="66" s="1"/>
  <c r="B38" i="66" s="1"/>
  <c r="B39" i="66" s="1"/>
  <c r="B40" i="66" s="1"/>
  <c r="B41" i="66" s="1"/>
  <c r="B42" i="66" s="1"/>
  <c r="B43" i="66" s="1"/>
  <c r="B44" i="66" s="1"/>
  <c r="B45" i="66" s="1"/>
  <c r="B46" i="66" s="1"/>
  <c r="B47" i="66" s="1"/>
  <c r="B48" i="66" s="1"/>
  <c r="S8" i="66"/>
  <c r="E8" i="66"/>
  <c r="B8" i="66"/>
  <c r="S8" i="65"/>
  <c r="E8" i="65"/>
  <c r="B8" i="65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B25" i="65" s="1"/>
  <c r="B26" i="65" s="1"/>
  <c r="B27" i="65" s="1"/>
  <c r="B28" i="65" s="1"/>
  <c r="B29" i="65" s="1"/>
  <c r="B30" i="65" s="1"/>
  <c r="B31" i="65" s="1"/>
  <c r="B32" i="65" s="1"/>
  <c r="B33" i="65" s="1"/>
  <c r="B34" i="65" s="1"/>
  <c r="B35" i="65" s="1"/>
  <c r="B36" i="65" s="1"/>
  <c r="B37" i="65" s="1"/>
  <c r="B38" i="65" s="1"/>
  <c r="B39" i="65" s="1"/>
  <c r="B40" i="65" s="1"/>
  <c r="B41" i="65" s="1"/>
  <c r="B42" i="65" s="1"/>
  <c r="B43" i="65" s="1"/>
  <c r="B44" i="65" s="1"/>
  <c r="B45" i="65" s="1"/>
  <c r="B46" i="65" s="1"/>
  <c r="B47" i="65" s="1"/>
  <c r="B48" i="65" s="1"/>
  <c r="N16" i="66"/>
  <c r="I11" i="66"/>
  <c r="I20" i="65"/>
  <c r="I22" i="65"/>
  <c r="I28" i="66"/>
  <c r="N8" i="65"/>
  <c r="N47" i="65"/>
  <c r="I40" i="65"/>
  <c r="N2" i="66"/>
  <c r="K7" i="51"/>
  <c r="I37" i="65"/>
  <c r="X19" i="69" a="1"/>
  <c r="N34" i="65"/>
  <c r="AA6" i="69" a="1"/>
  <c r="N37" i="66"/>
  <c r="N15" i="66"/>
  <c r="AC5" i="69" a="1"/>
  <c r="I27" i="65"/>
  <c r="N36" i="66"/>
  <c r="I16" i="66"/>
  <c r="N39" i="66"/>
  <c r="N10" i="66"/>
  <c r="I33" i="66"/>
  <c r="I9" i="65"/>
  <c r="AA19" i="69" a="1"/>
  <c r="N38" i="66"/>
  <c r="AB6" i="69" a="1"/>
  <c r="N2" i="65"/>
  <c r="N24" i="66"/>
  <c r="I19" i="66"/>
  <c r="I23" i="65"/>
  <c r="N11" i="66"/>
  <c r="W9" i="69" a="1"/>
  <c r="I24" i="66"/>
  <c r="I47" i="65"/>
  <c r="I12" i="65"/>
  <c r="I48" i="65"/>
  <c r="I29" i="66"/>
  <c r="AC19" i="69" a="1"/>
  <c r="I25" i="66"/>
  <c r="N33" i="66"/>
  <c r="I23" i="66"/>
  <c r="N33" i="65"/>
  <c r="I19" i="65"/>
  <c r="N25" i="66"/>
  <c r="I47" i="66"/>
  <c r="I16" i="65"/>
  <c r="N44" i="65"/>
  <c r="I15" i="65"/>
  <c r="N47" i="66"/>
  <c r="N40" i="65"/>
  <c r="N13" i="65"/>
  <c r="H14" i="67"/>
  <c r="N45" i="66"/>
  <c r="K11" i="67" a="1"/>
  <c r="I13" i="65"/>
  <c r="I26" i="65"/>
  <c r="W20" i="69" a="1"/>
  <c r="I39" i="65"/>
  <c r="I34" i="65"/>
  <c r="I20" i="66"/>
  <c r="N28" i="66"/>
  <c r="I8" i="65"/>
  <c r="I25" i="65"/>
  <c r="N42" i="66"/>
  <c r="N23" i="66"/>
  <c r="I17" i="65"/>
  <c r="I37" i="66"/>
  <c r="I38" i="65"/>
  <c r="I32" i="66"/>
  <c r="I26" i="66"/>
  <c r="N21" i="65"/>
  <c r="N28" i="65"/>
  <c r="I35" i="66"/>
  <c r="I27" i="66"/>
  <c r="N40" i="66"/>
  <c r="I24" i="65"/>
  <c r="N17" i="65"/>
  <c r="N44" i="66"/>
  <c r="I18" i="65"/>
  <c r="G34" i="84"/>
  <c r="K12" i="67" a="1"/>
  <c r="I17" i="66"/>
  <c r="I44" i="65"/>
  <c r="I48" i="66"/>
  <c r="N35" i="66"/>
  <c r="N18" i="66"/>
  <c r="I30" i="66"/>
  <c r="I14" i="67"/>
  <c r="N12" i="66"/>
  <c r="N27" i="65"/>
  <c r="N23" i="65"/>
  <c r="I21" i="66"/>
  <c r="I9" i="66"/>
  <c r="N20" i="66"/>
  <c r="N25" i="65"/>
  <c r="N9" i="65"/>
  <c r="I29" i="65"/>
  <c r="I22" i="66"/>
  <c r="I8" i="66"/>
  <c r="N19" i="65"/>
  <c r="N11" i="65"/>
  <c r="N9" i="66"/>
  <c r="I39" i="66"/>
  <c r="I46" i="65"/>
  <c r="N29" i="66"/>
  <c r="N46" i="66"/>
  <c r="N35" i="65"/>
  <c r="I14" i="66"/>
  <c r="N3" i="65"/>
  <c r="N24" i="65"/>
  <c r="I31" i="66"/>
  <c r="I33" i="65"/>
  <c r="N43" i="66"/>
  <c r="N46" i="65"/>
  <c r="N32" i="66"/>
  <c r="I42" i="66"/>
  <c r="N31" i="65"/>
  <c r="N45" i="65"/>
  <c r="N29" i="65"/>
  <c r="I35" i="65"/>
  <c r="I28" i="65"/>
  <c r="N26" i="65"/>
  <c r="N41" i="65"/>
  <c r="N30" i="65"/>
  <c r="N10" i="65"/>
  <c r="I10" i="65"/>
  <c r="Z7" i="69" a="1"/>
  <c r="N8" i="66"/>
  <c r="N14" i="66"/>
  <c r="N22" i="65"/>
  <c r="N12" i="65"/>
  <c r="I45" i="66"/>
  <c r="N38" i="65"/>
  <c r="N48" i="65"/>
  <c r="I21" i="65"/>
  <c r="I36" i="65"/>
  <c r="N43" i="65"/>
  <c r="N31" i="66"/>
  <c r="N21" i="66"/>
  <c r="N26" i="66"/>
  <c r="I40" i="66"/>
  <c r="I41" i="66"/>
  <c r="N34" i="66"/>
  <c r="N14" i="65"/>
  <c r="I46" i="66"/>
  <c r="N20" i="65"/>
  <c r="N37" i="65"/>
  <c r="I10" i="66"/>
  <c r="N42" i="65"/>
  <c r="I45" i="65"/>
  <c r="I43" i="65"/>
  <c r="N19" i="66"/>
  <c r="N3" i="66"/>
  <c r="N32" i="65"/>
  <c r="N27" i="66"/>
  <c r="I13" i="66"/>
  <c r="I18" i="66"/>
  <c r="N30" i="66"/>
  <c r="I14" i="65"/>
  <c r="N48" i="66"/>
  <c r="N22" i="66"/>
  <c r="I31" i="65"/>
  <c r="N41" i="66"/>
  <c r="I30" i="65"/>
  <c r="I41" i="65"/>
  <c r="N16" i="65"/>
  <c r="N17" i="66"/>
  <c r="I38" i="66"/>
  <c r="N13" i="66"/>
  <c r="I32" i="65"/>
  <c r="N15" i="65"/>
  <c r="I15" i="66"/>
  <c r="K13" i="67" a="1"/>
  <c r="I11" i="65"/>
  <c r="I44" i="66"/>
  <c r="I12" i="66"/>
  <c r="I36" i="66"/>
  <c r="I43" i="66"/>
  <c r="N36" i="65"/>
  <c r="N18" i="65"/>
  <c r="I34" i="66"/>
  <c r="N39" i="65"/>
  <c r="I42" i="65"/>
  <c r="W9" i="69" l="1"/>
  <c r="W20" i="69"/>
  <c r="AC19" i="69"/>
  <c r="AA19" i="69"/>
  <c r="AD19" i="69" s="1"/>
  <c r="X19" i="69"/>
  <c r="AE19" i="69" s="1"/>
  <c r="AE18" i="69"/>
  <c r="V11" i="69"/>
  <c r="V22" i="69"/>
  <c r="Z7" i="69"/>
  <c r="AC5" i="69"/>
  <c r="X5" i="69" s="1"/>
  <c r="AB6" i="69"/>
  <c r="AA6" i="69"/>
  <c r="AD6" i="69" s="1"/>
  <c r="Y8" i="69"/>
  <c r="V117" i="67"/>
  <c r="U117" i="67"/>
  <c r="U22" i="67"/>
  <c r="V22" i="67"/>
  <c r="U78" i="67"/>
  <c r="V78" i="67"/>
  <c r="V38" i="67"/>
  <c r="U38" i="67"/>
  <c r="U97" i="67"/>
  <c r="V97" i="67"/>
  <c r="U80" i="67"/>
  <c r="V80" i="67"/>
  <c r="U86" i="67"/>
  <c r="V86" i="67"/>
  <c r="V102" i="67"/>
  <c r="U102" i="67"/>
  <c r="U111" i="67"/>
  <c r="V111" i="67"/>
  <c r="V69" i="67"/>
  <c r="U69" i="67"/>
  <c r="U72" i="67"/>
  <c r="V72" i="67"/>
  <c r="V48" i="67"/>
  <c r="U48" i="67"/>
  <c r="V85" i="67"/>
  <c r="U85" i="67"/>
  <c r="V64" i="67"/>
  <c r="U64" i="67"/>
  <c r="U30" i="67"/>
  <c r="V30" i="67"/>
  <c r="V87" i="67"/>
  <c r="U87" i="67"/>
  <c r="U77" i="67"/>
  <c r="V77" i="67"/>
  <c r="U52" i="67"/>
  <c r="V52" i="67"/>
  <c r="U119" i="67"/>
  <c r="V119" i="67"/>
  <c r="U33" i="67"/>
  <c r="V33" i="67"/>
  <c r="U59" i="67"/>
  <c r="V59" i="67"/>
  <c r="U26" i="67"/>
  <c r="V26" i="67"/>
  <c r="V107" i="67"/>
  <c r="U107" i="67"/>
  <c r="U121" i="67"/>
  <c r="V121" i="67"/>
  <c r="V25" i="67"/>
  <c r="U25" i="67"/>
  <c r="U91" i="67"/>
  <c r="V91" i="67"/>
  <c r="V115" i="67"/>
  <c r="U115" i="67"/>
  <c r="V58" i="67"/>
  <c r="U58" i="67"/>
  <c r="U73" i="67"/>
  <c r="V73" i="67"/>
  <c r="V114" i="67"/>
  <c r="U114" i="67"/>
  <c r="V99" i="67"/>
  <c r="U99" i="67"/>
  <c r="V82" i="67"/>
  <c r="U82" i="67"/>
  <c r="V90" i="67"/>
  <c r="U90" i="67"/>
  <c r="V75" i="67"/>
  <c r="U75" i="67"/>
  <c r="V34" i="67"/>
  <c r="U34" i="67"/>
  <c r="U92" i="67"/>
  <c r="V92" i="67"/>
  <c r="U40" i="67"/>
  <c r="V40" i="67"/>
  <c r="U94" i="67"/>
  <c r="V94" i="67"/>
  <c r="V29" i="67"/>
  <c r="U29" i="67"/>
  <c r="V32" i="67"/>
  <c r="U32" i="67"/>
  <c r="U31" i="67"/>
  <c r="V31" i="67"/>
  <c r="U39" i="67"/>
  <c r="V39" i="67"/>
  <c r="U88" i="67"/>
  <c r="V88" i="67"/>
  <c r="U37" i="67"/>
  <c r="V37" i="67"/>
  <c r="V116" i="67"/>
  <c r="U116" i="67"/>
  <c r="U36" i="67"/>
  <c r="V36" i="67"/>
  <c r="V101" i="67"/>
  <c r="U101" i="67"/>
  <c r="V104" i="67"/>
  <c r="U104" i="67"/>
  <c r="V43" i="67"/>
  <c r="U43" i="67"/>
  <c r="V35" i="67"/>
  <c r="U35" i="67"/>
  <c r="U89" i="67"/>
  <c r="V89" i="67"/>
  <c r="V57" i="67"/>
  <c r="U57" i="67"/>
  <c r="U13" i="67"/>
  <c r="V13" i="67"/>
  <c r="V67" i="67"/>
  <c r="U67" i="67"/>
  <c r="U106" i="67"/>
  <c r="V106" i="67"/>
  <c r="U98" i="67"/>
  <c r="V98" i="67"/>
  <c r="U76" i="67"/>
  <c r="V76" i="67"/>
  <c r="V109" i="67"/>
  <c r="U109" i="67"/>
  <c r="U71" i="67"/>
  <c r="V71" i="67"/>
  <c r="V84" i="67"/>
  <c r="U84" i="67"/>
  <c r="V24" i="67"/>
  <c r="U24" i="67"/>
  <c r="V17" i="67"/>
  <c r="U17" i="67"/>
  <c r="U45" i="67"/>
  <c r="V45" i="67"/>
  <c r="V28" i="67"/>
  <c r="U28" i="67"/>
  <c r="U79" i="67"/>
  <c r="V79" i="67"/>
  <c r="U103" i="67"/>
  <c r="V103" i="67"/>
  <c r="V70" i="67"/>
  <c r="U70" i="67"/>
  <c r="V81" i="67"/>
  <c r="U81" i="67"/>
  <c r="U14" i="67"/>
  <c r="V14" i="67"/>
  <c r="U15" i="67"/>
  <c r="V15" i="67"/>
  <c r="V23" i="67"/>
  <c r="U23" i="67"/>
  <c r="U12" i="67"/>
  <c r="V12" i="67"/>
  <c r="V96" i="67"/>
  <c r="U96" i="67"/>
  <c r="V50" i="67"/>
  <c r="U50" i="67"/>
  <c r="V20" i="67"/>
  <c r="U20" i="67"/>
  <c r="V19" i="67"/>
  <c r="U19" i="67"/>
  <c r="U93" i="67"/>
  <c r="V93" i="67"/>
  <c r="U27" i="67"/>
  <c r="V27" i="67"/>
  <c r="U61" i="67"/>
  <c r="V61" i="67"/>
  <c r="V66" i="67"/>
  <c r="U66" i="67"/>
  <c r="U83" i="67"/>
  <c r="V83" i="67"/>
  <c r="V16" i="67"/>
  <c r="U16" i="67"/>
  <c r="V110" i="67"/>
  <c r="U110" i="67"/>
  <c r="V120" i="67"/>
  <c r="U120" i="67"/>
  <c r="V21" i="67"/>
  <c r="U21" i="67"/>
  <c r="V60" i="67"/>
  <c r="U60" i="67"/>
  <c r="V112" i="67"/>
  <c r="U112" i="67"/>
  <c r="U108" i="67"/>
  <c r="V108" i="67"/>
  <c r="V49" i="67"/>
  <c r="U49" i="67"/>
  <c r="U47" i="67"/>
  <c r="V47" i="67"/>
  <c r="U65" i="67"/>
  <c r="V65" i="67"/>
  <c r="V44" i="67"/>
  <c r="U44" i="67"/>
  <c r="U63" i="67"/>
  <c r="V63" i="67"/>
  <c r="V46" i="67"/>
  <c r="U46" i="67"/>
  <c r="V56" i="67"/>
  <c r="U56" i="67"/>
  <c r="U68" i="67"/>
  <c r="V68" i="67"/>
  <c r="V62" i="67"/>
  <c r="U62" i="67"/>
  <c r="U118" i="67"/>
  <c r="V118" i="67"/>
  <c r="U54" i="67"/>
  <c r="V54" i="67"/>
  <c r="V53" i="67"/>
  <c r="U53" i="67"/>
  <c r="U113" i="67"/>
  <c r="V113" i="67"/>
  <c r="V95" i="67"/>
  <c r="U95" i="67"/>
  <c r="V55" i="67"/>
  <c r="U55" i="67"/>
  <c r="U11" i="67"/>
  <c r="V11" i="67"/>
  <c r="U74" i="67"/>
  <c r="V74" i="67"/>
  <c r="V105" i="67"/>
  <c r="U105" i="67"/>
  <c r="V51" i="67"/>
  <c r="U51" i="67"/>
  <c r="V18" i="67"/>
  <c r="U18" i="67"/>
  <c r="U42" i="67"/>
  <c r="V42" i="67"/>
  <c r="U41" i="67"/>
  <c r="V41" i="67"/>
  <c r="U100" i="67"/>
  <c r="V100" i="67"/>
  <c r="H34" i="84"/>
  <c r="J34" i="84" s="1"/>
  <c r="K34" i="84" s="1"/>
  <c r="B110" i="74"/>
  <c r="B110" i="76"/>
  <c r="B110" i="75"/>
  <c r="B110" i="77"/>
  <c r="K11" i="67"/>
  <c r="L11" i="67" s="1"/>
  <c r="K12" i="67"/>
  <c r="L12" i="67" s="1"/>
  <c r="K13" i="67"/>
  <c r="L13" i="67" s="1"/>
  <c r="J14" i="67"/>
  <c r="B15" i="67"/>
  <c r="J13" i="51"/>
  <c r="J18" i="51"/>
  <c r="J25" i="51"/>
  <c r="J14" i="51"/>
  <c r="J26" i="51"/>
  <c r="J19" i="51"/>
  <c r="J11" i="51"/>
  <c r="J15" i="51"/>
  <c r="J20" i="51"/>
  <c r="J27" i="51"/>
  <c r="J21" i="51"/>
  <c r="M15" i="51" s="1"/>
  <c r="J28" i="51"/>
  <c r="M19" i="51" s="1"/>
  <c r="J12" i="51"/>
  <c r="J16" i="51"/>
  <c r="J23" i="51"/>
  <c r="J17" i="51"/>
  <c r="J24" i="51"/>
  <c r="E9" i="66"/>
  <c r="D48" i="66"/>
  <c r="D42" i="66"/>
  <c r="D36" i="66"/>
  <c r="D30" i="66"/>
  <c r="D24" i="66"/>
  <c r="D18" i="66"/>
  <c r="D45" i="66"/>
  <c r="D34" i="66"/>
  <c r="D31" i="66"/>
  <c r="D23" i="66"/>
  <c r="D20" i="66"/>
  <c r="D16" i="66"/>
  <c r="D39" i="66"/>
  <c r="D28" i="66"/>
  <c r="D25" i="66"/>
  <c r="D17" i="66"/>
  <c r="D47" i="66"/>
  <c r="D35" i="66"/>
  <c r="D33" i="66"/>
  <c r="D40" i="66"/>
  <c r="D38" i="66"/>
  <c r="D43" i="66"/>
  <c r="D22" i="66"/>
  <c r="D13" i="66"/>
  <c r="D11" i="66"/>
  <c r="D41" i="66"/>
  <c r="D29" i="66"/>
  <c r="D27" i="66"/>
  <c r="D46" i="66"/>
  <c r="D44" i="66"/>
  <c r="D32" i="66"/>
  <c r="D26" i="66"/>
  <c r="D9" i="66"/>
  <c r="D15" i="66"/>
  <c r="D19" i="66"/>
  <c r="D14" i="66"/>
  <c r="D12" i="66"/>
  <c r="D10" i="66"/>
  <c r="D21" i="66"/>
  <c r="D8" i="66"/>
  <c r="D37" i="66"/>
  <c r="F8" i="66"/>
  <c r="D44" i="65"/>
  <c r="D38" i="65"/>
  <c r="D45" i="65"/>
  <c r="D39" i="65"/>
  <c r="D46" i="65"/>
  <c r="D40" i="65"/>
  <c r="D34" i="65"/>
  <c r="D28" i="65"/>
  <c r="D22" i="65"/>
  <c r="D47" i="65"/>
  <c r="D41" i="65"/>
  <c r="D35" i="65"/>
  <c r="D29" i="65"/>
  <c r="D23" i="65"/>
  <c r="D43" i="65"/>
  <c r="D31" i="65"/>
  <c r="D21" i="65"/>
  <c r="D12" i="65"/>
  <c r="D48" i="65"/>
  <c r="D37" i="65"/>
  <c r="D15" i="65"/>
  <c r="D8" i="65"/>
  <c r="D9" i="65"/>
  <c r="D42" i="65"/>
  <c r="D32" i="65"/>
  <c r="D27" i="65"/>
  <c r="D25" i="65"/>
  <c r="D20" i="65"/>
  <c r="D18" i="65"/>
  <c r="D17" i="65"/>
  <c r="D36" i="65"/>
  <c r="D30" i="65"/>
  <c r="D11" i="65"/>
  <c r="D16" i="65"/>
  <c r="D13" i="65"/>
  <c r="D33" i="65"/>
  <c r="D14" i="65"/>
  <c r="D10" i="65"/>
  <c r="D24" i="65"/>
  <c r="D19" i="65"/>
  <c r="D26" i="65"/>
  <c r="E9" i="65"/>
  <c r="F8" i="65"/>
  <c r="X20" i="69" a="1"/>
  <c r="W21" i="69" a="1"/>
  <c r="I15" i="67"/>
  <c r="AA20" i="69" a="1"/>
  <c r="M12" i="67" a="1"/>
  <c r="V126" i="67" a="1"/>
  <c r="AC20" i="69" a="1"/>
  <c r="AB7" i="69" a="1"/>
  <c r="K14" i="67" a="1"/>
  <c r="H15" i="67"/>
  <c r="U124" i="67" a="1"/>
  <c r="AC6" i="69" a="1"/>
  <c r="M13" i="67" a="1"/>
  <c r="G8" i="66"/>
  <c r="Z8" i="69" a="1"/>
  <c r="W10" i="69" a="1"/>
  <c r="M11" i="67" a="1"/>
  <c r="G8" i="65"/>
  <c r="AF19" i="69" l="1"/>
  <c r="AH19" i="69" s="1"/>
  <c r="W21" i="69"/>
  <c r="AC20" i="69"/>
  <c r="AA20" i="69"/>
  <c r="AD20" i="69" s="1"/>
  <c r="X20" i="69"/>
  <c r="AE20" i="69" s="1"/>
  <c r="AF20" i="69" s="1"/>
  <c r="AH20" i="69" s="1"/>
  <c r="W10" i="69"/>
  <c r="V23" i="69"/>
  <c r="V12" i="69"/>
  <c r="Z8" i="69"/>
  <c r="AC6" i="69"/>
  <c r="AB7" i="69"/>
  <c r="Y9" i="69"/>
  <c r="AE5" i="69"/>
  <c r="L34" i="84"/>
  <c r="M13" i="67"/>
  <c r="O13" i="67" s="1"/>
  <c r="M12" i="67"/>
  <c r="O12" i="67" s="1"/>
  <c r="M11" i="67"/>
  <c r="O11" i="67" s="1"/>
  <c r="U124" i="67"/>
  <c r="V126" i="67"/>
  <c r="N13" i="67"/>
  <c r="N12" i="67"/>
  <c r="N11" i="67"/>
  <c r="B111" i="74"/>
  <c r="B111" i="76"/>
  <c r="B111" i="75"/>
  <c r="B111" i="77"/>
  <c r="J15" i="67"/>
  <c r="K14" i="67"/>
  <c r="L14" i="67" s="1"/>
  <c r="B16" i="67"/>
  <c r="H8" i="66"/>
  <c r="J8" i="66" s="1"/>
  <c r="K8" i="66" s="1"/>
  <c r="F9" i="66"/>
  <c r="H8" i="65"/>
  <c r="J8" i="65" s="1"/>
  <c r="K8" i="65" s="1"/>
  <c r="F9" i="65"/>
  <c r="X21" i="69" a="1"/>
  <c r="Z9" i="69" a="1"/>
  <c r="K15" i="67" a="1"/>
  <c r="W11" i="69" a="1"/>
  <c r="AA21" i="69" a="1"/>
  <c r="G9" i="66"/>
  <c r="AC21" i="69" a="1"/>
  <c r="I16" i="67"/>
  <c r="H16" i="67"/>
  <c r="W22" i="69" a="1"/>
  <c r="M14" i="67" a="1"/>
  <c r="AB8" i="69" a="1"/>
  <c r="G9" i="65"/>
  <c r="W11" i="69" l="1"/>
  <c r="W22" i="69"/>
  <c r="AC21" i="69"/>
  <c r="AA21" i="69"/>
  <c r="AD21" i="69" s="1"/>
  <c r="X21" i="69"/>
  <c r="O9" i="65"/>
  <c r="Q9" i="65"/>
  <c r="O9" i="66"/>
  <c r="Q9" i="66"/>
  <c r="O34" i="84"/>
  <c r="P34" i="84" s="1"/>
  <c r="Q34" i="84"/>
  <c r="R34" i="84" s="1"/>
  <c r="S34" i="84" s="1"/>
  <c r="V13" i="69"/>
  <c r="V24" i="69"/>
  <c r="Z9" i="69"/>
  <c r="AB8" i="69"/>
  <c r="Y10" i="69"/>
  <c r="M34" i="84"/>
  <c r="M14" i="67"/>
  <c r="O14" i="67" s="1"/>
  <c r="N14" i="67"/>
  <c r="B112" i="74"/>
  <c r="B112" i="76"/>
  <c r="B112" i="75"/>
  <c r="B112" i="77"/>
  <c r="J16" i="67"/>
  <c r="K15" i="67"/>
  <c r="L15" i="67" s="1"/>
  <c r="B17" i="67"/>
  <c r="H9" i="66"/>
  <c r="J9" i="66" s="1"/>
  <c r="K9" i="66" s="1"/>
  <c r="H9" i="65"/>
  <c r="J9" i="65" s="1"/>
  <c r="K9" i="65" s="1"/>
  <c r="Z10" i="69" a="1"/>
  <c r="H17" i="67"/>
  <c r="AB9" i="69" a="1"/>
  <c r="X22" i="69" a="1"/>
  <c r="M15" i="67" a="1"/>
  <c r="AA22" i="69" a="1"/>
  <c r="I17" i="67"/>
  <c r="W12" i="69" a="1"/>
  <c r="AC22" i="69" a="1"/>
  <c r="K16" i="67" a="1"/>
  <c r="W23" i="69" a="1"/>
  <c r="W12" i="69" l="1"/>
  <c r="W23" i="69"/>
  <c r="AC22" i="69"/>
  <c r="AA22" i="69"/>
  <c r="AD22" i="69" s="1"/>
  <c r="X22" i="69"/>
  <c r="AE22" i="69" s="1"/>
  <c r="O10" i="65"/>
  <c r="Q10" i="65"/>
  <c r="Q10" i="66"/>
  <c r="O10" i="66"/>
  <c r="AE21" i="69"/>
  <c r="E35" i="84"/>
  <c r="F35" i="84" s="1"/>
  <c r="V25" i="69"/>
  <c r="V14" i="69"/>
  <c r="Z10" i="69"/>
  <c r="AB9" i="69"/>
  <c r="Y11" i="69"/>
  <c r="M15" i="67"/>
  <c r="O15" i="67" s="1"/>
  <c r="N15" i="67"/>
  <c r="R9" i="66"/>
  <c r="B113" i="74"/>
  <c r="B113" i="76"/>
  <c r="B113" i="75"/>
  <c r="B113" i="77"/>
  <c r="J17" i="67"/>
  <c r="K16" i="67"/>
  <c r="L16" i="67" s="1"/>
  <c r="B18" i="67"/>
  <c r="M9" i="66"/>
  <c r="M9" i="65"/>
  <c r="X23" i="69" a="1"/>
  <c r="M16" i="67" a="1"/>
  <c r="W24" i="69" a="1"/>
  <c r="AA23" i="69" a="1"/>
  <c r="K17" i="67" a="1"/>
  <c r="AC23" i="69" a="1"/>
  <c r="G35" i="84"/>
  <c r="H18" i="67"/>
  <c r="I18" i="67"/>
  <c r="AB10" i="69" a="1"/>
  <c r="W13" i="69" a="1"/>
  <c r="Z11" i="69" a="1"/>
  <c r="W24" i="69" l="1"/>
  <c r="AC23" i="69"/>
  <c r="AA23" i="69"/>
  <c r="AD23" i="69" s="1"/>
  <c r="X23" i="69"/>
  <c r="W13" i="69"/>
  <c r="AF22" i="69"/>
  <c r="AH22" i="69" s="1"/>
  <c r="AF21" i="69"/>
  <c r="AH21" i="69" s="1"/>
  <c r="V15" i="69"/>
  <c r="V26" i="69"/>
  <c r="Z11" i="69"/>
  <c r="AB10" i="69"/>
  <c r="Y12" i="69"/>
  <c r="M16" i="67"/>
  <c r="O16" i="67" s="1"/>
  <c r="N16" i="67"/>
  <c r="H35" i="84"/>
  <c r="J35" i="84" s="1"/>
  <c r="K35" i="84" s="1"/>
  <c r="L35" i="84" s="1"/>
  <c r="B114" i="74"/>
  <c r="B114" i="76"/>
  <c r="B114" i="75"/>
  <c r="B114" i="77"/>
  <c r="K17" i="67"/>
  <c r="L17" i="67" s="1"/>
  <c r="J18" i="67"/>
  <c r="B19" i="67"/>
  <c r="S9" i="66"/>
  <c r="P9" i="66"/>
  <c r="Q8" i="66" s="1"/>
  <c r="E10" i="66"/>
  <c r="P9" i="65"/>
  <c r="Q8" i="65" s="1"/>
  <c r="E10" i="65"/>
  <c r="I19" i="67"/>
  <c r="H19" i="67"/>
  <c r="M17" i="67" a="1"/>
  <c r="X24" i="69" a="1"/>
  <c r="Z12" i="69" a="1"/>
  <c r="AC24" i="69" a="1"/>
  <c r="W14" i="69" a="1"/>
  <c r="W25" i="69" a="1"/>
  <c r="AA24" i="69" a="1"/>
  <c r="K18" i="67" a="1"/>
  <c r="AB11" i="69" a="1"/>
  <c r="AC24" i="69" l="1"/>
  <c r="AA24" i="69"/>
  <c r="AD24" i="69" s="1"/>
  <c r="X24" i="69"/>
  <c r="W25" i="69"/>
  <c r="W14" i="69"/>
  <c r="AE23" i="69"/>
  <c r="O35" i="84"/>
  <c r="Q35" i="84"/>
  <c r="R35" i="84" s="1"/>
  <c r="V27" i="69"/>
  <c r="V16" i="69"/>
  <c r="Z12" i="69"/>
  <c r="AB11" i="69"/>
  <c r="Y13" i="69"/>
  <c r="M17" i="67"/>
  <c r="O17" i="67" s="1"/>
  <c r="N17" i="67"/>
  <c r="M35" i="84"/>
  <c r="B115" i="74"/>
  <c r="B115" i="76"/>
  <c r="B115" i="75"/>
  <c r="B115" i="77"/>
  <c r="J19" i="67"/>
  <c r="K18" i="67"/>
  <c r="L18" i="67" s="1"/>
  <c r="B20" i="67"/>
  <c r="F10" i="66"/>
  <c r="F10" i="65"/>
  <c r="AB12" i="69" a="1"/>
  <c r="I20" i="67"/>
  <c r="G10" i="66"/>
  <c r="AC25" i="69" a="1"/>
  <c r="W15" i="69" a="1"/>
  <c r="X25" i="69" a="1"/>
  <c r="G10" i="65"/>
  <c r="Z13" i="69" a="1"/>
  <c r="H20" i="67"/>
  <c r="M18" i="67" a="1"/>
  <c r="K19" i="67" a="1"/>
  <c r="AA25" i="69" a="1"/>
  <c r="W26" i="69" a="1"/>
  <c r="W16" i="69" a="1"/>
  <c r="W15" i="69" l="1"/>
  <c r="W26" i="69"/>
  <c r="AC25" i="69"/>
  <c r="AA25" i="69"/>
  <c r="AD25" i="69" s="1"/>
  <c r="X25" i="69"/>
  <c r="W16" i="69"/>
  <c r="AF23" i="69"/>
  <c r="AH23" i="69" s="1"/>
  <c r="AE24" i="69"/>
  <c r="V28" i="69"/>
  <c r="Z13" i="69"/>
  <c r="AB12" i="69"/>
  <c r="Y14" i="69"/>
  <c r="M18" i="67"/>
  <c r="O18" i="67" s="1"/>
  <c r="N18" i="67"/>
  <c r="S35" i="84"/>
  <c r="P35" i="84"/>
  <c r="E36" i="84"/>
  <c r="B116" i="74"/>
  <c r="B116" i="76"/>
  <c r="B116" i="75"/>
  <c r="B116" i="77"/>
  <c r="K19" i="67"/>
  <c r="L19" i="67" s="1"/>
  <c r="J20" i="67"/>
  <c r="B21" i="67"/>
  <c r="H10" i="66"/>
  <c r="J10" i="66" s="1"/>
  <c r="K10" i="66" s="1"/>
  <c r="H10" i="65"/>
  <c r="J10" i="65" s="1"/>
  <c r="K10" i="65" s="1"/>
  <c r="AC26" i="69" a="1"/>
  <c r="W27" i="69" a="1"/>
  <c r="M19" i="67" a="1"/>
  <c r="AA26" i="69" a="1"/>
  <c r="K20" i="67" a="1"/>
  <c r="AB13" i="69" a="1"/>
  <c r="H21" i="67"/>
  <c r="X26" i="69" a="1"/>
  <c r="Z14" i="69" a="1"/>
  <c r="I21" i="67"/>
  <c r="AC26" i="69" l="1"/>
  <c r="AA26" i="69"/>
  <c r="AD26" i="69" s="1"/>
  <c r="X26" i="69"/>
  <c r="W27" i="69"/>
  <c r="AF24" i="69"/>
  <c r="AH24" i="69" s="1"/>
  <c r="AE25" i="69"/>
  <c r="V29" i="69"/>
  <c r="Z14" i="69"/>
  <c r="AB13" i="69"/>
  <c r="Y15" i="69"/>
  <c r="M19" i="67"/>
  <c r="O19" i="67" s="1"/>
  <c r="N19" i="67"/>
  <c r="F36" i="84"/>
  <c r="R10" i="66"/>
  <c r="B117" i="74"/>
  <c r="B117" i="76"/>
  <c r="B117" i="75"/>
  <c r="B117" i="77"/>
  <c r="J21" i="67"/>
  <c r="K20" i="67"/>
  <c r="L20" i="67" s="1"/>
  <c r="B22" i="67"/>
  <c r="M10" i="66"/>
  <c r="M10" i="65"/>
  <c r="H22" i="67"/>
  <c r="AC27" i="69" a="1"/>
  <c r="AB14" i="69" a="1"/>
  <c r="G36" i="84"/>
  <c r="W28" i="69" a="1"/>
  <c r="I22" i="67"/>
  <c r="AA27" i="69" a="1"/>
  <c r="M20" i="67" a="1"/>
  <c r="K21" i="67" a="1"/>
  <c r="Z15" i="69" a="1"/>
  <c r="X27" i="69" a="1"/>
  <c r="AC27" i="69" l="1"/>
  <c r="AA27" i="69"/>
  <c r="AD27" i="69" s="1"/>
  <c r="X27" i="69"/>
  <c r="W28" i="69"/>
  <c r="AF25" i="69"/>
  <c r="AH25" i="69" s="1"/>
  <c r="AE26" i="69"/>
  <c r="V30" i="69"/>
  <c r="Z15" i="69"/>
  <c r="AB14" i="69"/>
  <c r="Y16" i="69"/>
  <c r="M20" i="67"/>
  <c r="O20" i="67" s="1"/>
  <c r="N20" i="67"/>
  <c r="H36" i="84"/>
  <c r="J36" i="84" s="1"/>
  <c r="K36" i="84" s="1"/>
  <c r="B118" i="74"/>
  <c r="B118" i="76"/>
  <c r="B118" i="75"/>
  <c r="B118" i="77"/>
  <c r="J22" i="67"/>
  <c r="K21" i="67"/>
  <c r="L21" i="67" s="1"/>
  <c r="B23" i="67"/>
  <c r="S10" i="66"/>
  <c r="P10" i="66"/>
  <c r="E11" i="66"/>
  <c r="E11" i="65"/>
  <c r="P10" i="65"/>
  <c r="H23" i="67"/>
  <c r="K22" i="67" a="1"/>
  <c r="I23" i="67"/>
  <c r="AC28" i="69" a="1"/>
  <c r="W29" i="69" a="1"/>
  <c r="X28" i="69" a="1"/>
  <c r="AB15" i="69" a="1"/>
  <c r="Z16" i="69" a="1"/>
  <c r="M21" i="67" a="1"/>
  <c r="AA28" i="69" a="1"/>
  <c r="AC28" i="69" l="1"/>
  <c r="AA28" i="69"/>
  <c r="AD28" i="69" s="1"/>
  <c r="X28" i="69"/>
  <c r="W29" i="69"/>
  <c r="AF26" i="69"/>
  <c r="AH26" i="69" s="1"/>
  <c r="AE27" i="69"/>
  <c r="V31" i="69"/>
  <c r="Z16" i="69"/>
  <c r="AB15" i="69"/>
  <c r="L36" i="84"/>
  <c r="M36" i="84" s="1"/>
  <c r="M21" i="67"/>
  <c r="O21" i="67" s="1"/>
  <c r="N21" i="67"/>
  <c r="B119" i="74"/>
  <c r="B119" i="76"/>
  <c r="B119" i="75"/>
  <c r="B119" i="77"/>
  <c r="K22" i="67"/>
  <c r="L22" i="67" s="1"/>
  <c r="J23" i="67"/>
  <c r="B24" i="67"/>
  <c r="F11" i="66"/>
  <c r="F11" i="65"/>
  <c r="G11" i="66"/>
  <c r="M22" i="67" a="1"/>
  <c r="W30" i="69" a="1"/>
  <c r="H24" i="67"/>
  <c r="AC29" i="69" a="1"/>
  <c r="X29" i="69" a="1"/>
  <c r="K23" i="67" a="1"/>
  <c r="G11" i="65"/>
  <c r="I24" i="67"/>
  <c r="AA29" i="69" a="1"/>
  <c r="AB16" i="69" a="1"/>
  <c r="AC29" i="69" l="1"/>
  <c r="AA29" i="69"/>
  <c r="AD29" i="69" s="1"/>
  <c r="X29" i="69"/>
  <c r="W30" i="69"/>
  <c r="AF27" i="69"/>
  <c r="AH27" i="69" s="1"/>
  <c r="AE28" i="69"/>
  <c r="O36" i="84"/>
  <c r="Q36" i="84"/>
  <c r="R36" i="84" s="1"/>
  <c r="S36" i="84" s="1"/>
  <c r="V32" i="69"/>
  <c r="AB16" i="69"/>
  <c r="M22" i="67"/>
  <c r="O22" i="67" s="1"/>
  <c r="N22" i="67"/>
  <c r="E37" i="84"/>
  <c r="P36" i="84"/>
  <c r="B120" i="74"/>
  <c r="B120" i="76"/>
  <c r="B120" i="75"/>
  <c r="B120" i="77"/>
  <c r="J24" i="67"/>
  <c r="K23" i="67"/>
  <c r="L23" i="67" s="1"/>
  <c r="B25" i="67"/>
  <c r="H11" i="66"/>
  <c r="J11" i="66" s="1"/>
  <c r="K11" i="66" s="1"/>
  <c r="H11" i="65"/>
  <c r="J11" i="65" s="1"/>
  <c r="K11" i="65" s="1"/>
  <c r="I25" i="67"/>
  <c r="AA30" i="69" a="1"/>
  <c r="H25" i="67"/>
  <c r="W31" i="69" a="1"/>
  <c r="M23" i="67" a="1"/>
  <c r="AC30" i="69" a="1"/>
  <c r="X30" i="69" a="1"/>
  <c r="K24" i="67" a="1"/>
  <c r="L11" i="65" l="1"/>
  <c r="L11" i="66"/>
  <c r="AF28" i="69"/>
  <c r="AH28" i="69" s="1"/>
  <c r="AE29" i="69"/>
  <c r="AF29" i="69" s="1"/>
  <c r="AH29" i="69" s="1"/>
  <c r="W31" i="69"/>
  <c r="AC30" i="69"/>
  <c r="AA30" i="69"/>
  <c r="AD30" i="69" s="1"/>
  <c r="X30" i="69"/>
  <c r="V33" i="69"/>
  <c r="M23" i="67"/>
  <c r="O23" i="67" s="1"/>
  <c r="N23" i="67"/>
  <c r="F37" i="84"/>
  <c r="B121" i="74"/>
  <c r="B121" i="76"/>
  <c r="B121" i="75"/>
  <c r="B121" i="77"/>
  <c r="K24" i="67"/>
  <c r="L24" i="67" s="1"/>
  <c r="J25" i="67"/>
  <c r="B26" i="67"/>
  <c r="M11" i="66"/>
  <c r="M11" i="65"/>
  <c r="G37" i="84"/>
  <c r="AA31" i="69" a="1"/>
  <c r="AC31" i="69" a="1"/>
  <c r="H26" i="67"/>
  <c r="M24" i="67" a="1"/>
  <c r="X31" i="69" a="1"/>
  <c r="W32" i="69" a="1"/>
  <c r="I26" i="67"/>
  <c r="K25" i="67" a="1"/>
  <c r="Q11" i="65" l="1"/>
  <c r="O11" i="65"/>
  <c r="Q11" i="66"/>
  <c r="R11" i="66" s="1"/>
  <c r="O11" i="66"/>
  <c r="P11" i="66" s="1"/>
  <c r="M24" i="67"/>
  <c r="W32" i="69"/>
  <c r="AC31" i="69"/>
  <c r="AA31" i="69"/>
  <c r="AD31" i="69" s="1"/>
  <c r="X31" i="69"/>
  <c r="AE30" i="69"/>
  <c r="V34" i="69"/>
  <c r="N24" i="67"/>
  <c r="H37" i="84"/>
  <c r="J37" i="84" s="1"/>
  <c r="K37" i="84" s="1"/>
  <c r="J26" i="67"/>
  <c r="K25" i="67"/>
  <c r="L25" i="67" s="1"/>
  <c r="B27" i="67"/>
  <c r="S11" i="66"/>
  <c r="E12" i="66"/>
  <c r="P11" i="65"/>
  <c r="E12" i="65"/>
  <c r="AA32" i="69" a="1"/>
  <c r="I27" i="67"/>
  <c r="X32" i="69" a="1"/>
  <c r="H27" i="67"/>
  <c r="M25" i="67" a="1"/>
  <c r="K26" i="67" a="1"/>
  <c r="AC32" i="69" a="1"/>
  <c r="W33" i="69" a="1"/>
  <c r="AE31" i="69" l="1"/>
  <c r="AF31" i="69" s="1"/>
  <c r="AH31" i="69" s="1"/>
  <c r="W33" i="69"/>
  <c r="AC32" i="69"/>
  <c r="AA32" i="69"/>
  <c r="AD32" i="69" s="1"/>
  <c r="X32" i="69"/>
  <c r="AF30" i="69"/>
  <c r="AH30" i="69" s="1"/>
  <c r="V35" i="69"/>
  <c r="L37" i="84"/>
  <c r="M25" i="67"/>
  <c r="N25" i="67"/>
  <c r="O24" i="67"/>
  <c r="I9" i="78"/>
  <c r="G9" i="78"/>
  <c r="F9" i="78"/>
  <c r="H9" i="78"/>
  <c r="K26" i="67"/>
  <c r="L26" i="67" s="1"/>
  <c r="J27" i="67"/>
  <c r="B28" i="67"/>
  <c r="F12" i="66"/>
  <c r="F12" i="65"/>
  <c r="G12" i="66"/>
  <c r="X33" i="69" a="1"/>
  <c r="I28" i="67"/>
  <c r="M26" i="67" a="1"/>
  <c r="K27" i="67" a="1"/>
  <c r="H28" i="67"/>
  <c r="AA33" i="69" a="1"/>
  <c r="W34" i="69" a="1"/>
  <c r="G12" i="65"/>
  <c r="AC33" i="69" a="1"/>
  <c r="W34" i="69" l="1"/>
  <c r="AC33" i="69"/>
  <c r="AA33" i="69"/>
  <c r="AD33" i="69" s="1"/>
  <c r="X33" i="69"/>
  <c r="AE32" i="69"/>
  <c r="O37" i="84"/>
  <c r="E38" i="84" s="1"/>
  <c r="Q37" i="84"/>
  <c r="R37" i="84" s="1"/>
  <c r="S37" i="84" s="1"/>
  <c r="V36" i="69"/>
  <c r="M37" i="84"/>
  <c r="O25" i="67"/>
  <c r="M26" i="67"/>
  <c r="N26" i="67"/>
  <c r="P37" i="84"/>
  <c r="J28" i="67"/>
  <c r="K27" i="67"/>
  <c r="L27" i="67" s="1"/>
  <c r="B29" i="67"/>
  <c r="H12" i="66"/>
  <c r="J12" i="66" s="1"/>
  <c r="K12" i="66" s="1"/>
  <c r="H12" i="65"/>
  <c r="J12" i="65" s="1"/>
  <c r="K12" i="65" s="1"/>
  <c r="W35" i="69" a="1"/>
  <c r="AC34" i="69" a="1"/>
  <c r="X34" i="69" a="1"/>
  <c r="M27" i="67" a="1"/>
  <c r="AA34" i="69" a="1"/>
  <c r="K28" i="67" a="1"/>
  <c r="I29" i="67"/>
  <c r="H29" i="67"/>
  <c r="L12" i="65" l="1"/>
  <c r="L12" i="66"/>
  <c r="W35" i="69"/>
  <c r="AC34" i="69"/>
  <c r="AA34" i="69"/>
  <c r="AD34" i="69" s="1"/>
  <c r="X34" i="69"/>
  <c r="AF32" i="69"/>
  <c r="AH32" i="69" s="1"/>
  <c r="AE33" i="69"/>
  <c r="V37" i="69"/>
  <c r="O26" i="67"/>
  <c r="M27" i="67"/>
  <c r="N27" i="67"/>
  <c r="F38" i="84"/>
  <c r="K28" i="67"/>
  <c r="L28" i="67" s="1"/>
  <c r="J29" i="67"/>
  <c r="B30" i="67"/>
  <c r="M12" i="66"/>
  <c r="M12" i="65"/>
  <c r="K29" i="67" a="1"/>
  <c r="I30" i="67"/>
  <c r="W36" i="69" a="1"/>
  <c r="AA35" i="69" a="1"/>
  <c r="M28" i="67" a="1"/>
  <c r="H30" i="67"/>
  <c r="G38" i="84"/>
  <c r="X35" i="69" a="1"/>
  <c r="AC35" i="69" a="1"/>
  <c r="O12" i="65" l="1"/>
  <c r="Q12" i="65"/>
  <c r="O12" i="66"/>
  <c r="Q12" i="66"/>
  <c r="R12" i="66" s="1"/>
  <c r="S12" i="66" s="1"/>
  <c r="AC35" i="69"/>
  <c r="AA35" i="69"/>
  <c r="AD35" i="69" s="1"/>
  <c r="X35" i="69"/>
  <c r="W36" i="69"/>
  <c r="AF33" i="69"/>
  <c r="AH33" i="69" s="1"/>
  <c r="AE34" i="69"/>
  <c r="V38" i="69"/>
  <c r="O27" i="67"/>
  <c r="M28" i="67"/>
  <c r="N28" i="67"/>
  <c r="H38" i="84"/>
  <c r="J38" i="84" s="1"/>
  <c r="K38" i="84" s="1"/>
  <c r="J30" i="67"/>
  <c r="K29" i="67"/>
  <c r="L29" i="67" s="1"/>
  <c r="B31" i="67"/>
  <c r="P12" i="66"/>
  <c r="E13" i="66"/>
  <c r="E13" i="65"/>
  <c r="P12" i="65"/>
  <c r="X36" i="69" a="1"/>
  <c r="AC36" i="69" a="1"/>
  <c r="M29" i="67" a="1"/>
  <c r="W37" i="69" a="1"/>
  <c r="AA36" i="69" a="1"/>
  <c r="H31" i="67"/>
  <c r="K30" i="67" a="1"/>
  <c r="I31" i="67"/>
  <c r="W37" i="69" l="1"/>
  <c r="AC36" i="69"/>
  <c r="AA36" i="69"/>
  <c r="AD36" i="69" s="1"/>
  <c r="X36" i="69"/>
  <c r="AF34" i="69"/>
  <c r="AH34" i="69" s="1"/>
  <c r="AE35" i="69"/>
  <c r="AF35" i="69" s="1"/>
  <c r="AH35" i="69" s="1"/>
  <c r="V39" i="69"/>
  <c r="L38" i="84"/>
  <c r="M38" i="84" s="1"/>
  <c r="O28" i="67"/>
  <c r="M29" i="67"/>
  <c r="N29" i="67"/>
  <c r="J31" i="67"/>
  <c r="K30" i="67"/>
  <c r="L30" i="67" s="1"/>
  <c r="B32" i="67"/>
  <c r="F13" i="66"/>
  <c r="F13" i="65"/>
  <c r="G13" i="65"/>
  <c r="I32" i="67"/>
  <c r="W38" i="69" a="1"/>
  <c r="H32" i="67"/>
  <c r="G13" i="66"/>
  <c r="M30" i="67" a="1"/>
  <c r="K31" i="67" a="1"/>
  <c r="X37" i="69" a="1"/>
  <c r="AC37" i="69" a="1"/>
  <c r="AA37" i="69" a="1"/>
  <c r="AC37" i="69" l="1"/>
  <c r="AA37" i="69"/>
  <c r="AD37" i="69" s="1"/>
  <c r="X37" i="69"/>
  <c r="W38" i="69"/>
  <c r="AE36" i="69"/>
  <c r="O38" i="84"/>
  <c r="Q38" i="84"/>
  <c r="R38" i="84" s="1"/>
  <c r="S38" i="84" s="1"/>
  <c r="V40" i="69"/>
  <c r="O29" i="67"/>
  <c r="M30" i="67"/>
  <c r="N30" i="67"/>
  <c r="E39" i="84"/>
  <c r="P38" i="84"/>
  <c r="K31" i="67"/>
  <c r="L31" i="67" s="1"/>
  <c r="J32" i="67"/>
  <c r="B33" i="67"/>
  <c r="H13" i="66"/>
  <c r="J13" i="66" s="1"/>
  <c r="K13" i="66" s="1"/>
  <c r="H13" i="65"/>
  <c r="J13" i="65" s="1"/>
  <c r="K13" i="65" s="1"/>
  <c r="W39" i="69" a="1"/>
  <c r="AA38" i="69" a="1"/>
  <c r="H33" i="67"/>
  <c r="K32" i="67" a="1"/>
  <c r="X38" i="69" a="1"/>
  <c r="AC38" i="69" a="1"/>
  <c r="I33" i="67"/>
  <c r="M31" i="67" a="1"/>
  <c r="L13" i="65" l="1"/>
  <c r="L13" i="66"/>
  <c r="AC38" i="69"/>
  <c r="AA38" i="69"/>
  <c r="AD38" i="69" s="1"/>
  <c r="X38" i="69"/>
  <c r="W39" i="69"/>
  <c r="AF36" i="69"/>
  <c r="AH36" i="69" s="1"/>
  <c r="AE37" i="69"/>
  <c r="V41" i="69"/>
  <c r="O30" i="67"/>
  <c r="M31" i="67"/>
  <c r="N31" i="67"/>
  <c r="F39" i="84"/>
  <c r="J33" i="67"/>
  <c r="K32" i="67"/>
  <c r="L32" i="67" s="1"/>
  <c r="B34" i="67"/>
  <c r="M13" i="65"/>
  <c r="H34" i="67"/>
  <c r="M32" i="67" a="1"/>
  <c r="AA39" i="69" a="1"/>
  <c r="W40" i="69" a="1"/>
  <c r="G39" i="84"/>
  <c r="I34" i="67"/>
  <c r="AC39" i="69" a="1"/>
  <c r="X39" i="69" a="1"/>
  <c r="K33" i="67" a="1"/>
  <c r="O13" i="65" l="1"/>
  <c r="Q13" i="65"/>
  <c r="O13" i="66"/>
  <c r="Q13" i="66"/>
  <c r="R13" i="66" s="1"/>
  <c r="M13" i="66"/>
  <c r="W40" i="69"/>
  <c r="AC39" i="69"/>
  <c r="AA39" i="69"/>
  <c r="AD39" i="69" s="1"/>
  <c r="X39" i="69"/>
  <c r="AF37" i="69"/>
  <c r="AH37" i="69" s="1"/>
  <c r="AE38" i="69"/>
  <c r="V42" i="69"/>
  <c r="O31" i="67"/>
  <c r="M32" i="67"/>
  <c r="N32" i="67"/>
  <c r="H39" i="84"/>
  <c r="J39" i="84" s="1"/>
  <c r="K39" i="84" s="1"/>
  <c r="L39" i="84" s="1"/>
  <c r="J34" i="67"/>
  <c r="K33" i="67"/>
  <c r="L33" i="67" s="1"/>
  <c r="B35" i="67"/>
  <c r="S13" i="66"/>
  <c r="P13" i="66"/>
  <c r="E14" i="66"/>
  <c r="P13" i="65"/>
  <c r="E14" i="65"/>
  <c r="AA40" i="69" a="1"/>
  <c r="X40" i="69" a="1"/>
  <c r="K34" i="67" a="1"/>
  <c r="I35" i="67"/>
  <c r="M33" i="67" a="1"/>
  <c r="W41" i="69" a="1"/>
  <c r="AC40" i="69" a="1"/>
  <c r="H35" i="67"/>
  <c r="AC40" i="69" l="1"/>
  <c r="AA40" i="69"/>
  <c r="AD40" i="69" s="1"/>
  <c r="X40" i="69"/>
  <c r="W41" i="69"/>
  <c r="AF38" i="69"/>
  <c r="AH38" i="69" s="1"/>
  <c r="AE39" i="69"/>
  <c r="AF39" i="69" s="1"/>
  <c r="AH39" i="69" s="1"/>
  <c r="O39" i="84"/>
  <c r="Q39" i="84"/>
  <c r="R39" i="84" s="1"/>
  <c r="V43" i="69"/>
  <c r="O32" i="67"/>
  <c r="M33" i="67"/>
  <c r="N33" i="67"/>
  <c r="M39" i="84"/>
  <c r="K34" i="67"/>
  <c r="L34" i="67" s="1"/>
  <c r="J35" i="67"/>
  <c r="B36" i="67"/>
  <c r="F14" i="66"/>
  <c r="F14" i="65"/>
  <c r="W42" i="69" a="1"/>
  <c r="G14" i="65"/>
  <c r="G14" i="66"/>
  <c r="K35" i="67" a="1"/>
  <c r="H36" i="67"/>
  <c r="AA41" i="69" a="1"/>
  <c r="M34" i="67" a="1"/>
  <c r="I36" i="67"/>
  <c r="X41" i="69" a="1"/>
  <c r="AC41" i="69" a="1"/>
  <c r="AC41" i="69" l="1"/>
  <c r="AA41" i="69"/>
  <c r="AD41" i="69" s="1"/>
  <c r="X41" i="69"/>
  <c r="W42" i="69"/>
  <c r="AE40" i="69"/>
  <c r="V44" i="69"/>
  <c r="O33" i="67"/>
  <c r="M34" i="67"/>
  <c r="N34" i="67"/>
  <c r="S39" i="84"/>
  <c r="P39" i="84"/>
  <c r="E40" i="84"/>
  <c r="K35" i="67"/>
  <c r="L35" i="67" s="1"/>
  <c r="J36" i="67"/>
  <c r="B37" i="67"/>
  <c r="H14" i="66"/>
  <c r="J14" i="66" s="1"/>
  <c r="K14" i="66" s="1"/>
  <c r="H14" i="65"/>
  <c r="J14" i="65" s="1"/>
  <c r="K14" i="65" s="1"/>
  <c r="AA42" i="69" a="1"/>
  <c r="W43" i="69" a="1"/>
  <c r="H37" i="67"/>
  <c r="M35" i="67" a="1"/>
  <c r="I37" i="67"/>
  <c r="X42" i="69" a="1"/>
  <c r="AC42" i="69" a="1"/>
  <c r="K36" i="67" a="1"/>
  <c r="L14" i="65" l="1"/>
  <c r="L14" i="66"/>
  <c r="AE41" i="69"/>
  <c r="AF41" i="69" s="1"/>
  <c r="AH41" i="69" s="1"/>
  <c r="AC42" i="69"/>
  <c r="AA42" i="69"/>
  <c r="AD42" i="69" s="1"/>
  <c r="X42" i="69"/>
  <c r="W43" i="69"/>
  <c r="AF40" i="69"/>
  <c r="AH40" i="69" s="1"/>
  <c r="V45" i="69"/>
  <c r="O34" i="67"/>
  <c r="M35" i="67"/>
  <c r="N35" i="67"/>
  <c r="F40" i="84"/>
  <c r="J37" i="67"/>
  <c r="K36" i="67"/>
  <c r="L36" i="67" s="1"/>
  <c r="B38" i="67"/>
  <c r="M14" i="65"/>
  <c r="K37" i="67" a="1"/>
  <c r="M36" i="67" a="1"/>
  <c r="G40" i="84"/>
  <c r="X43" i="69" a="1"/>
  <c r="H38" i="67"/>
  <c r="I38" i="67"/>
  <c r="AC43" i="69" a="1"/>
  <c r="W44" i="69" a="1"/>
  <c r="AA43" i="69" a="1"/>
  <c r="O14" i="65" l="1"/>
  <c r="Q14" i="65"/>
  <c r="O14" i="66"/>
  <c r="Q14" i="66"/>
  <c r="R14" i="66" s="1"/>
  <c r="S14" i="66" s="1"/>
  <c r="M14" i="66"/>
  <c r="AC43" i="69"/>
  <c r="AA43" i="69"/>
  <c r="AD43" i="69" s="1"/>
  <c r="X43" i="69"/>
  <c r="W44" i="69"/>
  <c r="AE42" i="69"/>
  <c r="V46" i="69"/>
  <c r="O35" i="67"/>
  <c r="M36" i="67"/>
  <c r="N36" i="67"/>
  <c r="H40" i="84"/>
  <c r="J40" i="84" s="1"/>
  <c r="K40" i="84" s="1"/>
  <c r="K37" i="67"/>
  <c r="L37" i="67" s="1"/>
  <c r="J38" i="67"/>
  <c r="B39" i="67"/>
  <c r="E15" i="66"/>
  <c r="P14" i="66"/>
  <c r="P14" i="65"/>
  <c r="E15" i="65"/>
  <c r="K38" i="67" a="1"/>
  <c r="H39" i="67"/>
  <c r="AA44" i="69" a="1"/>
  <c r="M37" i="67" a="1"/>
  <c r="X44" i="69" a="1"/>
  <c r="W45" i="69" a="1"/>
  <c r="I39" i="67"/>
  <c r="AC44" i="69" a="1"/>
  <c r="W45" i="69" l="1"/>
  <c r="AC44" i="69"/>
  <c r="AA44" i="69"/>
  <c r="AD44" i="69" s="1"/>
  <c r="X44" i="69"/>
  <c r="AF42" i="69"/>
  <c r="AH42" i="69" s="1"/>
  <c r="AE43" i="69"/>
  <c r="V47" i="69"/>
  <c r="L40" i="84"/>
  <c r="M40" i="84" s="1"/>
  <c r="O36" i="67"/>
  <c r="M37" i="67"/>
  <c r="N37" i="67"/>
  <c r="J39" i="67"/>
  <c r="K38" i="67"/>
  <c r="L38" i="67" s="1"/>
  <c r="B40" i="67"/>
  <c r="F15" i="66"/>
  <c r="F15" i="65"/>
  <c r="X45" i="69" a="1"/>
  <c r="AA45" i="69" a="1"/>
  <c r="AC45" i="69" a="1"/>
  <c r="W46" i="69" a="1"/>
  <c r="H40" i="67"/>
  <c r="K39" i="67" a="1"/>
  <c r="G15" i="66"/>
  <c r="G15" i="65"/>
  <c r="I40" i="67"/>
  <c r="M38" i="67" a="1"/>
  <c r="W46" i="69" l="1"/>
  <c r="AC45" i="69"/>
  <c r="AA45" i="69"/>
  <c r="AD45" i="69" s="1"/>
  <c r="X45" i="69"/>
  <c r="AF43" i="69"/>
  <c r="AH43" i="69" s="1"/>
  <c r="AE44" i="69"/>
  <c r="AF44" i="69" s="1"/>
  <c r="AH44" i="69" s="1"/>
  <c r="O40" i="84"/>
  <c r="P40" i="84" s="1"/>
  <c r="Q40" i="84"/>
  <c r="R40" i="84" s="1"/>
  <c r="S40" i="84" s="1"/>
  <c r="V48" i="69"/>
  <c r="O37" i="67"/>
  <c r="M38" i="67"/>
  <c r="N38" i="67"/>
  <c r="K39" i="67"/>
  <c r="L39" i="67" s="1"/>
  <c r="J40" i="67"/>
  <c r="B41" i="67"/>
  <c r="H15" i="66"/>
  <c r="J15" i="66" s="1"/>
  <c r="K15" i="66" s="1"/>
  <c r="H15" i="65"/>
  <c r="J15" i="65" s="1"/>
  <c r="K15" i="65" s="1"/>
  <c r="X46" i="69" a="1"/>
  <c r="H41" i="67"/>
  <c r="AA46" i="69" a="1"/>
  <c r="K40" i="67" a="1"/>
  <c r="W47" i="69" a="1"/>
  <c r="I41" i="67"/>
  <c r="AC46" i="69" a="1"/>
  <c r="M39" i="67" a="1"/>
  <c r="L15" i="65" l="1"/>
  <c r="L15" i="66"/>
  <c r="W47" i="69"/>
  <c r="AC46" i="69"/>
  <c r="AA46" i="69"/>
  <c r="AD46" i="69" s="1"/>
  <c r="X46" i="69"/>
  <c r="E41" i="84"/>
  <c r="AF45" i="69"/>
  <c r="AH45" i="69" s="1"/>
  <c r="AE45" i="69"/>
  <c r="V49" i="69"/>
  <c r="O38" i="67"/>
  <c r="M39" i="67"/>
  <c r="N39" i="67"/>
  <c r="F41" i="84"/>
  <c r="J41" i="67"/>
  <c r="K40" i="67"/>
  <c r="L40" i="67" s="1"/>
  <c r="B42" i="67"/>
  <c r="M15" i="65"/>
  <c r="M40" i="67" a="1"/>
  <c r="X47" i="69" a="1"/>
  <c r="H42" i="67"/>
  <c r="W48" i="69" a="1"/>
  <c r="K41" i="67" a="1"/>
  <c r="AC47" i="69" a="1"/>
  <c r="G41" i="84"/>
  <c r="I42" i="67"/>
  <c r="AA47" i="69" a="1"/>
  <c r="O15" i="65" l="1"/>
  <c r="Q15" i="65"/>
  <c r="O15" i="66"/>
  <c r="Q15" i="66"/>
  <c r="R15" i="66" s="1"/>
  <c r="S15" i="66" s="1"/>
  <c r="M15" i="66"/>
  <c r="AC47" i="69"/>
  <c r="AA47" i="69"/>
  <c r="AD47" i="69" s="1"/>
  <c r="X47" i="69"/>
  <c r="W48" i="69"/>
  <c r="AE46" i="69"/>
  <c r="V50" i="69"/>
  <c r="O39" i="67"/>
  <c r="M40" i="67"/>
  <c r="N40" i="67"/>
  <c r="H41" i="84"/>
  <c r="J41" i="84" s="1"/>
  <c r="K41" i="84" s="1"/>
  <c r="K41" i="67"/>
  <c r="L41" i="67" s="1"/>
  <c r="J42" i="67"/>
  <c r="B43" i="67"/>
  <c r="P15" i="66"/>
  <c r="E16" i="66"/>
  <c r="E16" i="65"/>
  <c r="P15" i="65"/>
  <c r="X48" i="69" a="1"/>
  <c r="H43" i="67"/>
  <c r="K42" i="67" a="1"/>
  <c r="AA48" i="69" a="1"/>
  <c r="M41" i="67" a="1"/>
  <c r="I43" i="67"/>
  <c r="AC48" i="69" a="1"/>
  <c r="W49" i="69" a="1"/>
  <c r="W49" i="69" l="1"/>
  <c r="AC48" i="69"/>
  <c r="AA48" i="69"/>
  <c r="AD48" i="69" s="1"/>
  <c r="X48" i="69"/>
  <c r="AF46" i="69"/>
  <c r="AH46" i="69" s="1"/>
  <c r="AE47" i="69"/>
  <c r="V51" i="69"/>
  <c r="L41" i="84"/>
  <c r="O40" i="67"/>
  <c r="M41" i="67"/>
  <c r="N41" i="67"/>
  <c r="J43" i="67"/>
  <c r="K42" i="67"/>
  <c r="L42" i="67" s="1"/>
  <c r="B44" i="67"/>
  <c r="F16" i="66"/>
  <c r="F16" i="65"/>
  <c r="X49" i="69" a="1"/>
  <c r="AC49" i="69" a="1"/>
  <c r="I44" i="67"/>
  <c r="W50" i="69" a="1"/>
  <c r="AA49" i="69" a="1"/>
  <c r="G16" i="65"/>
  <c r="F131" i="67" a="1"/>
  <c r="G16" i="66"/>
  <c r="M42" i="67" a="1"/>
  <c r="H44" i="67"/>
  <c r="K43" i="67" a="1"/>
  <c r="AE48" i="69" l="1"/>
  <c r="F131" i="67"/>
  <c r="F138" i="67" s="1"/>
  <c r="E18" i="78" s="1"/>
  <c r="W50" i="69"/>
  <c r="AC49" i="69"/>
  <c r="AA49" i="69"/>
  <c r="AD49" i="69" s="1"/>
  <c r="X49" i="69"/>
  <c r="AF48" i="69"/>
  <c r="AH48" i="69" s="1"/>
  <c r="AF47" i="69"/>
  <c r="AH47" i="69" s="1"/>
  <c r="O41" i="84"/>
  <c r="P41" i="84" s="1"/>
  <c r="Q41" i="84"/>
  <c r="R41" i="84" s="1"/>
  <c r="S41" i="84" s="1"/>
  <c r="V52" i="69"/>
  <c r="M41" i="84"/>
  <c r="O41" i="67"/>
  <c r="M42" i="67"/>
  <c r="N42" i="67"/>
  <c r="K43" i="67"/>
  <c r="L43" i="67" s="1"/>
  <c r="J44" i="67"/>
  <c r="B45" i="67"/>
  <c r="H16" i="66"/>
  <c r="J16" i="66" s="1"/>
  <c r="K16" i="66" s="1"/>
  <c r="H16" i="65"/>
  <c r="J16" i="65" s="1"/>
  <c r="K16" i="65" s="1"/>
  <c r="W51" i="69" a="1"/>
  <c r="K44" i="67" a="1"/>
  <c r="I45" i="67"/>
  <c r="AC50" i="69" a="1"/>
  <c r="M43" i="67" a="1"/>
  <c r="AA50" i="69" a="1"/>
  <c r="H45" i="67"/>
  <c r="X50" i="69" a="1"/>
  <c r="L16" i="65" l="1"/>
  <c r="L16" i="66"/>
  <c r="E42" i="84"/>
  <c r="AC50" i="69"/>
  <c r="AA50" i="69"/>
  <c r="AD50" i="69" s="1"/>
  <c r="X50" i="69"/>
  <c r="W51" i="69"/>
  <c r="AE49" i="69"/>
  <c r="V53" i="69"/>
  <c r="O42" i="67"/>
  <c r="M43" i="67"/>
  <c r="N43" i="67"/>
  <c r="F42" i="84"/>
  <c r="J45" i="67"/>
  <c r="K44" i="67"/>
  <c r="L44" i="67" s="1"/>
  <c r="B46" i="67"/>
  <c r="M16" i="66"/>
  <c r="M16" i="65"/>
  <c r="X51" i="69" a="1"/>
  <c r="W52" i="69" a="1"/>
  <c r="G42" i="84"/>
  <c r="I46" i="67"/>
  <c r="K45" i="67" a="1"/>
  <c r="AA51" i="69" a="1"/>
  <c r="H46" i="67"/>
  <c r="AC51" i="69" a="1"/>
  <c r="M44" i="67" a="1"/>
  <c r="O16" i="65" l="1"/>
  <c r="Q16" i="65"/>
  <c r="O16" i="66"/>
  <c r="Q16" i="66"/>
  <c r="R16" i="66" s="1"/>
  <c r="W52" i="69"/>
  <c r="AC51" i="69"/>
  <c r="AA51" i="69"/>
  <c r="AD51" i="69" s="1"/>
  <c r="X51" i="69"/>
  <c r="AE50" i="69"/>
  <c r="AF50" i="69"/>
  <c r="AH50" i="69" s="1"/>
  <c r="AF49" i="69"/>
  <c r="AH49" i="69" s="1"/>
  <c r="V54" i="69"/>
  <c r="O43" i="67"/>
  <c r="M44" i="67"/>
  <c r="N44" i="67"/>
  <c r="H42" i="84"/>
  <c r="J42" i="84" s="1"/>
  <c r="K42" i="84" s="1"/>
  <c r="J46" i="67"/>
  <c r="K45" i="67"/>
  <c r="L45" i="67" s="1"/>
  <c r="B47" i="67"/>
  <c r="S16" i="66"/>
  <c r="E17" i="66"/>
  <c r="P16" i="66"/>
  <c r="P16" i="65"/>
  <c r="E17" i="65"/>
  <c r="X52" i="69" a="1"/>
  <c r="M45" i="67" a="1"/>
  <c r="K46" i="67" a="1"/>
  <c r="W53" i="69" a="1"/>
  <c r="I47" i="67"/>
  <c r="AC52" i="69" a="1"/>
  <c r="AA52" i="69" a="1"/>
  <c r="H47" i="67"/>
  <c r="AE51" i="69" l="1"/>
  <c r="AF51" i="69" s="1"/>
  <c r="AH51" i="69" s="1"/>
  <c r="W53" i="69"/>
  <c r="AC52" i="69"/>
  <c r="AA52" i="69"/>
  <c r="AD52" i="69" s="1"/>
  <c r="X52" i="69"/>
  <c r="V55" i="69"/>
  <c r="L42" i="84"/>
  <c r="M42" i="84" s="1"/>
  <c r="O44" i="67"/>
  <c r="M45" i="67"/>
  <c r="N45" i="67"/>
  <c r="J47" i="67"/>
  <c r="K46" i="67"/>
  <c r="L46" i="67" s="1"/>
  <c r="B48" i="67"/>
  <c r="F17" i="66"/>
  <c r="F17" i="65"/>
  <c r="AA53" i="69" a="1"/>
  <c r="H48" i="67"/>
  <c r="M46" i="67" a="1"/>
  <c r="AC53" i="69" a="1"/>
  <c r="W54" i="69" a="1"/>
  <c r="G17" i="66"/>
  <c r="K47" i="67" a="1"/>
  <c r="I48" i="67"/>
  <c r="G17" i="65"/>
  <c r="X53" i="69" a="1"/>
  <c r="W54" i="69" l="1"/>
  <c r="AC53" i="69"/>
  <c r="AA53" i="69"/>
  <c r="AD53" i="69" s="1"/>
  <c r="X53" i="69"/>
  <c r="AE52" i="69"/>
  <c r="O42" i="84"/>
  <c r="P42" i="84" s="1"/>
  <c r="Q42" i="84"/>
  <c r="R42" i="84" s="1"/>
  <c r="S42" i="84" s="1"/>
  <c r="V56" i="69"/>
  <c r="O45" i="67"/>
  <c r="M46" i="67"/>
  <c r="N46" i="67"/>
  <c r="E43" i="84"/>
  <c r="K47" i="67"/>
  <c r="L47" i="67" s="1"/>
  <c r="J48" i="67"/>
  <c r="B49" i="67"/>
  <c r="H17" i="66"/>
  <c r="J17" i="66" s="1"/>
  <c r="K17" i="66" s="1"/>
  <c r="H17" i="65"/>
  <c r="J17" i="65" s="1"/>
  <c r="K17" i="65" s="1"/>
  <c r="AA54" i="69" a="1"/>
  <c r="X54" i="69" a="1"/>
  <c r="AC54" i="69" a="1"/>
  <c r="W55" i="69" a="1"/>
  <c r="H49" i="67"/>
  <c r="I49" i="67"/>
  <c r="M47" i="67" a="1"/>
  <c r="K48" i="67" a="1"/>
  <c r="L17" i="65" l="1"/>
  <c r="L17" i="66"/>
  <c r="W55" i="69"/>
  <c r="AC54" i="69"/>
  <c r="AA54" i="69"/>
  <c r="AD54" i="69" s="1"/>
  <c r="X54" i="69"/>
  <c r="AF52" i="69"/>
  <c r="AH52" i="69" s="1"/>
  <c r="AE53" i="69"/>
  <c r="V57" i="69"/>
  <c r="O46" i="67"/>
  <c r="M47" i="67"/>
  <c r="N47" i="67"/>
  <c r="F43" i="84"/>
  <c r="J49" i="67"/>
  <c r="K48" i="67"/>
  <c r="L48" i="67" s="1"/>
  <c r="B50" i="67"/>
  <c r="M17" i="66"/>
  <c r="M17" i="65"/>
  <c r="H50" i="67"/>
  <c r="K49" i="67" a="1"/>
  <c r="AA55" i="69" a="1"/>
  <c r="G43" i="84"/>
  <c r="M48" i="67" a="1"/>
  <c r="AC55" i="69" a="1"/>
  <c r="W56" i="69" a="1"/>
  <c r="I50" i="67"/>
  <c r="X55" i="69" a="1"/>
  <c r="Q17" i="65" l="1"/>
  <c r="O17" i="65"/>
  <c r="Q17" i="66"/>
  <c r="R17" i="66" s="1"/>
  <c r="O17" i="66"/>
  <c r="AE54" i="69"/>
  <c r="AC55" i="69"/>
  <c r="AA55" i="69"/>
  <c r="AD55" i="69" s="1"/>
  <c r="X55" i="69"/>
  <c r="W56" i="69"/>
  <c r="AF54" i="69"/>
  <c r="AH54" i="69" s="1"/>
  <c r="AF53" i="69"/>
  <c r="AH53" i="69" s="1"/>
  <c r="V58" i="69"/>
  <c r="O47" i="67"/>
  <c r="M48" i="67"/>
  <c r="O48" i="67" s="1"/>
  <c r="N48" i="67"/>
  <c r="H43" i="84"/>
  <c r="J43" i="84" s="1"/>
  <c r="K43" i="84" s="1"/>
  <c r="L43" i="84" s="1"/>
  <c r="K49" i="67"/>
  <c r="L49" i="67" s="1"/>
  <c r="J50" i="67"/>
  <c r="B51" i="67"/>
  <c r="S17" i="66"/>
  <c r="P17" i="66"/>
  <c r="E18" i="66"/>
  <c r="E18" i="65"/>
  <c r="P17" i="65"/>
  <c r="I51" i="67"/>
  <c r="K50" i="67" a="1"/>
  <c r="AC56" i="69" a="1"/>
  <c r="M49" i="67" a="1"/>
  <c r="W57" i="69" a="1"/>
  <c r="X56" i="69" a="1"/>
  <c r="H51" i="67"/>
  <c r="AA56" i="69" a="1"/>
  <c r="AC56" i="69" l="1"/>
  <c r="AA56" i="69"/>
  <c r="AD56" i="69" s="1"/>
  <c r="X56" i="69"/>
  <c r="W57" i="69"/>
  <c r="AE55" i="69"/>
  <c r="O43" i="84"/>
  <c r="Q43" i="84"/>
  <c r="R43" i="84" s="1"/>
  <c r="V59" i="69"/>
  <c r="M49" i="67"/>
  <c r="O49" i="67" s="1"/>
  <c r="N49" i="67"/>
  <c r="M43" i="84"/>
  <c r="J51" i="67"/>
  <c r="K50" i="67"/>
  <c r="L50" i="67" s="1"/>
  <c r="B52" i="67"/>
  <c r="F18" i="66"/>
  <c r="F18" i="65"/>
  <c r="G18" i="65"/>
  <c r="G18" i="66"/>
  <c r="W58" i="69" a="1"/>
  <c r="X57" i="69" a="1"/>
  <c r="AA57" i="69" a="1"/>
  <c r="H52" i="67"/>
  <c r="M50" i="67" a="1"/>
  <c r="I52" i="67"/>
  <c r="AC57" i="69" a="1"/>
  <c r="K51" i="67" a="1"/>
  <c r="AC57" i="69" l="1"/>
  <c r="AA57" i="69"/>
  <c r="AD57" i="69" s="1"/>
  <c r="X57" i="69"/>
  <c r="W58" i="69"/>
  <c r="AF55" i="69"/>
  <c r="AH55" i="69" s="1"/>
  <c r="AE56" i="69"/>
  <c r="V60" i="69"/>
  <c r="M50" i="67"/>
  <c r="O50" i="67" s="1"/>
  <c r="N50" i="67"/>
  <c r="S43" i="84"/>
  <c r="E44" i="84"/>
  <c r="P43" i="84"/>
  <c r="K51" i="67"/>
  <c r="L51" i="67" s="1"/>
  <c r="J52" i="67"/>
  <c r="B53" i="67"/>
  <c r="H18" i="66"/>
  <c r="J18" i="66" s="1"/>
  <c r="K18" i="66" s="1"/>
  <c r="H18" i="65"/>
  <c r="J18" i="65" s="1"/>
  <c r="K18" i="65" s="1"/>
  <c r="W59" i="69" a="1"/>
  <c r="H53" i="67"/>
  <c r="X58" i="69" a="1"/>
  <c r="M51" i="67" a="1"/>
  <c r="AA58" i="69" a="1"/>
  <c r="AC58" i="69" a="1"/>
  <c r="I53" i="67"/>
  <c r="K52" i="67" a="1"/>
  <c r="L18" i="65" l="1"/>
  <c r="L18" i="66"/>
  <c r="AC58" i="69"/>
  <c r="AA58" i="69"/>
  <c r="AD58" i="69" s="1"/>
  <c r="X58" i="69"/>
  <c r="W59" i="69"/>
  <c r="AF56" i="69"/>
  <c r="AH56" i="69" s="1"/>
  <c r="AE57" i="69"/>
  <c r="AF57" i="69" s="1"/>
  <c r="AH57" i="69" s="1"/>
  <c r="V61" i="69"/>
  <c r="M51" i="67"/>
  <c r="N51" i="67"/>
  <c r="F44" i="84"/>
  <c r="J53" i="67"/>
  <c r="K52" i="67"/>
  <c r="L52" i="67" s="1"/>
  <c r="B54" i="67"/>
  <c r="M18" i="66"/>
  <c r="M18" i="65"/>
  <c r="H54" i="67"/>
  <c r="AA59" i="69" a="1"/>
  <c r="G44" i="84"/>
  <c r="M52" i="67" a="1"/>
  <c r="X59" i="69" a="1"/>
  <c r="AC59" i="69" a="1"/>
  <c r="K53" i="67" a="1"/>
  <c r="W60" i="69" a="1"/>
  <c r="F125" i="67" a="1"/>
  <c r="I54" i="67"/>
  <c r="O18" i="65" l="1"/>
  <c r="Q18" i="65"/>
  <c r="O18" i="66"/>
  <c r="Q18" i="66"/>
  <c r="R18" i="66" s="1"/>
  <c r="S18" i="66" s="1"/>
  <c r="F125" i="67"/>
  <c r="F136" i="67" s="1"/>
  <c r="W60" i="69"/>
  <c r="AC59" i="69"/>
  <c r="AA59" i="69"/>
  <c r="AD59" i="69" s="1"/>
  <c r="X59" i="69"/>
  <c r="O51" i="67"/>
  <c r="AE58" i="69"/>
  <c r="AF58" i="69" s="1"/>
  <c r="AH58" i="69" s="1"/>
  <c r="V62" i="69"/>
  <c r="M52" i="67"/>
  <c r="O52" i="67" s="1"/>
  <c r="N52" i="67"/>
  <c r="H44" i="84"/>
  <c r="J44" i="84" s="1"/>
  <c r="K44" i="84" s="1"/>
  <c r="J54" i="67"/>
  <c r="K53" i="67"/>
  <c r="L53" i="67" s="1"/>
  <c r="B55" i="67"/>
  <c r="E19" i="66"/>
  <c r="P18" i="66"/>
  <c r="P18" i="65"/>
  <c r="E19" i="65"/>
  <c r="X60" i="69" a="1"/>
  <c r="AA60" i="69" a="1"/>
  <c r="H55" i="67"/>
  <c r="AC60" i="69" a="1"/>
  <c r="W61" i="69" a="1"/>
  <c r="M53" i="67" a="1"/>
  <c r="K54" i="67" a="1"/>
  <c r="I55" i="67"/>
  <c r="W61" i="69" l="1"/>
  <c r="AC60" i="69"/>
  <c r="AA60" i="69"/>
  <c r="AD60" i="69" s="1"/>
  <c r="X60" i="69"/>
  <c r="AE59" i="69"/>
  <c r="AF59" i="69" s="1"/>
  <c r="AH59" i="69" s="1"/>
  <c r="V63" i="69"/>
  <c r="L44" i="84"/>
  <c r="M44" i="84" s="1"/>
  <c r="M53" i="67"/>
  <c r="O53" i="67" s="1"/>
  <c r="N53" i="67"/>
  <c r="K54" i="67"/>
  <c r="L54" i="67" s="1"/>
  <c r="J55" i="67"/>
  <c r="B56" i="67"/>
  <c r="F19" i="66"/>
  <c r="F19" i="65"/>
  <c r="K55" i="67" a="1"/>
  <c r="G19" i="66"/>
  <c r="G19" i="65"/>
  <c r="M54" i="67" a="1"/>
  <c r="H56" i="67"/>
  <c r="X61" i="69" a="1"/>
  <c r="AA61" i="69" a="1"/>
  <c r="I56" i="67"/>
  <c r="W62" i="69" a="1"/>
  <c r="AC61" i="69" a="1"/>
  <c r="W62" i="69" l="1"/>
  <c r="AC61" i="69"/>
  <c r="AA61" i="69"/>
  <c r="AD61" i="69" s="1"/>
  <c r="X61" i="69"/>
  <c r="AE60" i="69"/>
  <c r="O44" i="84"/>
  <c r="P44" i="84" s="1"/>
  <c r="Q44" i="84"/>
  <c r="R44" i="84" s="1"/>
  <c r="S44" i="84" s="1"/>
  <c r="V64" i="69"/>
  <c r="M54" i="67"/>
  <c r="O54" i="67" s="1"/>
  <c r="N54" i="67"/>
  <c r="J56" i="67"/>
  <c r="K55" i="67"/>
  <c r="L55" i="67" s="1"/>
  <c r="B57" i="67"/>
  <c r="H19" i="66"/>
  <c r="J19" i="66" s="1"/>
  <c r="K19" i="66" s="1"/>
  <c r="H19" i="65"/>
  <c r="J19" i="65" s="1"/>
  <c r="K19" i="65" s="1"/>
  <c r="AA62" i="69" a="1"/>
  <c r="AC62" i="69" a="1"/>
  <c r="I57" i="67"/>
  <c r="H57" i="67"/>
  <c r="K56" i="67" a="1"/>
  <c r="X62" i="69" a="1"/>
  <c r="W63" i="69" a="1"/>
  <c r="M55" i="67" a="1"/>
  <c r="L19" i="65" l="1"/>
  <c r="L19" i="66"/>
  <c r="W63" i="69"/>
  <c r="AC62" i="69"/>
  <c r="AA62" i="69"/>
  <c r="AD62" i="69" s="1"/>
  <c r="X62" i="69"/>
  <c r="E45" i="84"/>
  <c r="AF60" i="69"/>
  <c r="AH60" i="69" s="1"/>
  <c r="AE61" i="69"/>
  <c r="AF61" i="69" s="1"/>
  <c r="AH61" i="69" s="1"/>
  <c r="V65" i="69"/>
  <c r="M55" i="67"/>
  <c r="O55" i="67" s="1"/>
  <c r="N55" i="67"/>
  <c r="F45" i="84"/>
  <c r="K56" i="67"/>
  <c r="L56" i="67" s="1"/>
  <c r="J57" i="67"/>
  <c r="B58" i="67"/>
  <c r="M19" i="66"/>
  <c r="M19" i="65"/>
  <c r="X63" i="69" a="1"/>
  <c r="AC63" i="69" a="1"/>
  <c r="I58" i="67"/>
  <c r="AA63" i="69" a="1"/>
  <c r="K57" i="67" a="1"/>
  <c r="M56" i="67" a="1"/>
  <c r="W64" i="69" a="1"/>
  <c r="H58" i="67"/>
  <c r="G45" i="84"/>
  <c r="O19" i="65" l="1"/>
  <c r="Q19" i="65"/>
  <c r="Q19" i="66"/>
  <c r="R19" i="66" s="1"/>
  <c r="O19" i="66"/>
  <c r="W64" i="69"/>
  <c r="AC63" i="69"/>
  <c r="AA63" i="69"/>
  <c r="AD63" i="69" s="1"/>
  <c r="X63" i="69"/>
  <c r="AE62" i="69"/>
  <c r="AF62" i="69" s="1"/>
  <c r="AH62" i="69" s="1"/>
  <c r="V66" i="69"/>
  <c r="M56" i="67"/>
  <c r="O56" i="67" s="1"/>
  <c r="N56" i="67"/>
  <c r="H45" i="84"/>
  <c r="J45" i="84" s="1"/>
  <c r="K45" i="84" s="1"/>
  <c r="J58" i="67"/>
  <c r="K57" i="67"/>
  <c r="L57" i="67" s="1"/>
  <c r="B59" i="67"/>
  <c r="S19" i="66"/>
  <c r="P19" i="66"/>
  <c r="E20" i="66"/>
  <c r="E20" i="65"/>
  <c r="P19" i="65"/>
  <c r="H59" i="67"/>
  <c r="K58" i="67" a="1"/>
  <c r="X64" i="69" a="1"/>
  <c r="AA64" i="69" a="1"/>
  <c r="AC64" i="69" a="1"/>
  <c r="W65" i="69" a="1"/>
  <c r="I59" i="67"/>
  <c r="M57" i="67" a="1"/>
  <c r="W65" i="69" l="1"/>
  <c r="AC64" i="69"/>
  <c r="AA64" i="69"/>
  <c r="AD64" i="69" s="1"/>
  <c r="X64" i="69"/>
  <c r="AE63" i="69"/>
  <c r="AF63" i="69" s="1"/>
  <c r="AH63" i="69" s="1"/>
  <c r="L45" i="84"/>
  <c r="Q45" i="84" s="1"/>
  <c r="R45" i="84" s="1"/>
  <c r="M57" i="67"/>
  <c r="O57" i="67" s="1"/>
  <c r="N57" i="67"/>
  <c r="J59" i="67"/>
  <c r="K58" i="67"/>
  <c r="L58" i="67" s="1"/>
  <c r="B60" i="67"/>
  <c r="F20" i="66"/>
  <c r="F20" i="65"/>
  <c r="I60" i="67"/>
  <c r="G20" i="66"/>
  <c r="AC65" i="69" a="1"/>
  <c r="W66" i="69" a="1"/>
  <c r="G20" i="65"/>
  <c r="X65" i="69" a="1"/>
  <c r="AA65" i="69" a="1"/>
  <c r="K59" i="67" a="1"/>
  <c r="M58" i="67" a="1"/>
  <c r="H60" i="67"/>
  <c r="AC65" i="69" l="1"/>
  <c r="AA65" i="69"/>
  <c r="AD65" i="69" s="1"/>
  <c r="X65" i="69"/>
  <c r="W66" i="69"/>
  <c r="AE64" i="69"/>
  <c r="M45" i="84"/>
  <c r="O45" i="84"/>
  <c r="E46" i="84" s="1"/>
  <c r="M58" i="67"/>
  <c r="O58" i="67" s="1"/>
  <c r="N58" i="67"/>
  <c r="S45" i="84"/>
  <c r="P45" i="84"/>
  <c r="K59" i="67"/>
  <c r="L59" i="67" s="1"/>
  <c r="J60" i="67"/>
  <c r="B61" i="67"/>
  <c r="H20" i="66"/>
  <c r="J20" i="66" s="1"/>
  <c r="K20" i="66" s="1"/>
  <c r="H20" i="65"/>
  <c r="J20" i="65" s="1"/>
  <c r="K20" i="65" s="1"/>
  <c r="H61" i="67"/>
  <c r="M59" i="67" a="1"/>
  <c r="X66" i="69" a="1"/>
  <c r="AA66" i="69" a="1"/>
  <c r="AC66" i="69" a="1"/>
  <c r="I61" i="67"/>
  <c r="K60" i="67" a="1"/>
  <c r="L20" i="65" l="1"/>
  <c r="L20" i="66"/>
  <c r="AE65" i="69"/>
  <c r="AF65" i="69" s="1"/>
  <c r="AH65" i="69" s="1"/>
  <c r="AC66" i="69"/>
  <c r="AA66" i="69"/>
  <c r="AD66" i="69" s="1"/>
  <c r="X66" i="69"/>
  <c r="AF64" i="69"/>
  <c r="AH64" i="69" s="1"/>
  <c r="M59" i="67"/>
  <c r="O59" i="67" s="1"/>
  <c r="N59" i="67"/>
  <c r="F46" i="84"/>
  <c r="J61" i="67"/>
  <c r="K60" i="67"/>
  <c r="L60" i="67" s="1"/>
  <c r="B62" i="67"/>
  <c r="M20" i="66"/>
  <c r="M20" i="65"/>
  <c r="I62" i="67"/>
  <c r="G46" i="84"/>
  <c r="H62" i="67"/>
  <c r="M60" i="67" a="1"/>
  <c r="K61" i="67" a="1"/>
  <c r="O20" i="65" l="1"/>
  <c r="Q20" i="65"/>
  <c r="Q20" i="66"/>
  <c r="R20" i="66" s="1"/>
  <c r="S20" i="66" s="1"/>
  <c r="O20" i="66"/>
  <c r="AE66" i="69"/>
  <c r="M60" i="67"/>
  <c r="O60" i="67" s="1"/>
  <c r="N60" i="67"/>
  <c r="H46" i="84"/>
  <c r="J46" i="84" s="1"/>
  <c r="K46" i="84" s="1"/>
  <c r="K61" i="67"/>
  <c r="L61" i="67" s="1"/>
  <c r="J62" i="67"/>
  <c r="B63" i="67"/>
  <c r="P20" i="66"/>
  <c r="E21" i="66"/>
  <c r="P20" i="65"/>
  <c r="E21" i="65"/>
  <c r="K62" i="67" a="1"/>
  <c r="M61" i="67" a="1"/>
  <c r="H63" i="67"/>
  <c r="I63" i="67"/>
  <c r="AF67" i="69" l="1"/>
  <c r="AH67" i="69" s="1"/>
  <c r="AF66" i="69"/>
  <c r="AH66" i="69" s="1"/>
  <c r="L46" i="84"/>
  <c r="M46" i="84" s="1"/>
  <c r="M61" i="67"/>
  <c r="O61" i="67" s="1"/>
  <c r="N61" i="67"/>
  <c r="J63" i="67"/>
  <c r="K62" i="67"/>
  <c r="L62" i="67" s="1"/>
  <c r="B64" i="67"/>
  <c r="F21" i="66"/>
  <c r="F21" i="65"/>
  <c r="M62" i="67" a="1"/>
  <c r="G21" i="65"/>
  <c r="H64" i="67"/>
  <c r="K63" i="67" a="1"/>
  <c r="G21" i="66"/>
  <c r="I64" i="67"/>
  <c r="O46" i="84" l="1"/>
  <c r="P46" i="84" s="1"/>
  <c r="Q46" i="84"/>
  <c r="R46" i="84" s="1"/>
  <c r="S46" i="84" s="1"/>
  <c r="M62" i="67"/>
  <c r="O62" i="67" s="1"/>
  <c r="N62" i="67"/>
  <c r="J64" i="67"/>
  <c r="K63" i="67"/>
  <c r="L63" i="67" s="1"/>
  <c r="B65" i="67"/>
  <c r="H21" i="66"/>
  <c r="J21" i="66" s="1"/>
  <c r="K21" i="66" s="1"/>
  <c r="H21" i="65"/>
  <c r="J21" i="65" s="1"/>
  <c r="K21" i="65" s="1"/>
  <c r="H65" i="67"/>
  <c r="M63" i="67" a="1"/>
  <c r="K64" i="67" a="1"/>
  <c r="I65" i="67"/>
  <c r="L21" i="65" l="1"/>
  <c r="L21" i="66"/>
  <c r="E47" i="84"/>
  <c r="F47" i="84" s="1"/>
  <c r="M63" i="67"/>
  <c r="O63" i="67" s="1"/>
  <c r="N63" i="67"/>
  <c r="J65" i="67"/>
  <c r="K64" i="67"/>
  <c r="L64" i="67" s="1"/>
  <c r="B66" i="67"/>
  <c r="M21" i="66"/>
  <c r="M21" i="65"/>
  <c r="I66" i="67"/>
  <c r="M64" i="67" a="1"/>
  <c r="H66" i="67"/>
  <c r="G47" i="84"/>
  <c r="K65" i="67" a="1"/>
  <c r="O21" i="65" l="1"/>
  <c r="Q21" i="65"/>
  <c r="O21" i="66"/>
  <c r="Q21" i="66"/>
  <c r="R21" i="66" s="1"/>
  <c r="M64" i="67"/>
  <c r="O64" i="67" s="1"/>
  <c r="N64" i="67"/>
  <c r="H47" i="84"/>
  <c r="J47" i="84" s="1"/>
  <c r="K47" i="84" s="1"/>
  <c r="L47" i="84" s="1"/>
  <c r="K65" i="67"/>
  <c r="L65" i="67" s="1"/>
  <c r="J66" i="67"/>
  <c r="B67" i="67"/>
  <c r="S21" i="66"/>
  <c r="P21" i="66"/>
  <c r="E22" i="66"/>
  <c r="E22" i="65"/>
  <c r="P21" i="65"/>
  <c r="M65" i="67" a="1"/>
  <c r="I67" i="67"/>
  <c r="H67" i="67"/>
  <c r="K66" i="67" a="1"/>
  <c r="O47" i="84" l="1"/>
  <c r="Q47" i="84"/>
  <c r="R47" i="84" s="1"/>
  <c r="M65" i="67"/>
  <c r="O65" i="67" s="1"/>
  <c r="N65" i="67"/>
  <c r="M47" i="84"/>
  <c r="J67" i="67"/>
  <c r="K66" i="67"/>
  <c r="L66" i="67" s="1"/>
  <c r="B68" i="67"/>
  <c r="F22" i="66"/>
  <c r="F22" i="65"/>
  <c r="G22" i="65"/>
  <c r="I68" i="67"/>
  <c r="M66" i="67" a="1"/>
  <c r="H68" i="67"/>
  <c r="G22" i="66"/>
  <c r="K67" i="67" a="1"/>
  <c r="M66" i="67" l="1"/>
  <c r="O66" i="67" s="1"/>
  <c r="N66" i="67"/>
  <c r="S47" i="84"/>
  <c r="E48" i="84"/>
  <c r="P47" i="84"/>
  <c r="K67" i="67"/>
  <c r="L67" i="67" s="1"/>
  <c r="J68" i="67"/>
  <c r="B69" i="67"/>
  <c r="H22" i="66"/>
  <c r="J22" i="66" s="1"/>
  <c r="K22" i="66" s="1"/>
  <c r="H22" i="65"/>
  <c r="J22" i="65" s="1"/>
  <c r="K22" i="65" s="1"/>
  <c r="H69" i="67"/>
  <c r="M67" i="67" a="1"/>
  <c r="K68" i="67" a="1"/>
  <c r="I69" i="67"/>
  <c r="L22" i="65" l="1"/>
  <c r="L22" i="66"/>
  <c r="M67" i="67"/>
  <c r="O67" i="67" s="1"/>
  <c r="N67" i="67"/>
  <c r="F48" i="84"/>
  <c r="J69" i="67"/>
  <c r="K68" i="67"/>
  <c r="L68" i="67" s="1"/>
  <c r="B70" i="67"/>
  <c r="M22" i="66"/>
  <c r="M22" i="65"/>
  <c r="G48" i="84"/>
  <c r="H70" i="67"/>
  <c r="I70" i="67"/>
  <c r="K69" i="67" a="1"/>
  <c r="M68" i="67" a="1"/>
  <c r="O22" i="65" l="1"/>
  <c r="Q22" i="65"/>
  <c r="O22" i="66"/>
  <c r="Q22" i="66"/>
  <c r="R22" i="66" s="1"/>
  <c r="M68" i="67"/>
  <c r="O68" i="67" s="1"/>
  <c r="N68" i="67"/>
  <c r="H48" i="84"/>
  <c r="J48" i="84" s="1"/>
  <c r="K48" i="84" s="1"/>
  <c r="K69" i="67"/>
  <c r="L69" i="67" s="1"/>
  <c r="J70" i="67"/>
  <c r="B71" i="67"/>
  <c r="S22" i="66"/>
  <c r="P22" i="66"/>
  <c r="E23" i="66"/>
  <c r="P22" i="65"/>
  <c r="E23" i="65"/>
  <c r="M69" i="67" a="1"/>
  <c r="H71" i="67"/>
  <c r="K70" i="67" a="1"/>
  <c r="I71" i="67"/>
  <c r="L48" i="84" l="1"/>
  <c r="Q48" i="84" s="1"/>
  <c r="R48" i="84" s="1"/>
  <c r="S48" i="84" s="1"/>
  <c r="J4" i="84" s="1"/>
  <c r="M69" i="67"/>
  <c r="O69" i="67" s="1"/>
  <c r="N69" i="67"/>
  <c r="J71" i="67"/>
  <c r="K70" i="67"/>
  <c r="L70" i="67" s="1"/>
  <c r="B72" i="67"/>
  <c r="F23" i="66"/>
  <c r="F23" i="65"/>
  <c r="M70" i="67" a="1"/>
  <c r="K71" i="67" a="1"/>
  <c r="H72" i="67"/>
  <c r="I72" i="67"/>
  <c r="G23" i="65"/>
  <c r="G23" i="66"/>
  <c r="M48" i="84" l="1"/>
  <c r="J2" i="84" s="1"/>
  <c r="O48" i="84"/>
  <c r="P48" i="84" s="1"/>
  <c r="J3" i="84" s="1"/>
  <c r="M70" i="67"/>
  <c r="O70" i="67" s="1"/>
  <c r="N70" i="67"/>
  <c r="E49" i="84"/>
  <c r="K71" i="67"/>
  <c r="L71" i="67" s="1"/>
  <c r="J72" i="67"/>
  <c r="B73" i="67"/>
  <c r="H23" i="66"/>
  <c r="J23" i="66" s="1"/>
  <c r="K23" i="66" s="1"/>
  <c r="H23" i="65"/>
  <c r="J23" i="65" s="1"/>
  <c r="K23" i="65" s="1"/>
  <c r="K72" i="67" a="1"/>
  <c r="H73" i="67"/>
  <c r="I73" i="67"/>
  <c r="M71" i="67" a="1"/>
  <c r="L23" i="65" l="1"/>
  <c r="L23" i="66"/>
  <c r="M71" i="67"/>
  <c r="O71" i="67" s="1"/>
  <c r="N71" i="67"/>
  <c r="J73" i="67"/>
  <c r="K72" i="67"/>
  <c r="L72" i="67" s="1"/>
  <c r="B74" i="67"/>
  <c r="M23" i="66"/>
  <c r="M23" i="65"/>
  <c r="M72" i="67" a="1"/>
  <c r="K73" i="67" a="1"/>
  <c r="I74" i="67"/>
  <c r="H74" i="67"/>
  <c r="Q23" i="65" l="1"/>
  <c r="O23" i="65"/>
  <c r="O23" i="66"/>
  <c r="Q23" i="66"/>
  <c r="R23" i="66" s="1"/>
  <c r="M72" i="67"/>
  <c r="O72" i="67" s="1"/>
  <c r="N72" i="67"/>
  <c r="K73" i="67"/>
  <c r="L73" i="67" s="1"/>
  <c r="J74" i="67"/>
  <c r="B75" i="67"/>
  <c r="S23" i="66"/>
  <c r="E24" i="66"/>
  <c r="P23" i="66"/>
  <c r="E24" i="65"/>
  <c r="P23" i="65"/>
  <c r="H75" i="67"/>
  <c r="M73" i="67" a="1"/>
  <c r="I75" i="67"/>
  <c r="K74" i="67" a="1"/>
  <c r="M73" i="67" l="1"/>
  <c r="O73" i="67" s="1"/>
  <c r="N73" i="67"/>
  <c r="J75" i="67"/>
  <c r="K74" i="67"/>
  <c r="L74" i="67" s="1"/>
  <c r="B76" i="67"/>
  <c r="F24" i="66"/>
  <c r="F24" i="65"/>
  <c r="M74" i="67" a="1"/>
  <c r="H76" i="67"/>
  <c r="I76" i="67"/>
  <c r="G24" i="66"/>
  <c r="G24" i="65"/>
  <c r="K75" i="67" a="1"/>
  <c r="M74" i="67" l="1"/>
  <c r="O74" i="67" s="1"/>
  <c r="N74" i="67"/>
  <c r="K75" i="67"/>
  <c r="L75" i="67" s="1"/>
  <c r="J76" i="67"/>
  <c r="B77" i="67"/>
  <c r="H24" i="66"/>
  <c r="J24" i="66" s="1"/>
  <c r="K24" i="66" s="1"/>
  <c r="H24" i="65"/>
  <c r="J24" i="65" s="1"/>
  <c r="K24" i="65" s="1"/>
  <c r="K76" i="67" a="1"/>
  <c r="M75" i="67" a="1"/>
  <c r="I77" i="67"/>
  <c r="H77" i="67"/>
  <c r="L24" i="65" l="1"/>
  <c r="L24" i="66"/>
  <c r="M75" i="67"/>
  <c r="O75" i="67" s="1"/>
  <c r="N75" i="67"/>
  <c r="J77" i="67"/>
  <c r="K76" i="67"/>
  <c r="L76" i="67" s="1"/>
  <c r="B78" i="67"/>
  <c r="M24" i="66"/>
  <c r="M24" i="65"/>
  <c r="H78" i="67"/>
  <c r="M76" i="67" a="1"/>
  <c r="K77" i="67" a="1"/>
  <c r="I78" i="67"/>
  <c r="Q24" i="65" l="1"/>
  <c r="O24" i="65"/>
  <c r="O24" i="66"/>
  <c r="Q24" i="66"/>
  <c r="R24" i="66" s="1"/>
  <c r="M76" i="67"/>
  <c r="O76" i="67" s="1"/>
  <c r="N76" i="67"/>
  <c r="J78" i="67"/>
  <c r="K77" i="67"/>
  <c r="L77" i="67" s="1"/>
  <c r="B79" i="67"/>
  <c r="S24" i="66"/>
  <c r="P24" i="66"/>
  <c r="E25" i="66"/>
  <c r="P24" i="65"/>
  <c r="E25" i="65"/>
  <c r="H79" i="67"/>
  <c r="I79" i="67"/>
  <c r="K78" i="67" a="1"/>
  <c r="M77" i="67" a="1"/>
  <c r="M77" i="67" l="1"/>
  <c r="O77" i="67" s="1"/>
  <c r="N77" i="67"/>
  <c r="J79" i="67"/>
  <c r="K78" i="67"/>
  <c r="L78" i="67" s="1"/>
  <c r="B80" i="67"/>
  <c r="F25" i="66"/>
  <c r="F25" i="65"/>
  <c r="M78" i="67" a="1"/>
  <c r="K79" i="67" a="1"/>
  <c r="G25" i="65"/>
  <c r="I80" i="67"/>
  <c r="H80" i="67"/>
  <c r="G25" i="66"/>
  <c r="M78" i="67" l="1"/>
  <c r="O78" i="67" s="1"/>
  <c r="N78" i="67"/>
  <c r="J80" i="67"/>
  <c r="K79" i="67"/>
  <c r="L79" i="67" s="1"/>
  <c r="B81" i="67"/>
  <c r="H25" i="66"/>
  <c r="J25" i="66" s="1"/>
  <c r="K25" i="66" s="1"/>
  <c r="H25" i="65"/>
  <c r="J25" i="65" s="1"/>
  <c r="K25" i="65" s="1"/>
  <c r="K80" i="67" a="1"/>
  <c r="M79" i="67" a="1"/>
  <c r="H81" i="67"/>
  <c r="I81" i="67"/>
  <c r="L25" i="65" l="1"/>
  <c r="L25" i="66"/>
  <c r="M79" i="67"/>
  <c r="O79" i="67" s="1"/>
  <c r="N79" i="67"/>
  <c r="J81" i="67"/>
  <c r="K80" i="67"/>
  <c r="L80" i="67" s="1"/>
  <c r="B82" i="67"/>
  <c r="M25" i="66"/>
  <c r="I82" i="67"/>
  <c r="K81" i="67" a="1"/>
  <c r="H82" i="67"/>
  <c r="M80" i="67" a="1"/>
  <c r="O25" i="65" l="1"/>
  <c r="Q25" i="65"/>
  <c r="M25" i="65"/>
  <c r="O25" i="66"/>
  <c r="Q25" i="66"/>
  <c r="R25" i="66" s="1"/>
  <c r="M80" i="67"/>
  <c r="O80" i="67" s="1"/>
  <c r="N80" i="67"/>
  <c r="K81" i="67"/>
  <c r="L81" i="67" s="1"/>
  <c r="J82" i="67"/>
  <c r="B83" i="67"/>
  <c r="S25" i="66"/>
  <c r="P25" i="66"/>
  <c r="E26" i="66"/>
  <c r="E26" i="65"/>
  <c r="P25" i="65"/>
  <c r="K82" i="67" a="1"/>
  <c r="I83" i="67"/>
  <c r="H83" i="67"/>
  <c r="M81" i="67" a="1"/>
  <c r="M81" i="67" l="1"/>
  <c r="O81" i="67" s="1"/>
  <c r="N81" i="67"/>
  <c r="J83" i="67"/>
  <c r="K82" i="67"/>
  <c r="L82" i="67" s="1"/>
  <c r="B84" i="67"/>
  <c r="F26" i="66"/>
  <c r="F26" i="65"/>
  <c r="I84" i="67"/>
  <c r="M82" i="67" a="1"/>
  <c r="G26" i="65"/>
  <c r="G26" i="66"/>
  <c r="H84" i="67"/>
  <c r="K83" i="67" a="1"/>
  <c r="M82" i="67" l="1"/>
  <c r="O82" i="67" s="1"/>
  <c r="N82" i="67"/>
  <c r="K83" i="67"/>
  <c r="L83" i="67" s="1"/>
  <c r="J84" i="67"/>
  <c r="B85" i="67"/>
  <c r="H26" i="66"/>
  <c r="J26" i="66" s="1"/>
  <c r="K26" i="66" s="1"/>
  <c r="H26" i="65"/>
  <c r="J26" i="65" s="1"/>
  <c r="K26" i="65" s="1"/>
  <c r="K84" i="67" a="1"/>
  <c r="I85" i="67"/>
  <c r="M83" i="67" a="1"/>
  <c r="H85" i="67"/>
  <c r="L26" i="65" l="1"/>
  <c r="L26" i="66"/>
  <c r="M83" i="67"/>
  <c r="O83" i="67" s="1"/>
  <c r="N83" i="67"/>
  <c r="J85" i="67"/>
  <c r="K84" i="67"/>
  <c r="L84" i="67" s="1"/>
  <c r="B86" i="67"/>
  <c r="M26" i="66"/>
  <c r="M26" i="65"/>
  <c r="I86" i="67"/>
  <c r="M84" i="67" a="1"/>
  <c r="K85" i="67" a="1"/>
  <c r="H86" i="67"/>
  <c r="O26" i="65" l="1"/>
  <c r="Q26" i="65"/>
  <c r="O26" i="66"/>
  <c r="Q26" i="66"/>
  <c r="R26" i="66" s="1"/>
  <c r="M84" i="67"/>
  <c r="O84" i="67" s="1"/>
  <c r="N84" i="67"/>
  <c r="J86" i="67"/>
  <c r="K85" i="67"/>
  <c r="L85" i="67" s="1"/>
  <c r="B87" i="67"/>
  <c r="S26" i="66"/>
  <c r="P26" i="66"/>
  <c r="E27" i="66"/>
  <c r="E27" i="65"/>
  <c r="P26" i="65"/>
  <c r="H87" i="67"/>
  <c r="I87" i="67"/>
  <c r="M85" i="67" a="1"/>
  <c r="K86" i="67" a="1"/>
  <c r="M85" i="67" l="1"/>
  <c r="O85" i="67" s="1"/>
  <c r="N85" i="67"/>
  <c r="J87" i="67"/>
  <c r="K86" i="67"/>
  <c r="L86" i="67" s="1"/>
  <c r="B88" i="67"/>
  <c r="F27" i="66"/>
  <c r="F27" i="65"/>
  <c r="K87" i="67" a="1"/>
  <c r="I88" i="67"/>
  <c r="H88" i="67"/>
  <c r="G27" i="65"/>
  <c r="M86" i="67" a="1"/>
  <c r="G27" i="66"/>
  <c r="M86" i="67" l="1"/>
  <c r="O86" i="67" s="1"/>
  <c r="N86" i="67"/>
  <c r="J88" i="67"/>
  <c r="K87" i="67"/>
  <c r="L87" i="67" s="1"/>
  <c r="B89" i="67"/>
  <c r="H27" i="66"/>
  <c r="J27" i="66" s="1"/>
  <c r="K27" i="66" s="1"/>
  <c r="H27" i="65"/>
  <c r="J27" i="65" s="1"/>
  <c r="K27" i="65" s="1"/>
  <c r="H89" i="67"/>
  <c r="M87" i="67" a="1"/>
  <c r="I89" i="67"/>
  <c r="K88" i="67" a="1"/>
  <c r="L27" i="65" l="1"/>
  <c r="L27" i="66"/>
  <c r="M87" i="67"/>
  <c r="O87" i="67" s="1"/>
  <c r="N87" i="67"/>
  <c r="J89" i="67"/>
  <c r="K88" i="67"/>
  <c r="L88" i="67" s="1"/>
  <c r="B90" i="67"/>
  <c r="M27" i="66"/>
  <c r="M27" i="65"/>
  <c r="M88" i="67" a="1"/>
  <c r="H90" i="67"/>
  <c r="I90" i="67"/>
  <c r="K89" i="67" a="1"/>
  <c r="O27" i="65" l="1"/>
  <c r="Q27" i="65"/>
  <c r="O27" i="66"/>
  <c r="Q27" i="66"/>
  <c r="R27" i="66" s="1"/>
  <c r="M88" i="67"/>
  <c r="O88" i="67" s="1"/>
  <c r="N88" i="67"/>
  <c r="J90" i="67"/>
  <c r="K89" i="67"/>
  <c r="L89" i="67" s="1"/>
  <c r="B91" i="67"/>
  <c r="S27" i="66"/>
  <c r="E28" i="66"/>
  <c r="P27" i="66"/>
  <c r="E28" i="65"/>
  <c r="P27" i="65"/>
  <c r="I91" i="67"/>
  <c r="H91" i="67"/>
  <c r="M89" i="67" a="1"/>
  <c r="K90" i="67" a="1"/>
  <c r="M89" i="67" l="1"/>
  <c r="O89" i="67" s="1"/>
  <c r="N89" i="67"/>
  <c r="J91" i="67"/>
  <c r="K90" i="67"/>
  <c r="L90" i="67" s="1"/>
  <c r="B92" i="67"/>
  <c r="F28" i="66"/>
  <c r="F28" i="65"/>
  <c r="I92" i="67"/>
  <c r="M90" i="67" a="1"/>
  <c r="K91" i="67" a="1"/>
  <c r="G28" i="65"/>
  <c r="G28" i="66"/>
  <c r="H92" i="67"/>
  <c r="M90" i="67" l="1"/>
  <c r="O90" i="67" s="1"/>
  <c r="N90" i="67"/>
  <c r="J92" i="67"/>
  <c r="K91" i="67"/>
  <c r="L91" i="67" s="1"/>
  <c r="B93" i="67"/>
  <c r="H28" i="66"/>
  <c r="J28" i="66" s="1"/>
  <c r="K28" i="66" s="1"/>
  <c r="H28" i="65"/>
  <c r="J28" i="65" s="1"/>
  <c r="K28" i="65" s="1"/>
  <c r="I93" i="67"/>
  <c r="M91" i="67" a="1"/>
  <c r="H93" i="67"/>
  <c r="K92" i="67" a="1"/>
  <c r="L28" i="65" l="1"/>
  <c r="L28" i="66"/>
  <c r="M91" i="67"/>
  <c r="O91" i="67" s="1"/>
  <c r="N91" i="67"/>
  <c r="J93" i="67"/>
  <c r="K92" i="67"/>
  <c r="L92" i="67" s="1"/>
  <c r="B94" i="67"/>
  <c r="M28" i="66"/>
  <c r="M28" i="65"/>
  <c r="I94" i="67"/>
  <c r="K93" i="67" a="1"/>
  <c r="H94" i="67"/>
  <c r="M92" i="67" a="1"/>
  <c r="O28" i="65" l="1"/>
  <c r="Q28" i="65"/>
  <c r="Q28" i="66"/>
  <c r="R28" i="66" s="1"/>
  <c r="O28" i="66"/>
  <c r="M92" i="67"/>
  <c r="O92" i="67" s="1"/>
  <c r="N92" i="67"/>
  <c r="K93" i="67"/>
  <c r="L93" i="67" s="1"/>
  <c r="J94" i="67"/>
  <c r="B95" i="67"/>
  <c r="S28" i="66"/>
  <c r="P28" i="66"/>
  <c r="E29" i="66"/>
  <c r="P28" i="65"/>
  <c r="E29" i="65"/>
  <c r="I95" i="67"/>
  <c r="K94" i="67" a="1"/>
  <c r="H95" i="67"/>
  <c r="M93" i="67" a="1"/>
  <c r="M93" i="67" l="1"/>
  <c r="O93" i="67" s="1"/>
  <c r="N93" i="67"/>
  <c r="J95" i="67"/>
  <c r="K94" i="67"/>
  <c r="L94" i="67" s="1"/>
  <c r="B96" i="67"/>
  <c r="F29" i="66"/>
  <c r="F29" i="65"/>
  <c r="K95" i="67" a="1"/>
  <c r="G29" i="66"/>
  <c r="H96" i="67"/>
  <c r="I96" i="67"/>
  <c r="G29" i="65"/>
  <c r="M94" i="67" a="1"/>
  <c r="M94" i="67" l="1"/>
  <c r="N94" i="67"/>
  <c r="K95" i="67"/>
  <c r="L95" i="67" s="1"/>
  <c r="J96" i="67"/>
  <c r="B97" i="67"/>
  <c r="H29" i="66"/>
  <c r="J29" i="66" s="1"/>
  <c r="K29" i="66" s="1"/>
  <c r="H29" i="65"/>
  <c r="J29" i="65" s="1"/>
  <c r="K29" i="65" s="1"/>
  <c r="I97" i="67"/>
  <c r="F130" i="67" a="1"/>
  <c r="M95" i="67" a="1"/>
  <c r="H97" i="67"/>
  <c r="F124" i="67" a="1"/>
  <c r="K96" i="67" a="1"/>
  <c r="L29" i="65" l="1"/>
  <c r="L29" i="66"/>
  <c r="F130" i="67"/>
  <c r="E15" i="78" s="1"/>
  <c r="F124" i="67"/>
  <c r="E12" i="78" s="1"/>
  <c r="O94" i="67"/>
  <c r="M95" i="67"/>
  <c r="O95" i="67" s="1"/>
  <c r="N95" i="67"/>
  <c r="J97" i="67"/>
  <c r="K96" i="67"/>
  <c r="L96" i="67" s="1"/>
  <c r="B98" i="67"/>
  <c r="M29" i="66"/>
  <c r="M29" i="65"/>
  <c r="H98" i="67"/>
  <c r="I98" i="67"/>
  <c r="M96" i="67" a="1"/>
  <c r="K97" i="67" a="1"/>
  <c r="O29" i="65" l="1"/>
  <c r="Q29" i="65"/>
  <c r="O29" i="66"/>
  <c r="Q29" i="66"/>
  <c r="R29" i="66" s="1"/>
  <c r="M96" i="67"/>
  <c r="O96" i="67" s="1"/>
  <c r="N96" i="67"/>
  <c r="E14" i="78"/>
  <c r="E17" i="78"/>
  <c r="E11" i="78"/>
  <c r="K97" i="67"/>
  <c r="L97" i="67" s="1"/>
  <c r="J98" i="67"/>
  <c r="B99" i="67"/>
  <c r="S29" i="66"/>
  <c r="E30" i="66"/>
  <c r="P29" i="66"/>
  <c r="E30" i="65"/>
  <c r="P29" i="65"/>
  <c r="I136" i="67" a="1"/>
  <c r="K98" i="67" a="1"/>
  <c r="H99" i="67"/>
  <c r="I99" i="67"/>
  <c r="M97" i="67" a="1"/>
  <c r="I138" i="67" a="1"/>
  <c r="I138" i="67" l="1"/>
  <c r="I136" i="67"/>
  <c r="M97" i="67"/>
  <c r="O97" i="67" s="1"/>
  <c r="N97" i="67"/>
  <c r="J99" i="67"/>
  <c r="K98" i="67"/>
  <c r="L98" i="67" s="1"/>
  <c r="B100" i="67"/>
  <c r="F30" i="66"/>
  <c r="F30" i="65"/>
  <c r="G30" i="66"/>
  <c r="H100" i="67"/>
  <c r="K99" i="67" a="1"/>
  <c r="G30" i="65"/>
  <c r="I100" i="67"/>
  <c r="M98" i="67" a="1"/>
  <c r="M98" i="67" l="1"/>
  <c r="O98" i="67" s="1"/>
  <c r="N98" i="67"/>
  <c r="J100" i="67"/>
  <c r="K99" i="67"/>
  <c r="L99" i="67" s="1"/>
  <c r="B101" i="67"/>
  <c r="B102" i="67" s="1"/>
  <c r="H30" i="66"/>
  <c r="J30" i="66" s="1"/>
  <c r="K30" i="66" s="1"/>
  <c r="H30" i="65"/>
  <c r="J30" i="65" s="1"/>
  <c r="K30" i="65" s="1"/>
  <c r="H101" i="67"/>
  <c r="M99" i="67" a="1"/>
  <c r="I101" i="67"/>
  <c r="K100" i="67" a="1"/>
  <c r="L30" i="65" l="1"/>
  <c r="L30" i="66"/>
  <c r="M99" i="67"/>
  <c r="O99" i="67" s="1"/>
  <c r="N99" i="67"/>
  <c r="B103" i="67"/>
  <c r="J101" i="67"/>
  <c r="K100" i="67"/>
  <c r="L100" i="67" s="1"/>
  <c r="M30" i="65"/>
  <c r="M100" i="67" a="1"/>
  <c r="K101" i="67" a="1"/>
  <c r="O30" i="65" l="1"/>
  <c r="Q30" i="65"/>
  <c r="O30" i="66"/>
  <c r="Q30" i="66"/>
  <c r="R30" i="66" s="1"/>
  <c r="M30" i="66"/>
  <c r="M100" i="67"/>
  <c r="O100" i="67" s="1"/>
  <c r="N100" i="67"/>
  <c r="E8" i="78"/>
  <c r="B104" i="67"/>
  <c r="K101" i="67"/>
  <c r="L101" i="67" s="1"/>
  <c r="S30" i="66"/>
  <c r="P30" i="66"/>
  <c r="E31" i="66"/>
  <c r="E31" i="65"/>
  <c r="P30" i="65"/>
  <c r="M101" i="67" a="1"/>
  <c r="M101" i="67" l="1"/>
  <c r="O101" i="67" s="1"/>
  <c r="AA52" i="101" s="1" a="1"/>
  <c r="AA52" i="101" s="1"/>
  <c r="N101" i="67"/>
  <c r="B105" i="67"/>
  <c r="F31" i="66"/>
  <c r="F31" i="65"/>
  <c r="G31" i="65"/>
  <c r="G31" i="66"/>
  <c r="B106" i="67" l="1"/>
  <c r="H31" i="66"/>
  <c r="J31" i="66" s="1"/>
  <c r="K31" i="66" s="1"/>
  <c r="H31" i="65"/>
  <c r="J31" i="65" s="1"/>
  <c r="K31" i="65" s="1"/>
  <c r="L31" i="65" l="1"/>
  <c r="L31" i="66"/>
  <c r="B107" i="67"/>
  <c r="M31" i="66"/>
  <c r="M31" i="65"/>
  <c r="Q31" i="65" l="1"/>
  <c r="O31" i="65"/>
  <c r="O31" i="66"/>
  <c r="E32" i="66" s="1"/>
  <c r="Q31" i="66"/>
  <c r="R31" i="66" s="1"/>
  <c r="B108" i="67"/>
  <c r="S31" i="66"/>
  <c r="P31" i="65"/>
  <c r="E32" i="65"/>
  <c r="P31" i="66" l="1"/>
  <c r="B109" i="67"/>
  <c r="F32" i="66"/>
  <c r="F32" i="65"/>
  <c r="G32" i="66"/>
  <c r="G32" i="65"/>
  <c r="B110" i="67" l="1"/>
  <c r="H32" i="66"/>
  <c r="J32" i="66" s="1"/>
  <c r="K32" i="66" s="1"/>
  <c r="H32" i="65"/>
  <c r="J32" i="65" s="1"/>
  <c r="K32" i="65" s="1"/>
  <c r="L32" i="65" l="1"/>
  <c r="L32" i="66"/>
  <c r="B111" i="67"/>
  <c r="M32" i="65"/>
  <c r="O32" i="65" l="1"/>
  <c r="Q32" i="65"/>
  <c r="O32" i="66"/>
  <c r="Q32" i="66"/>
  <c r="R32" i="66" s="1"/>
  <c r="S32" i="66" s="1"/>
  <c r="M32" i="66"/>
  <c r="B112" i="67"/>
  <c r="E33" i="66"/>
  <c r="P32" i="66"/>
  <c r="P32" i="65"/>
  <c r="E33" i="65"/>
  <c r="B113" i="67" l="1"/>
  <c r="F33" i="66"/>
  <c r="F33" i="65"/>
  <c r="G33" i="65"/>
  <c r="G33" i="66"/>
  <c r="B114" i="67" l="1"/>
  <c r="H33" i="66"/>
  <c r="J33" i="66" s="1"/>
  <c r="K33" i="66" s="1"/>
  <c r="H33" i="65"/>
  <c r="J33" i="65" s="1"/>
  <c r="K33" i="65" s="1"/>
  <c r="L33" i="65" l="1"/>
  <c r="L33" i="66"/>
  <c r="B115" i="67"/>
  <c r="M33" i="66"/>
  <c r="M33" i="65"/>
  <c r="O33" i="65" l="1"/>
  <c r="Q33" i="65"/>
  <c r="O33" i="66"/>
  <c r="Q33" i="66"/>
  <c r="R33" i="66" s="1"/>
  <c r="B116" i="67"/>
  <c r="S33" i="66"/>
  <c r="E34" i="66"/>
  <c r="P33" i="66"/>
  <c r="P33" i="65"/>
  <c r="E34" i="65"/>
  <c r="B117" i="67" l="1"/>
  <c r="F34" i="66"/>
  <c r="F34" i="65"/>
  <c r="G34" i="65"/>
  <c r="G34" i="66"/>
  <c r="B118" i="67" l="1"/>
  <c r="H34" i="66"/>
  <c r="J34" i="66" s="1"/>
  <c r="K34" i="66" s="1"/>
  <c r="H34" i="65"/>
  <c r="J34" i="65" s="1"/>
  <c r="K34" i="65" s="1"/>
  <c r="L34" i="65" l="1"/>
  <c r="L34" i="66"/>
  <c r="B119" i="67"/>
  <c r="M34" i="66"/>
  <c r="M34" i="65"/>
  <c r="O34" i="65" l="1"/>
  <c r="Q34" i="65"/>
  <c r="O34" i="66"/>
  <c r="Q34" i="66"/>
  <c r="R34" i="66" s="1"/>
  <c r="B120" i="67"/>
  <c r="S34" i="66"/>
  <c r="P34" i="66"/>
  <c r="E35" i="66"/>
  <c r="E35" i="65"/>
  <c r="P34" i="65"/>
  <c r="B121" i="67" l="1"/>
  <c r="F35" i="66"/>
  <c r="F35" i="65"/>
  <c r="G35" i="65"/>
  <c r="G35" i="66"/>
  <c r="H35" i="66" l="1"/>
  <c r="J35" i="66" s="1"/>
  <c r="K35" i="66" s="1"/>
  <c r="H35" i="65"/>
  <c r="J35" i="65" s="1"/>
  <c r="K35" i="65" s="1"/>
  <c r="L35" i="65" l="1"/>
  <c r="L35" i="66"/>
  <c r="E9" i="78"/>
  <c r="M35" i="66"/>
  <c r="M35" i="65"/>
  <c r="O35" i="65" l="1"/>
  <c r="Q35" i="65"/>
  <c r="O35" i="66"/>
  <c r="Q35" i="66"/>
  <c r="R35" i="66" s="1"/>
  <c r="S35" i="66"/>
  <c r="E36" i="66"/>
  <c r="P35" i="66"/>
  <c r="P35" i="65"/>
  <c r="E36" i="65"/>
  <c r="F36" i="66" l="1"/>
  <c r="F36" i="65"/>
  <c r="G36" i="65"/>
  <c r="G36" i="66"/>
  <c r="H36" i="66" l="1"/>
  <c r="J36" i="66" s="1"/>
  <c r="K36" i="66" s="1"/>
  <c r="H36" i="65"/>
  <c r="J36" i="65" s="1"/>
  <c r="K36" i="65" s="1"/>
  <c r="L36" i="65" l="1"/>
  <c r="L36" i="66"/>
  <c r="M36" i="65"/>
  <c r="O36" i="65" l="1"/>
  <c r="Q36" i="65"/>
  <c r="O36" i="66"/>
  <c r="Q36" i="66"/>
  <c r="R36" i="66" s="1"/>
  <c r="M36" i="66"/>
  <c r="S36" i="66"/>
  <c r="P36" i="66"/>
  <c r="E37" i="66"/>
  <c r="E37" i="65"/>
  <c r="P36" i="65"/>
  <c r="F37" i="66" l="1"/>
  <c r="F37" i="65"/>
  <c r="G37" i="66"/>
  <c r="G37" i="65"/>
  <c r="H37" i="66" l="1"/>
  <c r="J37" i="66" s="1"/>
  <c r="K37" i="66" s="1"/>
  <c r="H37" i="65"/>
  <c r="J37" i="65" s="1"/>
  <c r="K37" i="65" s="1"/>
  <c r="L37" i="65" l="1"/>
  <c r="L37" i="66"/>
  <c r="M37" i="66"/>
  <c r="M37" i="65"/>
  <c r="O37" i="65" l="1"/>
  <c r="Q37" i="65"/>
  <c r="O37" i="66"/>
  <c r="Q37" i="66"/>
  <c r="R37" i="66" s="1"/>
  <c r="S37" i="66"/>
  <c r="E38" i="66"/>
  <c r="P37" i="66"/>
  <c r="P37" i="65"/>
  <c r="E38" i="65"/>
  <c r="F38" i="66" l="1"/>
  <c r="F38" i="65"/>
  <c r="G38" i="66"/>
  <c r="G38" i="65"/>
  <c r="H38" i="66" l="1"/>
  <c r="J38" i="66" s="1"/>
  <c r="K38" i="66" s="1"/>
  <c r="H38" i="65"/>
  <c r="J38" i="65" s="1"/>
  <c r="K38" i="65" s="1"/>
  <c r="L38" i="65" l="1"/>
  <c r="L38" i="66"/>
  <c r="M38" i="66"/>
  <c r="M38" i="65"/>
  <c r="O38" i="65" l="1"/>
  <c r="Q38" i="65"/>
  <c r="O38" i="66"/>
  <c r="Q38" i="66"/>
  <c r="R38" i="66" s="1"/>
  <c r="S38" i="66"/>
  <c r="P38" i="66"/>
  <c r="E39" i="66"/>
  <c r="E39" i="65"/>
  <c r="P38" i="65"/>
  <c r="F39" i="66" l="1"/>
  <c r="F39" i="65"/>
  <c r="G39" i="65"/>
  <c r="G39" i="66"/>
  <c r="H39" i="66" l="1"/>
  <c r="J39" i="66" s="1"/>
  <c r="K39" i="66" s="1"/>
  <c r="H39" i="65"/>
  <c r="J39" i="65" s="1"/>
  <c r="K39" i="65" s="1"/>
  <c r="L39" i="65" l="1"/>
  <c r="L39" i="66"/>
  <c r="M39" i="66"/>
  <c r="M39" i="65"/>
  <c r="O39" i="65" l="1"/>
  <c r="Q39" i="65"/>
  <c r="O39" i="66"/>
  <c r="Q39" i="66"/>
  <c r="R39" i="66" s="1"/>
  <c r="S39" i="66"/>
  <c r="E40" i="66"/>
  <c r="P39" i="66"/>
  <c r="E40" i="65"/>
  <c r="P39" i="65"/>
  <c r="F40" i="66" l="1"/>
  <c r="F40" i="65"/>
  <c r="G40" i="66"/>
  <c r="G40" i="65"/>
  <c r="H40" i="66" l="1"/>
  <c r="J40" i="66" s="1"/>
  <c r="K40" i="66" s="1"/>
  <c r="H40" i="65"/>
  <c r="J40" i="65" s="1"/>
  <c r="K40" i="65" s="1"/>
  <c r="L40" i="65" l="1"/>
  <c r="L40" i="66"/>
  <c r="M40" i="66"/>
  <c r="M40" i="65"/>
  <c r="O40" i="65" l="1"/>
  <c r="Q40" i="65"/>
  <c r="O40" i="66"/>
  <c r="Q40" i="66"/>
  <c r="R40" i="66" s="1"/>
  <c r="S40" i="66"/>
  <c r="P40" i="66"/>
  <c r="E41" i="66"/>
  <c r="P40" i="65"/>
  <c r="E41" i="65"/>
  <c r="F41" i="66" l="1"/>
  <c r="F41" i="65"/>
  <c r="G41" i="65"/>
  <c r="G41" i="66"/>
  <c r="H41" i="66" l="1"/>
  <c r="J41" i="66" s="1"/>
  <c r="K41" i="66" s="1"/>
  <c r="H41" i="65"/>
  <c r="J41" i="65" s="1"/>
  <c r="K41" i="65" s="1"/>
  <c r="L41" i="65" l="1"/>
  <c r="L41" i="66"/>
  <c r="M41" i="66"/>
  <c r="M41" i="65"/>
  <c r="O41" i="65" l="1"/>
  <c r="Q41" i="65"/>
  <c r="Q41" i="66"/>
  <c r="R41" i="66" s="1"/>
  <c r="O41" i="66"/>
  <c r="S41" i="66"/>
  <c r="E42" i="66"/>
  <c r="P41" i="66"/>
  <c r="E42" i="65"/>
  <c r="P41" i="65"/>
  <c r="F42" i="66" l="1"/>
  <c r="F42" i="65"/>
  <c r="G42" i="65"/>
  <c r="G42" i="66"/>
  <c r="H42" i="66" l="1"/>
  <c r="J42" i="66" s="1"/>
  <c r="K42" i="66" s="1"/>
  <c r="H42" i="65"/>
  <c r="J42" i="65" s="1"/>
  <c r="K42" i="65" s="1"/>
  <c r="L42" i="65" l="1"/>
  <c r="L42" i="66"/>
  <c r="M42" i="66"/>
  <c r="M42" i="65"/>
  <c r="Q42" i="65" l="1"/>
  <c r="O42" i="65"/>
  <c r="O42" i="66"/>
  <c r="Q42" i="66"/>
  <c r="R42" i="66" s="1"/>
  <c r="S42" i="66" s="1"/>
  <c r="E43" i="66"/>
  <c r="P42" i="66"/>
  <c r="P42" i="65"/>
  <c r="E43" i="65"/>
  <c r="F43" i="66" l="1"/>
  <c r="F43" i="65"/>
  <c r="G43" i="65"/>
  <c r="G43" i="66"/>
  <c r="H43" i="66" l="1"/>
  <c r="J43" i="66" s="1"/>
  <c r="K43" i="66" s="1"/>
  <c r="H43" i="65"/>
  <c r="J43" i="65" s="1"/>
  <c r="K43" i="65" s="1"/>
  <c r="L43" i="65" l="1"/>
  <c r="L43" i="66"/>
  <c r="M43" i="65"/>
  <c r="O43" i="65" l="1"/>
  <c r="Q43" i="65"/>
  <c r="O43" i="66"/>
  <c r="Q43" i="66"/>
  <c r="R43" i="66" s="1"/>
  <c r="M43" i="66"/>
  <c r="S43" i="66"/>
  <c r="P43" i="66"/>
  <c r="E44" i="66"/>
  <c r="E44" i="65"/>
  <c r="P43" i="65"/>
  <c r="F44" i="66" l="1"/>
  <c r="F44" i="65"/>
  <c r="G44" i="65"/>
  <c r="G44" i="66"/>
  <c r="H44" i="66" l="1"/>
  <c r="J44" i="66" s="1"/>
  <c r="K44" i="66" s="1"/>
  <c r="H44" i="65"/>
  <c r="J44" i="65" s="1"/>
  <c r="K44" i="65" s="1"/>
  <c r="L44" i="65" l="1"/>
  <c r="L44" i="66"/>
  <c r="M44" i="66"/>
  <c r="M44" i="65"/>
  <c r="Q44" i="65" l="1"/>
  <c r="O44" i="65"/>
  <c r="O44" i="66"/>
  <c r="Q44" i="66"/>
  <c r="R44" i="66" s="1"/>
  <c r="S44" i="66"/>
  <c r="E45" i="66"/>
  <c r="P44" i="66"/>
  <c r="E45" i="65"/>
  <c r="P44" i="65"/>
  <c r="F45" i="66" l="1"/>
  <c r="F45" i="65"/>
  <c r="G45" i="65"/>
  <c r="G45" i="66"/>
  <c r="H45" i="66" l="1"/>
  <c r="J45" i="66" s="1"/>
  <c r="K45" i="66" s="1"/>
  <c r="H45" i="65"/>
  <c r="J45" i="65" s="1"/>
  <c r="K45" i="65" s="1"/>
  <c r="L45" i="65" l="1"/>
  <c r="L45" i="66"/>
  <c r="M45" i="66"/>
  <c r="M45" i="65"/>
  <c r="O45" i="65" l="1"/>
  <c r="Q45" i="65"/>
  <c r="O45" i="66"/>
  <c r="Q45" i="66"/>
  <c r="R45" i="66" s="1"/>
  <c r="S45" i="66"/>
  <c r="P45" i="66"/>
  <c r="E46" i="66"/>
  <c r="P45" i="65"/>
  <c r="E46" i="65"/>
  <c r="F46" i="66" l="1"/>
  <c r="F46" i="65"/>
  <c r="G46" i="65"/>
  <c r="G46" i="66"/>
  <c r="H46" i="66" l="1"/>
  <c r="J46" i="66" s="1"/>
  <c r="K46" i="66" s="1"/>
  <c r="H46" i="65"/>
  <c r="J46" i="65" s="1"/>
  <c r="K46" i="65" s="1"/>
  <c r="L46" i="65" l="1"/>
  <c r="L46" i="66"/>
  <c r="M46" i="66"/>
  <c r="M46" i="65"/>
  <c r="O46" i="65" l="1"/>
  <c r="Q46" i="65"/>
  <c r="O46" i="66"/>
  <c r="Q46" i="66"/>
  <c r="R46" i="66" s="1"/>
  <c r="S46" i="66"/>
  <c r="E47" i="66"/>
  <c r="P46" i="66"/>
  <c r="E47" i="65"/>
  <c r="P46" i="65"/>
  <c r="F47" i="66" l="1"/>
  <c r="F47" i="65"/>
  <c r="G47" i="66"/>
  <c r="G47" i="65"/>
  <c r="H47" i="66" l="1"/>
  <c r="J47" i="66" s="1"/>
  <c r="K47" i="66" s="1"/>
  <c r="H47" i="65"/>
  <c r="J47" i="65" s="1"/>
  <c r="K47" i="65" s="1"/>
  <c r="L47" i="65" l="1"/>
  <c r="L47" i="66"/>
  <c r="M47" i="66"/>
  <c r="M47" i="65"/>
  <c r="O47" i="65" l="1"/>
  <c r="Q47" i="65"/>
  <c r="O47" i="66"/>
  <c r="Q47" i="66"/>
  <c r="R47" i="66" s="1"/>
  <c r="S47" i="66"/>
  <c r="P47" i="66"/>
  <c r="E48" i="66"/>
  <c r="E48" i="65"/>
  <c r="P47" i="65"/>
  <c r="F48" i="66" l="1"/>
  <c r="F48" i="65"/>
  <c r="G48" i="66"/>
  <c r="G48" i="65"/>
  <c r="H48" i="66" l="1"/>
  <c r="J48" i="66" s="1"/>
  <c r="K48" i="66" s="1"/>
  <c r="L48" i="66" s="1"/>
  <c r="H48" i="65"/>
  <c r="J48" i="65" s="1"/>
  <c r="K48" i="65" s="1"/>
  <c r="L48" i="65" s="1"/>
  <c r="O48" i="65" l="1"/>
  <c r="Q48" i="65"/>
  <c r="Q48" i="66"/>
  <c r="O48" i="66"/>
  <c r="R48" i="66"/>
  <c r="S48" i="66" s="1"/>
  <c r="J4" i="66" s="1"/>
  <c r="M48" i="66"/>
  <c r="J2" i="66" s="1"/>
  <c r="M48" i="65"/>
  <c r="J2" i="65" s="1"/>
  <c r="E49" i="66" l="1"/>
  <c r="P48" i="66"/>
  <c r="J3" i="66" s="1"/>
  <c r="E49" i="65"/>
  <c r="P48" i="65"/>
  <c r="J3" i="65" s="1"/>
  <c r="I70" i="64" l="1"/>
  <c r="E70" i="64"/>
  <c r="I69" i="64"/>
  <c r="G69" i="64"/>
  <c r="I67" i="64"/>
  <c r="G67" i="64"/>
  <c r="I66" i="64"/>
  <c r="G66" i="64"/>
  <c r="I65" i="64"/>
  <c r="G65" i="64"/>
  <c r="I64" i="64"/>
  <c r="G64" i="64"/>
  <c r="I63" i="64"/>
  <c r="E63" i="64"/>
  <c r="I62" i="64"/>
  <c r="G62" i="64"/>
  <c r="I61" i="64"/>
  <c r="E61" i="64"/>
  <c r="I60" i="64"/>
  <c r="G60" i="64"/>
  <c r="I59" i="64"/>
  <c r="G59" i="64"/>
  <c r="I58" i="64"/>
  <c r="E58" i="64"/>
  <c r="I57" i="64"/>
  <c r="G57" i="64"/>
  <c r="I56" i="64"/>
  <c r="G56" i="64"/>
  <c r="I55" i="64"/>
  <c r="E55" i="64"/>
  <c r="I54" i="64"/>
  <c r="E54" i="64"/>
  <c r="I53" i="64"/>
  <c r="I52" i="64"/>
  <c r="E52" i="64"/>
  <c r="I51" i="64"/>
  <c r="E51" i="64"/>
  <c r="I50" i="64"/>
  <c r="I49" i="64"/>
  <c r="E49" i="64"/>
  <c r="I48" i="64"/>
  <c r="G48" i="64"/>
  <c r="I47" i="64"/>
  <c r="I46" i="64"/>
  <c r="E46" i="64"/>
  <c r="I45" i="64"/>
  <c r="G45" i="64"/>
  <c r="I44" i="64"/>
  <c r="E44" i="64"/>
  <c r="I40" i="64"/>
  <c r="G40" i="64"/>
  <c r="I36" i="64"/>
  <c r="E36" i="64"/>
  <c r="I35" i="64"/>
  <c r="G35" i="64"/>
  <c r="I31" i="64"/>
  <c r="E31" i="64"/>
  <c r="I30" i="64"/>
  <c r="E30" i="64"/>
  <c r="I26" i="64"/>
  <c r="E26" i="64"/>
  <c r="I25" i="64"/>
  <c r="G25" i="64"/>
  <c r="I22" i="64"/>
  <c r="I21" i="64"/>
  <c r="E21" i="64"/>
  <c r="I20" i="64"/>
  <c r="G20" i="64"/>
  <c r="I16" i="64"/>
  <c r="E16" i="64"/>
  <c r="I15" i="64"/>
  <c r="E15" i="64"/>
  <c r="G12" i="64"/>
  <c r="I11" i="64"/>
  <c r="G11" i="64"/>
  <c r="I10" i="64"/>
  <c r="E10" i="64"/>
  <c r="F60" i="63"/>
  <c r="F59" i="63"/>
  <c r="G59" i="63" s="1"/>
  <c r="F58" i="63"/>
  <c r="F57" i="63"/>
  <c r="F56" i="63"/>
  <c r="G56" i="63" s="1"/>
  <c r="F55" i="63"/>
  <c r="F54" i="63"/>
  <c r="G54" i="63" s="1"/>
  <c r="F53" i="63"/>
  <c r="G53" i="63" s="1"/>
  <c r="F52" i="63"/>
  <c r="F51" i="63"/>
  <c r="F50" i="63"/>
  <c r="G50" i="63" s="1"/>
  <c r="F49" i="63"/>
  <c r="F48" i="63"/>
  <c r="G48" i="63" s="1"/>
  <c r="F47" i="63"/>
  <c r="G47" i="63" s="1"/>
  <c r="F46" i="63"/>
  <c r="F45" i="63"/>
  <c r="G45" i="63" s="1"/>
  <c r="F44" i="63"/>
  <c r="G44" i="63" s="1"/>
  <c r="F43" i="63"/>
  <c r="F42" i="63"/>
  <c r="F41" i="63"/>
  <c r="G41" i="63" s="1"/>
  <c r="F40" i="63"/>
  <c r="F39" i="63"/>
  <c r="F38" i="63"/>
  <c r="G38" i="63" s="1"/>
  <c r="F37" i="63"/>
  <c r="F36" i="63"/>
  <c r="F35" i="63"/>
  <c r="G35" i="63" s="1"/>
  <c r="F34" i="63"/>
  <c r="F33" i="63"/>
  <c r="F32" i="63"/>
  <c r="G32" i="63" s="1"/>
  <c r="F31" i="63"/>
  <c r="F30" i="63"/>
  <c r="F29" i="63"/>
  <c r="G29" i="63" s="1"/>
  <c r="F28" i="63"/>
  <c r="F27" i="63"/>
  <c r="F26" i="63"/>
  <c r="G26" i="63" s="1"/>
  <c r="F25" i="63"/>
  <c r="F24" i="63"/>
  <c r="F23" i="63"/>
  <c r="G23" i="63" s="1"/>
  <c r="F22" i="63"/>
  <c r="G22" i="63" s="1"/>
  <c r="F21" i="63"/>
  <c r="F20" i="63"/>
  <c r="G20" i="63" s="1"/>
  <c r="F19" i="63"/>
  <c r="G19" i="63" s="1"/>
  <c r="F18" i="63"/>
  <c r="F17" i="63"/>
  <c r="F16" i="63"/>
  <c r="G16" i="63" s="1"/>
  <c r="F15" i="63"/>
  <c r="F14" i="63"/>
  <c r="G14" i="63" s="1"/>
  <c r="F13" i="63"/>
  <c r="G13" i="63" s="1"/>
  <c r="F12" i="63"/>
  <c r="F11" i="63"/>
  <c r="G11" i="63" s="1"/>
  <c r="F10" i="63"/>
  <c r="G10" i="63" s="1"/>
  <c r="E58" i="62"/>
  <c r="G56" i="62"/>
  <c r="E55" i="62"/>
  <c r="G54" i="62"/>
  <c r="G53" i="62"/>
  <c r="E52" i="62"/>
  <c r="G50" i="62"/>
  <c r="G49" i="62"/>
  <c r="G48" i="62"/>
  <c r="G47" i="62"/>
  <c r="G44" i="62"/>
  <c r="E43" i="62"/>
  <c r="G42" i="62"/>
  <c r="G28" i="62"/>
  <c r="E23" i="62"/>
  <c r="G18" i="62"/>
  <c r="E13" i="62"/>
  <c r="Y8" i="62"/>
  <c r="H8" i="62"/>
  <c r="E8" i="62"/>
  <c r="F48" i="61"/>
  <c r="F47" i="61"/>
  <c r="F46" i="61"/>
  <c r="F45" i="61"/>
  <c r="F44" i="61"/>
  <c r="F43" i="61"/>
  <c r="F42" i="61"/>
  <c r="F41" i="61"/>
  <c r="F40" i="61"/>
  <c r="F39" i="61"/>
  <c r="F38" i="61"/>
  <c r="F37" i="61"/>
  <c r="F36" i="61"/>
  <c r="F35" i="61"/>
  <c r="F34" i="61"/>
  <c r="F33" i="61"/>
  <c r="F32" i="61"/>
  <c r="F31" i="61"/>
  <c r="F30" i="61"/>
  <c r="F29" i="61"/>
  <c r="F28" i="61"/>
  <c r="F27" i="61"/>
  <c r="F26" i="61"/>
  <c r="F25" i="61"/>
  <c r="F24" i="61"/>
  <c r="F23" i="61"/>
  <c r="F22" i="61"/>
  <c r="F21" i="61"/>
  <c r="F20" i="61"/>
  <c r="F19" i="61"/>
  <c r="F18" i="61"/>
  <c r="F17" i="61"/>
  <c r="F16" i="61"/>
  <c r="F15" i="61"/>
  <c r="F14" i="61"/>
  <c r="F13" i="61"/>
  <c r="F12" i="61"/>
  <c r="F11" i="61"/>
  <c r="F10" i="61"/>
  <c r="F9" i="61"/>
  <c r="Y8" i="61"/>
  <c r="H8" i="61"/>
  <c r="F8" i="61"/>
  <c r="S17" i="61"/>
  <c r="S35" i="61"/>
  <c r="S16" i="61"/>
  <c r="S43" i="61"/>
  <c r="S34" i="61"/>
  <c r="S46" i="61"/>
  <c r="S12" i="61"/>
  <c r="S37" i="61"/>
  <c r="S20" i="61"/>
  <c r="S22" i="61"/>
  <c r="S8" i="61"/>
  <c r="S21" i="61"/>
  <c r="S31" i="61"/>
  <c r="S33" i="61"/>
  <c r="S10" i="61"/>
  <c r="S29" i="61"/>
  <c r="S42" i="61"/>
  <c r="S9" i="61"/>
  <c r="S14" i="61"/>
  <c r="S45" i="61"/>
  <c r="S26" i="61"/>
  <c r="S27" i="61"/>
  <c r="S30" i="61"/>
  <c r="S41" i="61"/>
  <c r="S24" i="61"/>
  <c r="S48" i="61"/>
  <c r="S13" i="61"/>
  <c r="S28" i="61"/>
  <c r="S18" i="61"/>
  <c r="S19" i="61"/>
  <c r="S15" i="61"/>
  <c r="S23" i="61"/>
  <c r="S36" i="61"/>
  <c r="S32" i="61"/>
  <c r="S44" i="61"/>
  <c r="S39" i="61"/>
  <c r="S38" i="61"/>
  <c r="S40" i="61"/>
  <c r="S11" i="61"/>
  <c r="S47" i="61"/>
  <c r="S25" i="61"/>
  <c r="T8" i="61" l="1"/>
  <c r="N54" i="62"/>
  <c r="N48" i="62"/>
  <c r="N50" i="62"/>
  <c r="N49" i="62"/>
  <c r="G29" i="61"/>
  <c r="G19" i="61"/>
  <c r="G43" i="61"/>
  <c r="G44" i="61"/>
  <c r="N44" i="61" s="1"/>
  <c r="G9" i="61"/>
  <c r="N9" i="61" s="1"/>
  <c r="G33" i="61"/>
  <c r="G34" i="61"/>
  <c r="G11" i="61"/>
  <c r="N11" i="61" s="1"/>
  <c r="G47" i="61"/>
  <c r="N47" i="61" s="1"/>
  <c r="G36" i="61"/>
  <c r="G13" i="61"/>
  <c r="G37" i="61"/>
  <c r="G14" i="61"/>
  <c r="G26" i="61"/>
  <c r="G38" i="61"/>
  <c r="G17" i="61"/>
  <c r="G41" i="61"/>
  <c r="G8" i="61"/>
  <c r="G30" i="61"/>
  <c r="G42" i="61"/>
  <c r="G31" i="61"/>
  <c r="N31" i="61" s="1"/>
  <c r="G20" i="61"/>
  <c r="G45" i="61"/>
  <c r="G22" i="61"/>
  <c r="G35" i="61"/>
  <c r="N35" i="61" s="1"/>
  <c r="G12" i="61"/>
  <c r="G48" i="61"/>
  <c r="G15" i="61"/>
  <c r="N15" i="61" s="1"/>
  <c r="G27" i="61"/>
  <c r="G39" i="61"/>
  <c r="G18" i="61"/>
  <c r="G32" i="61"/>
  <c r="G21" i="61"/>
  <c r="G10" i="61"/>
  <c r="G46" i="61"/>
  <c r="G23" i="61"/>
  <c r="G24" i="61"/>
  <c r="G25" i="61"/>
  <c r="G16" i="61"/>
  <c r="G28" i="61"/>
  <c r="N28" i="61" s="1"/>
  <c r="G40" i="61"/>
  <c r="N40" i="61" s="1"/>
  <c r="G10" i="64"/>
  <c r="E66" i="64"/>
  <c r="G15" i="64"/>
  <c r="E25" i="64"/>
  <c r="E57" i="64"/>
  <c r="E64" i="64"/>
  <c r="E67" i="64"/>
  <c r="G63" i="64"/>
  <c r="G26" i="64"/>
  <c r="G51" i="64"/>
  <c r="G54" i="64"/>
  <c r="G16" i="64"/>
  <c r="E69" i="64"/>
  <c r="G31" i="64"/>
  <c r="G30" i="64"/>
  <c r="E35" i="64"/>
  <c r="E40" i="64"/>
  <c r="E45" i="64"/>
  <c r="G46" i="64"/>
  <c r="E60" i="64"/>
  <c r="I68" i="64"/>
  <c r="E48" i="64"/>
  <c r="E27" i="64"/>
  <c r="G27" i="64"/>
  <c r="G37" i="64"/>
  <c r="I38" i="64"/>
  <c r="I37" i="64"/>
  <c r="E37" i="64"/>
  <c r="G22" i="64"/>
  <c r="E22" i="64"/>
  <c r="I32" i="64"/>
  <c r="E32" i="64"/>
  <c r="G32" i="64"/>
  <c r="G53" i="64"/>
  <c r="E53" i="64"/>
  <c r="I12" i="64"/>
  <c r="I27" i="64"/>
  <c r="E12" i="64"/>
  <c r="I17" i="64"/>
  <c r="G17" i="64"/>
  <c r="E17" i="64"/>
  <c r="I23" i="64"/>
  <c r="G50" i="64"/>
  <c r="E50" i="64"/>
  <c r="E11" i="64"/>
  <c r="G21" i="64"/>
  <c r="G36" i="64"/>
  <c r="G44" i="64"/>
  <c r="G47" i="64"/>
  <c r="E47" i="64"/>
  <c r="E20" i="64"/>
  <c r="G49" i="64"/>
  <c r="G52" i="64"/>
  <c r="G55" i="64"/>
  <c r="G58" i="64"/>
  <c r="G61" i="64"/>
  <c r="G70" i="64"/>
  <c r="E56" i="64"/>
  <c r="E59" i="64"/>
  <c r="E62" i="64"/>
  <c r="E65" i="64"/>
  <c r="E68" i="64"/>
  <c r="G68" i="64"/>
  <c r="I60" i="63"/>
  <c r="I57" i="63"/>
  <c r="I54" i="63"/>
  <c r="I41" i="63"/>
  <c r="I45" i="63"/>
  <c r="I38" i="63"/>
  <c r="I19" i="63"/>
  <c r="I21" i="63"/>
  <c r="I27" i="63"/>
  <c r="I33" i="63"/>
  <c r="I48" i="63"/>
  <c r="I59" i="63"/>
  <c r="I18" i="63"/>
  <c r="I15" i="63"/>
  <c r="I40" i="63"/>
  <c r="I42" i="63"/>
  <c r="I14" i="63"/>
  <c r="G17" i="63"/>
  <c r="I17" i="63"/>
  <c r="I11" i="63"/>
  <c r="I13" i="63"/>
  <c r="I39" i="63"/>
  <c r="I16" i="63"/>
  <c r="I35" i="63"/>
  <c r="I51" i="63"/>
  <c r="G57" i="63"/>
  <c r="I20" i="63"/>
  <c r="I22" i="63"/>
  <c r="I24" i="63"/>
  <c r="I30" i="63"/>
  <c r="I36" i="63"/>
  <c r="I12" i="63"/>
  <c r="I10" i="63"/>
  <c r="I50" i="63"/>
  <c r="I25" i="63"/>
  <c r="G25" i="63"/>
  <c r="I31" i="63"/>
  <c r="G31" i="63"/>
  <c r="I37" i="63"/>
  <c r="G37" i="63"/>
  <c r="I28" i="63"/>
  <c r="G28" i="63"/>
  <c r="I34" i="63"/>
  <c r="G34" i="63"/>
  <c r="I55" i="63"/>
  <c r="G55" i="63"/>
  <c r="G24" i="63"/>
  <c r="I26" i="63"/>
  <c r="G27" i="63"/>
  <c r="I29" i="63"/>
  <c r="G30" i="63"/>
  <c r="I32" i="63"/>
  <c r="G33" i="63"/>
  <c r="G36" i="63"/>
  <c r="G39" i="63"/>
  <c r="G42" i="63"/>
  <c r="G51" i="63"/>
  <c r="G60" i="63"/>
  <c r="I43" i="63"/>
  <c r="G43" i="63"/>
  <c r="I47" i="63"/>
  <c r="I52" i="63"/>
  <c r="G52" i="63"/>
  <c r="I56" i="63"/>
  <c r="G12" i="63"/>
  <c r="G15" i="63"/>
  <c r="G18" i="63"/>
  <c r="G21" i="63"/>
  <c r="I23" i="63"/>
  <c r="I46" i="63"/>
  <c r="G46" i="63"/>
  <c r="G40" i="63"/>
  <c r="I44" i="63"/>
  <c r="I49" i="63"/>
  <c r="G49" i="63"/>
  <c r="I53" i="63"/>
  <c r="I58" i="63"/>
  <c r="G58" i="63"/>
  <c r="G55" i="62"/>
  <c r="N55" i="62" s="1"/>
  <c r="E28" i="62"/>
  <c r="I8" i="62"/>
  <c r="G43" i="62"/>
  <c r="N43" i="62" s="1"/>
  <c r="E48" i="62"/>
  <c r="E54" i="62"/>
  <c r="G23" i="62"/>
  <c r="E44" i="62"/>
  <c r="E49" i="62"/>
  <c r="E18" i="62"/>
  <c r="E50" i="62"/>
  <c r="E56" i="62"/>
  <c r="G13" i="62"/>
  <c r="G52" i="62"/>
  <c r="N52" i="62" s="1"/>
  <c r="G58" i="62"/>
  <c r="H9" i="62"/>
  <c r="G33" i="62"/>
  <c r="E33" i="62"/>
  <c r="I8" i="61"/>
  <c r="G8" i="62"/>
  <c r="G46" i="62"/>
  <c r="N47" i="62" s="1"/>
  <c r="E46" i="62"/>
  <c r="G38" i="62"/>
  <c r="E38" i="62"/>
  <c r="E42" i="62"/>
  <c r="G45" i="62"/>
  <c r="N45" i="62" s="1"/>
  <c r="E45" i="62"/>
  <c r="G51" i="62"/>
  <c r="N51" i="62" s="1"/>
  <c r="E51" i="62"/>
  <c r="G57" i="62"/>
  <c r="N57" i="62" s="1"/>
  <c r="E57" i="62"/>
  <c r="E47" i="62"/>
  <c r="E53" i="62"/>
  <c r="J11" i="64"/>
  <c r="L15" i="63"/>
  <c r="L9" i="61"/>
  <c r="L61" i="64"/>
  <c r="J29" i="63"/>
  <c r="L37" i="63"/>
  <c r="L33" i="64"/>
  <c r="J37" i="63"/>
  <c r="L13" i="64"/>
  <c r="J23" i="63"/>
  <c r="L50" i="62"/>
  <c r="J49" i="64"/>
  <c r="L54" i="62"/>
  <c r="L47" i="61"/>
  <c r="J26" i="63"/>
  <c r="L17" i="61"/>
  <c r="J31" i="63"/>
  <c r="L34" i="63"/>
  <c r="L70" i="64"/>
  <c r="L41" i="63"/>
  <c r="J30" i="63"/>
  <c r="L49" i="64"/>
  <c r="L23" i="62"/>
  <c r="J54" i="64"/>
  <c r="J52" i="63"/>
  <c r="L16" i="64"/>
  <c r="L36" i="61"/>
  <c r="L40" i="64"/>
  <c r="J43" i="63"/>
  <c r="J21" i="63"/>
  <c r="L18" i="63"/>
  <c r="L12" i="63"/>
  <c r="L25" i="63"/>
  <c r="J59" i="64"/>
  <c r="L29" i="61"/>
  <c r="L22" i="64"/>
  <c r="J17" i="63"/>
  <c r="L21" i="64"/>
  <c r="J54" i="63"/>
  <c r="L60" i="63"/>
  <c r="J22" i="64"/>
  <c r="L23" i="63"/>
  <c r="J37" i="64"/>
  <c r="L49" i="62"/>
  <c r="L44" i="62"/>
  <c r="L56" i="62"/>
  <c r="L42" i="62"/>
  <c r="J44" i="64"/>
  <c r="L59" i="64"/>
  <c r="J46" i="63"/>
  <c r="J33" i="63"/>
  <c r="L48" i="62"/>
  <c r="L32" i="63"/>
  <c r="L38" i="61"/>
  <c r="L28" i="63"/>
  <c r="J47" i="63"/>
  <c r="L25" i="64"/>
  <c r="L28" i="64"/>
  <c r="L35" i="64"/>
  <c r="J57" i="63"/>
  <c r="L35" i="61"/>
  <c r="J15" i="63"/>
  <c r="L45" i="61"/>
  <c r="L18" i="62"/>
  <c r="L55" i="64"/>
  <c r="L38" i="63"/>
  <c r="L46" i="62"/>
  <c r="J55" i="63"/>
  <c r="L48" i="63"/>
  <c r="L46" i="64"/>
  <c r="L68" i="64"/>
  <c r="J56" i="64"/>
  <c r="L28" i="62"/>
  <c r="L30" i="64"/>
  <c r="J35" i="64"/>
  <c r="L56" i="63"/>
  <c r="J12" i="64"/>
  <c r="L32" i="61"/>
  <c r="L65" i="64"/>
  <c r="J36" i="64"/>
  <c r="J44" i="63"/>
  <c r="L33" i="62"/>
  <c r="J38" i="63"/>
  <c r="L55" i="63"/>
  <c r="J65" i="64"/>
  <c r="L29" i="63"/>
  <c r="L20" i="64"/>
  <c r="J51" i="63"/>
  <c r="L28" i="61"/>
  <c r="J58" i="64"/>
  <c r="L53" i="63"/>
  <c r="J16" i="63"/>
  <c r="L36" i="63"/>
  <c r="J26" i="64"/>
  <c r="L27" i="61"/>
  <c r="J48" i="64"/>
  <c r="J66" i="64"/>
  <c r="J32" i="63"/>
  <c r="J24" i="63"/>
  <c r="L35" i="63"/>
  <c r="L13" i="62"/>
  <c r="J8" i="61"/>
  <c r="L8" i="61"/>
  <c r="J27" i="63"/>
  <c r="L20" i="63"/>
  <c r="L67" i="64"/>
  <c r="L42" i="61"/>
  <c r="L50" i="63"/>
  <c r="J40" i="63"/>
  <c r="L36" i="64"/>
  <c r="J35" i="63"/>
  <c r="L11" i="63"/>
  <c r="J45" i="63"/>
  <c r="L46" i="63"/>
  <c r="L43" i="63"/>
  <c r="L45" i="64"/>
  <c r="L24" i="63"/>
  <c r="L32" i="64"/>
  <c r="L37" i="64"/>
  <c r="L15" i="61"/>
  <c r="L15" i="64"/>
  <c r="J21" i="64"/>
  <c r="L14" i="63"/>
  <c r="J59" i="63"/>
  <c r="L31" i="61"/>
  <c r="J45" i="64"/>
  <c r="L24" i="61"/>
  <c r="J10" i="63"/>
  <c r="L45" i="63"/>
  <c r="L34" i="61"/>
  <c r="L11" i="61"/>
  <c r="L12" i="64"/>
  <c r="L38" i="64"/>
  <c r="L43" i="62"/>
  <c r="J70" i="64"/>
  <c r="J11" i="63"/>
  <c r="L12" i="61"/>
  <c r="J38" i="64"/>
  <c r="L50" i="64"/>
  <c r="J17" i="64"/>
  <c r="L25" i="61"/>
  <c r="L13" i="61"/>
  <c r="L10" i="63"/>
  <c r="L27" i="63"/>
  <c r="L21" i="63"/>
  <c r="L39" i="63"/>
  <c r="L41" i="61"/>
  <c r="L44" i="61"/>
  <c r="J47" i="64"/>
  <c r="L59" i="63"/>
  <c r="J22" i="63"/>
  <c r="L17" i="64"/>
  <c r="J20" i="63"/>
  <c r="L23" i="61"/>
  <c r="J69" i="64"/>
  <c r="L58" i="63"/>
  <c r="J61" i="64"/>
  <c r="J50" i="63"/>
  <c r="J58" i="63"/>
  <c r="J8" i="62"/>
  <c r="L27" i="64"/>
  <c r="J19" i="63"/>
  <c r="L57" i="63"/>
  <c r="L54" i="64"/>
  <c r="L22" i="61"/>
  <c r="L47" i="62"/>
  <c r="J36" i="63"/>
  <c r="L18" i="61"/>
  <c r="J52" i="64"/>
  <c r="L17" i="63"/>
  <c r="L16" i="61"/>
  <c r="J20" i="64"/>
  <c r="J30" i="64"/>
  <c r="L45" i="62"/>
  <c r="L51" i="64"/>
  <c r="L33" i="63"/>
  <c r="L62" i="64"/>
  <c r="J49" i="63"/>
  <c r="L44" i="64"/>
  <c r="L40" i="63"/>
  <c r="J23" i="64"/>
  <c r="J31" i="64"/>
  <c r="L23" i="64"/>
  <c r="L22" i="63"/>
  <c r="J15" i="64"/>
  <c r="J16" i="64"/>
  <c r="L49" i="63"/>
  <c r="L31" i="64"/>
  <c r="J40" i="64"/>
  <c r="L57" i="64"/>
  <c r="J56" i="63"/>
  <c r="L51" i="63"/>
  <c r="L48" i="61"/>
  <c r="L51" i="62"/>
  <c r="L48" i="64"/>
  <c r="L66" i="64"/>
  <c r="L39" i="61"/>
  <c r="L19" i="61"/>
  <c r="L43" i="61"/>
  <c r="J57" i="64"/>
  <c r="J53" i="63"/>
  <c r="L10" i="64"/>
  <c r="L40" i="61"/>
  <c r="J50" i="64"/>
  <c r="L26" i="61"/>
  <c r="J67" i="64"/>
  <c r="L18" i="64"/>
  <c r="L11" i="64"/>
  <c r="L52" i="63"/>
  <c r="L33" i="61"/>
  <c r="L57" i="62"/>
  <c r="L56" i="64"/>
  <c r="J18" i="63"/>
  <c r="L16" i="63"/>
  <c r="J62" i="64"/>
  <c r="J60" i="63"/>
  <c r="L26" i="63"/>
  <c r="J53" i="64"/>
  <c r="J46" i="64"/>
  <c r="L46" i="61"/>
  <c r="L42" i="63"/>
  <c r="L37" i="61"/>
  <c r="L26" i="64"/>
  <c r="J25" i="63"/>
  <c r="L52" i="62"/>
  <c r="L10" i="61"/>
  <c r="J51" i="64"/>
  <c r="L38" i="62"/>
  <c r="L44" i="63"/>
  <c r="L47" i="64"/>
  <c r="J63" i="64"/>
  <c r="J48" i="63"/>
  <c r="J42" i="63"/>
  <c r="L58" i="62"/>
  <c r="J60" i="64"/>
  <c r="L14" i="61"/>
  <c r="L13" i="63"/>
  <c r="J25" i="64"/>
  <c r="J55" i="64"/>
  <c r="L30" i="61"/>
  <c r="L54" i="63"/>
  <c r="J68" i="64"/>
  <c r="J12" i="63"/>
  <c r="L55" i="62"/>
  <c r="L31" i="63"/>
  <c r="J27" i="64"/>
  <c r="L19" i="63"/>
  <c r="J34" i="63"/>
  <c r="L52" i="64"/>
  <c r="J13" i="63"/>
  <c r="L63" i="64"/>
  <c r="J14" i="63"/>
  <c r="L30" i="63"/>
  <c r="L21" i="61"/>
  <c r="J32" i="64"/>
  <c r="L8" i="62"/>
  <c r="J64" i="64"/>
  <c r="L53" i="64"/>
  <c r="L47" i="63"/>
  <c r="L69" i="64"/>
  <c r="J28" i="63"/>
  <c r="J10" i="64"/>
  <c r="L64" i="64"/>
  <c r="L60" i="64"/>
  <c r="J41" i="63"/>
  <c r="L53" i="62"/>
  <c r="L58" i="64"/>
  <c r="J39" i="63"/>
  <c r="L20" i="61"/>
  <c r="N34" i="61" l="1"/>
  <c r="N21" i="61"/>
  <c r="N32" i="61"/>
  <c r="N17" i="61"/>
  <c r="N27" i="61"/>
  <c r="N14" i="61"/>
  <c r="N37" i="61"/>
  <c r="N42" i="61"/>
  <c r="N22" i="61"/>
  <c r="N46" i="61"/>
  <c r="N48" i="61"/>
  <c r="N30" i="61"/>
  <c r="N13" i="61"/>
  <c r="N43" i="61"/>
  <c r="N10" i="61"/>
  <c r="N12" i="61"/>
  <c r="N36" i="61"/>
  <c r="N19" i="61"/>
  <c r="N41" i="61"/>
  <c r="N29" i="61"/>
  <c r="N16" i="61"/>
  <c r="N18" i="61"/>
  <c r="N45" i="61"/>
  <c r="N38" i="61"/>
  <c r="N25" i="61"/>
  <c r="N39" i="61"/>
  <c r="N20" i="61"/>
  <c r="N26" i="61"/>
  <c r="N33" i="61"/>
  <c r="N58" i="62"/>
  <c r="N24" i="61"/>
  <c r="N23" i="61"/>
  <c r="N56" i="62"/>
  <c r="N53" i="62"/>
  <c r="N46" i="62"/>
  <c r="N44" i="62"/>
  <c r="K61" i="64"/>
  <c r="M61" i="64" s="1"/>
  <c r="N61" i="64" s="1"/>
  <c r="K35" i="64"/>
  <c r="M35" i="64" s="1"/>
  <c r="N35" i="64" s="1"/>
  <c r="K63" i="64"/>
  <c r="M63" i="64" s="1"/>
  <c r="N63" i="64" s="1"/>
  <c r="K36" i="64"/>
  <c r="M36" i="64" s="1"/>
  <c r="N36" i="64" s="1"/>
  <c r="K64" i="64"/>
  <c r="M64" i="64" s="1"/>
  <c r="N64" i="64" s="1"/>
  <c r="K44" i="64"/>
  <c r="M44" i="64" s="1"/>
  <c r="N44" i="64" s="1"/>
  <c r="K65" i="64"/>
  <c r="M65" i="64" s="1"/>
  <c r="N65" i="64" s="1"/>
  <c r="K26" i="64"/>
  <c r="M26" i="64" s="1"/>
  <c r="N26" i="64" s="1"/>
  <c r="K60" i="64"/>
  <c r="M60" i="64" s="1"/>
  <c r="N60" i="64" s="1"/>
  <c r="K66" i="64"/>
  <c r="M66" i="64" s="1"/>
  <c r="N66" i="64" s="1"/>
  <c r="K48" i="64"/>
  <c r="M48" i="64" s="1"/>
  <c r="N48" i="64" s="1"/>
  <c r="K31" i="64"/>
  <c r="M31" i="64" s="1"/>
  <c r="N31" i="64" s="1"/>
  <c r="K11" i="64"/>
  <c r="M11" i="64" s="1"/>
  <c r="N11" i="64" s="1"/>
  <c r="K55" i="64"/>
  <c r="M55" i="64" s="1"/>
  <c r="N55" i="64" s="1"/>
  <c r="K70" i="64"/>
  <c r="M70" i="64" s="1"/>
  <c r="N70" i="64" s="1"/>
  <c r="K50" i="64"/>
  <c r="M50" i="64" s="1"/>
  <c r="N50" i="64" s="1"/>
  <c r="K21" i="64"/>
  <c r="M21" i="64" s="1"/>
  <c r="N21" i="64" s="1"/>
  <c r="K10" i="64"/>
  <c r="M10" i="64" s="1"/>
  <c r="N10" i="64" s="1"/>
  <c r="K20" i="64"/>
  <c r="M20" i="64" s="1"/>
  <c r="N20" i="64" s="1"/>
  <c r="K51" i="64"/>
  <c r="M51" i="64" s="1"/>
  <c r="N51" i="64" s="1"/>
  <c r="K30" i="64"/>
  <c r="M30" i="64" s="1"/>
  <c r="N30" i="64" s="1"/>
  <c r="K47" i="64"/>
  <c r="M47" i="64" s="1"/>
  <c r="N47" i="64" s="1"/>
  <c r="K49" i="64"/>
  <c r="M49" i="64" s="1"/>
  <c r="N49" i="64" s="1"/>
  <c r="K58" i="64"/>
  <c r="M58" i="64" s="1"/>
  <c r="N58" i="64" s="1"/>
  <c r="K57" i="64"/>
  <c r="M57" i="64" s="1"/>
  <c r="N57" i="64" s="1"/>
  <c r="K52" i="64"/>
  <c r="M52" i="64" s="1"/>
  <c r="N52" i="64" s="1"/>
  <c r="K59" i="64"/>
  <c r="M59" i="64" s="1"/>
  <c r="N59" i="64" s="1"/>
  <c r="K45" i="64"/>
  <c r="M45" i="64" s="1"/>
  <c r="N45" i="64" s="1"/>
  <c r="K53" i="64"/>
  <c r="M53" i="64" s="1"/>
  <c r="N53" i="64" s="1"/>
  <c r="K15" i="64"/>
  <c r="M15" i="64" s="1"/>
  <c r="N15" i="64" s="1"/>
  <c r="K69" i="64"/>
  <c r="M69" i="64" s="1"/>
  <c r="N69" i="64" s="1"/>
  <c r="K62" i="64"/>
  <c r="M62" i="64" s="1"/>
  <c r="N62" i="64" s="1"/>
  <c r="K40" i="64"/>
  <c r="M40" i="64" s="1"/>
  <c r="N40" i="64" s="1"/>
  <c r="K22" i="64"/>
  <c r="M22" i="64" s="1"/>
  <c r="N22" i="64" s="1"/>
  <c r="K54" i="64"/>
  <c r="M54" i="64" s="1"/>
  <c r="N54" i="64" s="1"/>
  <c r="K46" i="64"/>
  <c r="M46" i="64" s="1"/>
  <c r="N46" i="64" s="1"/>
  <c r="K56" i="64"/>
  <c r="M56" i="64" s="1"/>
  <c r="N56" i="64" s="1"/>
  <c r="K16" i="64"/>
  <c r="M16" i="64" s="1"/>
  <c r="N16" i="64" s="1"/>
  <c r="K67" i="64"/>
  <c r="M67" i="64" s="1"/>
  <c r="N67" i="64" s="1"/>
  <c r="K25" i="64"/>
  <c r="M25" i="64" s="1"/>
  <c r="N25" i="64" s="1"/>
  <c r="K68" i="64"/>
  <c r="M68" i="64" s="1"/>
  <c r="N68" i="64" s="1"/>
  <c r="K27" i="64"/>
  <c r="M27" i="64" s="1"/>
  <c r="N27" i="64" s="1"/>
  <c r="K23" i="64"/>
  <c r="K38" i="64"/>
  <c r="K17" i="64"/>
  <c r="M17" i="64" s="1"/>
  <c r="N17" i="64" s="1"/>
  <c r="K37" i="64"/>
  <c r="M37" i="64" s="1"/>
  <c r="N37" i="64" s="1"/>
  <c r="K12" i="64"/>
  <c r="M12" i="64" s="1"/>
  <c r="N12" i="64" s="1"/>
  <c r="K32" i="64"/>
  <c r="M32" i="64" s="1"/>
  <c r="N32" i="64" s="1"/>
  <c r="G13" i="64"/>
  <c r="E13" i="64"/>
  <c r="G28" i="64"/>
  <c r="E28" i="64"/>
  <c r="G23" i="64"/>
  <c r="E23" i="64"/>
  <c r="G38" i="64"/>
  <c r="E38" i="64"/>
  <c r="G33" i="64"/>
  <c r="E33" i="64"/>
  <c r="I33" i="64"/>
  <c r="I28" i="64"/>
  <c r="I13" i="64"/>
  <c r="E18" i="64"/>
  <c r="I18" i="64"/>
  <c r="G18" i="64"/>
  <c r="K60" i="63"/>
  <c r="M60" i="63" s="1"/>
  <c r="N60" i="63" s="1"/>
  <c r="K57" i="63"/>
  <c r="M57" i="63" s="1"/>
  <c r="N57" i="63" s="1"/>
  <c r="K41" i="63"/>
  <c r="M41" i="63" s="1"/>
  <c r="N41" i="63" s="1"/>
  <c r="K54" i="63"/>
  <c r="M54" i="63" s="1"/>
  <c r="N54" i="63" s="1"/>
  <c r="K38" i="63"/>
  <c r="M38" i="63" s="1"/>
  <c r="N38" i="63" s="1"/>
  <c r="K45" i="63"/>
  <c r="M45" i="63" s="1"/>
  <c r="N45" i="63" s="1"/>
  <c r="K48" i="63"/>
  <c r="M48" i="63" s="1"/>
  <c r="N48" i="63" s="1"/>
  <c r="K15" i="63"/>
  <c r="M15" i="63" s="1"/>
  <c r="N15" i="63" s="1"/>
  <c r="K27" i="63"/>
  <c r="M27" i="63" s="1"/>
  <c r="N27" i="63" s="1"/>
  <c r="K42" i="63"/>
  <c r="M42" i="63" s="1"/>
  <c r="N42" i="63" s="1"/>
  <c r="K18" i="63"/>
  <c r="M18" i="63" s="1"/>
  <c r="N18" i="63" s="1"/>
  <c r="K21" i="63"/>
  <c r="M21" i="63" s="1"/>
  <c r="N21" i="63" s="1"/>
  <c r="K33" i="63"/>
  <c r="M33" i="63" s="1"/>
  <c r="N33" i="63" s="1"/>
  <c r="K40" i="63"/>
  <c r="M40" i="63" s="1"/>
  <c r="N40" i="63" s="1"/>
  <c r="K59" i="63"/>
  <c r="M59" i="63" s="1"/>
  <c r="N59" i="63" s="1"/>
  <c r="K19" i="63"/>
  <c r="M19" i="63" s="1"/>
  <c r="N19" i="63" s="1"/>
  <c r="K50" i="63"/>
  <c r="M50" i="63" s="1"/>
  <c r="N50" i="63" s="1"/>
  <c r="K22" i="63"/>
  <c r="M22" i="63" s="1"/>
  <c r="N22" i="63" s="1"/>
  <c r="K39" i="63"/>
  <c r="M39" i="63" s="1"/>
  <c r="N39" i="63" s="1"/>
  <c r="K10" i="63"/>
  <c r="M10" i="63" s="1"/>
  <c r="N10" i="63" s="1"/>
  <c r="K20" i="63"/>
  <c r="M20" i="63" s="1"/>
  <c r="N20" i="63" s="1"/>
  <c r="K13" i="63"/>
  <c r="M13" i="63" s="1"/>
  <c r="N13" i="63" s="1"/>
  <c r="K12" i="63"/>
  <c r="M12" i="63" s="1"/>
  <c r="N12" i="63" s="1"/>
  <c r="K11" i="63"/>
  <c r="M11" i="63" s="1"/>
  <c r="N11" i="63" s="1"/>
  <c r="K36" i="63"/>
  <c r="M36" i="63" s="1"/>
  <c r="N36" i="63" s="1"/>
  <c r="K51" i="63"/>
  <c r="M51" i="63" s="1"/>
  <c r="N51" i="63" s="1"/>
  <c r="K17" i="63"/>
  <c r="M17" i="63" s="1"/>
  <c r="N17" i="63" s="1"/>
  <c r="K30" i="63"/>
  <c r="M30" i="63" s="1"/>
  <c r="N30" i="63" s="1"/>
  <c r="K35" i="63"/>
  <c r="M35" i="63" s="1"/>
  <c r="N35" i="63" s="1"/>
  <c r="K24" i="63"/>
  <c r="M24" i="63" s="1"/>
  <c r="N24" i="63" s="1"/>
  <c r="K16" i="63"/>
  <c r="M16" i="63" s="1"/>
  <c r="N16" i="63" s="1"/>
  <c r="K14" i="63"/>
  <c r="M14" i="63" s="1"/>
  <c r="N14" i="63" s="1"/>
  <c r="K56" i="63"/>
  <c r="M56" i="63" s="1"/>
  <c r="N56" i="63" s="1"/>
  <c r="K49" i="63"/>
  <c r="M49" i="63" s="1"/>
  <c r="N49" i="63" s="1"/>
  <c r="K32" i="63"/>
  <c r="M32" i="63" s="1"/>
  <c r="N32" i="63" s="1"/>
  <c r="K44" i="63"/>
  <c r="M44" i="63" s="1"/>
  <c r="N44" i="63" s="1"/>
  <c r="K52" i="63"/>
  <c r="M52" i="63" s="1"/>
  <c r="N52" i="63" s="1"/>
  <c r="K55" i="63"/>
  <c r="M55" i="63" s="1"/>
  <c r="N55" i="63" s="1"/>
  <c r="K37" i="63"/>
  <c r="M37" i="63" s="1"/>
  <c r="N37" i="63" s="1"/>
  <c r="K28" i="63"/>
  <c r="M28" i="63" s="1"/>
  <c r="N28" i="63" s="1"/>
  <c r="K47" i="63"/>
  <c r="M47" i="63" s="1"/>
  <c r="N47" i="63" s="1"/>
  <c r="K29" i="63"/>
  <c r="M29" i="63" s="1"/>
  <c r="N29" i="63" s="1"/>
  <c r="K25" i="63"/>
  <c r="M25" i="63" s="1"/>
  <c r="N25" i="63" s="1"/>
  <c r="K58" i="63"/>
  <c r="M58" i="63" s="1"/>
  <c r="N58" i="63" s="1"/>
  <c r="K23" i="63"/>
  <c r="M23" i="63" s="1"/>
  <c r="N23" i="63" s="1"/>
  <c r="K34" i="63"/>
  <c r="M34" i="63" s="1"/>
  <c r="N34" i="63" s="1"/>
  <c r="K31" i="63"/>
  <c r="M31" i="63" s="1"/>
  <c r="N31" i="63" s="1"/>
  <c r="K53" i="63"/>
  <c r="M53" i="63" s="1"/>
  <c r="N53" i="63" s="1"/>
  <c r="K46" i="63"/>
  <c r="M46" i="63" s="1"/>
  <c r="N46" i="63" s="1"/>
  <c r="K43" i="63"/>
  <c r="M43" i="63" s="1"/>
  <c r="N43" i="63" s="1"/>
  <c r="K26" i="63"/>
  <c r="M26" i="63" s="1"/>
  <c r="N26" i="63" s="1"/>
  <c r="K8" i="62"/>
  <c r="M8" i="62" s="1"/>
  <c r="O8" i="62" s="1"/>
  <c r="K8" i="61"/>
  <c r="M8" i="61" s="1"/>
  <c r="O8" i="61" s="1"/>
  <c r="L34" i="64"/>
  <c r="L24" i="64"/>
  <c r="L29" i="64"/>
  <c r="J13" i="64"/>
  <c r="L19" i="64"/>
  <c r="J28" i="64"/>
  <c r="L14" i="64"/>
  <c r="J33" i="64"/>
  <c r="L39" i="64"/>
  <c r="J18" i="64"/>
  <c r="K63" i="63" a="1"/>
  <c r="K63" i="63" l="1"/>
  <c r="O29" i="63"/>
  <c r="P29" i="63"/>
  <c r="Q29" i="63"/>
  <c r="O42" i="63"/>
  <c r="P42" i="63"/>
  <c r="Q42" i="63"/>
  <c r="O59" i="64"/>
  <c r="P59" i="64"/>
  <c r="Q59" i="64"/>
  <c r="O57" i="64"/>
  <c r="P57" i="64"/>
  <c r="Q57" i="64"/>
  <c r="O60" i="64"/>
  <c r="P60" i="64"/>
  <c r="Q60" i="64"/>
  <c r="O12" i="63"/>
  <c r="P12" i="63"/>
  <c r="Q12" i="63"/>
  <c r="O27" i="64"/>
  <c r="P27" i="64"/>
  <c r="Q27" i="64"/>
  <c r="O11" i="63"/>
  <c r="P11" i="63"/>
  <c r="Q11" i="63"/>
  <c r="O25" i="64"/>
  <c r="P25" i="64"/>
  <c r="Q25" i="64"/>
  <c r="O67" i="64"/>
  <c r="P67" i="64"/>
  <c r="Q67" i="64"/>
  <c r="O55" i="63"/>
  <c r="P55" i="63"/>
  <c r="Q55" i="63"/>
  <c r="O47" i="64"/>
  <c r="P47" i="64"/>
  <c r="Q47" i="64"/>
  <c r="Q30" i="64"/>
  <c r="O30" i="64"/>
  <c r="P30" i="64"/>
  <c r="O51" i="64"/>
  <c r="P51" i="64"/>
  <c r="Q51" i="64"/>
  <c r="O39" i="63"/>
  <c r="P39" i="63"/>
  <c r="Q39" i="63"/>
  <c r="O41" i="63"/>
  <c r="P41" i="63"/>
  <c r="Q41" i="63"/>
  <c r="O54" i="64"/>
  <c r="P54" i="64"/>
  <c r="Q54" i="64"/>
  <c r="O20" i="64"/>
  <c r="P20" i="64"/>
  <c r="Q20" i="64"/>
  <c r="O63" i="64"/>
  <c r="P63" i="64"/>
  <c r="Q63" i="64"/>
  <c r="O52" i="64"/>
  <c r="P52" i="64"/>
  <c r="Q52" i="64"/>
  <c r="O28" i="63"/>
  <c r="P28" i="63"/>
  <c r="Q28" i="63"/>
  <c r="O26" i="64"/>
  <c r="P26" i="64"/>
  <c r="Q26" i="64"/>
  <c r="P65" i="64"/>
  <c r="Q65" i="64"/>
  <c r="O65" i="64"/>
  <c r="O13" i="63"/>
  <c r="P13" i="63"/>
  <c r="Q13" i="63"/>
  <c r="O52" i="63"/>
  <c r="P52" i="63"/>
  <c r="Q52" i="63"/>
  <c r="O49" i="63"/>
  <c r="P49" i="63"/>
  <c r="Q49" i="63"/>
  <c r="P35" i="64"/>
  <c r="Q35" i="64"/>
  <c r="O35" i="64"/>
  <c r="O66" i="64"/>
  <c r="P66" i="64"/>
  <c r="Q66" i="64"/>
  <c r="O25" i="63"/>
  <c r="P25" i="63"/>
  <c r="Q25" i="63"/>
  <c r="O27" i="63"/>
  <c r="P27" i="63"/>
  <c r="Q27" i="63"/>
  <c r="O58" i="64"/>
  <c r="P58" i="64"/>
  <c r="Q58" i="64"/>
  <c r="O37" i="63"/>
  <c r="P37" i="63"/>
  <c r="Q37" i="63"/>
  <c r="O16" i="64"/>
  <c r="P16" i="64"/>
  <c r="Q16" i="64"/>
  <c r="O38" i="63"/>
  <c r="P38" i="63"/>
  <c r="Q38" i="63"/>
  <c r="O44" i="63"/>
  <c r="P44" i="63"/>
  <c r="Q44" i="63"/>
  <c r="O54" i="63"/>
  <c r="P54" i="63"/>
  <c r="Q54" i="63"/>
  <c r="O26" i="63"/>
  <c r="P26" i="63"/>
  <c r="Q26" i="63"/>
  <c r="O57" i="63"/>
  <c r="P57" i="63"/>
  <c r="Q57" i="63"/>
  <c r="O22" i="64"/>
  <c r="P22" i="64"/>
  <c r="Q22" i="64"/>
  <c r="O40" i="64"/>
  <c r="P40" i="64"/>
  <c r="Q40" i="64"/>
  <c r="Q19" i="63"/>
  <c r="O19" i="63"/>
  <c r="P19" i="63"/>
  <c r="O32" i="64"/>
  <c r="P32" i="64"/>
  <c r="Q32" i="64"/>
  <c r="O62" i="64"/>
  <c r="P62" i="64"/>
  <c r="Q62" i="64"/>
  <c r="P50" i="64"/>
  <c r="Q50" i="64"/>
  <c r="O50" i="64"/>
  <c r="O47" i="63"/>
  <c r="P47" i="63"/>
  <c r="Q47" i="63"/>
  <c r="O49" i="64"/>
  <c r="P49" i="64"/>
  <c r="Q49" i="64"/>
  <c r="O18" i="63"/>
  <c r="P18" i="63"/>
  <c r="Q18" i="63"/>
  <c r="Q51" i="63"/>
  <c r="O51" i="63"/>
  <c r="P51" i="63"/>
  <c r="O48" i="63"/>
  <c r="P48" i="63"/>
  <c r="Q48" i="63"/>
  <c r="O56" i="64"/>
  <c r="P56" i="64"/>
  <c r="Q56" i="64"/>
  <c r="O36" i="63"/>
  <c r="P36" i="63"/>
  <c r="Q36" i="63"/>
  <c r="O64" i="64"/>
  <c r="P64" i="64"/>
  <c r="Q64" i="64"/>
  <c r="O17" i="63"/>
  <c r="P17" i="63"/>
  <c r="Q17" i="63"/>
  <c r="O48" i="64"/>
  <c r="P48" i="64"/>
  <c r="Q48" i="64"/>
  <c r="O68" i="64"/>
  <c r="P68" i="64"/>
  <c r="Q68" i="64"/>
  <c r="O15" i="63"/>
  <c r="P15" i="63"/>
  <c r="Q15" i="63"/>
  <c r="O45" i="63"/>
  <c r="P45" i="63"/>
  <c r="Q45" i="63"/>
  <c r="O44" i="64"/>
  <c r="P44" i="64"/>
  <c r="Q44" i="64"/>
  <c r="O20" i="63"/>
  <c r="P20" i="63"/>
  <c r="Q20" i="63"/>
  <c r="Q10" i="63"/>
  <c r="P10" i="63"/>
  <c r="O10" i="63"/>
  <c r="O46" i="64"/>
  <c r="P46" i="64"/>
  <c r="Q46" i="64"/>
  <c r="O36" i="64"/>
  <c r="P36" i="64"/>
  <c r="Q36" i="64"/>
  <c r="O32" i="63"/>
  <c r="P32" i="63"/>
  <c r="Q32" i="63"/>
  <c r="O43" i="63"/>
  <c r="P43" i="63"/>
  <c r="Q43" i="63"/>
  <c r="O22" i="63"/>
  <c r="P22" i="63"/>
  <c r="Q22" i="63"/>
  <c r="Q10" i="64"/>
  <c r="P10" i="64"/>
  <c r="O10" i="64"/>
  <c r="P46" i="63"/>
  <c r="Q46" i="63"/>
  <c r="O46" i="63"/>
  <c r="O56" i="63"/>
  <c r="P56" i="63"/>
  <c r="Q56" i="63"/>
  <c r="O50" i="63"/>
  <c r="P50" i="63"/>
  <c r="Q50" i="63"/>
  <c r="O60" i="63"/>
  <c r="P60" i="63"/>
  <c r="Q60" i="63"/>
  <c r="O21" i="64"/>
  <c r="P21" i="64"/>
  <c r="Q21" i="64"/>
  <c r="O61" i="64"/>
  <c r="P61" i="64"/>
  <c r="Q61" i="64"/>
  <c r="O53" i="63"/>
  <c r="P53" i="63"/>
  <c r="Q53" i="63"/>
  <c r="P14" i="63"/>
  <c r="Q14" i="63"/>
  <c r="O14" i="63"/>
  <c r="O31" i="63"/>
  <c r="P31" i="63"/>
  <c r="Q31" i="63"/>
  <c r="O16" i="63"/>
  <c r="P16" i="63"/>
  <c r="Q16" i="63"/>
  <c r="O59" i="63"/>
  <c r="P59" i="63"/>
  <c r="Q59" i="63"/>
  <c r="O12" i="64"/>
  <c r="P12" i="64"/>
  <c r="Q12" i="64"/>
  <c r="O69" i="64"/>
  <c r="P69" i="64"/>
  <c r="Q69" i="64"/>
  <c r="O70" i="64"/>
  <c r="P70" i="64"/>
  <c r="Q70" i="64"/>
  <c r="O34" i="63"/>
  <c r="P34" i="63"/>
  <c r="Q34" i="63"/>
  <c r="O24" i="63"/>
  <c r="P24" i="63"/>
  <c r="Q24" i="63"/>
  <c r="O40" i="63"/>
  <c r="P40" i="63"/>
  <c r="Q40" i="63"/>
  <c r="O37" i="64"/>
  <c r="P37" i="64"/>
  <c r="Q37" i="64"/>
  <c r="Q15" i="64"/>
  <c r="O15" i="64"/>
  <c r="P15" i="64"/>
  <c r="O55" i="64"/>
  <c r="P55" i="64"/>
  <c r="Q55" i="64"/>
  <c r="O23" i="63"/>
  <c r="P23" i="63"/>
  <c r="Q23" i="63"/>
  <c r="Q35" i="63"/>
  <c r="O35" i="63"/>
  <c r="P35" i="63"/>
  <c r="O33" i="63"/>
  <c r="P33" i="63"/>
  <c r="Q33" i="63"/>
  <c r="O17" i="64"/>
  <c r="P17" i="64"/>
  <c r="Q17" i="64"/>
  <c r="O53" i="64"/>
  <c r="P53" i="64"/>
  <c r="Q53" i="64"/>
  <c r="O11" i="64"/>
  <c r="P11" i="64"/>
  <c r="Q11" i="64"/>
  <c r="O58" i="63"/>
  <c r="P58" i="63"/>
  <c r="Q58" i="63"/>
  <c r="P30" i="63"/>
  <c r="Q30" i="63"/>
  <c r="O30" i="63"/>
  <c r="O21" i="63"/>
  <c r="P21" i="63"/>
  <c r="Q21" i="63"/>
  <c r="Q45" i="64"/>
  <c r="O45" i="64"/>
  <c r="P45" i="64"/>
  <c r="O31" i="64"/>
  <c r="P31" i="64"/>
  <c r="Q31" i="64"/>
  <c r="J3" i="63"/>
  <c r="P8" i="62"/>
  <c r="V8" i="62" s="1"/>
  <c r="P8" i="61"/>
  <c r="V8" i="61" s="1"/>
  <c r="M38" i="64"/>
  <c r="N38" i="64" s="1"/>
  <c r="M23" i="64"/>
  <c r="N23" i="64" s="1"/>
  <c r="K28" i="64"/>
  <c r="M28" i="64" s="1"/>
  <c r="N28" i="64" s="1"/>
  <c r="K13" i="64"/>
  <c r="M13" i="64" s="1"/>
  <c r="N13" i="64" s="1"/>
  <c r="K33" i="64"/>
  <c r="M33" i="64" s="1"/>
  <c r="N33" i="64" s="1"/>
  <c r="K18" i="64"/>
  <c r="M18" i="64" s="1"/>
  <c r="N18" i="64" s="1"/>
  <c r="E29" i="64"/>
  <c r="G29" i="64"/>
  <c r="I29" i="64"/>
  <c r="E34" i="64"/>
  <c r="G34" i="64"/>
  <c r="I34" i="64"/>
  <c r="E39" i="64"/>
  <c r="G39" i="64"/>
  <c r="I39" i="64"/>
  <c r="E14" i="64"/>
  <c r="G14" i="64"/>
  <c r="I14" i="64"/>
  <c r="I19" i="64"/>
  <c r="G19" i="64"/>
  <c r="E19" i="64"/>
  <c r="G24" i="64"/>
  <c r="E24" i="64"/>
  <c r="I24" i="64"/>
  <c r="J34" i="64"/>
  <c r="J39" i="64"/>
  <c r="J24" i="64"/>
  <c r="K66" i="63" a="1"/>
  <c r="J14" i="64"/>
  <c r="L41" i="64"/>
  <c r="K69" i="63" a="1"/>
  <c r="K72" i="63" a="1"/>
  <c r="J19" i="64"/>
  <c r="J29" i="64"/>
  <c r="K72" i="63" l="1"/>
  <c r="K69" i="63"/>
  <c r="J5" i="63" s="1"/>
  <c r="K66" i="63"/>
  <c r="O33" i="64"/>
  <c r="P33" i="64"/>
  <c r="Q33" i="64"/>
  <c r="O28" i="64"/>
  <c r="P28" i="64"/>
  <c r="Q28" i="64"/>
  <c r="O23" i="64"/>
  <c r="P23" i="64"/>
  <c r="Q23" i="64"/>
  <c r="O38" i="64"/>
  <c r="P38" i="64"/>
  <c r="Q38" i="64"/>
  <c r="O13" i="64"/>
  <c r="P13" i="64"/>
  <c r="Q13" i="64"/>
  <c r="O18" i="64"/>
  <c r="P18" i="64"/>
  <c r="Q18" i="64"/>
  <c r="J6" i="63"/>
  <c r="J4" i="63"/>
  <c r="K19" i="64"/>
  <c r="M19" i="64" s="1"/>
  <c r="N19" i="64" s="1"/>
  <c r="K14" i="64"/>
  <c r="M14" i="64" s="1"/>
  <c r="N14" i="64" s="1"/>
  <c r="K39" i="64"/>
  <c r="M39" i="64" s="1"/>
  <c r="N39" i="64" s="1"/>
  <c r="K34" i="64"/>
  <c r="M34" i="64" s="1"/>
  <c r="N34" i="64" s="1"/>
  <c r="K24" i="64"/>
  <c r="M24" i="64" s="1"/>
  <c r="N24" i="64" s="1"/>
  <c r="K29" i="64"/>
  <c r="M29" i="64" s="1"/>
  <c r="N29" i="64" s="1"/>
  <c r="E41" i="64"/>
  <c r="G41" i="64"/>
  <c r="I41" i="64"/>
  <c r="L42" i="64"/>
  <c r="J41" i="64"/>
  <c r="O34" i="64" l="1"/>
  <c r="P34" i="64"/>
  <c r="Q34" i="64"/>
  <c r="O24" i="64"/>
  <c r="P24" i="64"/>
  <c r="Q24" i="64"/>
  <c r="O29" i="64"/>
  <c r="P29" i="64"/>
  <c r="Q29" i="64"/>
  <c r="O39" i="64"/>
  <c r="P39" i="64"/>
  <c r="Q39" i="64"/>
  <c r="O14" i="64"/>
  <c r="P14" i="64"/>
  <c r="Q14" i="64"/>
  <c r="O19" i="64"/>
  <c r="P19" i="64"/>
  <c r="Q19" i="64"/>
  <c r="K41" i="64"/>
  <c r="M41" i="64" s="1"/>
  <c r="N41" i="64" s="1"/>
  <c r="E42" i="64"/>
  <c r="G42" i="64"/>
  <c r="I42" i="64"/>
  <c r="L43" i="64"/>
  <c r="J42" i="64"/>
  <c r="O41" i="64" l="1"/>
  <c r="P41" i="64"/>
  <c r="Q41" i="64"/>
  <c r="K42" i="64"/>
  <c r="M42" i="64" s="1"/>
  <c r="N42" i="64" s="1"/>
  <c r="G43" i="64"/>
  <c r="E43" i="64"/>
  <c r="I43" i="64"/>
  <c r="J43" i="64"/>
  <c r="O42" i="64" l="1"/>
  <c r="P42" i="64"/>
  <c r="Q42" i="64"/>
  <c r="K43" i="64"/>
  <c r="M43" i="64" s="1"/>
  <c r="N43" i="64" s="1"/>
  <c r="K73" i="64" a="1"/>
  <c r="K73" i="64" l="1"/>
  <c r="J3" i="64" s="1"/>
  <c r="O43" i="64"/>
  <c r="P43" i="64"/>
  <c r="Q43" i="64"/>
  <c r="K81" i="64" a="1"/>
  <c r="K89" i="64" a="1"/>
  <c r="K97" i="64" a="1"/>
  <c r="K89" i="64" l="1"/>
  <c r="J5" i="64" s="1"/>
  <c r="K97" i="64"/>
  <c r="J6" i="64" s="1"/>
  <c r="K81" i="64"/>
  <c r="J4" i="64"/>
  <c r="N64" i="58" l="1"/>
  <c r="N63" i="58"/>
  <c r="N62" i="58"/>
  <c r="M11" i="60"/>
  <c r="M9" i="60"/>
  <c r="M8" i="60"/>
  <c r="M7" i="60"/>
  <c r="C11" i="60"/>
  <c r="C9" i="60"/>
  <c r="G15" i="58"/>
  <c r="B15" i="58"/>
  <c r="C15" i="58" s="1"/>
  <c r="G8" i="60"/>
  <c r="Q8" i="60"/>
  <c r="G6" i="60"/>
  <c r="Q6" i="60"/>
  <c r="G7" i="60"/>
  <c r="Q7" i="60"/>
  <c r="X3" i="60" l="1"/>
  <c r="AB3" i="60" s="1"/>
  <c r="AD3" i="60" s="1"/>
  <c r="D15" i="60"/>
  <c r="N15" i="60"/>
  <c r="H15" i="58"/>
  <c r="D15" i="58"/>
  <c r="C33" i="58" s="1"/>
  <c r="C32" i="58"/>
  <c r="AK3" i="60" a="1"/>
  <c r="AE3" i="60" a="1"/>
  <c r="AK3" i="60" l="1"/>
  <c r="AE3" i="60"/>
  <c r="AC3" i="60"/>
  <c r="P15" i="60"/>
  <c r="N18" i="60"/>
  <c r="P18" i="60" s="1"/>
  <c r="N16" i="60"/>
  <c r="N17" i="60"/>
  <c r="D17" i="60"/>
  <c r="D18" i="60"/>
  <c r="F18" i="60" s="1"/>
  <c r="D16" i="60"/>
  <c r="F16" i="60" s="1"/>
  <c r="F15" i="60"/>
  <c r="E7" i="89"/>
  <c r="C21" i="58"/>
  <c r="C28" i="58"/>
  <c r="C24" i="58"/>
  <c r="C27" i="58"/>
  <c r="C25" i="58"/>
  <c r="C23" i="58"/>
  <c r="C20" i="58"/>
  <c r="C19" i="58"/>
  <c r="C26" i="58"/>
  <c r="C22" i="58"/>
  <c r="I15" i="58"/>
  <c r="H26" i="58" s="1"/>
  <c r="AF3" i="60" l="1"/>
  <c r="AL3" i="60"/>
  <c r="F10" i="89"/>
  <c r="F8" i="89"/>
  <c r="V3" i="60"/>
  <c r="P17" i="60"/>
  <c r="N20" i="60"/>
  <c r="P20" i="60" s="1"/>
  <c r="D50" i="60"/>
  <c r="F9" i="89"/>
  <c r="P16" i="60"/>
  <c r="V2" i="60"/>
  <c r="W4" i="60" s="1"/>
  <c r="E10" i="89"/>
  <c r="D20" i="60"/>
  <c r="F20" i="60" s="1"/>
  <c r="F17" i="60"/>
  <c r="E9" i="89"/>
  <c r="N50" i="60"/>
  <c r="E8" i="89"/>
  <c r="H33" i="58"/>
  <c r="H19" i="58"/>
  <c r="H23" i="58"/>
  <c r="H32" i="58"/>
  <c r="H27" i="58"/>
  <c r="H21" i="58"/>
  <c r="H28" i="58"/>
  <c r="H25" i="58"/>
  <c r="H22" i="58"/>
  <c r="H24" i="58"/>
  <c r="H20" i="58"/>
  <c r="M10" i="60"/>
  <c r="M23" i="60" a="1"/>
  <c r="C23" i="60" a="1"/>
  <c r="M53" i="60" a="1"/>
  <c r="C10" i="60"/>
  <c r="M40" i="60"/>
  <c r="C23" i="60" l="1"/>
  <c r="M23" i="60"/>
  <c r="M53" i="60"/>
  <c r="F21" i="89" s="1"/>
  <c r="E16" i="89"/>
  <c r="C24" i="60"/>
  <c r="E15" i="89" s="1"/>
  <c r="E11" i="89"/>
  <c r="M24" i="60"/>
  <c r="E22" i="89" s="1"/>
  <c r="E23" i="89"/>
  <c r="W5" i="60"/>
  <c r="X4" i="60"/>
  <c r="F11" i="89"/>
  <c r="F23" i="89"/>
  <c r="M54" i="60"/>
  <c r="H34" i="58"/>
  <c r="H35" i="58" s="1"/>
  <c r="C40" i="60"/>
  <c r="AE4" i="60" a="1"/>
  <c r="AK4" i="60" a="1"/>
  <c r="C53" i="60" a="1"/>
  <c r="AE4" i="60" l="1"/>
  <c r="AK4" i="60"/>
  <c r="AB4" i="60"/>
  <c r="AD4" i="60" s="1"/>
  <c r="AC4" i="60"/>
  <c r="C53" i="60"/>
  <c r="M56" i="60"/>
  <c r="F22" i="89"/>
  <c r="W6" i="60"/>
  <c r="X5" i="60"/>
  <c r="M26" i="60"/>
  <c r="F16" i="89"/>
  <c r="C54" i="60"/>
  <c r="F15" i="89" s="1"/>
  <c r="C26" i="60"/>
  <c r="E21" i="89"/>
  <c r="E14" i="89"/>
  <c r="X5" i="54"/>
  <c r="X6" i="54"/>
  <c r="X7" i="54"/>
  <c r="X8" i="54"/>
  <c r="X9" i="54"/>
  <c r="X10" i="54"/>
  <c r="X11" i="54"/>
  <c r="X12" i="54"/>
  <c r="X13" i="54"/>
  <c r="X14" i="54"/>
  <c r="X15" i="54"/>
  <c r="X16" i="54"/>
  <c r="X17" i="54"/>
  <c r="X18" i="54"/>
  <c r="X19" i="54"/>
  <c r="X20" i="54"/>
  <c r="X21" i="54"/>
  <c r="X22" i="54"/>
  <c r="X23" i="54"/>
  <c r="X24" i="54"/>
  <c r="X25" i="54"/>
  <c r="X26" i="54"/>
  <c r="X27" i="54"/>
  <c r="X28" i="54"/>
  <c r="X29" i="54"/>
  <c r="X30" i="54"/>
  <c r="X31" i="54"/>
  <c r="X32" i="54"/>
  <c r="X33" i="54"/>
  <c r="X34" i="54"/>
  <c r="X35" i="54"/>
  <c r="X36" i="54"/>
  <c r="X37" i="54"/>
  <c r="X38" i="54"/>
  <c r="X39" i="54"/>
  <c r="X40" i="54"/>
  <c r="X41" i="54"/>
  <c r="X42" i="54"/>
  <c r="X43" i="54"/>
  <c r="X44" i="54"/>
  <c r="X45" i="54"/>
  <c r="X46" i="54"/>
  <c r="X47" i="54"/>
  <c r="X48" i="54"/>
  <c r="X49" i="54"/>
  <c r="X50" i="54"/>
  <c r="X51" i="54"/>
  <c r="X52" i="54"/>
  <c r="X53" i="54"/>
  <c r="X54" i="54"/>
  <c r="X55" i="54"/>
  <c r="X56" i="54"/>
  <c r="X57" i="54"/>
  <c r="X58" i="54"/>
  <c r="X59" i="54"/>
  <c r="X60" i="54"/>
  <c r="X61" i="54"/>
  <c r="X62" i="54"/>
  <c r="X63" i="54"/>
  <c r="X64" i="54"/>
  <c r="X65" i="54"/>
  <c r="X66" i="54"/>
  <c r="X67" i="54"/>
  <c r="X68" i="54"/>
  <c r="X69" i="54"/>
  <c r="X70" i="54"/>
  <c r="X71" i="54"/>
  <c r="X72" i="54"/>
  <c r="X73" i="54"/>
  <c r="X74" i="54"/>
  <c r="X75" i="54"/>
  <c r="X76" i="54"/>
  <c r="X77" i="54"/>
  <c r="X78" i="54"/>
  <c r="X79" i="54"/>
  <c r="X80" i="54"/>
  <c r="X81" i="54"/>
  <c r="X82" i="54"/>
  <c r="X83" i="54"/>
  <c r="X84" i="54"/>
  <c r="X85" i="54"/>
  <c r="X86" i="54"/>
  <c r="X87" i="54"/>
  <c r="X88" i="54"/>
  <c r="X89" i="54"/>
  <c r="X90" i="54"/>
  <c r="X91" i="54"/>
  <c r="X92" i="54"/>
  <c r="X93" i="54"/>
  <c r="X94" i="54"/>
  <c r="X95" i="54"/>
  <c r="X96" i="54"/>
  <c r="X97" i="54"/>
  <c r="X98" i="54"/>
  <c r="X99" i="54"/>
  <c r="X100" i="54"/>
  <c r="X101" i="54"/>
  <c r="X102" i="54"/>
  <c r="X103" i="54"/>
  <c r="X104" i="54"/>
  <c r="X105" i="54"/>
  <c r="X106" i="54"/>
  <c r="X107" i="54"/>
  <c r="X108" i="54"/>
  <c r="X109" i="54"/>
  <c r="X110" i="54"/>
  <c r="X111" i="54"/>
  <c r="X112" i="54"/>
  <c r="X113" i="54"/>
  <c r="X114" i="54"/>
  <c r="X115" i="54"/>
  <c r="X116" i="54"/>
  <c r="X117" i="54"/>
  <c r="X118" i="54"/>
  <c r="X119" i="54"/>
  <c r="X120" i="54"/>
  <c r="X121" i="54"/>
  <c r="X122" i="54"/>
  <c r="X123" i="54"/>
  <c r="X124" i="54"/>
  <c r="X125" i="54"/>
  <c r="X126" i="54"/>
  <c r="X127" i="54"/>
  <c r="X128" i="54"/>
  <c r="X129" i="54"/>
  <c r="X130" i="54"/>
  <c r="X131" i="54"/>
  <c r="X132" i="54"/>
  <c r="X133" i="54"/>
  <c r="X4" i="54"/>
  <c r="B49" i="54"/>
  <c r="B46" i="54"/>
  <c r="B31" i="54"/>
  <c r="B26" i="54"/>
  <c r="B27" i="54"/>
  <c r="B54" i="54"/>
  <c r="B119" i="54"/>
  <c r="B9" i="54"/>
  <c r="B117" i="54"/>
  <c r="C11" i="51"/>
  <c r="B90" i="54"/>
  <c r="B65" i="54"/>
  <c r="B13" i="54"/>
  <c r="B103" i="54"/>
  <c r="B93" i="54"/>
  <c r="B5" i="54"/>
  <c r="B113" i="54"/>
  <c r="B94" i="54"/>
  <c r="B76" i="54"/>
  <c r="B35" i="54"/>
  <c r="B114" i="54"/>
  <c r="B58" i="54"/>
  <c r="B21" i="54"/>
  <c r="B127" i="54"/>
  <c r="B83" i="54"/>
  <c r="B118" i="54"/>
  <c r="B45" i="54"/>
  <c r="B68" i="54"/>
  <c r="B81" i="54"/>
  <c r="AE5" i="60" a="1"/>
  <c r="B11" i="54"/>
  <c r="B72" i="54"/>
  <c r="B7" i="54"/>
  <c r="B105" i="54"/>
  <c r="B124" i="54"/>
  <c r="B60" i="54"/>
  <c r="B92" i="54"/>
  <c r="B61" i="54"/>
  <c r="B19" i="54"/>
  <c r="B64" i="54"/>
  <c r="B20" i="54"/>
  <c r="B128" i="54"/>
  <c r="B6" i="54"/>
  <c r="B131" i="54"/>
  <c r="B36" i="54"/>
  <c r="B77" i="54"/>
  <c r="B99" i="54"/>
  <c r="B104" i="54"/>
  <c r="B89" i="54"/>
  <c r="B67" i="54"/>
  <c r="B38" i="54"/>
  <c r="B15" i="54"/>
  <c r="B80" i="54"/>
  <c r="B55" i="54"/>
  <c r="B74" i="54"/>
  <c r="B18" i="54"/>
  <c r="B129" i="54"/>
  <c r="B39" i="54"/>
  <c r="B96" i="54"/>
  <c r="B71" i="54"/>
  <c r="B59" i="54"/>
  <c r="AK5" i="60" a="1"/>
  <c r="B130" i="54"/>
  <c r="B40" i="54"/>
  <c r="B106" i="54"/>
  <c r="B24" i="54"/>
  <c r="B73" i="54"/>
  <c r="B123" i="54"/>
  <c r="B32" i="54"/>
  <c r="B122" i="54"/>
  <c r="B53" i="54"/>
  <c r="B34" i="54"/>
  <c r="B47" i="54"/>
  <c r="B84" i="54"/>
  <c r="B91" i="54"/>
  <c r="B17" i="54"/>
  <c r="B100" i="54"/>
  <c r="B69" i="54"/>
  <c r="B112" i="54"/>
  <c r="B82" i="54"/>
  <c r="B43" i="54"/>
  <c r="B87" i="54"/>
  <c r="B66" i="54"/>
  <c r="B50" i="54"/>
  <c r="B22" i="54"/>
  <c r="B37" i="54"/>
  <c r="B62" i="54"/>
  <c r="B8" i="54"/>
  <c r="B125" i="54"/>
  <c r="B57" i="54"/>
  <c r="B51" i="54"/>
  <c r="B108" i="54"/>
  <c r="B133" i="54"/>
  <c r="B41" i="54"/>
  <c r="B33" i="54"/>
  <c r="B95" i="54"/>
  <c r="B126" i="54"/>
  <c r="B78" i="54"/>
  <c r="B132" i="54"/>
  <c r="B14" i="54"/>
  <c r="B97" i="54"/>
  <c r="B86" i="54"/>
  <c r="B107" i="54"/>
  <c r="B98" i="54"/>
  <c r="B28" i="54"/>
  <c r="B101" i="54"/>
  <c r="B16" i="54"/>
  <c r="B110" i="54"/>
  <c r="B29" i="54"/>
  <c r="B23" i="54"/>
  <c r="B120" i="54"/>
  <c r="B63" i="54"/>
  <c r="B109" i="54"/>
  <c r="B30" i="54"/>
  <c r="B85" i="54"/>
  <c r="B4" i="54"/>
  <c r="B10" i="54"/>
  <c r="B42" i="54"/>
  <c r="B102" i="54"/>
  <c r="B116" i="54"/>
  <c r="B70" i="54"/>
  <c r="B111" i="54"/>
  <c r="B48" i="54"/>
  <c r="B75" i="54"/>
  <c r="B121" i="54"/>
  <c r="B88" i="54"/>
  <c r="B12" i="54"/>
  <c r="B79" i="54"/>
  <c r="B52" i="54"/>
  <c r="B25" i="54"/>
  <c r="B56" i="54"/>
  <c r="B115" i="54"/>
  <c r="B44" i="54"/>
  <c r="AK5" i="60" l="1"/>
  <c r="AE5" i="60"/>
  <c r="AF4" i="60"/>
  <c r="AL4" i="60"/>
  <c r="AC5" i="60"/>
  <c r="AB5" i="60"/>
  <c r="AD5" i="60" s="1"/>
  <c r="W7" i="60"/>
  <c r="X6" i="60"/>
  <c r="F24" i="89"/>
  <c r="N58" i="60"/>
  <c r="F25" i="89" s="1"/>
  <c r="H26" i="89" s="1"/>
  <c r="F14" i="89"/>
  <c r="C56" i="60"/>
  <c r="E17" i="89"/>
  <c r="D28" i="60"/>
  <c r="E18" i="89" s="1"/>
  <c r="E24" i="89"/>
  <c r="N28" i="60"/>
  <c r="E25" i="89" s="1"/>
  <c r="P126" i="54"/>
  <c r="S4" i="54"/>
  <c r="O131" i="54"/>
  <c r="U125" i="54"/>
  <c r="N127" i="54"/>
  <c r="P132" i="54"/>
  <c r="O130" i="54"/>
  <c r="S129" i="54"/>
  <c r="S133" i="54"/>
  <c r="U4" i="54"/>
  <c r="W131" i="54"/>
  <c r="W127" i="54"/>
  <c r="T4" i="54"/>
  <c r="N131" i="54"/>
  <c r="U127" i="54"/>
  <c r="W129" i="54"/>
  <c r="S127" i="54"/>
  <c r="W133" i="54"/>
  <c r="Q129" i="54"/>
  <c r="R127" i="54"/>
  <c r="U133" i="54"/>
  <c r="P129" i="54"/>
  <c r="Q127" i="54"/>
  <c r="O129" i="54"/>
  <c r="O127" i="54"/>
  <c r="Q24" i="54"/>
  <c r="W24" i="54"/>
  <c r="R24" i="54"/>
  <c r="N24" i="54"/>
  <c r="T24" i="54"/>
  <c r="O24" i="54"/>
  <c r="U24" i="54"/>
  <c r="S24" i="54"/>
  <c r="P24" i="54"/>
  <c r="V24" i="54"/>
  <c r="S22" i="54"/>
  <c r="N22" i="54"/>
  <c r="T22" i="54"/>
  <c r="P22" i="54"/>
  <c r="V22" i="54"/>
  <c r="Q22" i="54"/>
  <c r="W22" i="54"/>
  <c r="U22" i="54"/>
  <c r="R22" i="54"/>
  <c r="O22" i="54"/>
  <c r="P128" i="54"/>
  <c r="V128" i="54"/>
  <c r="R128" i="54"/>
  <c r="N90" i="54"/>
  <c r="T90" i="54"/>
  <c r="O90" i="54"/>
  <c r="V90" i="54"/>
  <c r="R90" i="54"/>
  <c r="Q90" i="54"/>
  <c r="S90" i="54"/>
  <c r="U90" i="54"/>
  <c r="W90" i="54"/>
  <c r="P90" i="54"/>
  <c r="P35" i="54"/>
  <c r="V35" i="54"/>
  <c r="R35" i="54"/>
  <c r="S35" i="54"/>
  <c r="O35" i="54"/>
  <c r="U35" i="54"/>
  <c r="N35" i="54"/>
  <c r="Q35" i="54"/>
  <c r="T35" i="54"/>
  <c r="W35" i="54"/>
  <c r="S16" i="54"/>
  <c r="N16" i="54"/>
  <c r="T16" i="54"/>
  <c r="P16" i="54"/>
  <c r="V16" i="54"/>
  <c r="Q16" i="54"/>
  <c r="W16" i="54"/>
  <c r="O16" i="54"/>
  <c r="R16" i="54"/>
  <c r="U16" i="54"/>
  <c r="R33" i="54"/>
  <c r="N33" i="54"/>
  <c r="T33" i="54"/>
  <c r="O33" i="54"/>
  <c r="U33" i="54"/>
  <c r="W33" i="54"/>
  <c r="Q33" i="54"/>
  <c r="P33" i="54"/>
  <c r="S33" i="54"/>
  <c r="V33" i="54"/>
  <c r="S50" i="54"/>
  <c r="N50" i="54"/>
  <c r="U50" i="54"/>
  <c r="P50" i="54"/>
  <c r="W50" i="54"/>
  <c r="R50" i="54"/>
  <c r="T50" i="54"/>
  <c r="V50" i="54"/>
  <c r="O50" i="54"/>
  <c r="Q50" i="54"/>
  <c r="P73" i="54"/>
  <c r="V73" i="54"/>
  <c r="S73" i="54"/>
  <c r="R73" i="54"/>
  <c r="N73" i="54"/>
  <c r="W73" i="54"/>
  <c r="O73" i="54"/>
  <c r="Q73" i="54"/>
  <c r="T73" i="54"/>
  <c r="U73" i="54"/>
  <c r="N84" i="54"/>
  <c r="T84" i="54"/>
  <c r="Q84" i="54"/>
  <c r="U84" i="54"/>
  <c r="W84" i="54"/>
  <c r="O84" i="54"/>
  <c r="P84" i="54"/>
  <c r="R84" i="54"/>
  <c r="S84" i="54"/>
  <c r="V84" i="54"/>
  <c r="Q101" i="54"/>
  <c r="W101" i="54"/>
  <c r="N101" i="54"/>
  <c r="U101" i="54"/>
  <c r="O101" i="54"/>
  <c r="V101" i="54"/>
  <c r="P101" i="54"/>
  <c r="R101" i="54"/>
  <c r="S101" i="54"/>
  <c r="T101" i="54"/>
  <c r="O29" i="54"/>
  <c r="U29" i="54"/>
  <c r="P29" i="54"/>
  <c r="V29" i="54"/>
  <c r="R29" i="54"/>
  <c r="S29" i="54"/>
  <c r="W29" i="54"/>
  <c r="N29" i="54"/>
  <c r="Q29" i="54"/>
  <c r="T29" i="54"/>
  <c r="N46" i="54"/>
  <c r="T46" i="54"/>
  <c r="Q46" i="54"/>
  <c r="W46" i="54"/>
  <c r="P46" i="54"/>
  <c r="U46" i="54"/>
  <c r="V46" i="54"/>
  <c r="O46" i="54"/>
  <c r="R46" i="54"/>
  <c r="S46" i="54"/>
  <c r="N63" i="54"/>
  <c r="T63" i="54"/>
  <c r="R63" i="54"/>
  <c r="O63" i="54"/>
  <c r="W63" i="54"/>
  <c r="S63" i="54"/>
  <c r="U63" i="54"/>
  <c r="V63" i="54"/>
  <c r="P63" i="54"/>
  <c r="Q63" i="54"/>
  <c r="R80" i="54"/>
  <c r="N80" i="54"/>
  <c r="U80" i="54"/>
  <c r="Q80" i="54"/>
  <c r="V80" i="54"/>
  <c r="P80" i="54"/>
  <c r="S80" i="54"/>
  <c r="T80" i="54"/>
  <c r="W80" i="54"/>
  <c r="O80" i="54"/>
  <c r="P44" i="54"/>
  <c r="V44" i="54"/>
  <c r="S44" i="54"/>
  <c r="R44" i="54"/>
  <c r="T44" i="54"/>
  <c r="O44" i="54"/>
  <c r="W44" i="54"/>
  <c r="N44" i="54"/>
  <c r="Q44" i="54"/>
  <c r="U44" i="54"/>
  <c r="P67" i="54"/>
  <c r="V67" i="54"/>
  <c r="N67" i="54"/>
  <c r="U67" i="54"/>
  <c r="R67" i="54"/>
  <c r="W67" i="54"/>
  <c r="O67" i="54"/>
  <c r="Q67" i="54"/>
  <c r="S67" i="54"/>
  <c r="T67" i="54"/>
  <c r="N31" i="54"/>
  <c r="T31" i="54"/>
  <c r="P31" i="54"/>
  <c r="V31" i="54"/>
  <c r="Q31" i="54"/>
  <c r="W31" i="54"/>
  <c r="S31" i="54"/>
  <c r="R31" i="54"/>
  <c r="U31" i="54"/>
  <c r="O31" i="54"/>
  <c r="U132" i="54"/>
  <c r="W130" i="54"/>
  <c r="P4" i="54"/>
  <c r="V4" i="54"/>
  <c r="R4" i="54"/>
  <c r="N78" i="54"/>
  <c r="T78" i="54"/>
  <c r="S78" i="54"/>
  <c r="U78" i="54"/>
  <c r="P78" i="54"/>
  <c r="W78" i="54"/>
  <c r="O78" i="54"/>
  <c r="Q78" i="54"/>
  <c r="R78" i="54"/>
  <c r="V78" i="54"/>
  <c r="N95" i="54"/>
  <c r="T95" i="54"/>
  <c r="Q95" i="54"/>
  <c r="W95" i="54"/>
  <c r="V95" i="54"/>
  <c r="O95" i="54"/>
  <c r="P95" i="54"/>
  <c r="R95" i="54"/>
  <c r="S95" i="54"/>
  <c r="U95" i="54"/>
  <c r="O23" i="54"/>
  <c r="U23" i="54"/>
  <c r="P23" i="54"/>
  <c r="V23" i="54"/>
  <c r="R23" i="54"/>
  <c r="S23" i="54"/>
  <c r="T23" i="54"/>
  <c r="W23" i="54"/>
  <c r="N23" i="54"/>
  <c r="Q23" i="54"/>
  <c r="P76" i="54"/>
  <c r="V76" i="54"/>
  <c r="R76" i="54"/>
  <c r="N76" i="54"/>
  <c r="W76" i="54"/>
  <c r="S76" i="54"/>
  <c r="T76" i="54"/>
  <c r="O76" i="54"/>
  <c r="Q76" i="54"/>
  <c r="U76" i="54"/>
  <c r="N40" i="54"/>
  <c r="T40" i="54"/>
  <c r="P40" i="54"/>
  <c r="V40" i="54"/>
  <c r="Q40" i="54"/>
  <c r="W40" i="54"/>
  <c r="S40" i="54"/>
  <c r="O40" i="54"/>
  <c r="R40" i="54"/>
  <c r="U40" i="54"/>
  <c r="P93" i="54"/>
  <c r="V93" i="54"/>
  <c r="S93" i="54"/>
  <c r="O93" i="54"/>
  <c r="Q93" i="54"/>
  <c r="R93" i="54"/>
  <c r="T93" i="54"/>
  <c r="U93" i="54"/>
  <c r="N93" i="54"/>
  <c r="W93" i="54"/>
  <c r="N57" i="54"/>
  <c r="T57" i="54"/>
  <c r="U57" i="54"/>
  <c r="O57" i="54"/>
  <c r="W57" i="54"/>
  <c r="R57" i="54"/>
  <c r="S57" i="54"/>
  <c r="P57" i="54"/>
  <c r="Q57" i="54"/>
  <c r="V57" i="54"/>
  <c r="Q21" i="54"/>
  <c r="W21" i="54"/>
  <c r="R21" i="54"/>
  <c r="N21" i="54"/>
  <c r="T21" i="54"/>
  <c r="O21" i="54"/>
  <c r="U21" i="54"/>
  <c r="S21" i="54"/>
  <c r="P21" i="54"/>
  <c r="V21" i="54"/>
  <c r="Q110" i="54"/>
  <c r="W110" i="54"/>
  <c r="R110" i="54"/>
  <c r="S110" i="54"/>
  <c r="T110" i="54"/>
  <c r="N110" i="54"/>
  <c r="U110" i="54"/>
  <c r="O110" i="54"/>
  <c r="V110" i="54"/>
  <c r="P110" i="54"/>
  <c r="R74" i="54"/>
  <c r="P74" i="54"/>
  <c r="W74" i="54"/>
  <c r="Q74" i="54"/>
  <c r="U74" i="54"/>
  <c r="N74" i="54"/>
  <c r="V74" i="54"/>
  <c r="O74" i="54"/>
  <c r="S74" i="54"/>
  <c r="T74" i="54"/>
  <c r="P38" i="54"/>
  <c r="V38" i="54"/>
  <c r="R38" i="54"/>
  <c r="S38" i="54"/>
  <c r="U38" i="54"/>
  <c r="Q38" i="54"/>
  <c r="T38" i="54"/>
  <c r="N38" i="54"/>
  <c r="O38" i="54"/>
  <c r="W38" i="54"/>
  <c r="N133" i="54"/>
  <c r="T133" i="54"/>
  <c r="P133" i="54"/>
  <c r="V133" i="54"/>
  <c r="R97" i="54"/>
  <c r="O97" i="54"/>
  <c r="U97" i="54"/>
  <c r="T97" i="54"/>
  <c r="V97" i="54"/>
  <c r="N97" i="54"/>
  <c r="W97" i="54"/>
  <c r="P97" i="54"/>
  <c r="Q97" i="54"/>
  <c r="S97" i="54"/>
  <c r="P61" i="54"/>
  <c r="V61" i="54"/>
  <c r="Q61" i="54"/>
  <c r="R61" i="54"/>
  <c r="U61" i="54"/>
  <c r="N61" i="54"/>
  <c r="W61" i="54"/>
  <c r="O61" i="54"/>
  <c r="S61" i="54"/>
  <c r="T61" i="54"/>
  <c r="S25" i="54"/>
  <c r="N25" i="54"/>
  <c r="T25" i="54"/>
  <c r="P25" i="54"/>
  <c r="V25" i="54"/>
  <c r="Q25" i="54"/>
  <c r="W25" i="54"/>
  <c r="U25" i="54"/>
  <c r="O25" i="54"/>
  <c r="R25" i="54"/>
  <c r="Q4" i="54"/>
  <c r="R133" i="54"/>
  <c r="S132" i="54"/>
  <c r="T131" i="54"/>
  <c r="U130" i="54"/>
  <c r="V129" i="54"/>
  <c r="W128" i="54"/>
  <c r="N128" i="54"/>
  <c r="O126" i="54"/>
  <c r="O5" i="54"/>
  <c r="U5" i="54"/>
  <c r="P5" i="54"/>
  <c r="V5" i="54"/>
  <c r="Q5" i="54"/>
  <c r="R5" i="54"/>
  <c r="S5" i="54"/>
  <c r="N5" i="54"/>
  <c r="T5" i="54"/>
  <c r="W5" i="54"/>
  <c r="S108" i="54"/>
  <c r="P108" i="54"/>
  <c r="W108" i="54"/>
  <c r="Q108" i="54"/>
  <c r="R108" i="54"/>
  <c r="T108" i="54"/>
  <c r="N108" i="54"/>
  <c r="U108" i="54"/>
  <c r="O108" i="54"/>
  <c r="V108" i="54"/>
  <c r="N72" i="54"/>
  <c r="T72" i="54"/>
  <c r="O72" i="54"/>
  <c r="V72" i="54"/>
  <c r="S72" i="54"/>
  <c r="P72" i="54"/>
  <c r="Q72" i="54"/>
  <c r="R72" i="54"/>
  <c r="U72" i="54"/>
  <c r="W72" i="54"/>
  <c r="R36" i="54"/>
  <c r="N36" i="54"/>
  <c r="T36" i="54"/>
  <c r="O36" i="54"/>
  <c r="U36" i="54"/>
  <c r="Q36" i="54"/>
  <c r="P36" i="54"/>
  <c r="V36" i="54"/>
  <c r="W36" i="54"/>
  <c r="S36" i="54"/>
  <c r="R89" i="54"/>
  <c r="Q89" i="54"/>
  <c r="N89" i="54"/>
  <c r="U89" i="54"/>
  <c r="P89" i="54"/>
  <c r="S89" i="54"/>
  <c r="T89" i="54"/>
  <c r="V89" i="54"/>
  <c r="W89" i="54"/>
  <c r="O89" i="54"/>
  <c r="S53" i="54"/>
  <c r="T53" i="54"/>
  <c r="U53" i="54"/>
  <c r="O53" i="54"/>
  <c r="R53" i="54"/>
  <c r="V53" i="54"/>
  <c r="N53" i="54"/>
  <c r="P53" i="54"/>
  <c r="Q53" i="54"/>
  <c r="W53" i="54"/>
  <c r="O17" i="54"/>
  <c r="U17" i="54"/>
  <c r="P17" i="54"/>
  <c r="V17" i="54"/>
  <c r="R17" i="54"/>
  <c r="S17" i="54"/>
  <c r="Q17" i="54"/>
  <c r="N17" i="54"/>
  <c r="T17" i="54"/>
  <c r="W17" i="54"/>
  <c r="O106" i="54"/>
  <c r="U106" i="54"/>
  <c r="N106" i="54"/>
  <c r="V106" i="54"/>
  <c r="P106" i="54"/>
  <c r="W106" i="54"/>
  <c r="Q106" i="54"/>
  <c r="R106" i="54"/>
  <c r="S106" i="54"/>
  <c r="T106" i="54"/>
  <c r="P70" i="54"/>
  <c r="V70" i="54"/>
  <c r="T70" i="54"/>
  <c r="N70" i="54"/>
  <c r="W70" i="54"/>
  <c r="R70" i="54"/>
  <c r="S70" i="54"/>
  <c r="U70" i="54"/>
  <c r="O70" i="54"/>
  <c r="Q70" i="54"/>
  <c r="N34" i="54"/>
  <c r="T34" i="54"/>
  <c r="P34" i="54"/>
  <c r="V34" i="54"/>
  <c r="Q34" i="54"/>
  <c r="W34" i="54"/>
  <c r="U34" i="54"/>
  <c r="O34" i="54"/>
  <c r="R34" i="54"/>
  <c r="S34" i="54"/>
  <c r="O123" i="54"/>
  <c r="U123" i="54"/>
  <c r="P123" i="54"/>
  <c r="V123" i="54"/>
  <c r="Q123" i="54"/>
  <c r="W123" i="54"/>
  <c r="R123" i="54"/>
  <c r="S123" i="54"/>
  <c r="N123" i="54"/>
  <c r="T123" i="54"/>
  <c r="N87" i="54"/>
  <c r="T87" i="54"/>
  <c r="P87" i="54"/>
  <c r="W87" i="54"/>
  <c r="S87" i="54"/>
  <c r="O87" i="54"/>
  <c r="Q87" i="54"/>
  <c r="R87" i="54"/>
  <c r="U87" i="54"/>
  <c r="V87" i="54"/>
  <c r="O51" i="54"/>
  <c r="U51" i="54"/>
  <c r="R51" i="54"/>
  <c r="N51" i="54"/>
  <c r="W51" i="54"/>
  <c r="S51" i="54"/>
  <c r="T51" i="54"/>
  <c r="P51" i="54"/>
  <c r="Q51" i="54"/>
  <c r="V51" i="54"/>
  <c r="Q15" i="54"/>
  <c r="W15" i="54"/>
  <c r="R15" i="54"/>
  <c r="N15" i="54"/>
  <c r="T15" i="54"/>
  <c r="O15" i="54"/>
  <c r="U15" i="54"/>
  <c r="S15" i="54"/>
  <c r="P15" i="54"/>
  <c r="V15" i="54"/>
  <c r="O4" i="54"/>
  <c r="Q133" i="54"/>
  <c r="Q132" i="54"/>
  <c r="S131" i="54"/>
  <c r="S130" i="54"/>
  <c r="U129" i="54"/>
  <c r="U128" i="54"/>
  <c r="W126" i="54"/>
  <c r="Q6" i="54"/>
  <c r="W6" i="54"/>
  <c r="R6" i="54"/>
  <c r="N6" i="54"/>
  <c r="T6" i="54"/>
  <c r="O6" i="54"/>
  <c r="U6" i="54"/>
  <c r="S6" i="54"/>
  <c r="P6" i="54"/>
  <c r="V6" i="54"/>
  <c r="S102" i="54"/>
  <c r="R102" i="54"/>
  <c r="T102" i="54"/>
  <c r="N102" i="54"/>
  <c r="U102" i="54"/>
  <c r="O102" i="54"/>
  <c r="V102" i="54"/>
  <c r="P102" i="54"/>
  <c r="W102" i="54"/>
  <c r="Q102" i="54"/>
  <c r="N66" i="54"/>
  <c r="T66" i="54"/>
  <c r="Q66" i="54"/>
  <c r="S66" i="54"/>
  <c r="O66" i="54"/>
  <c r="W66" i="54"/>
  <c r="P66" i="54"/>
  <c r="R66" i="54"/>
  <c r="U66" i="54"/>
  <c r="V66" i="54"/>
  <c r="Q30" i="54"/>
  <c r="W30" i="54"/>
  <c r="R30" i="54"/>
  <c r="N30" i="54"/>
  <c r="T30" i="54"/>
  <c r="O30" i="54"/>
  <c r="U30" i="54"/>
  <c r="P30" i="54"/>
  <c r="S30" i="54"/>
  <c r="V30" i="54"/>
  <c r="Q119" i="54"/>
  <c r="W119" i="54"/>
  <c r="N119" i="54"/>
  <c r="U119" i="54"/>
  <c r="O119" i="54"/>
  <c r="V119" i="54"/>
  <c r="P119" i="54"/>
  <c r="R119" i="54"/>
  <c r="S119" i="54"/>
  <c r="T119" i="54"/>
  <c r="R83" i="54"/>
  <c r="T83" i="54"/>
  <c r="P83" i="54"/>
  <c r="W83" i="54"/>
  <c r="V83" i="54"/>
  <c r="N83" i="54"/>
  <c r="O83" i="54"/>
  <c r="Q83" i="54"/>
  <c r="S83" i="54"/>
  <c r="U83" i="54"/>
  <c r="S47" i="54"/>
  <c r="O47" i="54"/>
  <c r="V47" i="54"/>
  <c r="T47" i="54"/>
  <c r="W47" i="54"/>
  <c r="Q47" i="54"/>
  <c r="R47" i="54"/>
  <c r="N47" i="54"/>
  <c r="P47" i="54"/>
  <c r="U47" i="54"/>
  <c r="O11" i="54"/>
  <c r="U11" i="54"/>
  <c r="P11" i="54"/>
  <c r="V11" i="54"/>
  <c r="R11" i="54"/>
  <c r="S11" i="54"/>
  <c r="W11" i="54"/>
  <c r="N11" i="54"/>
  <c r="T11" i="54"/>
  <c r="Q11" i="54"/>
  <c r="O100" i="54"/>
  <c r="U100" i="54"/>
  <c r="Q100" i="54"/>
  <c r="R100" i="54"/>
  <c r="S100" i="54"/>
  <c r="T100" i="54"/>
  <c r="N100" i="54"/>
  <c r="V100" i="54"/>
  <c r="P100" i="54"/>
  <c r="W100" i="54"/>
  <c r="P64" i="54"/>
  <c r="V64" i="54"/>
  <c r="O64" i="54"/>
  <c r="W64" i="54"/>
  <c r="U64" i="54"/>
  <c r="R64" i="54"/>
  <c r="S64" i="54"/>
  <c r="N64" i="54"/>
  <c r="Q64" i="54"/>
  <c r="T64" i="54"/>
  <c r="S28" i="54"/>
  <c r="N28" i="54"/>
  <c r="T28" i="54"/>
  <c r="P28" i="54"/>
  <c r="V28" i="54"/>
  <c r="Q28" i="54"/>
  <c r="W28" i="54"/>
  <c r="O28" i="54"/>
  <c r="R28" i="54"/>
  <c r="U28" i="54"/>
  <c r="S117" i="54"/>
  <c r="T117" i="54"/>
  <c r="N117" i="54"/>
  <c r="U117" i="54"/>
  <c r="O117" i="54"/>
  <c r="V117" i="54"/>
  <c r="P117" i="54"/>
  <c r="W117" i="54"/>
  <c r="Q117" i="54"/>
  <c r="R117" i="54"/>
  <c r="N81" i="54"/>
  <c r="T81" i="54"/>
  <c r="R81" i="54"/>
  <c r="P81" i="54"/>
  <c r="U81" i="54"/>
  <c r="S81" i="54"/>
  <c r="V81" i="54"/>
  <c r="W81" i="54"/>
  <c r="O81" i="54"/>
  <c r="Q81" i="54"/>
  <c r="R45" i="54"/>
  <c r="O45" i="54"/>
  <c r="U45" i="54"/>
  <c r="Q45" i="54"/>
  <c r="T45" i="54"/>
  <c r="S45" i="54"/>
  <c r="N45" i="54"/>
  <c r="P45" i="54"/>
  <c r="V45" i="54"/>
  <c r="W45" i="54"/>
  <c r="Q9" i="54"/>
  <c r="W9" i="54"/>
  <c r="R9" i="54"/>
  <c r="N9" i="54"/>
  <c r="T9" i="54"/>
  <c r="O9" i="54"/>
  <c r="U9" i="54"/>
  <c r="V9" i="54"/>
  <c r="S9" i="54"/>
  <c r="P9" i="54"/>
  <c r="N98" i="54"/>
  <c r="T98" i="54"/>
  <c r="Q98" i="54"/>
  <c r="W98" i="54"/>
  <c r="S98" i="54"/>
  <c r="U98" i="54"/>
  <c r="V98" i="54"/>
  <c r="O98" i="54"/>
  <c r="P98" i="54"/>
  <c r="R98" i="54"/>
  <c r="R62" i="54"/>
  <c r="N62" i="54"/>
  <c r="U62" i="54"/>
  <c r="P62" i="54"/>
  <c r="T62" i="54"/>
  <c r="V62" i="54"/>
  <c r="O62" i="54"/>
  <c r="Q62" i="54"/>
  <c r="S62" i="54"/>
  <c r="W62" i="54"/>
  <c r="O26" i="54"/>
  <c r="U26" i="54"/>
  <c r="P26" i="54"/>
  <c r="V26" i="54"/>
  <c r="R26" i="54"/>
  <c r="S26" i="54"/>
  <c r="Q26" i="54"/>
  <c r="T26" i="54"/>
  <c r="W26" i="54"/>
  <c r="N26" i="54"/>
  <c r="O121" i="54"/>
  <c r="U121" i="54"/>
  <c r="P121" i="54"/>
  <c r="W121" i="54"/>
  <c r="Q121" i="54"/>
  <c r="R121" i="54"/>
  <c r="S121" i="54"/>
  <c r="T121" i="54"/>
  <c r="N121" i="54"/>
  <c r="V121" i="54"/>
  <c r="P85" i="54"/>
  <c r="V85" i="54"/>
  <c r="N85" i="54"/>
  <c r="U85" i="54"/>
  <c r="R85" i="54"/>
  <c r="O85" i="54"/>
  <c r="Q85" i="54"/>
  <c r="S85" i="54"/>
  <c r="T85" i="54"/>
  <c r="W85" i="54"/>
  <c r="Q49" i="54"/>
  <c r="W49" i="54"/>
  <c r="P49" i="54"/>
  <c r="R49" i="54"/>
  <c r="V49" i="54"/>
  <c r="S49" i="54"/>
  <c r="T49" i="54"/>
  <c r="N49" i="54"/>
  <c r="O49" i="54"/>
  <c r="U49" i="54"/>
  <c r="S13" i="54"/>
  <c r="N13" i="54"/>
  <c r="T13" i="54"/>
  <c r="P13" i="54"/>
  <c r="V13" i="54"/>
  <c r="Q13" i="54"/>
  <c r="W13" i="54"/>
  <c r="U13" i="54"/>
  <c r="R13" i="54"/>
  <c r="O13" i="54"/>
  <c r="W4" i="54"/>
  <c r="N4" i="54"/>
  <c r="O133" i="54"/>
  <c r="Q131" i="54"/>
  <c r="R130" i="54"/>
  <c r="T128" i="54"/>
  <c r="V126" i="54"/>
  <c r="R132" i="54"/>
  <c r="N132" i="54"/>
  <c r="T132" i="54"/>
  <c r="P41" i="54"/>
  <c r="V41" i="54"/>
  <c r="R41" i="54"/>
  <c r="S41" i="54"/>
  <c r="O41" i="54"/>
  <c r="W41" i="54"/>
  <c r="N41" i="54"/>
  <c r="U41" i="54"/>
  <c r="Q41" i="54"/>
  <c r="T41" i="54"/>
  <c r="R39" i="54"/>
  <c r="N39" i="54"/>
  <c r="T39" i="54"/>
  <c r="O39" i="54"/>
  <c r="U39" i="54"/>
  <c r="W39" i="54"/>
  <c r="P39" i="54"/>
  <c r="Q39" i="54"/>
  <c r="S39" i="54"/>
  <c r="V39" i="54"/>
  <c r="O20" i="54"/>
  <c r="U20" i="54"/>
  <c r="P20" i="54"/>
  <c r="V20" i="54"/>
  <c r="R20" i="54"/>
  <c r="S20" i="54"/>
  <c r="W20" i="54"/>
  <c r="N20" i="54"/>
  <c r="Q20" i="54"/>
  <c r="T20" i="54"/>
  <c r="O115" i="54"/>
  <c r="U115" i="54"/>
  <c r="R115" i="54"/>
  <c r="S115" i="54"/>
  <c r="T115" i="54"/>
  <c r="N115" i="54"/>
  <c r="V115" i="54"/>
  <c r="P115" i="54"/>
  <c r="W115" i="54"/>
  <c r="Q115" i="54"/>
  <c r="P79" i="54"/>
  <c r="V79" i="54"/>
  <c r="Q79" i="54"/>
  <c r="S79" i="54"/>
  <c r="N79" i="54"/>
  <c r="W79" i="54"/>
  <c r="O79" i="54"/>
  <c r="R79" i="54"/>
  <c r="T79" i="54"/>
  <c r="U79" i="54"/>
  <c r="N43" i="54"/>
  <c r="T43" i="54"/>
  <c r="P43" i="54"/>
  <c r="Q43" i="54"/>
  <c r="W43" i="54"/>
  <c r="S43" i="54"/>
  <c r="R43" i="54"/>
  <c r="U43" i="54"/>
  <c r="V43" i="54"/>
  <c r="O43" i="54"/>
  <c r="S7" i="54"/>
  <c r="N7" i="54"/>
  <c r="T7" i="54"/>
  <c r="P7" i="54"/>
  <c r="V7" i="54"/>
  <c r="Q7" i="54"/>
  <c r="W7" i="54"/>
  <c r="R7" i="54"/>
  <c r="U7" i="54"/>
  <c r="O7" i="54"/>
  <c r="W132" i="54"/>
  <c r="O132" i="54"/>
  <c r="Q130" i="54"/>
  <c r="S128" i="54"/>
  <c r="U126" i="54"/>
  <c r="R77" i="54"/>
  <c r="O77" i="54"/>
  <c r="V77" i="54"/>
  <c r="U77" i="54"/>
  <c r="Q77" i="54"/>
  <c r="S77" i="54"/>
  <c r="T77" i="54"/>
  <c r="W77" i="54"/>
  <c r="N77" i="54"/>
  <c r="P77" i="54"/>
  <c r="P58" i="54"/>
  <c r="V58" i="54"/>
  <c r="R58" i="54"/>
  <c r="U58" i="54"/>
  <c r="Q58" i="54"/>
  <c r="S58" i="54"/>
  <c r="T58" i="54"/>
  <c r="W58" i="54"/>
  <c r="N58" i="54"/>
  <c r="O58" i="54"/>
  <c r="R71" i="54"/>
  <c r="Q71" i="54"/>
  <c r="U71" i="54"/>
  <c r="P71" i="54"/>
  <c r="S71" i="54"/>
  <c r="N71" i="54"/>
  <c r="O71" i="54"/>
  <c r="T71" i="54"/>
  <c r="V71" i="54"/>
  <c r="W71" i="54"/>
  <c r="N37" i="54"/>
  <c r="T37" i="54"/>
  <c r="P37" i="54"/>
  <c r="V37" i="54"/>
  <c r="Q37" i="54"/>
  <c r="W37" i="54"/>
  <c r="S37" i="54"/>
  <c r="U37" i="54"/>
  <c r="R37" i="54"/>
  <c r="O37" i="54"/>
  <c r="V132" i="54"/>
  <c r="Q128" i="54"/>
  <c r="Q126" i="54"/>
  <c r="N60" i="54"/>
  <c r="T60" i="54"/>
  <c r="S60" i="54"/>
  <c r="R60" i="54"/>
  <c r="O60" i="54"/>
  <c r="W60" i="54"/>
  <c r="P60" i="54"/>
  <c r="Q60" i="54"/>
  <c r="U60" i="54"/>
  <c r="V60" i="54"/>
  <c r="R94" i="54"/>
  <c r="O94" i="54"/>
  <c r="U94" i="54"/>
  <c r="N94" i="54"/>
  <c r="W94" i="54"/>
  <c r="P94" i="54"/>
  <c r="Q94" i="54"/>
  <c r="S94" i="54"/>
  <c r="T94" i="54"/>
  <c r="V94" i="54"/>
  <c r="N92" i="54"/>
  <c r="T92" i="54"/>
  <c r="Q92" i="54"/>
  <c r="W92" i="54"/>
  <c r="P92" i="54"/>
  <c r="R92" i="54"/>
  <c r="S92" i="54"/>
  <c r="U92" i="54"/>
  <c r="V92" i="54"/>
  <c r="O92" i="54"/>
  <c r="O54" i="54"/>
  <c r="U54" i="54"/>
  <c r="Q54" i="54"/>
  <c r="S54" i="54"/>
  <c r="N54" i="54"/>
  <c r="T54" i="54"/>
  <c r="V54" i="54"/>
  <c r="W54" i="54"/>
  <c r="P54" i="54"/>
  <c r="R54" i="54"/>
  <c r="Q124" i="54"/>
  <c r="W124" i="54"/>
  <c r="R124" i="54"/>
  <c r="S124" i="54"/>
  <c r="N124" i="54"/>
  <c r="T124" i="54"/>
  <c r="O124" i="54"/>
  <c r="U124" i="54"/>
  <c r="P124" i="54"/>
  <c r="V124" i="54"/>
  <c r="N69" i="54"/>
  <c r="T69" i="54"/>
  <c r="P69" i="54"/>
  <c r="W69" i="54"/>
  <c r="O69" i="54"/>
  <c r="S69" i="54"/>
  <c r="U69" i="54"/>
  <c r="Q69" i="54"/>
  <c r="R69" i="54"/>
  <c r="V69" i="54"/>
  <c r="O14" i="54"/>
  <c r="U14" i="54"/>
  <c r="P14" i="54"/>
  <c r="V14" i="54"/>
  <c r="R14" i="54"/>
  <c r="S14" i="54"/>
  <c r="W14" i="54"/>
  <c r="T14" i="54"/>
  <c r="N14" i="54"/>
  <c r="Q14" i="54"/>
  <c r="S120" i="54"/>
  <c r="R120" i="54"/>
  <c r="T120" i="54"/>
  <c r="N120" i="54"/>
  <c r="U120" i="54"/>
  <c r="O120" i="54"/>
  <c r="V120" i="54"/>
  <c r="P120" i="54"/>
  <c r="W120" i="54"/>
  <c r="Q120" i="54"/>
  <c r="O8" i="54"/>
  <c r="U8" i="54"/>
  <c r="P8" i="54"/>
  <c r="V8" i="54"/>
  <c r="R8" i="54"/>
  <c r="S8" i="54"/>
  <c r="Q8" i="54"/>
  <c r="T8" i="54"/>
  <c r="W8" i="54"/>
  <c r="N8" i="54"/>
  <c r="Q113" i="54"/>
  <c r="W113" i="54"/>
  <c r="P113" i="54"/>
  <c r="R113" i="54"/>
  <c r="S113" i="54"/>
  <c r="T113" i="54"/>
  <c r="N113" i="54"/>
  <c r="U113" i="54"/>
  <c r="O113" i="54"/>
  <c r="V113" i="54"/>
  <c r="S111" i="54"/>
  <c r="O111" i="54"/>
  <c r="V111" i="54"/>
  <c r="P111" i="54"/>
  <c r="W111" i="54"/>
  <c r="Q111" i="54"/>
  <c r="R111" i="54"/>
  <c r="T111" i="54"/>
  <c r="N111" i="54"/>
  <c r="U111" i="54"/>
  <c r="R56" i="54"/>
  <c r="P56" i="54"/>
  <c r="W56" i="54"/>
  <c r="O56" i="54"/>
  <c r="T56" i="54"/>
  <c r="U56" i="54"/>
  <c r="V56" i="54"/>
  <c r="N56" i="54"/>
  <c r="Q56" i="54"/>
  <c r="S56" i="54"/>
  <c r="Q18" i="54"/>
  <c r="W18" i="54"/>
  <c r="R18" i="54"/>
  <c r="N18" i="54"/>
  <c r="T18" i="54"/>
  <c r="O18" i="54"/>
  <c r="U18" i="54"/>
  <c r="S18" i="54"/>
  <c r="V18" i="54"/>
  <c r="P18" i="54"/>
  <c r="P88" i="54"/>
  <c r="V88" i="54"/>
  <c r="T88" i="54"/>
  <c r="Q88" i="54"/>
  <c r="O88" i="54"/>
  <c r="R88" i="54"/>
  <c r="S88" i="54"/>
  <c r="U88" i="54"/>
  <c r="W88" i="54"/>
  <c r="N88" i="54"/>
  <c r="S105" i="54"/>
  <c r="Q105" i="54"/>
  <c r="R105" i="54"/>
  <c r="T105" i="54"/>
  <c r="N105" i="54"/>
  <c r="U105" i="54"/>
  <c r="O105" i="54"/>
  <c r="V105" i="54"/>
  <c r="P105" i="54"/>
  <c r="W105" i="54"/>
  <c r="R86" i="54"/>
  <c r="S86" i="54"/>
  <c r="O86" i="54"/>
  <c r="V86" i="54"/>
  <c r="N86" i="54"/>
  <c r="P86" i="54"/>
  <c r="Q86" i="54"/>
  <c r="T86" i="54"/>
  <c r="U86" i="54"/>
  <c r="W86" i="54"/>
  <c r="O109" i="54"/>
  <c r="U109" i="54"/>
  <c r="T109" i="54"/>
  <c r="N109" i="54"/>
  <c r="V109" i="54"/>
  <c r="P109" i="54"/>
  <c r="W109" i="54"/>
  <c r="Q109" i="54"/>
  <c r="R109" i="54"/>
  <c r="S109" i="54"/>
  <c r="O48" i="54"/>
  <c r="U48" i="54"/>
  <c r="S48" i="54"/>
  <c r="R48" i="54"/>
  <c r="W48" i="54"/>
  <c r="Q48" i="54"/>
  <c r="T48" i="54"/>
  <c r="V48" i="54"/>
  <c r="N48" i="54"/>
  <c r="P48" i="54"/>
  <c r="R65" i="54"/>
  <c r="T65" i="54"/>
  <c r="U65" i="54"/>
  <c r="P65" i="54"/>
  <c r="Q65" i="54"/>
  <c r="S65" i="54"/>
  <c r="V65" i="54"/>
  <c r="W65" i="54"/>
  <c r="N65" i="54"/>
  <c r="O65" i="54"/>
  <c r="P82" i="54"/>
  <c r="O82" i="54"/>
  <c r="V82" i="54"/>
  <c r="N82" i="54"/>
  <c r="W82" i="54"/>
  <c r="S82" i="54"/>
  <c r="U82" i="54"/>
  <c r="Q82" i="54"/>
  <c r="R82" i="54"/>
  <c r="T82" i="54"/>
  <c r="P99" i="54"/>
  <c r="V99" i="54"/>
  <c r="S99" i="54"/>
  <c r="R99" i="54"/>
  <c r="T99" i="54"/>
  <c r="U99" i="54"/>
  <c r="N99" i="54"/>
  <c r="W99" i="54"/>
  <c r="O99" i="54"/>
  <c r="Q99" i="54"/>
  <c r="Q116" i="54"/>
  <c r="W116" i="54"/>
  <c r="O116" i="54"/>
  <c r="V116" i="54"/>
  <c r="P116" i="54"/>
  <c r="R116" i="54"/>
  <c r="S116" i="54"/>
  <c r="T116" i="54"/>
  <c r="N116" i="54"/>
  <c r="U116" i="54"/>
  <c r="P131" i="54"/>
  <c r="V131" i="54"/>
  <c r="R131" i="54"/>
  <c r="P96" i="54"/>
  <c r="V96" i="54"/>
  <c r="S96" i="54"/>
  <c r="U96" i="54"/>
  <c r="N96" i="54"/>
  <c r="W96" i="54"/>
  <c r="O96" i="54"/>
  <c r="Q96" i="54"/>
  <c r="R96" i="54"/>
  <c r="T96" i="54"/>
  <c r="N130" i="54"/>
  <c r="T130" i="54"/>
  <c r="P130" i="54"/>
  <c r="V130" i="54"/>
  <c r="N75" i="54"/>
  <c r="T75" i="54"/>
  <c r="U75" i="54"/>
  <c r="P75" i="54"/>
  <c r="S75" i="54"/>
  <c r="V75" i="54"/>
  <c r="W75" i="54"/>
  <c r="O75" i="54"/>
  <c r="Q75" i="54"/>
  <c r="R75" i="54"/>
  <c r="R126" i="54"/>
  <c r="S126" i="54"/>
  <c r="N126" i="54"/>
  <c r="T126" i="54"/>
  <c r="Q107" i="54"/>
  <c r="W107" i="54"/>
  <c r="S107" i="54"/>
  <c r="T107" i="54"/>
  <c r="N107" i="54"/>
  <c r="U107" i="54"/>
  <c r="O107" i="54"/>
  <c r="V107" i="54"/>
  <c r="P107" i="54"/>
  <c r="R107" i="54"/>
  <c r="Q52" i="54"/>
  <c r="W52" i="54"/>
  <c r="O52" i="54"/>
  <c r="V52" i="54"/>
  <c r="U52" i="54"/>
  <c r="N52" i="54"/>
  <c r="S52" i="54"/>
  <c r="T52" i="54"/>
  <c r="P52" i="54"/>
  <c r="R52" i="54"/>
  <c r="S122" i="54"/>
  <c r="N122" i="54"/>
  <c r="T122" i="54"/>
  <c r="O122" i="54"/>
  <c r="U122" i="54"/>
  <c r="P122" i="54"/>
  <c r="V122" i="54"/>
  <c r="Q122" i="54"/>
  <c r="W122" i="54"/>
  <c r="R122" i="54"/>
  <c r="Q12" i="54"/>
  <c r="W12" i="54"/>
  <c r="R12" i="54"/>
  <c r="N12" i="54"/>
  <c r="T12" i="54"/>
  <c r="O12" i="54"/>
  <c r="U12" i="54"/>
  <c r="P12" i="54"/>
  <c r="V12" i="54"/>
  <c r="S12" i="54"/>
  <c r="O118" i="54"/>
  <c r="U118" i="54"/>
  <c r="Q118" i="54"/>
  <c r="R118" i="54"/>
  <c r="S118" i="54"/>
  <c r="T118" i="54"/>
  <c r="N118" i="54"/>
  <c r="V118" i="54"/>
  <c r="P118" i="54"/>
  <c r="W118" i="54"/>
  <c r="S10" i="54"/>
  <c r="N10" i="54"/>
  <c r="T10" i="54"/>
  <c r="P10" i="54"/>
  <c r="V10" i="54"/>
  <c r="Q10" i="54"/>
  <c r="W10" i="54"/>
  <c r="O10" i="54"/>
  <c r="U10" i="54"/>
  <c r="R10" i="54"/>
  <c r="Q27" i="54"/>
  <c r="W27" i="54"/>
  <c r="R27" i="54"/>
  <c r="N27" i="54"/>
  <c r="T27" i="54"/>
  <c r="O27" i="54"/>
  <c r="U27" i="54"/>
  <c r="V27" i="54"/>
  <c r="S27" i="54"/>
  <c r="P27" i="54"/>
  <c r="O103" i="54"/>
  <c r="U103" i="54"/>
  <c r="P103" i="54"/>
  <c r="W103" i="54"/>
  <c r="Q103" i="54"/>
  <c r="R103" i="54"/>
  <c r="S103" i="54"/>
  <c r="T103" i="54"/>
  <c r="N103" i="54"/>
  <c r="V103" i="54"/>
  <c r="U131" i="54"/>
  <c r="O128" i="54"/>
  <c r="S114" i="54"/>
  <c r="N114" i="54"/>
  <c r="U114" i="54"/>
  <c r="O114" i="54"/>
  <c r="V114" i="54"/>
  <c r="P114" i="54"/>
  <c r="W114" i="54"/>
  <c r="Q114" i="54"/>
  <c r="R114" i="54"/>
  <c r="T114" i="54"/>
  <c r="R42" i="54"/>
  <c r="N42" i="54"/>
  <c r="T42" i="54"/>
  <c r="O42" i="54"/>
  <c r="U42" i="54"/>
  <c r="Q42" i="54"/>
  <c r="V42" i="54"/>
  <c r="P42" i="54"/>
  <c r="S42" i="54"/>
  <c r="W42" i="54"/>
  <c r="R59" i="54"/>
  <c r="O59" i="54"/>
  <c r="V59" i="54"/>
  <c r="T59" i="54"/>
  <c r="P59" i="54"/>
  <c r="Q59" i="54"/>
  <c r="N59" i="54"/>
  <c r="S59" i="54"/>
  <c r="U59" i="54"/>
  <c r="W59" i="54"/>
  <c r="O112" i="54"/>
  <c r="U112" i="54"/>
  <c r="S112" i="54"/>
  <c r="T112" i="54"/>
  <c r="N112" i="54"/>
  <c r="V112" i="54"/>
  <c r="P112" i="54"/>
  <c r="W112" i="54"/>
  <c r="Q112" i="54"/>
  <c r="R112" i="54"/>
  <c r="R129" i="54"/>
  <c r="N129" i="54"/>
  <c r="T129" i="54"/>
  <c r="S125" i="54"/>
  <c r="N125" i="54"/>
  <c r="T125" i="54"/>
  <c r="O125" i="54"/>
  <c r="P125" i="54"/>
  <c r="V125" i="54"/>
  <c r="Q125" i="54"/>
  <c r="W125" i="54"/>
  <c r="R125" i="54"/>
  <c r="Q104" i="54"/>
  <c r="W104" i="54"/>
  <c r="R68" i="54"/>
  <c r="S68" i="54"/>
  <c r="P68" i="54"/>
  <c r="U68" i="54"/>
  <c r="N68" i="54"/>
  <c r="V68" i="54"/>
  <c r="P32" i="54"/>
  <c r="V32" i="54"/>
  <c r="R32" i="54"/>
  <c r="S32" i="54"/>
  <c r="U32" i="54"/>
  <c r="N32" i="54"/>
  <c r="Q32" i="54"/>
  <c r="R91" i="54"/>
  <c r="O91" i="54"/>
  <c r="U91" i="54"/>
  <c r="Q55" i="54"/>
  <c r="W55" i="54"/>
  <c r="N55" i="54"/>
  <c r="U55" i="54"/>
  <c r="R55" i="54"/>
  <c r="O55" i="54"/>
  <c r="T55" i="54"/>
  <c r="V55" i="54"/>
  <c r="S19" i="54"/>
  <c r="N19" i="54"/>
  <c r="T19" i="54"/>
  <c r="P19" i="54"/>
  <c r="V19" i="54"/>
  <c r="Q19" i="54"/>
  <c r="W19" i="54"/>
  <c r="O19" i="54"/>
  <c r="R19" i="54"/>
  <c r="V127" i="54"/>
  <c r="P127" i="54"/>
  <c r="S104" i="54"/>
  <c r="P91" i="54"/>
  <c r="T68" i="54"/>
  <c r="W32" i="54"/>
  <c r="R104" i="54"/>
  <c r="W91" i="54"/>
  <c r="N91" i="54"/>
  <c r="Q68" i="54"/>
  <c r="T32" i="54"/>
  <c r="T127" i="54"/>
  <c r="P104" i="54"/>
  <c r="V91" i="54"/>
  <c r="O68" i="54"/>
  <c r="O32" i="54"/>
  <c r="V104" i="54"/>
  <c r="O104" i="54"/>
  <c r="T91" i="54"/>
  <c r="S55" i="54"/>
  <c r="U104" i="54"/>
  <c r="N104" i="54"/>
  <c r="S91" i="54"/>
  <c r="P55" i="54"/>
  <c r="T104" i="54"/>
  <c r="Q91" i="54"/>
  <c r="W68" i="54"/>
  <c r="U19" i="54"/>
  <c r="J4" i="54"/>
  <c r="F4" i="54"/>
  <c r="L4" i="54"/>
  <c r="M4" i="54"/>
  <c r="G4" i="54"/>
  <c r="H4" i="54"/>
  <c r="I4" i="54"/>
  <c r="K4" i="54"/>
  <c r="H5" i="54"/>
  <c r="I5" i="54"/>
  <c r="J5" i="54"/>
  <c r="K5" i="54"/>
  <c r="F5" i="54"/>
  <c r="L5" i="54"/>
  <c r="G5" i="54"/>
  <c r="M5" i="54"/>
  <c r="F6" i="54"/>
  <c r="L6" i="54"/>
  <c r="G6" i="54"/>
  <c r="M6" i="54"/>
  <c r="H6" i="54"/>
  <c r="I6" i="54"/>
  <c r="J6" i="54"/>
  <c r="K6" i="54"/>
  <c r="K132" i="54"/>
  <c r="G132" i="54"/>
  <c r="I132" i="54"/>
  <c r="J132" i="54"/>
  <c r="F132" i="54"/>
  <c r="H132" i="54"/>
  <c r="M132" i="54"/>
  <c r="L132" i="54"/>
  <c r="K126" i="54"/>
  <c r="L126" i="54"/>
  <c r="G126" i="54"/>
  <c r="H126" i="54"/>
  <c r="J126" i="54"/>
  <c r="M126" i="54"/>
  <c r="F126" i="54"/>
  <c r="I126" i="54"/>
  <c r="K120" i="54"/>
  <c r="I120" i="54"/>
  <c r="L120" i="54"/>
  <c r="F120" i="54"/>
  <c r="M120" i="54"/>
  <c r="G120" i="54"/>
  <c r="H120" i="54"/>
  <c r="J120" i="54"/>
  <c r="K114" i="54"/>
  <c r="G114" i="54"/>
  <c r="I114" i="54"/>
  <c r="J114" i="54"/>
  <c r="F114" i="54"/>
  <c r="H114" i="54"/>
  <c r="M114" i="54"/>
  <c r="L114" i="54"/>
  <c r="K108" i="54"/>
  <c r="H108" i="54"/>
  <c r="I108" i="54"/>
  <c r="L108" i="54"/>
  <c r="M108" i="54"/>
  <c r="G108" i="54"/>
  <c r="J108" i="54"/>
  <c r="F108" i="54"/>
  <c r="K102" i="54"/>
  <c r="F102" i="54"/>
  <c r="M102" i="54"/>
  <c r="H102" i="54"/>
  <c r="I102" i="54"/>
  <c r="G102" i="54"/>
  <c r="L102" i="54"/>
  <c r="J102" i="54"/>
  <c r="K96" i="54"/>
  <c r="H96" i="54"/>
  <c r="J96" i="54"/>
  <c r="L96" i="54"/>
  <c r="M96" i="54"/>
  <c r="F96" i="54"/>
  <c r="G96" i="54"/>
  <c r="I96" i="54"/>
  <c r="K90" i="54"/>
  <c r="H90" i="54"/>
  <c r="M90" i="54"/>
  <c r="F90" i="54"/>
  <c r="G90" i="54"/>
  <c r="I90" i="54"/>
  <c r="J90" i="54"/>
  <c r="L90" i="54"/>
  <c r="K84" i="54"/>
  <c r="H84" i="54"/>
  <c r="G84" i="54"/>
  <c r="J84" i="54"/>
  <c r="L84" i="54"/>
  <c r="M84" i="54"/>
  <c r="F84" i="54"/>
  <c r="I84" i="54"/>
  <c r="K78" i="54"/>
  <c r="H78" i="54"/>
  <c r="J78" i="54"/>
  <c r="F78" i="54"/>
  <c r="G78" i="54"/>
  <c r="I78" i="54"/>
  <c r="L78" i="54"/>
  <c r="M78" i="54"/>
  <c r="K72" i="54"/>
  <c r="H72" i="54"/>
  <c r="M72" i="54"/>
  <c r="I72" i="54"/>
  <c r="J72" i="54"/>
  <c r="L72" i="54"/>
  <c r="F72" i="54"/>
  <c r="G72" i="54"/>
  <c r="J66" i="54"/>
  <c r="H66" i="54"/>
  <c r="L66" i="54"/>
  <c r="I66" i="54"/>
  <c r="G66" i="54"/>
  <c r="K66" i="54"/>
  <c r="M66" i="54"/>
  <c r="F66" i="54"/>
  <c r="J60" i="54"/>
  <c r="F60" i="54"/>
  <c r="M60" i="54"/>
  <c r="G60" i="54"/>
  <c r="I60" i="54"/>
  <c r="H60" i="54"/>
  <c r="K60" i="54"/>
  <c r="L60" i="54"/>
  <c r="F54" i="54"/>
  <c r="L54" i="54"/>
  <c r="J54" i="54"/>
  <c r="G54" i="54"/>
  <c r="H54" i="54"/>
  <c r="K54" i="54"/>
  <c r="I54" i="54"/>
  <c r="M54" i="54"/>
  <c r="F48" i="54"/>
  <c r="L48" i="54"/>
  <c r="G48" i="54"/>
  <c r="M48" i="54"/>
  <c r="H48" i="54"/>
  <c r="I48" i="54"/>
  <c r="J48" i="54"/>
  <c r="K48" i="54"/>
  <c r="F42" i="54"/>
  <c r="L42" i="54"/>
  <c r="G42" i="54"/>
  <c r="M42" i="54"/>
  <c r="H42" i="54"/>
  <c r="I42" i="54"/>
  <c r="J42" i="54"/>
  <c r="K42" i="54"/>
  <c r="F36" i="54"/>
  <c r="L36" i="54"/>
  <c r="G36" i="54"/>
  <c r="M36" i="54"/>
  <c r="H36" i="54"/>
  <c r="I36" i="54"/>
  <c r="J36" i="54"/>
  <c r="K36" i="54"/>
  <c r="F30" i="54"/>
  <c r="L30" i="54"/>
  <c r="G30" i="54"/>
  <c r="M30" i="54"/>
  <c r="H30" i="54"/>
  <c r="I30" i="54"/>
  <c r="J30" i="54"/>
  <c r="K30" i="54"/>
  <c r="F24" i="54"/>
  <c r="L24" i="54"/>
  <c r="G24" i="54"/>
  <c r="M24" i="54"/>
  <c r="H24" i="54"/>
  <c r="I24" i="54"/>
  <c r="J24" i="54"/>
  <c r="K24" i="54"/>
  <c r="F18" i="54"/>
  <c r="L18" i="54"/>
  <c r="G18" i="54"/>
  <c r="M18" i="54"/>
  <c r="H18" i="54"/>
  <c r="I18" i="54"/>
  <c r="J18" i="54"/>
  <c r="K18" i="54"/>
  <c r="F12" i="54"/>
  <c r="L12" i="54"/>
  <c r="G12" i="54"/>
  <c r="M12" i="54"/>
  <c r="H12" i="54"/>
  <c r="I12" i="54"/>
  <c r="J12" i="54"/>
  <c r="K12" i="54"/>
  <c r="G131" i="54"/>
  <c r="M131" i="54"/>
  <c r="H131" i="54"/>
  <c r="J131" i="54"/>
  <c r="K131" i="54"/>
  <c r="F131" i="54"/>
  <c r="I131" i="54"/>
  <c r="L131" i="54"/>
  <c r="G125" i="54"/>
  <c r="M125" i="54"/>
  <c r="L125" i="54"/>
  <c r="H125" i="54"/>
  <c r="I125" i="54"/>
  <c r="F125" i="54"/>
  <c r="K125" i="54"/>
  <c r="J125" i="54"/>
  <c r="G119" i="54"/>
  <c r="M119" i="54"/>
  <c r="J119" i="54"/>
  <c r="L119" i="54"/>
  <c r="F119" i="54"/>
  <c r="I119" i="54"/>
  <c r="K119" i="54"/>
  <c r="H119" i="54"/>
  <c r="G113" i="54"/>
  <c r="M113" i="54"/>
  <c r="H113" i="54"/>
  <c r="J113" i="54"/>
  <c r="K113" i="54"/>
  <c r="F113" i="54"/>
  <c r="I113" i="54"/>
  <c r="L113" i="54"/>
  <c r="G107" i="54"/>
  <c r="M107" i="54"/>
  <c r="I107" i="54"/>
  <c r="H107" i="54"/>
  <c r="K107" i="54"/>
  <c r="L107" i="54"/>
  <c r="F107" i="54"/>
  <c r="J107" i="54"/>
  <c r="G101" i="54"/>
  <c r="M101" i="54"/>
  <c r="F101" i="54"/>
  <c r="L101" i="54"/>
  <c r="H101" i="54"/>
  <c r="I101" i="54"/>
  <c r="K101" i="54"/>
  <c r="J101" i="54"/>
  <c r="G95" i="54"/>
  <c r="M95" i="54"/>
  <c r="J95" i="54"/>
  <c r="I95" i="54"/>
  <c r="H95" i="54"/>
  <c r="K95" i="54"/>
  <c r="L95" i="54"/>
  <c r="F95" i="54"/>
  <c r="G89" i="54"/>
  <c r="M89" i="54"/>
  <c r="J89" i="54"/>
  <c r="L89" i="54"/>
  <c r="F89" i="54"/>
  <c r="H89" i="54"/>
  <c r="K89" i="54"/>
  <c r="I89" i="54"/>
  <c r="G83" i="54"/>
  <c r="M83" i="54"/>
  <c r="J83" i="54"/>
  <c r="F83" i="54"/>
  <c r="H83" i="54"/>
  <c r="I83" i="54"/>
  <c r="K83" i="54"/>
  <c r="L83" i="54"/>
  <c r="G77" i="54"/>
  <c r="M77" i="54"/>
  <c r="J77" i="54"/>
  <c r="I77" i="54"/>
  <c r="L77" i="54"/>
  <c r="F77" i="54"/>
  <c r="K77" i="54"/>
  <c r="H77" i="54"/>
  <c r="G71" i="54"/>
  <c r="M71" i="54"/>
  <c r="J71" i="54"/>
  <c r="L71" i="54"/>
  <c r="F71" i="54"/>
  <c r="H71" i="54"/>
  <c r="I71" i="54"/>
  <c r="K71" i="54"/>
  <c r="F65" i="54"/>
  <c r="L65" i="54"/>
  <c r="I65" i="54"/>
  <c r="M65" i="54"/>
  <c r="G65" i="54"/>
  <c r="K65" i="54"/>
  <c r="J65" i="54"/>
  <c r="H65" i="54"/>
  <c r="F59" i="54"/>
  <c r="L59" i="54"/>
  <c r="G59" i="54"/>
  <c r="H59" i="54"/>
  <c r="J59" i="54"/>
  <c r="I59" i="54"/>
  <c r="K59" i="54"/>
  <c r="M59" i="54"/>
  <c r="H53" i="54"/>
  <c r="F53" i="54"/>
  <c r="L53" i="54"/>
  <c r="G53" i="54"/>
  <c r="J53" i="54"/>
  <c r="I53" i="54"/>
  <c r="K53" i="54"/>
  <c r="M53" i="54"/>
  <c r="H47" i="54"/>
  <c r="I47" i="54"/>
  <c r="J47" i="54"/>
  <c r="K47" i="54"/>
  <c r="F47" i="54"/>
  <c r="L47" i="54"/>
  <c r="G47" i="54"/>
  <c r="M47" i="54"/>
  <c r="H41" i="54"/>
  <c r="I41" i="54"/>
  <c r="J41" i="54"/>
  <c r="K41" i="54"/>
  <c r="F41" i="54"/>
  <c r="L41" i="54"/>
  <c r="G41" i="54"/>
  <c r="M41" i="54"/>
  <c r="H35" i="54"/>
  <c r="I35" i="54"/>
  <c r="J35" i="54"/>
  <c r="K35" i="54"/>
  <c r="F35" i="54"/>
  <c r="L35" i="54"/>
  <c r="M35" i="54"/>
  <c r="G35" i="54"/>
  <c r="H29" i="54"/>
  <c r="I29" i="54"/>
  <c r="J29" i="54"/>
  <c r="K29" i="54"/>
  <c r="F29" i="54"/>
  <c r="L29" i="54"/>
  <c r="G29" i="54"/>
  <c r="M29" i="54"/>
  <c r="H23" i="54"/>
  <c r="I23" i="54"/>
  <c r="J23" i="54"/>
  <c r="K23" i="54"/>
  <c r="F23" i="54"/>
  <c r="L23" i="54"/>
  <c r="G23" i="54"/>
  <c r="M23" i="54"/>
  <c r="H17" i="54"/>
  <c r="I17" i="54"/>
  <c r="J17" i="54"/>
  <c r="K17" i="54"/>
  <c r="F17" i="54"/>
  <c r="L17" i="54"/>
  <c r="M17" i="54"/>
  <c r="G17" i="54"/>
  <c r="H11" i="54"/>
  <c r="I11" i="54"/>
  <c r="J11" i="54"/>
  <c r="K11" i="54"/>
  <c r="F11" i="54"/>
  <c r="L11" i="54"/>
  <c r="G11" i="54"/>
  <c r="M11" i="54"/>
  <c r="I130" i="54"/>
  <c r="H130" i="54"/>
  <c r="K130" i="54"/>
  <c r="L130" i="54"/>
  <c r="G130" i="54"/>
  <c r="J130" i="54"/>
  <c r="M130" i="54"/>
  <c r="F130" i="54"/>
  <c r="I124" i="54"/>
  <c r="F124" i="54"/>
  <c r="M124" i="54"/>
  <c r="H124" i="54"/>
  <c r="J124" i="54"/>
  <c r="L124" i="54"/>
  <c r="G124" i="54"/>
  <c r="K124" i="54"/>
  <c r="I118" i="54"/>
  <c r="K118" i="54"/>
  <c r="F118" i="54"/>
  <c r="M118" i="54"/>
  <c r="G118" i="54"/>
  <c r="J118" i="54"/>
  <c r="L118" i="54"/>
  <c r="H118" i="54"/>
  <c r="I112" i="54"/>
  <c r="H112" i="54"/>
  <c r="K112" i="54"/>
  <c r="L112" i="54"/>
  <c r="G112" i="54"/>
  <c r="J112" i="54"/>
  <c r="M112" i="54"/>
  <c r="F112" i="54"/>
  <c r="I106" i="54"/>
  <c r="J106" i="54"/>
  <c r="G106" i="54"/>
  <c r="K106" i="54"/>
  <c r="L106" i="54"/>
  <c r="F106" i="54"/>
  <c r="H106" i="54"/>
  <c r="M106" i="54"/>
  <c r="I100" i="54"/>
  <c r="F100" i="54"/>
  <c r="L100" i="54"/>
  <c r="K100" i="54"/>
  <c r="G100" i="54"/>
  <c r="H100" i="54"/>
  <c r="J100" i="54"/>
  <c r="M100" i="54"/>
  <c r="I94" i="54"/>
  <c r="F94" i="54"/>
  <c r="L94" i="54"/>
  <c r="H94" i="54"/>
  <c r="G94" i="54"/>
  <c r="J94" i="54"/>
  <c r="K94" i="54"/>
  <c r="M94" i="54"/>
  <c r="I88" i="54"/>
  <c r="F88" i="54"/>
  <c r="L88" i="54"/>
  <c r="K88" i="54"/>
  <c r="J88" i="54"/>
  <c r="M88" i="54"/>
  <c r="G88" i="54"/>
  <c r="H88" i="54"/>
  <c r="I82" i="54"/>
  <c r="F82" i="54"/>
  <c r="L82" i="54"/>
  <c r="G82" i="54"/>
  <c r="H82" i="54"/>
  <c r="J82" i="54"/>
  <c r="K82" i="54"/>
  <c r="M82" i="54"/>
  <c r="I76" i="54"/>
  <c r="F76" i="54"/>
  <c r="L76" i="54"/>
  <c r="H76" i="54"/>
  <c r="J76" i="54"/>
  <c r="K76" i="54"/>
  <c r="M76" i="54"/>
  <c r="G76" i="54"/>
  <c r="I70" i="54"/>
  <c r="F70" i="54"/>
  <c r="L70" i="54"/>
  <c r="K70" i="54"/>
  <c r="G70" i="54"/>
  <c r="H70" i="54"/>
  <c r="J70" i="54"/>
  <c r="M70" i="54"/>
  <c r="H64" i="54"/>
  <c r="J64" i="54"/>
  <c r="F64" i="54"/>
  <c r="M64" i="54"/>
  <c r="I64" i="54"/>
  <c r="G64" i="54"/>
  <c r="K64" i="54"/>
  <c r="L64" i="54"/>
  <c r="H58" i="54"/>
  <c r="G58" i="54"/>
  <c r="I58" i="54"/>
  <c r="K58" i="54"/>
  <c r="J58" i="54"/>
  <c r="F58" i="54"/>
  <c r="L58" i="54"/>
  <c r="M58" i="54"/>
  <c r="J52" i="54"/>
  <c r="H52" i="54"/>
  <c r="M52" i="54"/>
  <c r="F52" i="54"/>
  <c r="I52" i="54"/>
  <c r="G52" i="54"/>
  <c r="K52" i="54"/>
  <c r="L52" i="54"/>
  <c r="J46" i="54"/>
  <c r="K46" i="54"/>
  <c r="F46" i="54"/>
  <c r="L46" i="54"/>
  <c r="G46" i="54"/>
  <c r="M46" i="54"/>
  <c r="H46" i="54"/>
  <c r="I46" i="54"/>
  <c r="J40" i="54"/>
  <c r="K40" i="54"/>
  <c r="F40" i="54"/>
  <c r="L40" i="54"/>
  <c r="G40" i="54"/>
  <c r="M40" i="54"/>
  <c r="H40" i="54"/>
  <c r="I40" i="54"/>
  <c r="J34" i="54"/>
  <c r="K34" i="54"/>
  <c r="F34" i="54"/>
  <c r="L34" i="54"/>
  <c r="G34" i="54"/>
  <c r="M34" i="54"/>
  <c r="H34" i="54"/>
  <c r="I34" i="54"/>
  <c r="J28" i="54"/>
  <c r="K28" i="54"/>
  <c r="F28" i="54"/>
  <c r="L28" i="54"/>
  <c r="G28" i="54"/>
  <c r="M28" i="54"/>
  <c r="H28" i="54"/>
  <c r="I28" i="54"/>
  <c r="J22" i="54"/>
  <c r="K22" i="54"/>
  <c r="F22" i="54"/>
  <c r="L22" i="54"/>
  <c r="G22" i="54"/>
  <c r="M22" i="54"/>
  <c r="H22" i="54"/>
  <c r="I22" i="54"/>
  <c r="J16" i="54"/>
  <c r="K16" i="54"/>
  <c r="F16" i="54"/>
  <c r="L16" i="54"/>
  <c r="G16" i="54"/>
  <c r="M16" i="54"/>
  <c r="H16" i="54"/>
  <c r="I16" i="54"/>
  <c r="J10" i="54"/>
  <c r="K10" i="54"/>
  <c r="F10" i="54"/>
  <c r="L10" i="54"/>
  <c r="G10" i="54"/>
  <c r="M10" i="54"/>
  <c r="H10" i="54"/>
  <c r="I10" i="54"/>
  <c r="K129" i="54"/>
  <c r="I129" i="54"/>
  <c r="L129" i="54"/>
  <c r="M129" i="54"/>
  <c r="F129" i="54"/>
  <c r="H129" i="54"/>
  <c r="J129" i="54"/>
  <c r="G129" i="54"/>
  <c r="K123" i="54"/>
  <c r="G123" i="54"/>
  <c r="I123" i="54"/>
  <c r="J123" i="54"/>
  <c r="F123" i="54"/>
  <c r="H123" i="54"/>
  <c r="L123" i="54"/>
  <c r="M123" i="54"/>
  <c r="K117" i="54"/>
  <c r="L117" i="54"/>
  <c r="G117" i="54"/>
  <c r="H117" i="54"/>
  <c r="J117" i="54"/>
  <c r="M117" i="54"/>
  <c r="F117" i="54"/>
  <c r="I117" i="54"/>
  <c r="K111" i="54"/>
  <c r="I111" i="54"/>
  <c r="L111" i="54"/>
  <c r="F111" i="54"/>
  <c r="M111" i="54"/>
  <c r="H111" i="54"/>
  <c r="J111" i="54"/>
  <c r="G111" i="54"/>
  <c r="K105" i="54"/>
  <c r="J105" i="54"/>
  <c r="G105" i="54"/>
  <c r="I105" i="54"/>
  <c r="L105" i="54"/>
  <c r="F105" i="54"/>
  <c r="H105" i="54"/>
  <c r="M105" i="54"/>
  <c r="K99" i="54"/>
  <c r="H99" i="54"/>
  <c r="M99" i="54"/>
  <c r="I99" i="54"/>
  <c r="L99" i="54"/>
  <c r="G99" i="54"/>
  <c r="J99" i="54"/>
  <c r="F99" i="54"/>
  <c r="K93" i="54"/>
  <c r="H93" i="54"/>
  <c r="G93" i="54"/>
  <c r="M93" i="54"/>
  <c r="F93" i="54"/>
  <c r="I93" i="54"/>
  <c r="J93" i="54"/>
  <c r="L93" i="54"/>
  <c r="K87" i="54"/>
  <c r="H87" i="54"/>
  <c r="J87" i="54"/>
  <c r="G87" i="54"/>
  <c r="I87" i="54"/>
  <c r="L87" i="54"/>
  <c r="M87" i="54"/>
  <c r="F87" i="54"/>
  <c r="K81" i="54"/>
  <c r="H81" i="54"/>
  <c r="M81" i="54"/>
  <c r="L81" i="54"/>
  <c r="F81" i="54"/>
  <c r="G81" i="54"/>
  <c r="J81" i="54"/>
  <c r="I81" i="54"/>
  <c r="K75" i="54"/>
  <c r="H75" i="54"/>
  <c r="G75" i="54"/>
  <c r="F75" i="54"/>
  <c r="I75" i="54"/>
  <c r="J75" i="54"/>
  <c r="L75" i="54"/>
  <c r="M75" i="54"/>
  <c r="K69" i="54"/>
  <c r="H69" i="54"/>
  <c r="J69" i="54"/>
  <c r="L69" i="54"/>
  <c r="M69" i="54"/>
  <c r="G69" i="54"/>
  <c r="F69" i="54"/>
  <c r="I69" i="54"/>
  <c r="J63" i="54"/>
  <c r="K63" i="54"/>
  <c r="G63" i="54"/>
  <c r="L63" i="54"/>
  <c r="M63" i="54"/>
  <c r="F63" i="54"/>
  <c r="H63" i="54"/>
  <c r="I63" i="54"/>
  <c r="J57" i="54"/>
  <c r="H57" i="54"/>
  <c r="I57" i="54"/>
  <c r="L57" i="54"/>
  <c r="K57" i="54"/>
  <c r="M57" i="54"/>
  <c r="F57" i="54"/>
  <c r="G57" i="54"/>
  <c r="F51" i="54"/>
  <c r="L51" i="54"/>
  <c r="H51" i="54"/>
  <c r="J51" i="54"/>
  <c r="M51" i="54"/>
  <c r="G51" i="54"/>
  <c r="I51" i="54"/>
  <c r="K51" i="54"/>
  <c r="F45" i="54"/>
  <c r="L45" i="54"/>
  <c r="G45" i="54"/>
  <c r="M45" i="54"/>
  <c r="H45" i="54"/>
  <c r="I45" i="54"/>
  <c r="J45" i="54"/>
  <c r="K45" i="54"/>
  <c r="F39" i="54"/>
  <c r="L39" i="54"/>
  <c r="G39" i="54"/>
  <c r="M39" i="54"/>
  <c r="H39" i="54"/>
  <c r="I39" i="54"/>
  <c r="J39" i="54"/>
  <c r="K39" i="54"/>
  <c r="F33" i="54"/>
  <c r="L33" i="54"/>
  <c r="G33" i="54"/>
  <c r="M33" i="54"/>
  <c r="H33" i="54"/>
  <c r="I33" i="54"/>
  <c r="J33" i="54"/>
  <c r="K33" i="54"/>
  <c r="F27" i="54"/>
  <c r="L27" i="54"/>
  <c r="G27" i="54"/>
  <c r="M27" i="54"/>
  <c r="H27" i="54"/>
  <c r="I27" i="54"/>
  <c r="J27" i="54"/>
  <c r="K27" i="54"/>
  <c r="F21" i="54"/>
  <c r="L21" i="54"/>
  <c r="G21" i="54"/>
  <c r="M21" i="54"/>
  <c r="H21" i="54"/>
  <c r="I21" i="54"/>
  <c r="J21" i="54"/>
  <c r="K21" i="54"/>
  <c r="F15" i="54"/>
  <c r="L15" i="54"/>
  <c r="G15" i="54"/>
  <c r="M15" i="54"/>
  <c r="H15" i="54"/>
  <c r="I15" i="54"/>
  <c r="J15" i="54"/>
  <c r="K15" i="54"/>
  <c r="F9" i="54"/>
  <c r="L9" i="54"/>
  <c r="G9" i="54"/>
  <c r="M9" i="54"/>
  <c r="H9" i="54"/>
  <c r="I9" i="54"/>
  <c r="J9" i="54"/>
  <c r="K9" i="54"/>
  <c r="G128" i="54"/>
  <c r="M128" i="54"/>
  <c r="J128" i="54"/>
  <c r="L128" i="54"/>
  <c r="F128" i="54"/>
  <c r="I128" i="54"/>
  <c r="K128" i="54"/>
  <c r="H128" i="54"/>
  <c r="G122" i="54"/>
  <c r="M122" i="54"/>
  <c r="H122" i="54"/>
  <c r="J122" i="54"/>
  <c r="K122" i="54"/>
  <c r="F122" i="54"/>
  <c r="I122" i="54"/>
  <c r="L122" i="54"/>
  <c r="G116" i="54"/>
  <c r="M116" i="54"/>
  <c r="L116" i="54"/>
  <c r="H116" i="54"/>
  <c r="I116" i="54"/>
  <c r="F116" i="54"/>
  <c r="J116" i="54"/>
  <c r="K116" i="54"/>
  <c r="G110" i="54"/>
  <c r="F110" i="54"/>
  <c r="M110" i="54"/>
  <c r="J110" i="54"/>
  <c r="L110" i="54"/>
  <c r="I110" i="54"/>
  <c r="K110" i="54"/>
  <c r="H110" i="54"/>
  <c r="G104" i="54"/>
  <c r="M104" i="54"/>
  <c r="K104" i="54"/>
  <c r="F104" i="54"/>
  <c r="I104" i="54"/>
  <c r="J104" i="54"/>
  <c r="H104" i="54"/>
  <c r="L104" i="54"/>
  <c r="G98" i="54"/>
  <c r="M98" i="54"/>
  <c r="J98" i="54"/>
  <c r="L98" i="54"/>
  <c r="F98" i="54"/>
  <c r="I98" i="54"/>
  <c r="K98" i="54"/>
  <c r="H98" i="54"/>
  <c r="G92" i="54"/>
  <c r="M92" i="54"/>
  <c r="J92" i="54"/>
  <c r="F92" i="54"/>
  <c r="K92" i="54"/>
  <c r="L92" i="54"/>
  <c r="H92" i="54"/>
  <c r="I92" i="54"/>
  <c r="G86" i="54"/>
  <c r="M86" i="54"/>
  <c r="J86" i="54"/>
  <c r="I86" i="54"/>
  <c r="F86" i="54"/>
  <c r="H86" i="54"/>
  <c r="K86" i="54"/>
  <c r="L86" i="54"/>
  <c r="G80" i="54"/>
  <c r="M80" i="54"/>
  <c r="J80" i="54"/>
  <c r="L80" i="54"/>
  <c r="I80" i="54"/>
  <c r="K80" i="54"/>
  <c r="F80" i="54"/>
  <c r="H80" i="54"/>
  <c r="G74" i="54"/>
  <c r="M74" i="54"/>
  <c r="J74" i="54"/>
  <c r="F74" i="54"/>
  <c r="H74" i="54"/>
  <c r="I74" i="54"/>
  <c r="K74" i="54"/>
  <c r="L74" i="54"/>
  <c r="F68" i="54"/>
  <c r="G68" i="54"/>
  <c r="M68" i="54"/>
  <c r="J68" i="54"/>
  <c r="I68" i="54"/>
  <c r="H68" i="54"/>
  <c r="K68" i="54"/>
  <c r="L68" i="54"/>
  <c r="F62" i="54"/>
  <c r="L62" i="54"/>
  <c r="K62" i="54"/>
  <c r="H62" i="54"/>
  <c r="I62" i="54"/>
  <c r="J62" i="54"/>
  <c r="G62" i="54"/>
  <c r="M62" i="54"/>
  <c r="H56" i="54"/>
  <c r="F56" i="54"/>
  <c r="L56" i="54"/>
  <c r="I56" i="54"/>
  <c r="J56" i="54"/>
  <c r="M56" i="54"/>
  <c r="K56" i="54"/>
  <c r="G56" i="54"/>
  <c r="H50" i="54"/>
  <c r="I50" i="54"/>
  <c r="J50" i="54"/>
  <c r="F50" i="54"/>
  <c r="L50" i="54"/>
  <c r="G50" i="54"/>
  <c r="K50" i="54"/>
  <c r="M50" i="54"/>
  <c r="H44" i="54"/>
  <c r="I44" i="54"/>
  <c r="J44" i="54"/>
  <c r="K44" i="54"/>
  <c r="F44" i="54"/>
  <c r="L44" i="54"/>
  <c r="M44" i="54"/>
  <c r="G44" i="54"/>
  <c r="H38" i="54"/>
  <c r="I38" i="54"/>
  <c r="J38" i="54"/>
  <c r="K38" i="54"/>
  <c r="F38" i="54"/>
  <c r="L38" i="54"/>
  <c r="G38" i="54"/>
  <c r="M38" i="54"/>
  <c r="H32" i="54"/>
  <c r="I32" i="54"/>
  <c r="J32" i="54"/>
  <c r="K32" i="54"/>
  <c r="F32" i="54"/>
  <c r="L32" i="54"/>
  <c r="G32" i="54"/>
  <c r="M32" i="54"/>
  <c r="H26" i="54"/>
  <c r="I26" i="54"/>
  <c r="J26" i="54"/>
  <c r="K26" i="54"/>
  <c r="F26" i="54"/>
  <c r="L26" i="54"/>
  <c r="M26" i="54"/>
  <c r="G26" i="54"/>
  <c r="H20" i="54"/>
  <c r="I20" i="54"/>
  <c r="J20" i="54"/>
  <c r="K20" i="54"/>
  <c r="F20" i="54"/>
  <c r="L20" i="54"/>
  <c r="G20" i="54"/>
  <c r="M20" i="54"/>
  <c r="H14" i="54"/>
  <c r="I14" i="54"/>
  <c r="J14" i="54"/>
  <c r="K14" i="54"/>
  <c r="F14" i="54"/>
  <c r="L14" i="54"/>
  <c r="G14" i="54"/>
  <c r="M14" i="54"/>
  <c r="H8" i="54"/>
  <c r="I8" i="54"/>
  <c r="J8" i="54"/>
  <c r="K8" i="54"/>
  <c r="F8" i="54"/>
  <c r="L8" i="54"/>
  <c r="M8" i="54"/>
  <c r="G8" i="54"/>
  <c r="F133" i="54"/>
  <c r="L133" i="54"/>
  <c r="H133" i="54"/>
  <c r="I133" i="54"/>
  <c r="K133" i="54"/>
  <c r="M133" i="54"/>
  <c r="G133" i="54"/>
  <c r="J133" i="54"/>
  <c r="I127" i="54"/>
  <c r="K127" i="54"/>
  <c r="F127" i="54"/>
  <c r="M127" i="54"/>
  <c r="G127" i="54"/>
  <c r="H127" i="54"/>
  <c r="J127" i="54"/>
  <c r="L127" i="54"/>
  <c r="I121" i="54"/>
  <c r="H121" i="54"/>
  <c r="K121" i="54"/>
  <c r="L121" i="54"/>
  <c r="G121" i="54"/>
  <c r="J121" i="54"/>
  <c r="F121" i="54"/>
  <c r="M121" i="54"/>
  <c r="I115" i="54"/>
  <c r="F115" i="54"/>
  <c r="M115" i="54"/>
  <c r="H115" i="54"/>
  <c r="J115" i="54"/>
  <c r="L115" i="54"/>
  <c r="G115" i="54"/>
  <c r="K115" i="54"/>
  <c r="I109" i="54"/>
  <c r="G109" i="54"/>
  <c r="J109" i="54"/>
  <c r="L109" i="54"/>
  <c r="M109" i="54"/>
  <c r="F109" i="54"/>
  <c r="H109" i="54"/>
  <c r="K109" i="54"/>
  <c r="I103" i="54"/>
  <c r="L103" i="54"/>
  <c r="F103" i="54"/>
  <c r="H103" i="54"/>
  <c r="J103" i="54"/>
  <c r="M103" i="54"/>
  <c r="G103" i="54"/>
  <c r="K103" i="54"/>
  <c r="I97" i="54"/>
  <c r="F97" i="54"/>
  <c r="L97" i="54"/>
  <c r="K97" i="54"/>
  <c r="G97" i="54"/>
  <c r="H97" i="54"/>
  <c r="M97" i="54"/>
  <c r="J97" i="54"/>
  <c r="I91" i="54"/>
  <c r="F91" i="54"/>
  <c r="L91" i="54"/>
  <c r="H91" i="54"/>
  <c r="J91" i="54"/>
  <c r="K91" i="54"/>
  <c r="M91" i="54"/>
  <c r="G91" i="54"/>
  <c r="I85" i="54"/>
  <c r="F85" i="54"/>
  <c r="L85" i="54"/>
  <c r="H85" i="54"/>
  <c r="M85" i="54"/>
  <c r="G85" i="54"/>
  <c r="J85" i="54"/>
  <c r="K85" i="54"/>
  <c r="I79" i="54"/>
  <c r="F79" i="54"/>
  <c r="L79" i="54"/>
  <c r="K79" i="54"/>
  <c r="G79" i="54"/>
  <c r="H79" i="54"/>
  <c r="J79" i="54"/>
  <c r="M79" i="54"/>
  <c r="I73" i="54"/>
  <c r="F73" i="54"/>
  <c r="L73" i="54"/>
  <c r="K73" i="54"/>
  <c r="M73" i="54"/>
  <c r="H73" i="54"/>
  <c r="G73" i="54"/>
  <c r="J73" i="54"/>
  <c r="H67" i="54"/>
  <c r="G67" i="54"/>
  <c r="K67" i="54"/>
  <c r="L67" i="54"/>
  <c r="F67" i="54"/>
  <c r="I67" i="54"/>
  <c r="J67" i="54"/>
  <c r="M67" i="54"/>
  <c r="H61" i="54"/>
  <c r="L61" i="54"/>
  <c r="I61" i="54"/>
  <c r="F61" i="54"/>
  <c r="G61" i="54"/>
  <c r="K61" i="54"/>
  <c r="J61" i="54"/>
  <c r="M61" i="54"/>
  <c r="J55" i="54"/>
  <c r="H55" i="54"/>
  <c r="G55" i="54"/>
  <c r="I55" i="54"/>
  <c r="L55" i="54"/>
  <c r="K55" i="54"/>
  <c r="M55" i="54"/>
  <c r="F55" i="54"/>
  <c r="J49" i="54"/>
  <c r="K49" i="54"/>
  <c r="F49" i="54"/>
  <c r="L49" i="54"/>
  <c r="H49" i="54"/>
  <c r="G49" i="54"/>
  <c r="I49" i="54"/>
  <c r="M49" i="54"/>
  <c r="J43" i="54"/>
  <c r="K43" i="54"/>
  <c r="F43" i="54"/>
  <c r="L43" i="54"/>
  <c r="G43" i="54"/>
  <c r="M43" i="54"/>
  <c r="H43" i="54"/>
  <c r="I43" i="54"/>
  <c r="J37" i="54"/>
  <c r="K37" i="54"/>
  <c r="F37" i="54"/>
  <c r="L37" i="54"/>
  <c r="G37" i="54"/>
  <c r="M37" i="54"/>
  <c r="H37" i="54"/>
  <c r="I37" i="54"/>
  <c r="J31" i="54"/>
  <c r="K31" i="54"/>
  <c r="F31" i="54"/>
  <c r="L31" i="54"/>
  <c r="G31" i="54"/>
  <c r="M31" i="54"/>
  <c r="H31" i="54"/>
  <c r="I31" i="54"/>
  <c r="J25" i="54"/>
  <c r="K25" i="54"/>
  <c r="F25" i="54"/>
  <c r="L25" i="54"/>
  <c r="G25" i="54"/>
  <c r="M25" i="54"/>
  <c r="H25" i="54"/>
  <c r="I25" i="54"/>
  <c r="J19" i="54"/>
  <c r="K19" i="54"/>
  <c r="F19" i="54"/>
  <c r="L19" i="54"/>
  <c r="G19" i="54"/>
  <c r="M19" i="54"/>
  <c r="H19" i="54"/>
  <c r="I19" i="54"/>
  <c r="J13" i="54"/>
  <c r="K13" i="54"/>
  <c r="F13" i="54"/>
  <c r="L13" i="54"/>
  <c r="G13" i="54"/>
  <c r="M13" i="54"/>
  <c r="H13" i="54"/>
  <c r="I13" i="54"/>
  <c r="J7" i="54"/>
  <c r="K7" i="54"/>
  <c r="F7" i="54"/>
  <c r="L7" i="54"/>
  <c r="G7" i="54"/>
  <c r="M7" i="54"/>
  <c r="H7" i="54"/>
  <c r="I7" i="54"/>
  <c r="E132" i="54"/>
  <c r="E126" i="54"/>
  <c r="D120" i="54"/>
  <c r="E114" i="54"/>
  <c r="E108" i="54"/>
  <c r="D102" i="54"/>
  <c r="E96" i="54"/>
  <c r="E90" i="54"/>
  <c r="D84" i="54"/>
  <c r="E78" i="54"/>
  <c r="E72" i="54"/>
  <c r="E66" i="54"/>
  <c r="E60" i="54"/>
  <c r="E54" i="54"/>
  <c r="E48" i="54"/>
  <c r="E42" i="54"/>
  <c r="E36" i="54"/>
  <c r="E30" i="54"/>
  <c r="E24" i="54"/>
  <c r="D18" i="54"/>
  <c r="C12" i="54"/>
  <c r="E131" i="54"/>
  <c r="E125" i="54"/>
  <c r="E113" i="54"/>
  <c r="E107" i="54"/>
  <c r="E95" i="54"/>
  <c r="E89" i="54"/>
  <c r="E77" i="54"/>
  <c r="D71" i="54"/>
  <c r="C65" i="54"/>
  <c r="D65" i="54"/>
  <c r="D59" i="54"/>
  <c r="D53" i="54"/>
  <c r="D47" i="54"/>
  <c r="D41" i="54"/>
  <c r="D35" i="54"/>
  <c r="D29" i="54"/>
  <c r="D23" i="54"/>
  <c r="C17" i="54"/>
  <c r="C11" i="54"/>
  <c r="C130" i="54"/>
  <c r="C124" i="54"/>
  <c r="C118" i="54"/>
  <c r="C112" i="54"/>
  <c r="C106" i="54"/>
  <c r="C100" i="54"/>
  <c r="C94" i="54"/>
  <c r="C88" i="54"/>
  <c r="C82" i="54"/>
  <c r="C16" i="54"/>
  <c r="C10" i="54"/>
  <c r="D129" i="54"/>
  <c r="E123" i="54"/>
  <c r="E117" i="54"/>
  <c r="D111" i="54"/>
  <c r="E105" i="54"/>
  <c r="E99" i="54"/>
  <c r="D93" i="54"/>
  <c r="E87" i="54"/>
  <c r="E81" i="54"/>
  <c r="C75" i="54"/>
  <c r="C69" i="54"/>
  <c r="C63" i="54"/>
  <c r="C57" i="54"/>
  <c r="C51" i="54"/>
  <c r="C45" i="54"/>
  <c r="C39" i="54"/>
  <c r="C33" i="54"/>
  <c r="C27" i="54"/>
  <c r="C21" i="54"/>
  <c r="D15" i="54"/>
  <c r="D9" i="54"/>
  <c r="E122" i="54"/>
  <c r="E116" i="54"/>
  <c r="E104" i="54"/>
  <c r="E98" i="54"/>
  <c r="E86" i="54"/>
  <c r="E80" i="54"/>
  <c r="C74" i="54"/>
  <c r="E68" i="54"/>
  <c r="D68" i="54"/>
  <c r="C62" i="54"/>
  <c r="D56" i="54"/>
  <c r="E50" i="54"/>
  <c r="D44" i="54"/>
  <c r="C38" i="54"/>
  <c r="D32" i="54"/>
  <c r="C26" i="54"/>
  <c r="E20" i="54"/>
  <c r="C14" i="54"/>
  <c r="C8" i="54"/>
  <c r="C133" i="54"/>
  <c r="C127" i="54"/>
  <c r="C121" i="54"/>
  <c r="C115" i="54"/>
  <c r="C109" i="54"/>
  <c r="C103" i="54"/>
  <c r="C97" i="54"/>
  <c r="C91" i="54"/>
  <c r="C85" i="54"/>
  <c r="C79" i="54"/>
  <c r="C19" i="54"/>
  <c r="C13" i="54"/>
  <c r="C7" i="54"/>
  <c r="C6" i="54"/>
  <c r="D6" i="54"/>
  <c r="E56" i="54"/>
  <c r="C5" i="54"/>
  <c r="E6" i="54"/>
  <c r="E32" i="54"/>
  <c r="D62" i="54"/>
  <c r="E62" i="54"/>
  <c r="C29" i="54"/>
  <c r="E84" i="54"/>
  <c r="C113" i="54"/>
  <c r="D26" i="54"/>
  <c r="E45" i="54"/>
  <c r="C56" i="54"/>
  <c r="E26" i="54"/>
  <c r="C35" i="54"/>
  <c r="C4" i="54"/>
  <c r="E8" i="54"/>
  <c r="D12" i="54"/>
  <c r="E18" i="54"/>
  <c r="C32" i="54"/>
  <c r="D38" i="54"/>
  <c r="C41" i="54"/>
  <c r="E44" i="54"/>
  <c r="E57" i="54"/>
  <c r="C68" i="54"/>
  <c r="D74" i="54"/>
  <c r="C77" i="54"/>
  <c r="E102" i="54"/>
  <c r="C20" i="54"/>
  <c r="C18" i="54"/>
  <c r="E12" i="54"/>
  <c r="E21" i="54"/>
  <c r="E38" i="54"/>
  <c r="E51" i="54"/>
  <c r="C71" i="54"/>
  <c r="E74" i="54"/>
  <c r="E93" i="54"/>
  <c r="C122" i="54"/>
  <c r="E39" i="54"/>
  <c r="C50" i="54"/>
  <c r="C59" i="54"/>
  <c r="E75" i="54"/>
  <c r="C104" i="54"/>
  <c r="E129" i="54"/>
  <c r="C44" i="54"/>
  <c r="D50" i="54"/>
  <c r="C53" i="54"/>
  <c r="E69" i="54"/>
  <c r="C95" i="54"/>
  <c r="E120" i="54"/>
  <c r="D14" i="54"/>
  <c r="D20" i="54"/>
  <c r="E33" i="54"/>
  <c r="D8" i="54"/>
  <c r="E14" i="54"/>
  <c r="E27" i="54"/>
  <c r="C47" i="54"/>
  <c r="E63" i="54"/>
  <c r="C86" i="54"/>
  <c r="E111" i="54"/>
  <c r="E9" i="54"/>
  <c r="E15" i="54"/>
  <c r="D21" i="54"/>
  <c r="E23" i="54"/>
  <c r="D27" i="54"/>
  <c r="E29" i="54"/>
  <c r="D33" i="54"/>
  <c r="E35" i="54"/>
  <c r="D39" i="54"/>
  <c r="E41" i="54"/>
  <c r="D45" i="54"/>
  <c r="E47" i="54"/>
  <c r="D51" i="54"/>
  <c r="E53" i="54"/>
  <c r="D57" i="54"/>
  <c r="E59" i="54"/>
  <c r="D63" i="54"/>
  <c r="E65" i="54"/>
  <c r="D69" i="54"/>
  <c r="E71" i="54"/>
  <c r="D75" i="54"/>
  <c r="D80" i="54"/>
  <c r="D89" i="54"/>
  <c r="D98" i="54"/>
  <c r="D107" i="54"/>
  <c r="D116" i="54"/>
  <c r="D125" i="54"/>
  <c r="C24" i="54"/>
  <c r="C30" i="54"/>
  <c r="C36" i="54"/>
  <c r="C42" i="54"/>
  <c r="C48" i="54"/>
  <c r="C54" i="54"/>
  <c r="C60" i="54"/>
  <c r="C66" i="54"/>
  <c r="C72" i="54"/>
  <c r="D79" i="54"/>
  <c r="C81" i="54"/>
  <c r="D88" i="54"/>
  <c r="C90" i="54"/>
  <c r="D97" i="54"/>
  <c r="C99" i="54"/>
  <c r="D106" i="54"/>
  <c r="C108" i="54"/>
  <c r="D115" i="54"/>
  <c r="C117" i="54"/>
  <c r="D124" i="54"/>
  <c r="C126" i="54"/>
  <c r="D133" i="54"/>
  <c r="D24" i="54"/>
  <c r="D30" i="54"/>
  <c r="D36" i="54"/>
  <c r="D42" i="54"/>
  <c r="D48" i="54"/>
  <c r="D54" i="54"/>
  <c r="D60" i="54"/>
  <c r="D66" i="54"/>
  <c r="D72" i="54"/>
  <c r="E79" i="54"/>
  <c r="D81" i="54"/>
  <c r="E88" i="54"/>
  <c r="D90" i="54"/>
  <c r="E97" i="54"/>
  <c r="D99" i="54"/>
  <c r="E106" i="54"/>
  <c r="D108" i="54"/>
  <c r="E115" i="54"/>
  <c r="D117" i="54"/>
  <c r="E124" i="54"/>
  <c r="D126" i="54"/>
  <c r="E133" i="54"/>
  <c r="C9" i="54"/>
  <c r="D11" i="54"/>
  <c r="C131" i="54"/>
  <c r="D5" i="54"/>
  <c r="C15" i="54"/>
  <c r="D17" i="54"/>
  <c r="C23" i="54"/>
  <c r="E5" i="54"/>
  <c r="E11" i="54"/>
  <c r="E17" i="54"/>
  <c r="D77" i="54"/>
  <c r="C80" i="54"/>
  <c r="D86" i="54"/>
  <c r="C89" i="54"/>
  <c r="D95" i="54"/>
  <c r="C98" i="54"/>
  <c r="D104" i="54"/>
  <c r="C107" i="54"/>
  <c r="D113" i="54"/>
  <c r="C116" i="54"/>
  <c r="D122" i="54"/>
  <c r="C125" i="54"/>
  <c r="D131" i="54"/>
  <c r="C31" i="54"/>
  <c r="E31" i="54"/>
  <c r="D31" i="54"/>
  <c r="C43" i="54"/>
  <c r="E43" i="54"/>
  <c r="D43" i="54"/>
  <c r="C55" i="54"/>
  <c r="E55" i="54"/>
  <c r="D55" i="54"/>
  <c r="C67" i="54"/>
  <c r="E67" i="54"/>
  <c r="D67" i="54"/>
  <c r="E73" i="54"/>
  <c r="C73" i="54"/>
  <c r="D73" i="54"/>
  <c r="E101" i="54"/>
  <c r="C101" i="54"/>
  <c r="D101" i="54"/>
  <c r="E110" i="54"/>
  <c r="D110" i="54"/>
  <c r="C110" i="54"/>
  <c r="E119" i="54"/>
  <c r="C119" i="54"/>
  <c r="D119" i="54"/>
  <c r="E128" i="54"/>
  <c r="D128" i="54"/>
  <c r="C128" i="54"/>
  <c r="E4" i="54"/>
  <c r="D4" i="54"/>
  <c r="E10" i="54"/>
  <c r="D10" i="54"/>
  <c r="E16" i="54"/>
  <c r="D16" i="54"/>
  <c r="E25" i="54"/>
  <c r="C25" i="54"/>
  <c r="D25" i="54"/>
  <c r="E37" i="54"/>
  <c r="C37" i="54"/>
  <c r="D37" i="54"/>
  <c r="E49" i="54"/>
  <c r="C49" i="54"/>
  <c r="D49" i="54"/>
  <c r="C61" i="54"/>
  <c r="E61" i="54"/>
  <c r="D61" i="54"/>
  <c r="E83" i="54"/>
  <c r="C83" i="54"/>
  <c r="D83" i="54"/>
  <c r="E22" i="54"/>
  <c r="D22" i="54"/>
  <c r="C22" i="54"/>
  <c r="E34" i="54"/>
  <c r="D34" i="54"/>
  <c r="C34" i="54"/>
  <c r="C46" i="54"/>
  <c r="E46" i="54"/>
  <c r="D46" i="54"/>
  <c r="C64" i="54"/>
  <c r="E64" i="54"/>
  <c r="D64" i="54"/>
  <c r="E70" i="54"/>
  <c r="C70" i="54"/>
  <c r="D70" i="54"/>
  <c r="E92" i="54"/>
  <c r="C92" i="54"/>
  <c r="D92" i="54"/>
  <c r="E28" i="54"/>
  <c r="D28" i="54"/>
  <c r="C28" i="54"/>
  <c r="C40" i="54"/>
  <c r="E40" i="54"/>
  <c r="D40" i="54"/>
  <c r="E52" i="54"/>
  <c r="C52" i="54"/>
  <c r="D52" i="54"/>
  <c r="C58" i="54"/>
  <c r="E58" i="54"/>
  <c r="D58" i="54"/>
  <c r="E76" i="54"/>
  <c r="C76" i="54"/>
  <c r="D76" i="54"/>
  <c r="E7" i="54"/>
  <c r="D7" i="54"/>
  <c r="E13" i="54"/>
  <c r="D13" i="54"/>
  <c r="E19" i="54"/>
  <c r="D19" i="54"/>
  <c r="C78" i="54"/>
  <c r="D85" i="54"/>
  <c r="C87" i="54"/>
  <c r="D94" i="54"/>
  <c r="C96" i="54"/>
  <c r="D103" i="54"/>
  <c r="C105" i="54"/>
  <c r="D112" i="54"/>
  <c r="C114" i="54"/>
  <c r="D121" i="54"/>
  <c r="C123" i="54"/>
  <c r="D130" i="54"/>
  <c r="C132" i="54"/>
  <c r="D78" i="54"/>
  <c r="E85" i="54"/>
  <c r="D87" i="54"/>
  <c r="E94" i="54"/>
  <c r="D96" i="54"/>
  <c r="E103" i="54"/>
  <c r="D105" i="54"/>
  <c r="E112" i="54"/>
  <c r="D114" i="54"/>
  <c r="E121" i="54"/>
  <c r="D123" i="54"/>
  <c r="E130" i="54"/>
  <c r="D132" i="54"/>
  <c r="D82" i="54"/>
  <c r="C84" i="54"/>
  <c r="D91" i="54"/>
  <c r="C93" i="54"/>
  <c r="D100" i="54"/>
  <c r="C102" i="54"/>
  <c r="D109" i="54"/>
  <c r="C111" i="54"/>
  <c r="D118" i="54"/>
  <c r="C120" i="54"/>
  <c r="D127" i="54"/>
  <c r="C129" i="54"/>
  <c r="E82" i="54"/>
  <c r="E91" i="54"/>
  <c r="E100" i="54"/>
  <c r="E109" i="54"/>
  <c r="E118" i="54"/>
  <c r="E127" i="54"/>
  <c r="AE6" i="60" a="1"/>
  <c r="AK6" i="60" a="1"/>
  <c r="AK6" i="60" l="1"/>
  <c r="AE6" i="60"/>
  <c r="AM4" i="60"/>
  <c r="AG4" i="60"/>
  <c r="AF5" i="60"/>
  <c r="AG5" i="60" s="1"/>
  <c r="AI5" i="60" s="1"/>
  <c r="AL5" i="60"/>
  <c r="AM5" i="60" s="1"/>
  <c r="AO5" i="60" s="1"/>
  <c r="AC6" i="60"/>
  <c r="AB6" i="60"/>
  <c r="AD6" i="60" s="1"/>
  <c r="D58" i="60"/>
  <c r="F18" i="89" s="1"/>
  <c r="H19" i="89" s="1"/>
  <c r="F17" i="89"/>
  <c r="W8" i="60"/>
  <c r="X7" i="60"/>
  <c r="O8" i="51"/>
  <c r="AK7" i="60" a="1"/>
  <c r="AE7" i="60" a="1"/>
  <c r="AK7" i="60" l="1"/>
  <c r="AE7" i="60"/>
  <c r="AI4" i="60"/>
  <c r="AJ4" i="60" s="1"/>
  <c r="AJ5" i="60" s="1"/>
  <c r="AH4" i="60"/>
  <c r="AH5" i="60" s="1"/>
  <c r="AO4" i="60"/>
  <c r="AP4" i="60" s="1"/>
  <c r="AP5" i="60" s="1"/>
  <c r="AN4" i="60"/>
  <c r="AN5" i="60" s="1"/>
  <c r="AF6" i="60"/>
  <c r="AL6" i="60"/>
  <c r="AB7" i="60"/>
  <c r="AD7" i="60" s="1"/>
  <c r="AC7" i="60"/>
  <c r="W9" i="60"/>
  <c r="X8" i="60"/>
  <c r="R15" i="51"/>
  <c r="R16" i="51" s="1"/>
  <c r="R12" i="51"/>
  <c r="R19" i="51" s="1"/>
  <c r="R20" i="51" s="1"/>
  <c r="R11" i="51"/>
  <c r="AE8" i="60" a="1"/>
  <c r="Q7" i="51"/>
  <c r="AK8" i="60" a="1"/>
  <c r="AL7" i="60" l="1"/>
  <c r="AM7" i="60" s="1"/>
  <c r="AO7" i="60" s="1"/>
  <c r="AK8" i="60"/>
  <c r="AE8" i="60"/>
  <c r="AG6" i="60"/>
  <c r="AI6" i="60" s="1"/>
  <c r="AJ6" i="60" s="1"/>
  <c r="AM6" i="60"/>
  <c r="AO6" i="60" s="1"/>
  <c r="AP6" i="60" s="1"/>
  <c r="AF7" i="60"/>
  <c r="AG7" i="60" s="1"/>
  <c r="AI7" i="60" s="1"/>
  <c r="AC8" i="60"/>
  <c r="AB8" i="60"/>
  <c r="AD8" i="60" s="1"/>
  <c r="W10" i="60"/>
  <c r="X9" i="60"/>
  <c r="P25" i="51"/>
  <c r="P23" i="51"/>
  <c r="P15" i="51"/>
  <c r="P19" i="51"/>
  <c r="P26" i="51"/>
  <c r="P12" i="51"/>
  <c r="P16" i="51"/>
  <c r="P20" i="51"/>
  <c r="P27" i="51"/>
  <c r="P13" i="51"/>
  <c r="P17" i="51"/>
  <c r="P21" i="51"/>
  <c r="S15" i="51" s="1"/>
  <c r="P24" i="51"/>
  <c r="P28" i="51"/>
  <c r="S19" i="51" s="1"/>
  <c r="P14" i="51"/>
  <c r="P18" i="51"/>
  <c r="P11" i="51"/>
  <c r="AK9" i="60" a="1"/>
  <c r="AE9" i="60" a="1"/>
  <c r="AP7" i="60" l="1"/>
  <c r="AH6" i="60"/>
  <c r="AH7" i="60" s="1"/>
  <c r="AJ7" i="60"/>
  <c r="AL8" i="60"/>
  <c r="AM8" i="60" s="1"/>
  <c r="AO8" i="60" s="1"/>
  <c r="AE9" i="60"/>
  <c r="AK9" i="60"/>
  <c r="AN6" i="60"/>
  <c r="AN7" i="60" s="1"/>
  <c r="AF8" i="60"/>
  <c r="AG8" i="60" s="1"/>
  <c r="AI8" i="60" s="1"/>
  <c r="AJ8" i="60" s="1"/>
  <c r="AC9" i="60"/>
  <c r="AB9" i="60"/>
  <c r="AD9" i="60" s="1"/>
  <c r="W11" i="60"/>
  <c r="X10" i="60"/>
  <c r="K8" i="29"/>
  <c r="K9" i="29"/>
  <c r="K10" i="29"/>
  <c r="K11" i="29"/>
  <c r="K7" i="29"/>
  <c r="AK10" i="60" a="1"/>
  <c r="AE10" i="60" a="1"/>
  <c r="AP8" i="60" l="1"/>
  <c r="AN8" i="60"/>
  <c r="AE10" i="60"/>
  <c r="AK10" i="60"/>
  <c r="AL9" i="60"/>
  <c r="AH8" i="60"/>
  <c r="AF9" i="60"/>
  <c r="AG9" i="60" s="1"/>
  <c r="AI9" i="60" s="1"/>
  <c r="AJ9" i="60" s="1"/>
  <c r="AC10" i="60"/>
  <c r="AB10" i="60"/>
  <c r="AD10" i="60" s="1"/>
  <c r="W12" i="60"/>
  <c r="X11" i="60"/>
  <c r="F12" i="51"/>
  <c r="F13" i="51"/>
  <c r="F14" i="51"/>
  <c r="F15" i="51"/>
  <c r="F16" i="51"/>
  <c r="F17" i="51"/>
  <c r="F18" i="51"/>
  <c r="F19" i="51"/>
  <c r="F20" i="51"/>
  <c r="F21" i="51"/>
  <c r="F22" i="51"/>
  <c r="F23" i="51"/>
  <c r="F24" i="51"/>
  <c r="F25" i="51"/>
  <c r="F26" i="51"/>
  <c r="F27" i="51"/>
  <c r="F28" i="51"/>
  <c r="F29" i="51"/>
  <c r="F30" i="51"/>
  <c r="F31" i="51"/>
  <c r="F32" i="51"/>
  <c r="F33" i="51"/>
  <c r="F34" i="51"/>
  <c r="F35" i="51"/>
  <c r="F36" i="51"/>
  <c r="F37" i="51"/>
  <c r="F38" i="51"/>
  <c r="F39" i="51"/>
  <c r="F40" i="51"/>
  <c r="F41" i="51"/>
  <c r="F42" i="51"/>
  <c r="F43" i="51"/>
  <c r="F44" i="51"/>
  <c r="F45" i="51"/>
  <c r="F46" i="51"/>
  <c r="F47" i="51"/>
  <c r="F48" i="51"/>
  <c r="F49" i="51"/>
  <c r="F50" i="51"/>
  <c r="F51" i="51"/>
  <c r="F52" i="51"/>
  <c r="F53" i="51"/>
  <c r="F54" i="51"/>
  <c r="F55" i="51"/>
  <c r="F56" i="51"/>
  <c r="F57" i="51"/>
  <c r="F58" i="51"/>
  <c r="F59" i="51"/>
  <c r="F60" i="51"/>
  <c r="F61" i="51"/>
  <c r="E180" i="51"/>
  <c r="E179" i="51"/>
  <c r="E174" i="51"/>
  <c r="E173" i="51"/>
  <c r="G173" i="51" s="1"/>
  <c r="C29" i="51"/>
  <c r="C25" i="51"/>
  <c r="C59" i="51"/>
  <c r="C60" i="51"/>
  <c r="AK11" i="60" a="1"/>
  <c r="C52" i="51"/>
  <c r="C20" i="51"/>
  <c r="C61" i="51"/>
  <c r="C40" i="51"/>
  <c r="C45" i="51"/>
  <c r="C28" i="51"/>
  <c r="C37" i="51"/>
  <c r="C49" i="51"/>
  <c r="C21" i="51"/>
  <c r="C22" i="51"/>
  <c r="C34" i="51"/>
  <c r="C42" i="51"/>
  <c r="C44" i="51"/>
  <c r="C32" i="51"/>
  <c r="C53" i="51"/>
  <c r="C24" i="51"/>
  <c r="C55" i="51"/>
  <c r="C47" i="51"/>
  <c r="C48" i="51"/>
  <c r="C39" i="51"/>
  <c r="C30" i="51"/>
  <c r="C41" i="51"/>
  <c r="C43" i="51"/>
  <c r="C35" i="51"/>
  <c r="C26" i="51"/>
  <c r="C17" i="51"/>
  <c r="C13" i="51"/>
  <c r="AE11" i="60" a="1"/>
  <c r="C33" i="51"/>
  <c r="C51" i="51"/>
  <c r="C57" i="51"/>
  <c r="C56" i="51"/>
  <c r="C15" i="51"/>
  <c r="C50" i="51"/>
  <c r="C46" i="51"/>
  <c r="C16" i="51"/>
  <c r="C58" i="51"/>
  <c r="C31" i="51"/>
  <c r="C54" i="51"/>
  <c r="C38" i="51"/>
  <c r="C19" i="51"/>
  <c r="C12" i="51"/>
  <c r="C23" i="51"/>
  <c r="C14" i="51"/>
  <c r="C36" i="51"/>
  <c r="C27" i="51"/>
  <c r="C18" i="51"/>
  <c r="AH9" i="60" l="1"/>
  <c r="AF10" i="60"/>
  <c r="AE11" i="60"/>
  <c r="AK11" i="60"/>
  <c r="AM9" i="60"/>
  <c r="AG10" i="60"/>
  <c r="AI10" i="60" s="1"/>
  <c r="AJ10" i="60" s="1"/>
  <c r="AL10" i="60"/>
  <c r="AM10" i="60" s="1"/>
  <c r="AO10" i="60" s="1"/>
  <c r="AC11" i="60"/>
  <c r="AB11" i="60"/>
  <c r="AD11" i="60" s="1"/>
  <c r="W13" i="60"/>
  <c r="X12" i="60"/>
  <c r="D64" i="51"/>
  <c r="G174" i="51"/>
  <c r="G180" i="51"/>
  <c r="AE12" i="60" a="1"/>
  <c r="AK12" i="60" a="1"/>
  <c r="AE12" i="60" l="1"/>
  <c r="AK12" i="60"/>
  <c r="AO9" i="60"/>
  <c r="AP9" i="60" s="1"/>
  <c r="AP10" i="60" s="1"/>
  <c r="AN9" i="60"/>
  <c r="AN10" i="60" s="1"/>
  <c r="AH10" i="60"/>
  <c r="AL11" i="60"/>
  <c r="AM11" i="60"/>
  <c r="AO11" i="60" s="1"/>
  <c r="AF11" i="60"/>
  <c r="AB12" i="60"/>
  <c r="AD12" i="60" s="1"/>
  <c r="AC12" i="60"/>
  <c r="W14" i="60"/>
  <c r="X13" i="60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4" i="8"/>
  <c r="AE13" i="60" a="1"/>
  <c r="AK13" i="60" a="1"/>
  <c r="AN11" i="60" l="1"/>
  <c r="AF12" i="60"/>
  <c r="AG12" i="60" s="1"/>
  <c r="AI12" i="60" s="1"/>
  <c r="AK13" i="60"/>
  <c r="AE13" i="60"/>
  <c r="AG11" i="60"/>
  <c r="AI11" i="60" s="1"/>
  <c r="AJ11" i="60" s="1"/>
  <c r="AP11" i="60"/>
  <c r="AL12" i="60"/>
  <c r="AM12" i="60" s="1"/>
  <c r="AO12" i="60" s="1"/>
  <c r="AB13" i="60"/>
  <c r="AD13" i="60" s="1"/>
  <c r="AC13" i="60"/>
  <c r="W15" i="60"/>
  <c r="X14" i="60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7" i="8"/>
  <c r="E11" i="8"/>
  <c r="E15" i="8"/>
  <c r="E19" i="8"/>
  <c r="E23" i="8"/>
  <c r="E27" i="8"/>
  <c r="E31" i="8"/>
  <c r="E35" i="8"/>
  <c r="E39" i="8"/>
  <c r="E43" i="8"/>
  <c r="E47" i="8"/>
  <c r="E51" i="8"/>
  <c r="E55" i="8"/>
  <c r="E59" i="8"/>
  <c r="E63" i="8"/>
  <c r="E67" i="8"/>
  <c r="E71" i="8"/>
  <c r="E75" i="8"/>
  <c r="E5" i="8"/>
  <c r="E6" i="8"/>
  <c r="E8" i="8"/>
  <c r="E9" i="8"/>
  <c r="E10" i="8"/>
  <c r="E12" i="8"/>
  <c r="E13" i="8"/>
  <c r="E14" i="8"/>
  <c r="E16" i="8"/>
  <c r="E17" i="8"/>
  <c r="E18" i="8"/>
  <c r="E20" i="8"/>
  <c r="E21" i="8"/>
  <c r="E22" i="8"/>
  <c r="E24" i="8"/>
  <c r="E25" i="8"/>
  <c r="E26" i="8"/>
  <c r="E28" i="8"/>
  <c r="E29" i="8"/>
  <c r="E30" i="8"/>
  <c r="E32" i="8"/>
  <c r="E33" i="8"/>
  <c r="E34" i="8"/>
  <c r="E36" i="8"/>
  <c r="E37" i="8"/>
  <c r="E38" i="8"/>
  <c r="E40" i="8"/>
  <c r="E41" i="8"/>
  <c r="E42" i="8"/>
  <c r="E44" i="8"/>
  <c r="E45" i="8"/>
  <c r="E46" i="8"/>
  <c r="E48" i="8"/>
  <c r="E49" i="8"/>
  <c r="E50" i="8"/>
  <c r="E52" i="8"/>
  <c r="E53" i="8"/>
  <c r="E54" i="8"/>
  <c r="E56" i="8"/>
  <c r="E57" i="8"/>
  <c r="E58" i="8"/>
  <c r="E60" i="8"/>
  <c r="E61" i="8"/>
  <c r="E62" i="8"/>
  <c r="E64" i="8"/>
  <c r="E65" i="8"/>
  <c r="E66" i="8"/>
  <c r="E68" i="8"/>
  <c r="E69" i="8"/>
  <c r="E70" i="8"/>
  <c r="E72" i="8"/>
  <c r="E73" i="8"/>
  <c r="E74" i="8"/>
  <c r="E76" i="8"/>
  <c r="E4" i="8"/>
  <c r="AE14" i="60" a="1"/>
  <c r="AK14" i="60" a="1"/>
  <c r="AN12" i="60" l="1"/>
  <c r="AJ12" i="60"/>
  <c r="AP12" i="60"/>
  <c r="AK14" i="60"/>
  <c r="AE14" i="60"/>
  <c r="AL13" i="60"/>
  <c r="AH11" i="60"/>
  <c r="AH12" i="60" s="1"/>
  <c r="AM13" i="60"/>
  <c r="AO13" i="60" s="1"/>
  <c r="AP13" i="60" s="1"/>
  <c r="AF13" i="60"/>
  <c r="AB14" i="60"/>
  <c r="AD14" i="60" s="1"/>
  <c r="AC14" i="60"/>
  <c r="W16" i="60"/>
  <c r="X15" i="60"/>
  <c r="C4" i="29"/>
  <c r="AE15" i="60" a="1"/>
  <c r="AK15" i="60" a="1"/>
  <c r="AL14" i="60" l="1"/>
  <c r="AK15" i="60"/>
  <c r="AE15" i="60"/>
  <c r="AG13" i="60"/>
  <c r="AI13" i="60" s="1"/>
  <c r="AJ13" i="60" s="1"/>
  <c r="AM14" i="60"/>
  <c r="AO14" i="60" s="1"/>
  <c r="AP14" i="60" s="1"/>
  <c r="AN13" i="60"/>
  <c r="AF14" i="60"/>
  <c r="AG14" i="60" s="1"/>
  <c r="AI14" i="60" s="1"/>
  <c r="AB15" i="60"/>
  <c r="AD15" i="60" s="1"/>
  <c r="AC15" i="60"/>
  <c r="W17" i="60"/>
  <c r="X16" i="60"/>
  <c r="H8" i="29"/>
  <c r="H9" i="29"/>
  <c r="H10" i="29"/>
  <c r="H11" i="29"/>
  <c r="H7" i="29"/>
  <c r="AE16" i="60" a="1"/>
  <c r="AK16" i="60" a="1"/>
  <c r="AN14" i="60" l="1"/>
  <c r="AF15" i="60"/>
  <c r="AG15" i="60" s="1"/>
  <c r="AI15" i="60" s="1"/>
  <c r="AH13" i="60"/>
  <c r="AL15" i="60"/>
  <c r="AM15" i="60" s="1"/>
  <c r="AK16" i="60"/>
  <c r="AE16" i="60"/>
  <c r="AH14" i="60"/>
  <c r="AJ14" i="60"/>
  <c r="AB16" i="60"/>
  <c r="AD16" i="60" s="1"/>
  <c r="AC16" i="60"/>
  <c r="W18" i="60"/>
  <c r="X17" i="60"/>
  <c r="G52" i="51"/>
  <c r="G53" i="51"/>
  <c r="G13" i="51"/>
  <c r="G40" i="51"/>
  <c r="G39" i="51"/>
  <c r="G48" i="51"/>
  <c r="G20" i="51"/>
  <c r="G44" i="51"/>
  <c r="G58" i="51"/>
  <c r="G45" i="51"/>
  <c r="G25" i="51"/>
  <c r="G19" i="51"/>
  <c r="G61" i="51"/>
  <c r="D65" i="51" s="1"/>
  <c r="G22" i="51"/>
  <c r="G34" i="51"/>
  <c r="G27" i="51"/>
  <c r="G15" i="51"/>
  <c r="G47" i="51"/>
  <c r="G28" i="51"/>
  <c r="G35" i="51"/>
  <c r="G36" i="51"/>
  <c r="G17" i="51"/>
  <c r="G14" i="51"/>
  <c r="G29" i="51"/>
  <c r="G18" i="51"/>
  <c r="G43" i="51"/>
  <c r="G21" i="51"/>
  <c r="G33" i="51"/>
  <c r="G57" i="51"/>
  <c r="G51" i="51"/>
  <c r="G23" i="51"/>
  <c r="G55" i="51"/>
  <c r="G60" i="51"/>
  <c r="G32" i="51"/>
  <c r="G26" i="51"/>
  <c r="G38" i="51"/>
  <c r="G46" i="51"/>
  <c r="G50" i="51"/>
  <c r="G59" i="51"/>
  <c r="G42" i="51"/>
  <c r="G54" i="51"/>
  <c r="G30" i="51"/>
  <c r="G56" i="51"/>
  <c r="G31" i="51"/>
  <c r="G16" i="51"/>
  <c r="G24" i="51"/>
  <c r="G12" i="51"/>
  <c r="G37" i="51"/>
  <c r="G49" i="51"/>
  <c r="G41" i="51"/>
  <c r="S11" i="51" s="1"/>
  <c r="G11" i="51"/>
  <c r="M11" i="51" s="1"/>
  <c r="AE17" i="60" a="1"/>
  <c r="AK17" i="60" a="1"/>
  <c r="AO15" i="60" l="1"/>
  <c r="AP15" i="60" s="1"/>
  <c r="AN15" i="60"/>
  <c r="AE17" i="60"/>
  <c r="AK17" i="60"/>
  <c r="AJ15" i="60"/>
  <c r="AH15" i="60"/>
  <c r="AF16" i="60"/>
  <c r="AL16" i="60"/>
  <c r="AB17" i="60"/>
  <c r="AD17" i="60" s="1"/>
  <c r="AC17" i="60"/>
  <c r="W19" i="60"/>
  <c r="X18" i="60"/>
  <c r="M12" i="51"/>
  <c r="M20" i="51" s="1"/>
  <c r="M16" i="51"/>
  <c r="S12" i="51"/>
  <c r="S20" i="51" s="1"/>
  <c r="S16" i="51"/>
  <c r="AK18" i="60" a="1"/>
  <c r="AE18" i="60" a="1"/>
  <c r="AE18" i="60" l="1"/>
  <c r="AK18" i="60"/>
  <c r="AM16" i="60"/>
  <c r="AG16" i="60"/>
  <c r="AI16" i="60" s="1"/>
  <c r="AJ16" i="60" s="1"/>
  <c r="AF17" i="60"/>
  <c r="AL17" i="60"/>
  <c r="AC18" i="60"/>
  <c r="AB18" i="60"/>
  <c r="AD18" i="60" s="1"/>
  <c r="W20" i="60"/>
  <c r="X19" i="60"/>
  <c r="F134" i="8"/>
  <c r="F133" i="8"/>
  <c r="K133" i="8" s="1"/>
  <c r="F132" i="8"/>
  <c r="F131" i="8"/>
  <c r="G131" i="8" s="1"/>
  <c r="F130" i="8"/>
  <c r="F129" i="8"/>
  <c r="F128" i="8"/>
  <c r="F127" i="8"/>
  <c r="K127" i="8" s="1"/>
  <c r="F126" i="8"/>
  <c r="F125" i="8"/>
  <c r="K125" i="8" s="1"/>
  <c r="F124" i="8"/>
  <c r="G124" i="8" s="1"/>
  <c r="F123" i="8"/>
  <c r="G123" i="8" s="1"/>
  <c r="F122" i="8"/>
  <c r="F121" i="8"/>
  <c r="G121" i="8" s="1"/>
  <c r="F120" i="8"/>
  <c r="F119" i="8"/>
  <c r="K119" i="8" s="1"/>
  <c r="F118" i="8"/>
  <c r="F117" i="8"/>
  <c r="G117" i="8" s="1"/>
  <c r="F116" i="8"/>
  <c r="K116" i="8" s="1"/>
  <c r="F115" i="8"/>
  <c r="G115" i="8" s="1"/>
  <c r="F114" i="8"/>
  <c r="F113" i="8"/>
  <c r="G113" i="8" s="1"/>
  <c r="F112" i="8"/>
  <c r="G112" i="8" s="1"/>
  <c r="F111" i="8"/>
  <c r="K111" i="8" s="1"/>
  <c r="F110" i="8"/>
  <c r="K109" i="8"/>
  <c r="F109" i="8"/>
  <c r="G109" i="8" s="1"/>
  <c r="F108" i="8"/>
  <c r="F107" i="8"/>
  <c r="K107" i="8" s="1"/>
  <c r="F106" i="8"/>
  <c r="F105" i="8"/>
  <c r="K105" i="8" s="1"/>
  <c r="F104" i="8"/>
  <c r="F103" i="8"/>
  <c r="G103" i="8" s="1"/>
  <c r="F102" i="8"/>
  <c r="F101" i="8"/>
  <c r="G101" i="8" s="1"/>
  <c r="F100" i="8"/>
  <c r="F99" i="8"/>
  <c r="G99" i="8" s="1"/>
  <c r="F98" i="8"/>
  <c r="F97" i="8"/>
  <c r="G97" i="8" s="1"/>
  <c r="F96" i="8"/>
  <c r="F95" i="8"/>
  <c r="F94" i="8"/>
  <c r="F93" i="8"/>
  <c r="K93" i="8" s="1"/>
  <c r="F92" i="8"/>
  <c r="F91" i="8"/>
  <c r="G91" i="8" s="1"/>
  <c r="F90" i="8"/>
  <c r="G90" i="8" s="1"/>
  <c r="F89" i="8"/>
  <c r="G89" i="8" s="1"/>
  <c r="F88" i="8"/>
  <c r="K87" i="8"/>
  <c r="F87" i="8"/>
  <c r="G87" i="8" s="1"/>
  <c r="F86" i="8"/>
  <c r="K86" i="8" s="1"/>
  <c r="F85" i="8"/>
  <c r="K85" i="8" s="1"/>
  <c r="F84" i="8"/>
  <c r="F83" i="8"/>
  <c r="G83" i="8" s="1"/>
  <c r="F82" i="8"/>
  <c r="F81" i="8"/>
  <c r="G81" i="8" s="1"/>
  <c r="F80" i="8"/>
  <c r="F79" i="8"/>
  <c r="G79" i="8" s="1"/>
  <c r="F78" i="8"/>
  <c r="G78" i="8" s="1"/>
  <c r="F77" i="8"/>
  <c r="K77" i="8" s="1"/>
  <c r="M76" i="8"/>
  <c r="N76" i="8" s="1"/>
  <c r="B75" i="8"/>
  <c r="D75" i="8" s="1"/>
  <c r="M74" i="8"/>
  <c r="N74" i="8" s="1"/>
  <c r="F74" i="8"/>
  <c r="I74" i="8" s="1"/>
  <c r="B74" i="8"/>
  <c r="D74" i="8" s="1"/>
  <c r="M72" i="8"/>
  <c r="N72" i="8" s="1"/>
  <c r="F72" i="8"/>
  <c r="B72" i="8"/>
  <c r="D72" i="8" s="1"/>
  <c r="F70" i="8"/>
  <c r="B69" i="8"/>
  <c r="D69" i="8" s="1"/>
  <c r="B67" i="8"/>
  <c r="D67" i="8" s="1"/>
  <c r="M66" i="8"/>
  <c r="N66" i="8" s="1"/>
  <c r="F66" i="8"/>
  <c r="B66" i="8"/>
  <c r="D66" i="8" s="1"/>
  <c r="F64" i="8"/>
  <c r="F62" i="8"/>
  <c r="M61" i="8"/>
  <c r="N61" i="8" s="1"/>
  <c r="B60" i="8"/>
  <c r="D60" i="8" s="1"/>
  <c r="M59" i="8"/>
  <c r="N59" i="8" s="1"/>
  <c r="M58" i="8"/>
  <c r="N58" i="8" s="1"/>
  <c r="F58" i="8"/>
  <c r="B58" i="8"/>
  <c r="D58" i="8" s="1"/>
  <c r="M57" i="8"/>
  <c r="N57" i="8" s="1"/>
  <c r="B56" i="8"/>
  <c r="D56" i="8" s="1"/>
  <c r="M55" i="8"/>
  <c r="N55" i="8" s="1"/>
  <c r="B55" i="8"/>
  <c r="D55" i="8" s="1"/>
  <c r="B54" i="8"/>
  <c r="D54" i="8" s="1"/>
  <c r="B53" i="8"/>
  <c r="D53" i="8" s="1"/>
  <c r="M52" i="8"/>
  <c r="N52" i="8" s="1"/>
  <c r="F52" i="8"/>
  <c r="M50" i="8"/>
  <c r="N50" i="8" s="1"/>
  <c r="F50" i="8"/>
  <c r="B50" i="8"/>
  <c r="D50" i="8" s="1"/>
  <c r="B49" i="8"/>
  <c r="D49" i="8" s="1"/>
  <c r="F48" i="8"/>
  <c r="B47" i="8"/>
  <c r="D47" i="8" s="1"/>
  <c r="B46" i="8"/>
  <c r="D46" i="8" s="1"/>
  <c r="B45" i="8"/>
  <c r="D45" i="8" s="1"/>
  <c r="M44" i="8"/>
  <c r="N44" i="8" s="1"/>
  <c r="F44" i="8"/>
  <c r="B43" i="8"/>
  <c r="D43" i="8" s="1"/>
  <c r="M42" i="8"/>
  <c r="N42" i="8" s="1"/>
  <c r="F42" i="8"/>
  <c r="B41" i="8"/>
  <c r="D41" i="8" s="1"/>
  <c r="F40" i="8"/>
  <c r="B39" i="8"/>
  <c r="D39" i="8" s="1"/>
  <c r="M38" i="8"/>
  <c r="N38" i="8" s="1"/>
  <c r="F38" i="8"/>
  <c r="I38" i="8" s="1"/>
  <c r="B38" i="8"/>
  <c r="D38" i="8" s="1"/>
  <c r="B37" i="8"/>
  <c r="D37" i="8" s="1"/>
  <c r="F36" i="8"/>
  <c r="M34" i="8"/>
  <c r="N34" i="8" s="1"/>
  <c r="F34" i="8"/>
  <c r="B34" i="8"/>
  <c r="D34" i="8" s="1"/>
  <c r="B33" i="8"/>
  <c r="D33" i="8" s="1"/>
  <c r="F32" i="8"/>
  <c r="B31" i="8"/>
  <c r="D31" i="8" s="1"/>
  <c r="M30" i="8"/>
  <c r="N30" i="8" s="1"/>
  <c r="F30" i="8"/>
  <c r="I30" i="8" s="1"/>
  <c r="B29" i="8"/>
  <c r="D29" i="8" s="1"/>
  <c r="M28" i="8"/>
  <c r="N28" i="8" s="1"/>
  <c r="F28" i="8"/>
  <c r="B28" i="8"/>
  <c r="B27" i="8"/>
  <c r="D27" i="8" s="1"/>
  <c r="F26" i="8"/>
  <c r="B25" i="8"/>
  <c r="D25" i="8" s="1"/>
  <c r="F24" i="8"/>
  <c r="B23" i="8"/>
  <c r="D23" i="8" s="1"/>
  <c r="F22" i="8"/>
  <c r="M22" i="8"/>
  <c r="N22" i="8" s="1"/>
  <c r="B22" i="8"/>
  <c r="D22" i="8" s="1"/>
  <c r="F20" i="8"/>
  <c r="M18" i="8"/>
  <c r="N18" i="8" s="1"/>
  <c r="F18" i="8"/>
  <c r="B18" i="8"/>
  <c r="D18" i="8" s="1"/>
  <c r="B17" i="8"/>
  <c r="D17" i="8" s="1"/>
  <c r="B15" i="8"/>
  <c r="D15" i="8" s="1"/>
  <c r="B14" i="8"/>
  <c r="B13" i="8"/>
  <c r="D13" i="8" s="1"/>
  <c r="F12" i="8"/>
  <c r="M10" i="8"/>
  <c r="N10" i="8" s="1"/>
  <c r="F10" i="8"/>
  <c r="B10" i="8"/>
  <c r="D10" i="8" s="1"/>
  <c r="M8" i="8"/>
  <c r="N8" i="8" s="1"/>
  <c r="B8" i="8"/>
  <c r="D8" i="8" s="1"/>
  <c r="M6" i="8"/>
  <c r="N6" i="8" s="1"/>
  <c r="B6" i="8"/>
  <c r="D6" i="8" s="1"/>
  <c r="AK19" i="60" a="1"/>
  <c r="AE19" i="60" a="1"/>
  <c r="AE19" i="60" l="1"/>
  <c r="AK19" i="60"/>
  <c r="AL18" i="60"/>
  <c r="AM18" i="60" s="1"/>
  <c r="AO18" i="60" s="1"/>
  <c r="AF18" i="60"/>
  <c r="AG18" i="60"/>
  <c r="AI18" i="60" s="1"/>
  <c r="AH16" i="60"/>
  <c r="AO16" i="60"/>
  <c r="AP16" i="60" s="1"/>
  <c r="AN16" i="60"/>
  <c r="AG17" i="60"/>
  <c r="AI17" i="60" s="1"/>
  <c r="AJ17" i="60" s="1"/>
  <c r="AM17" i="60"/>
  <c r="AO17" i="60" s="1"/>
  <c r="AC19" i="60"/>
  <c r="AB19" i="60"/>
  <c r="AD19" i="60" s="1"/>
  <c r="W21" i="60"/>
  <c r="X20" i="60"/>
  <c r="G86" i="8"/>
  <c r="D28" i="8"/>
  <c r="D14" i="8"/>
  <c r="G116" i="8"/>
  <c r="G85" i="8"/>
  <c r="G77" i="8"/>
  <c r="K79" i="8"/>
  <c r="B12" i="8"/>
  <c r="D12" i="8" s="1"/>
  <c r="F14" i="8"/>
  <c r="K14" i="8" s="1"/>
  <c r="B20" i="8"/>
  <c r="D20" i="8" s="1"/>
  <c r="M26" i="8"/>
  <c r="N26" i="8" s="1"/>
  <c r="B30" i="8"/>
  <c r="D30" i="8" s="1"/>
  <c r="M36" i="8"/>
  <c r="N36" i="8" s="1"/>
  <c r="B42" i="8"/>
  <c r="D42" i="8" s="1"/>
  <c r="F46" i="8"/>
  <c r="I46" i="8" s="1"/>
  <c r="J46" i="8" s="1"/>
  <c r="B52" i="8"/>
  <c r="D52" i="8" s="1"/>
  <c r="B59" i="8"/>
  <c r="D59" i="8" s="1"/>
  <c r="M64" i="8"/>
  <c r="N64" i="8" s="1"/>
  <c r="F76" i="8"/>
  <c r="I76" i="8" s="1"/>
  <c r="J76" i="8" s="1"/>
  <c r="K78" i="8"/>
  <c r="G82" i="8"/>
  <c r="K90" i="8"/>
  <c r="G93" i="8"/>
  <c r="G94" i="8"/>
  <c r="G95" i="8"/>
  <c r="G98" i="8"/>
  <c r="K103" i="8"/>
  <c r="G104" i="8"/>
  <c r="G105" i="8"/>
  <c r="G108" i="8"/>
  <c r="K112" i="8"/>
  <c r="K113" i="8"/>
  <c r="K117" i="8"/>
  <c r="G120" i="8"/>
  <c r="K121" i="8"/>
  <c r="K128" i="8"/>
  <c r="K131" i="8"/>
  <c r="G132" i="8"/>
  <c r="B44" i="8"/>
  <c r="D44" i="8" s="1"/>
  <c r="M46" i="8"/>
  <c r="N46" i="8" s="1"/>
  <c r="B61" i="8"/>
  <c r="D61" i="8" s="1"/>
  <c r="K94" i="8"/>
  <c r="K95" i="8"/>
  <c r="K104" i="8"/>
  <c r="K108" i="8"/>
  <c r="K120" i="8"/>
  <c r="K132" i="8"/>
  <c r="M14" i="8"/>
  <c r="N14" i="8" s="1"/>
  <c r="M12" i="8"/>
  <c r="N12" i="8" s="1"/>
  <c r="M20" i="8"/>
  <c r="N20" i="8" s="1"/>
  <c r="B26" i="8"/>
  <c r="D26" i="8" s="1"/>
  <c r="B36" i="8"/>
  <c r="D36" i="8" s="1"/>
  <c r="B57" i="8"/>
  <c r="D57" i="8" s="1"/>
  <c r="B64" i="8"/>
  <c r="D64" i="8" s="1"/>
  <c r="K82" i="8"/>
  <c r="K98" i="8"/>
  <c r="K124" i="8"/>
  <c r="G128" i="8"/>
  <c r="K26" i="8"/>
  <c r="G26" i="8"/>
  <c r="I26" i="8"/>
  <c r="M5" i="8"/>
  <c r="N5" i="8" s="1"/>
  <c r="B5" i="8"/>
  <c r="D5" i="8" s="1"/>
  <c r="F5" i="8"/>
  <c r="F9" i="8"/>
  <c r="B9" i="8"/>
  <c r="D9" i="8" s="1"/>
  <c r="M9" i="8"/>
  <c r="N9" i="8" s="1"/>
  <c r="K10" i="8"/>
  <c r="G10" i="8"/>
  <c r="I10" i="8"/>
  <c r="M19" i="8"/>
  <c r="N19" i="8" s="1"/>
  <c r="F19" i="8"/>
  <c r="B19" i="8"/>
  <c r="D19" i="8" s="1"/>
  <c r="K20" i="8"/>
  <c r="G20" i="8"/>
  <c r="I20" i="8"/>
  <c r="K28" i="8"/>
  <c r="G28" i="8"/>
  <c r="I28" i="8"/>
  <c r="K48" i="8"/>
  <c r="G48" i="8"/>
  <c r="I48" i="8"/>
  <c r="K50" i="8"/>
  <c r="G50" i="8"/>
  <c r="I50" i="8"/>
  <c r="F16" i="8"/>
  <c r="M16" i="8"/>
  <c r="N16" i="8" s="1"/>
  <c r="B16" i="8"/>
  <c r="D16" i="8" s="1"/>
  <c r="K18" i="8"/>
  <c r="G18" i="8"/>
  <c r="I18" i="8"/>
  <c r="H38" i="8"/>
  <c r="L38" i="8" s="1"/>
  <c r="J38" i="8"/>
  <c r="K40" i="8"/>
  <c r="G40" i="8"/>
  <c r="I40" i="8"/>
  <c r="K42" i="8"/>
  <c r="G42" i="8"/>
  <c r="I42" i="8"/>
  <c r="K52" i="8"/>
  <c r="G52" i="8"/>
  <c r="I52" i="8"/>
  <c r="J30" i="8"/>
  <c r="H30" i="8"/>
  <c r="L30" i="8" s="1"/>
  <c r="K32" i="8"/>
  <c r="G32" i="8"/>
  <c r="I32" i="8"/>
  <c r="K34" i="8"/>
  <c r="G34" i="8"/>
  <c r="I34" i="8"/>
  <c r="K44" i="8"/>
  <c r="G44" i="8"/>
  <c r="I44" i="8"/>
  <c r="I14" i="8"/>
  <c r="M11" i="8"/>
  <c r="N11" i="8" s="1"/>
  <c r="F11" i="8"/>
  <c r="B11" i="8"/>
  <c r="D11" i="8" s="1"/>
  <c r="K22" i="8"/>
  <c r="G22" i="8"/>
  <c r="I22" i="8"/>
  <c r="K36" i="8"/>
  <c r="G36" i="8"/>
  <c r="I36" i="8"/>
  <c r="K12" i="8"/>
  <c r="G12" i="8"/>
  <c r="I12" i="8"/>
  <c r="K24" i="8"/>
  <c r="G24" i="8"/>
  <c r="I24" i="8"/>
  <c r="B7" i="8"/>
  <c r="D7" i="8" s="1"/>
  <c r="M7" i="8"/>
  <c r="N7" i="8" s="1"/>
  <c r="F7" i="8"/>
  <c r="M21" i="8"/>
  <c r="N21" i="8" s="1"/>
  <c r="F21" i="8"/>
  <c r="F6" i="8"/>
  <c r="F8" i="8"/>
  <c r="M17" i="8"/>
  <c r="N17" i="8" s="1"/>
  <c r="F17" i="8"/>
  <c r="B21" i="8"/>
  <c r="D21" i="8" s="1"/>
  <c r="B24" i="8"/>
  <c r="D24" i="8" s="1"/>
  <c r="M24" i="8"/>
  <c r="N24" i="8" s="1"/>
  <c r="M25" i="8"/>
  <c r="N25" i="8" s="1"/>
  <c r="F25" i="8"/>
  <c r="B32" i="8"/>
  <c r="D32" i="8" s="1"/>
  <c r="M32" i="8"/>
  <c r="N32" i="8" s="1"/>
  <c r="M33" i="8"/>
  <c r="N33" i="8" s="1"/>
  <c r="F33" i="8"/>
  <c r="B40" i="8"/>
  <c r="D40" i="8" s="1"/>
  <c r="M40" i="8"/>
  <c r="N40" i="8" s="1"/>
  <c r="M41" i="8"/>
  <c r="N41" i="8" s="1"/>
  <c r="F41" i="8"/>
  <c r="B48" i="8"/>
  <c r="D48" i="8" s="1"/>
  <c r="M48" i="8"/>
  <c r="N48" i="8" s="1"/>
  <c r="M49" i="8"/>
  <c r="N49" i="8" s="1"/>
  <c r="F49" i="8"/>
  <c r="F60" i="8"/>
  <c r="M60" i="8"/>
  <c r="N60" i="8" s="1"/>
  <c r="B62" i="8"/>
  <c r="D62" i="8" s="1"/>
  <c r="M62" i="8"/>
  <c r="N62" i="8" s="1"/>
  <c r="K64" i="8"/>
  <c r="G64" i="8"/>
  <c r="I64" i="8"/>
  <c r="B70" i="8"/>
  <c r="D70" i="8" s="1"/>
  <c r="M70" i="8"/>
  <c r="N70" i="8" s="1"/>
  <c r="K72" i="8"/>
  <c r="G72" i="8"/>
  <c r="I72" i="8"/>
  <c r="M27" i="8"/>
  <c r="N27" i="8" s="1"/>
  <c r="F27" i="8"/>
  <c r="K30" i="8"/>
  <c r="G30" i="8"/>
  <c r="M35" i="8"/>
  <c r="N35" i="8" s="1"/>
  <c r="F35" i="8"/>
  <c r="K38" i="8"/>
  <c r="G38" i="8"/>
  <c r="M43" i="8"/>
  <c r="N43" i="8" s="1"/>
  <c r="F43" i="8"/>
  <c r="M51" i="8"/>
  <c r="N51" i="8" s="1"/>
  <c r="F51" i="8"/>
  <c r="K58" i="8"/>
  <c r="G58" i="8"/>
  <c r="K62" i="8"/>
  <c r="G62" i="8"/>
  <c r="K66" i="8"/>
  <c r="G66" i="8"/>
  <c r="I66" i="8"/>
  <c r="M68" i="8"/>
  <c r="N68" i="8" s="1"/>
  <c r="B68" i="8"/>
  <c r="D68" i="8" s="1"/>
  <c r="K70" i="8"/>
  <c r="G70" i="8"/>
  <c r="H74" i="8"/>
  <c r="J74" i="8"/>
  <c r="M13" i="8"/>
  <c r="N13" i="8" s="1"/>
  <c r="F13" i="8"/>
  <c r="M29" i="8"/>
  <c r="N29" i="8" s="1"/>
  <c r="F29" i="8"/>
  <c r="M37" i="8"/>
  <c r="N37" i="8" s="1"/>
  <c r="F37" i="8"/>
  <c r="M45" i="8"/>
  <c r="N45" i="8" s="1"/>
  <c r="F45" i="8"/>
  <c r="M53" i="8"/>
  <c r="N53" i="8" s="1"/>
  <c r="F53" i="8"/>
  <c r="F56" i="8"/>
  <c r="M56" i="8"/>
  <c r="N56" i="8" s="1"/>
  <c r="M63" i="8"/>
  <c r="N63" i="8" s="1"/>
  <c r="F63" i="8"/>
  <c r="B63" i="8"/>
  <c r="D63" i="8" s="1"/>
  <c r="M65" i="8"/>
  <c r="N65" i="8" s="1"/>
  <c r="F65" i="8"/>
  <c r="B65" i="8"/>
  <c r="D65" i="8" s="1"/>
  <c r="F68" i="8"/>
  <c r="M71" i="8"/>
  <c r="N71" i="8" s="1"/>
  <c r="F71" i="8"/>
  <c r="B71" i="8"/>
  <c r="D71" i="8" s="1"/>
  <c r="M73" i="8"/>
  <c r="N73" i="8" s="1"/>
  <c r="F73" i="8"/>
  <c r="B73" i="8"/>
  <c r="D73" i="8" s="1"/>
  <c r="M15" i="8"/>
  <c r="N15" i="8" s="1"/>
  <c r="F15" i="8"/>
  <c r="M23" i="8"/>
  <c r="N23" i="8" s="1"/>
  <c r="F23" i="8"/>
  <c r="M31" i="8"/>
  <c r="N31" i="8" s="1"/>
  <c r="F31" i="8"/>
  <c r="B35" i="8"/>
  <c r="D35" i="8" s="1"/>
  <c r="M39" i="8"/>
  <c r="N39" i="8" s="1"/>
  <c r="F39" i="8"/>
  <c r="M47" i="8"/>
  <c r="N47" i="8" s="1"/>
  <c r="F47" i="8"/>
  <c r="B51" i="8"/>
  <c r="F54" i="8"/>
  <c r="M54" i="8"/>
  <c r="N54" i="8" s="1"/>
  <c r="I58" i="8"/>
  <c r="I62" i="8"/>
  <c r="I70" i="8"/>
  <c r="F55" i="8"/>
  <c r="F57" i="8"/>
  <c r="F59" i="8"/>
  <c r="F61" i="8"/>
  <c r="M69" i="8"/>
  <c r="N69" i="8" s="1"/>
  <c r="F69" i="8"/>
  <c r="B76" i="8"/>
  <c r="D76" i="8" s="1"/>
  <c r="K80" i="8"/>
  <c r="G80" i="8"/>
  <c r="K83" i="8"/>
  <c r="K88" i="8"/>
  <c r="G88" i="8"/>
  <c r="K91" i="8"/>
  <c r="K96" i="8"/>
  <c r="G96" i="8"/>
  <c r="K99" i="8"/>
  <c r="K102" i="8"/>
  <c r="G102" i="8"/>
  <c r="G107" i="8"/>
  <c r="K74" i="8"/>
  <c r="G74" i="8"/>
  <c r="K81" i="8"/>
  <c r="K84" i="8"/>
  <c r="G84" i="8"/>
  <c r="K89" i="8"/>
  <c r="K92" i="8"/>
  <c r="G92" i="8"/>
  <c r="K97" i="8"/>
  <c r="K100" i="8"/>
  <c r="G100" i="8"/>
  <c r="M67" i="8"/>
  <c r="N67" i="8" s="1"/>
  <c r="F67" i="8"/>
  <c r="M75" i="8"/>
  <c r="N75" i="8" s="1"/>
  <c r="F75" i="8"/>
  <c r="K101" i="8"/>
  <c r="K106" i="8"/>
  <c r="G106" i="8"/>
  <c r="K110" i="8"/>
  <c r="G110" i="8"/>
  <c r="G111" i="8"/>
  <c r="G119" i="8"/>
  <c r="G125" i="8"/>
  <c r="G127" i="8"/>
  <c r="K115" i="8"/>
  <c r="K118" i="8"/>
  <c r="G118" i="8"/>
  <c r="K123" i="8"/>
  <c r="K126" i="8"/>
  <c r="G126" i="8"/>
  <c r="K129" i="8"/>
  <c r="G129" i="8"/>
  <c r="K114" i="8"/>
  <c r="G114" i="8"/>
  <c r="K122" i="8"/>
  <c r="G122" i="8"/>
  <c r="G130" i="8"/>
  <c r="K130" i="8"/>
  <c r="G134" i="8"/>
  <c r="K134" i="8"/>
  <c r="G133" i="8"/>
  <c r="AE20" i="60" a="1"/>
  <c r="AK20" i="60" a="1"/>
  <c r="AJ18" i="60" l="1"/>
  <c r="AK20" i="60"/>
  <c r="AE20" i="60"/>
  <c r="AN17" i="60"/>
  <c r="AN18" i="60" s="1"/>
  <c r="AP17" i="60"/>
  <c r="AP18" i="60" s="1"/>
  <c r="AL19" i="60"/>
  <c r="AH17" i="60"/>
  <c r="AH18" i="60" s="1"/>
  <c r="AF19" i="60"/>
  <c r="AG19" i="60" s="1"/>
  <c r="AI19" i="60" s="1"/>
  <c r="AJ19" i="60" s="1"/>
  <c r="AB20" i="60"/>
  <c r="AD20" i="60" s="1"/>
  <c r="AC20" i="60"/>
  <c r="W22" i="60"/>
  <c r="X21" i="60"/>
  <c r="D51" i="8"/>
  <c r="H46" i="8"/>
  <c r="L46" i="8" s="1"/>
  <c r="K46" i="8"/>
  <c r="H76" i="8"/>
  <c r="L76" i="8" s="1"/>
  <c r="K76" i="8"/>
  <c r="G76" i="8"/>
  <c r="G46" i="8"/>
  <c r="G14" i="8"/>
  <c r="L74" i="8"/>
  <c r="K68" i="8"/>
  <c r="G68" i="8"/>
  <c r="I68" i="8"/>
  <c r="I57" i="8"/>
  <c r="G57" i="8"/>
  <c r="K57" i="8"/>
  <c r="I47" i="8"/>
  <c r="G47" i="8"/>
  <c r="K47" i="8"/>
  <c r="I53" i="8"/>
  <c r="K53" i="8"/>
  <c r="G53" i="8"/>
  <c r="I13" i="8"/>
  <c r="K13" i="8"/>
  <c r="G13" i="8"/>
  <c r="I17" i="8"/>
  <c r="G17" i="8"/>
  <c r="K17" i="8"/>
  <c r="H36" i="8"/>
  <c r="L36" i="8" s="1"/>
  <c r="J36" i="8"/>
  <c r="H44" i="8"/>
  <c r="L44" i="8" s="1"/>
  <c r="J44" i="8"/>
  <c r="I55" i="8"/>
  <c r="K55" i="8"/>
  <c r="G55" i="8"/>
  <c r="I31" i="8"/>
  <c r="G31" i="8"/>
  <c r="K31" i="8"/>
  <c r="I15" i="8"/>
  <c r="K15" i="8"/>
  <c r="G15" i="8"/>
  <c r="I71" i="8"/>
  <c r="G71" i="8"/>
  <c r="K71" i="8"/>
  <c r="I65" i="8"/>
  <c r="K65" i="8"/>
  <c r="G65" i="8"/>
  <c r="I51" i="8"/>
  <c r="K51" i="8"/>
  <c r="G51" i="8"/>
  <c r="I43" i="8"/>
  <c r="G43" i="8"/>
  <c r="K43" i="8"/>
  <c r="I35" i="8"/>
  <c r="K35" i="8"/>
  <c r="G35" i="8"/>
  <c r="I27" i="8"/>
  <c r="G27" i="8"/>
  <c r="K27" i="8"/>
  <c r="I21" i="8"/>
  <c r="G21" i="8"/>
  <c r="K21" i="8"/>
  <c r="H12" i="8"/>
  <c r="L12" i="8" s="1"/>
  <c r="J12" i="8"/>
  <c r="H14" i="8"/>
  <c r="J14" i="8"/>
  <c r="J40" i="8"/>
  <c r="H40" i="8"/>
  <c r="L40" i="8" s="1"/>
  <c r="J10" i="8"/>
  <c r="H10" i="8"/>
  <c r="L10" i="8" s="1"/>
  <c r="I75" i="8"/>
  <c r="G75" i="8"/>
  <c r="K75" i="8"/>
  <c r="I61" i="8"/>
  <c r="K61" i="8"/>
  <c r="G61" i="8"/>
  <c r="J70" i="8"/>
  <c r="H70" i="8"/>
  <c r="L70" i="8" s="1"/>
  <c r="K54" i="8"/>
  <c r="G54" i="8"/>
  <c r="I54" i="8"/>
  <c r="I39" i="8"/>
  <c r="G39" i="8"/>
  <c r="K39" i="8"/>
  <c r="I73" i="8"/>
  <c r="K73" i="8"/>
  <c r="G73" i="8"/>
  <c r="I45" i="8"/>
  <c r="K45" i="8"/>
  <c r="G45" i="8"/>
  <c r="I29" i="8"/>
  <c r="G29" i="8"/>
  <c r="K29" i="8"/>
  <c r="H66" i="8"/>
  <c r="L66" i="8" s="1"/>
  <c r="J66" i="8"/>
  <c r="K60" i="8"/>
  <c r="G60" i="8"/>
  <c r="I60" i="8"/>
  <c r="G8" i="8"/>
  <c r="K8" i="8"/>
  <c r="I8" i="8"/>
  <c r="H24" i="8"/>
  <c r="L24" i="8" s="1"/>
  <c r="J24" i="8"/>
  <c r="J32" i="8"/>
  <c r="H32" i="8"/>
  <c r="L32" i="8" s="1"/>
  <c r="H42" i="8"/>
  <c r="L42" i="8" s="1"/>
  <c r="J42" i="8"/>
  <c r="J18" i="8"/>
  <c r="H18" i="8"/>
  <c r="L18" i="8" s="1"/>
  <c r="I9" i="8"/>
  <c r="K9" i="8"/>
  <c r="G9" i="8"/>
  <c r="H26" i="8"/>
  <c r="L26" i="8" s="1"/>
  <c r="J26" i="8"/>
  <c r="I23" i="8"/>
  <c r="G23" i="8"/>
  <c r="K23" i="8"/>
  <c r="K56" i="8"/>
  <c r="G56" i="8"/>
  <c r="I56" i="8"/>
  <c r="J72" i="8"/>
  <c r="H72" i="8"/>
  <c r="L72" i="8" s="1"/>
  <c r="I49" i="8"/>
  <c r="G49" i="8"/>
  <c r="K49" i="8"/>
  <c r="I41" i="8"/>
  <c r="G41" i="8"/>
  <c r="K41" i="8"/>
  <c r="I33" i="8"/>
  <c r="G33" i="8"/>
  <c r="K33" i="8"/>
  <c r="I25" i="8"/>
  <c r="G25" i="8"/>
  <c r="K25" i="8"/>
  <c r="G6" i="8"/>
  <c r="K6" i="8"/>
  <c r="I6" i="8"/>
  <c r="I7" i="8"/>
  <c r="K7" i="8"/>
  <c r="G7" i="8"/>
  <c r="H22" i="8"/>
  <c r="L22" i="8" s="1"/>
  <c r="J22" i="8"/>
  <c r="I11" i="8"/>
  <c r="G11" i="8"/>
  <c r="K11" i="8"/>
  <c r="H34" i="8"/>
  <c r="L34" i="8" s="1"/>
  <c r="J34" i="8"/>
  <c r="H52" i="8"/>
  <c r="L52" i="8" s="1"/>
  <c r="J52" i="8"/>
  <c r="K16" i="8"/>
  <c r="G16" i="8"/>
  <c r="I16" i="8"/>
  <c r="J48" i="8"/>
  <c r="H48" i="8"/>
  <c r="L48" i="8" s="1"/>
  <c r="J20" i="8"/>
  <c r="H20" i="8"/>
  <c r="L20" i="8" s="1"/>
  <c r="I19" i="8"/>
  <c r="G19" i="8"/>
  <c r="K19" i="8"/>
  <c r="I5" i="8"/>
  <c r="K5" i="8"/>
  <c r="G5" i="8"/>
  <c r="I59" i="8"/>
  <c r="G59" i="8"/>
  <c r="K59" i="8"/>
  <c r="J62" i="8"/>
  <c r="H62" i="8"/>
  <c r="L62" i="8" s="1"/>
  <c r="I67" i="8"/>
  <c r="K67" i="8"/>
  <c r="G67" i="8"/>
  <c r="I69" i="8"/>
  <c r="K69" i="8"/>
  <c r="G69" i="8"/>
  <c r="J58" i="8"/>
  <c r="H58" i="8"/>
  <c r="L58" i="8" s="1"/>
  <c r="I63" i="8"/>
  <c r="G63" i="8"/>
  <c r="K63" i="8"/>
  <c r="I37" i="8"/>
  <c r="G37" i="8"/>
  <c r="K37" i="8"/>
  <c r="J64" i="8"/>
  <c r="H64" i="8"/>
  <c r="J50" i="8"/>
  <c r="H50" i="8"/>
  <c r="L50" i="8" s="1"/>
  <c r="H28" i="8"/>
  <c r="J28" i="8"/>
  <c r="AK21" i="60" a="1"/>
  <c r="AE21" i="60" a="1"/>
  <c r="AE21" i="60" l="1"/>
  <c r="AK21" i="60"/>
  <c r="AM19" i="60"/>
  <c r="AO19" i="60" s="1"/>
  <c r="AP19" i="60" s="1"/>
  <c r="AF20" i="60"/>
  <c r="AH19" i="60"/>
  <c r="AL20" i="60"/>
  <c r="AM20" i="60" s="1"/>
  <c r="AO20" i="60" s="1"/>
  <c r="AB21" i="60"/>
  <c r="AD21" i="60" s="1"/>
  <c r="AC21" i="60"/>
  <c r="W23" i="60"/>
  <c r="X22" i="60"/>
  <c r="L28" i="8"/>
  <c r="L14" i="8"/>
  <c r="L64" i="8"/>
  <c r="J37" i="8"/>
  <c r="H37" i="8"/>
  <c r="L37" i="8" s="1"/>
  <c r="H8" i="8"/>
  <c r="L8" i="8" s="1"/>
  <c r="J8" i="8"/>
  <c r="H16" i="8"/>
  <c r="L16" i="8" s="1"/>
  <c r="J16" i="8"/>
  <c r="H25" i="8"/>
  <c r="L25" i="8" s="1"/>
  <c r="J25" i="8"/>
  <c r="J56" i="8"/>
  <c r="H56" i="8"/>
  <c r="L56" i="8" s="1"/>
  <c r="J45" i="8"/>
  <c r="H45" i="8"/>
  <c r="L45" i="8" s="1"/>
  <c r="J51" i="8"/>
  <c r="H51" i="8"/>
  <c r="H31" i="8"/>
  <c r="L31" i="8" s="1"/>
  <c r="J31" i="8"/>
  <c r="H17" i="8"/>
  <c r="L17" i="8" s="1"/>
  <c r="J17" i="8"/>
  <c r="H57" i="8"/>
  <c r="L57" i="8" s="1"/>
  <c r="J57" i="8"/>
  <c r="H59" i="8"/>
  <c r="L59" i="8" s="1"/>
  <c r="J59" i="8"/>
  <c r="H11" i="8"/>
  <c r="L11" i="8" s="1"/>
  <c r="J11" i="8"/>
  <c r="H49" i="8"/>
  <c r="L49" i="8" s="1"/>
  <c r="J49" i="8"/>
  <c r="H23" i="8"/>
  <c r="L23" i="8" s="1"/>
  <c r="J23" i="8"/>
  <c r="H29" i="8"/>
  <c r="L29" i="8" s="1"/>
  <c r="J29" i="8"/>
  <c r="J75" i="8"/>
  <c r="H75" i="8"/>
  <c r="J43" i="8"/>
  <c r="H43" i="8"/>
  <c r="L43" i="8" s="1"/>
  <c r="H15" i="8"/>
  <c r="L15" i="8" s="1"/>
  <c r="J15" i="8"/>
  <c r="J47" i="8"/>
  <c r="H47" i="8"/>
  <c r="L47" i="8" s="1"/>
  <c r="H68" i="8"/>
  <c r="L68" i="8" s="1"/>
  <c r="J68" i="8"/>
  <c r="H63" i="8"/>
  <c r="L63" i="8" s="1"/>
  <c r="J63" i="8"/>
  <c r="J67" i="8"/>
  <c r="H67" i="8"/>
  <c r="L67" i="8" s="1"/>
  <c r="J7" i="8"/>
  <c r="H7" i="8"/>
  <c r="L7" i="8" s="1"/>
  <c r="H41" i="8"/>
  <c r="L41" i="8" s="1"/>
  <c r="J41" i="8"/>
  <c r="J9" i="8"/>
  <c r="H9" i="8"/>
  <c r="L9" i="8" s="1"/>
  <c r="J60" i="8"/>
  <c r="H60" i="8"/>
  <c r="L60" i="8" s="1"/>
  <c r="H39" i="8"/>
  <c r="L39" i="8" s="1"/>
  <c r="J39" i="8"/>
  <c r="H61" i="8"/>
  <c r="L61" i="8" s="1"/>
  <c r="J61" i="8"/>
  <c r="J35" i="8"/>
  <c r="H35" i="8"/>
  <c r="L35" i="8" s="1"/>
  <c r="H71" i="8"/>
  <c r="L71" i="8" s="1"/>
  <c r="J71" i="8"/>
  <c r="J53" i="8"/>
  <c r="H53" i="8"/>
  <c r="L53" i="8" s="1"/>
  <c r="H73" i="8"/>
  <c r="L73" i="8" s="1"/>
  <c r="J73" i="8"/>
  <c r="J54" i="8"/>
  <c r="H54" i="8"/>
  <c r="L54" i="8" s="1"/>
  <c r="J27" i="8"/>
  <c r="H27" i="8"/>
  <c r="L27" i="8" s="1"/>
  <c r="H65" i="8"/>
  <c r="L65" i="8" s="1"/>
  <c r="J65" i="8"/>
  <c r="H55" i="8"/>
  <c r="L55" i="8" s="1"/>
  <c r="J55" i="8"/>
  <c r="J13" i="8"/>
  <c r="H13" i="8"/>
  <c r="L13" i="8" s="1"/>
  <c r="H19" i="8"/>
  <c r="L19" i="8" s="1"/>
  <c r="J19" i="8"/>
  <c r="H6" i="8"/>
  <c r="L6" i="8" s="1"/>
  <c r="J6" i="8"/>
  <c r="J5" i="8"/>
  <c r="H5" i="8"/>
  <c r="L5" i="8" s="1"/>
  <c r="J21" i="8"/>
  <c r="H21" i="8"/>
  <c r="L21" i="8" s="1"/>
  <c r="H69" i="8"/>
  <c r="L69" i="8" s="1"/>
  <c r="J69" i="8"/>
  <c r="J33" i="8"/>
  <c r="H33" i="8"/>
  <c r="L33" i="8" s="1"/>
  <c r="AK22" i="60" a="1"/>
  <c r="AE22" i="60" a="1"/>
  <c r="AL21" i="60" l="1"/>
  <c r="AM21" i="60" s="1"/>
  <c r="AO21" i="60" s="1"/>
  <c r="AF21" i="60"/>
  <c r="AG21" i="60" s="1"/>
  <c r="AI21" i="60" s="1"/>
  <c r="AE22" i="60"/>
  <c r="AK22" i="60"/>
  <c r="AP20" i="60"/>
  <c r="AG20" i="60"/>
  <c r="AI20" i="60" s="1"/>
  <c r="AJ20" i="60" s="1"/>
  <c r="AN19" i="60"/>
  <c r="AN20" i="60" s="1"/>
  <c r="AB22" i="60"/>
  <c r="AD22" i="60" s="1"/>
  <c r="AC22" i="60"/>
  <c r="W24" i="60"/>
  <c r="X23" i="60"/>
  <c r="L51" i="8"/>
  <c r="L75" i="8"/>
  <c r="AK23" i="60" a="1"/>
  <c r="AE23" i="60" a="1"/>
  <c r="AJ21" i="60" l="1"/>
  <c r="AF22" i="60"/>
  <c r="AG22" i="60" s="1"/>
  <c r="AI22" i="60" s="1"/>
  <c r="AJ22" i="60" s="1"/>
  <c r="AE23" i="60"/>
  <c r="AK23" i="60"/>
  <c r="AN21" i="60"/>
  <c r="AP21" i="60"/>
  <c r="AH20" i="60"/>
  <c r="AH21" i="60" s="1"/>
  <c r="AL22" i="60"/>
  <c r="AC23" i="60"/>
  <c r="AB23" i="60"/>
  <c r="AD23" i="60" s="1"/>
  <c r="W25" i="60"/>
  <c r="X24" i="60"/>
  <c r="F4" i="8"/>
  <c r="G4" i="8" s="1"/>
  <c r="B4" i="8"/>
  <c r="M4" i="8"/>
  <c r="N4" i="8" s="1"/>
  <c r="AE24" i="60" a="1"/>
  <c r="AK24" i="60" a="1"/>
  <c r="AH22" i="60" l="1"/>
  <c r="AF23" i="60"/>
  <c r="AK24" i="60"/>
  <c r="AE24" i="60"/>
  <c r="AM22" i="60"/>
  <c r="AO22" i="60" s="1"/>
  <c r="AP22" i="60" s="1"/>
  <c r="AG23" i="60"/>
  <c r="AI23" i="60" s="1"/>
  <c r="AJ23" i="60" s="1"/>
  <c r="AL23" i="60"/>
  <c r="AM23" i="60" s="1"/>
  <c r="AO23" i="60" s="1"/>
  <c r="AC24" i="60"/>
  <c r="AB24" i="60"/>
  <c r="AD24" i="60" s="1"/>
  <c r="W26" i="60"/>
  <c r="X25" i="60"/>
  <c r="D4" i="8"/>
  <c r="I4" i="8"/>
  <c r="K4" i="8"/>
  <c r="AK25" i="60" a="1"/>
  <c r="AE25" i="60" a="1"/>
  <c r="AP23" i="60" l="1"/>
  <c r="AH23" i="60"/>
  <c r="AN22" i="60"/>
  <c r="AN23" i="60" s="1"/>
  <c r="AK25" i="60"/>
  <c r="AE25" i="60"/>
  <c r="AF24" i="60"/>
  <c r="AL24" i="60"/>
  <c r="AC25" i="60"/>
  <c r="AB25" i="60"/>
  <c r="AD25" i="60" s="1"/>
  <c r="W27" i="60"/>
  <c r="X26" i="60"/>
  <c r="J4" i="8"/>
  <c r="H4" i="8"/>
  <c r="AK26" i="60" a="1"/>
  <c r="AE26" i="60" a="1"/>
  <c r="AE26" i="60" l="1"/>
  <c r="AK26" i="60"/>
  <c r="AF25" i="60"/>
  <c r="AG24" i="60"/>
  <c r="AG25" i="60"/>
  <c r="AI25" i="60" s="1"/>
  <c r="AL25" i="60"/>
  <c r="AM25" i="60" s="1"/>
  <c r="AO25" i="60" s="1"/>
  <c r="AM24" i="60"/>
  <c r="AB26" i="60"/>
  <c r="AD26" i="60" s="1"/>
  <c r="AC26" i="60"/>
  <c r="W28" i="60"/>
  <c r="X27" i="60"/>
  <c r="L4" i="8"/>
  <c r="AE27" i="60" a="1"/>
  <c r="AK27" i="60" a="1"/>
  <c r="AK27" i="60" l="1"/>
  <c r="AE27" i="60"/>
  <c r="AF26" i="60"/>
  <c r="AG26" i="60" s="1"/>
  <c r="AI26" i="60" s="1"/>
  <c r="AO24" i="60"/>
  <c r="AP24" i="60" s="1"/>
  <c r="AP25" i="60" s="1"/>
  <c r="AN24" i="60"/>
  <c r="AN25" i="60" s="1"/>
  <c r="AI24" i="60"/>
  <c r="AJ24" i="60" s="1"/>
  <c r="AJ25" i="60" s="1"/>
  <c r="AH24" i="60"/>
  <c r="AH25" i="60" s="1"/>
  <c r="AL26" i="60"/>
  <c r="AB27" i="60"/>
  <c r="AD27" i="60" s="1"/>
  <c r="AC27" i="60"/>
  <c r="W29" i="60"/>
  <c r="X28" i="60"/>
  <c r="M90" i="8"/>
  <c r="N90" i="8" s="1"/>
  <c r="M104" i="8"/>
  <c r="N104" i="8" s="1"/>
  <c r="M84" i="8"/>
  <c r="N84" i="8" s="1"/>
  <c r="M118" i="8"/>
  <c r="N118" i="8" s="1"/>
  <c r="M83" i="8"/>
  <c r="N83" i="8" s="1"/>
  <c r="B109" i="8"/>
  <c r="D109" i="8" s="1"/>
  <c r="B125" i="8"/>
  <c r="D125" i="8" s="1"/>
  <c r="B122" i="8"/>
  <c r="D122" i="8" s="1"/>
  <c r="B126" i="8"/>
  <c r="D126" i="8" s="1"/>
  <c r="B84" i="8"/>
  <c r="D84" i="8" s="1"/>
  <c r="B116" i="8"/>
  <c r="D116" i="8" s="1"/>
  <c r="M131" i="8"/>
  <c r="N131" i="8" s="1"/>
  <c r="M107" i="8"/>
  <c r="N107" i="8" s="1"/>
  <c r="M97" i="8"/>
  <c r="N97" i="8" s="1"/>
  <c r="M95" i="8"/>
  <c r="N95" i="8" s="1"/>
  <c r="M94" i="8"/>
  <c r="N94" i="8" s="1"/>
  <c r="M91" i="8"/>
  <c r="N91" i="8" s="1"/>
  <c r="M134" i="8"/>
  <c r="N134" i="8" s="1"/>
  <c r="M132" i="8"/>
  <c r="N132" i="8" s="1"/>
  <c r="B106" i="8"/>
  <c r="D106" i="8" s="1"/>
  <c r="M109" i="8"/>
  <c r="N109" i="8" s="1"/>
  <c r="M126" i="8"/>
  <c r="N126" i="8" s="1"/>
  <c r="M117" i="8"/>
  <c r="N117" i="8" s="1"/>
  <c r="M110" i="8"/>
  <c r="N110" i="8" s="1"/>
  <c r="M89" i="8"/>
  <c r="N89" i="8" s="1"/>
  <c r="M79" i="8"/>
  <c r="N79" i="8" s="1"/>
  <c r="M102" i="8"/>
  <c r="N102" i="8" s="1"/>
  <c r="M111" i="8"/>
  <c r="N111" i="8" s="1"/>
  <c r="M99" i="8"/>
  <c r="N99" i="8" s="1"/>
  <c r="M128" i="8"/>
  <c r="N128" i="8" s="1"/>
  <c r="M78" i="8"/>
  <c r="N78" i="8" s="1"/>
  <c r="I104" i="8"/>
  <c r="J104" i="8" s="1"/>
  <c r="M114" i="8"/>
  <c r="N114" i="8" s="1"/>
  <c r="M124" i="8"/>
  <c r="N124" i="8" s="1"/>
  <c r="I118" i="8"/>
  <c r="J118" i="8" s="1"/>
  <c r="I78" i="8"/>
  <c r="J78" i="8" s="1"/>
  <c r="M93" i="8"/>
  <c r="N93" i="8" s="1"/>
  <c r="M119" i="8"/>
  <c r="N119" i="8" s="1"/>
  <c r="B105" i="8"/>
  <c r="D105" i="8" s="1"/>
  <c r="B78" i="8"/>
  <c r="D78" i="8" s="1"/>
  <c r="B82" i="8"/>
  <c r="D82" i="8" s="1"/>
  <c r="B118" i="8"/>
  <c r="D118" i="8" s="1"/>
  <c r="B99" i="8"/>
  <c r="D99" i="8" s="1"/>
  <c r="B80" i="8"/>
  <c r="D80" i="8" s="1"/>
  <c r="B112" i="8"/>
  <c r="D112" i="8" s="1"/>
  <c r="M125" i="8"/>
  <c r="N125" i="8" s="1"/>
  <c r="M115" i="8"/>
  <c r="N115" i="8" s="1"/>
  <c r="M103" i="8"/>
  <c r="N103" i="8" s="1"/>
  <c r="M96" i="8"/>
  <c r="N96" i="8" s="1"/>
  <c r="M88" i="8"/>
  <c r="N88" i="8" s="1"/>
  <c r="M82" i="8"/>
  <c r="N82" i="8" s="1"/>
  <c r="M130" i="8"/>
  <c r="N130" i="8" s="1"/>
  <c r="M108" i="8"/>
  <c r="N108" i="8" s="1"/>
  <c r="M106" i="8"/>
  <c r="N106" i="8" s="1"/>
  <c r="M92" i="8"/>
  <c r="N92" i="8" s="1"/>
  <c r="M80" i="8"/>
  <c r="N80" i="8" s="1"/>
  <c r="I109" i="8"/>
  <c r="J109" i="8" s="1"/>
  <c r="I122" i="8"/>
  <c r="J122" i="8" s="1"/>
  <c r="B132" i="8"/>
  <c r="D132" i="8" s="1"/>
  <c r="I132" i="8"/>
  <c r="J132" i="8" s="1"/>
  <c r="H132" i="8"/>
  <c r="L132" i="8" s="1"/>
  <c r="M112" i="8"/>
  <c r="N112" i="8" s="1"/>
  <c r="I112" i="8"/>
  <c r="H112" i="8" s="1"/>
  <c r="L112" i="8" s="1"/>
  <c r="I100" i="8"/>
  <c r="J100" i="8" s="1"/>
  <c r="H100" i="8"/>
  <c r="L100" i="8" s="1"/>
  <c r="I91" i="8"/>
  <c r="J91" i="8" s="1"/>
  <c r="M116" i="8"/>
  <c r="N116" i="8" s="1"/>
  <c r="I116" i="8"/>
  <c r="J116" i="8" s="1"/>
  <c r="M123" i="8"/>
  <c r="N123" i="8" s="1"/>
  <c r="I126" i="8"/>
  <c r="H126" i="8" s="1"/>
  <c r="L126" i="8" s="1"/>
  <c r="M120" i="8"/>
  <c r="N120" i="8" s="1"/>
  <c r="B108" i="8"/>
  <c r="D108" i="8" s="1"/>
  <c r="I108" i="8"/>
  <c r="H108" i="8" s="1"/>
  <c r="L108" i="8" s="1"/>
  <c r="I87" i="8"/>
  <c r="M86" i="8"/>
  <c r="N86" i="8" s="1"/>
  <c r="B114" i="8"/>
  <c r="D114" i="8" s="1"/>
  <c r="I114" i="8"/>
  <c r="J114" i="8" s="1"/>
  <c r="B117" i="8"/>
  <c r="D117" i="8" s="1"/>
  <c r="I117" i="8"/>
  <c r="H117" i="8" s="1"/>
  <c r="L117" i="8" s="1"/>
  <c r="M122" i="8"/>
  <c r="N122" i="8" s="1"/>
  <c r="I90" i="8"/>
  <c r="H90" i="8" s="1"/>
  <c r="L90" i="8" s="1"/>
  <c r="M127" i="8"/>
  <c r="N127" i="8" s="1"/>
  <c r="B89" i="8"/>
  <c r="D89" i="8" s="1"/>
  <c r="I80" i="8"/>
  <c r="J80" i="8" s="1"/>
  <c r="I88" i="8"/>
  <c r="J88" i="8" s="1"/>
  <c r="I85" i="8"/>
  <c r="J85" i="8" s="1"/>
  <c r="M101" i="8"/>
  <c r="N101" i="8" s="1"/>
  <c r="M121" i="8"/>
  <c r="N121" i="8" s="1"/>
  <c r="B128" i="8"/>
  <c r="D128" i="8" s="1"/>
  <c r="I128" i="8"/>
  <c r="B103" i="8"/>
  <c r="D103" i="8" s="1"/>
  <c r="B124" i="8"/>
  <c r="D124" i="8" s="1"/>
  <c r="I124" i="8"/>
  <c r="J124" i="8" s="1"/>
  <c r="B83" i="8"/>
  <c r="D83" i="8" s="1"/>
  <c r="I83" i="8"/>
  <c r="J83" i="8" s="1"/>
  <c r="B115" i="8"/>
  <c r="D115" i="8" s="1"/>
  <c r="I115" i="8"/>
  <c r="B93" i="8"/>
  <c r="D93" i="8" s="1"/>
  <c r="B130" i="8"/>
  <c r="D130" i="8" s="1"/>
  <c r="B111" i="8"/>
  <c r="D111" i="8" s="1"/>
  <c r="B88" i="8"/>
  <c r="D88" i="8" s="1"/>
  <c r="B120" i="8"/>
  <c r="D120" i="8" s="1"/>
  <c r="M105" i="8"/>
  <c r="N105" i="8" s="1"/>
  <c r="M133" i="8"/>
  <c r="N133" i="8" s="1"/>
  <c r="B85" i="8"/>
  <c r="D85" i="8" s="1"/>
  <c r="M85" i="8"/>
  <c r="N85" i="8" s="1"/>
  <c r="B96" i="8"/>
  <c r="D96" i="8" s="1"/>
  <c r="I96" i="8"/>
  <c r="I84" i="8"/>
  <c r="J84" i="8" s="1"/>
  <c r="I105" i="8"/>
  <c r="I113" i="8"/>
  <c r="J113" i="8" s="1"/>
  <c r="I82" i="8"/>
  <c r="J82" i="8" s="1"/>
  <c r="H82" i="8"/>
  <c r="L82" i="8" s="1"/>
  <c r="I120" i="8"/>
  <c r="J120" i="8" s="1"/>
  <c r="I130" i="8"/>
  <c r="J130" i="8" s="1"/>
  <c r="B86" i="8"/>
  <c r="D86" i="8" s="1"/>
  <c r="I86" i="8"/>
  <c r="J86" i="8" s="1"/>
  <c r="I99" i="8"/>
  <c r="J99" i="8" s="1"/>
  <c r="B134" i="8"/>
  <c r="D134" i="8" s="1"/>
  <c r="I134" i="8"/>
  <c r="J134" i="8" s="1"/>
  <c r="I93" i="8"/>
  <c r="J93" i="8" s="1"/>
  <c r="I89" i="8"/>
  <c r="B133" i="8"/>
  <c r="D133" i="8" s="1"/>
  <c r="I133" i="8"/>
  <c r="J133" i="8" s="1"/>
  <c r="B79" i="8"/>
  <c r="D79" i="8" s="1"/>
  <c r="I79" i="8"/>
  <c r="J79" i="8" s="1"/>
  <c r="B119" i="8"/>
  <c r="D119" i="8" s="1"/>
  <c r="I119" i="8"/>
  <c r="J119" i="8" s="1"/>
  <c r="B123" i="8"/>
  <c r="D123" i="8" s="1"/>
  <c r="I123" i="8"/>
  <c r="I111" i="8"/>
  <c r="B101" i="8"/>
  <c r="D101" i="8" s="1"/>
  <c r="I101" i="8"/>
  <c r="B110" i="8"/>
  <c r="D110" i="8" s="1"/>
  <c r="I110" i="8"/>
  <c r="M129" i="8"/>
  <c r="N129" i="8" s="1"/>
  <c r="M113" i="8"/>
  <c r="N113" i="8" s="1"/>
  <c r="B100" i="8"/>
  <c r="D100" i="8" s="1"/>
  <c r="M100" i="8"/>
  <c r="N100" i="8" s="1"/>
  <c r="B87" i="8"/>
  <c r="D87" i="8" s="1"/>
  <c r="M87" i="8"/>
  <c r="N87" i="8" s="1"/>
  <c r="B97" i="8"/>
  <c r="D97" i="8" s="1"/>
  <c r="I97" i="8"/>
  <c r="J97" i="8" s="1"/>
  <c r="B113" i="8"/>
  <c r="D113" i="8" s="1"/>
  <c r="B127" i="8"/>
  <c r="D127" i="8" s="1"/>
  <c r="M98" i="8"/>
  <c r="N98" i="8" s="1"/>
  <c r="M81" i="8"/>
  <c r="N81" i="8" s="1"/>
  <c r="B121" i="8"/>
  <c r="D121" i="8" s="1"/>
  <c r="I121" i="8"/>
  <c r="J121" i="8" s="1"/>
  <c r="H121" i="8"/>
  <c r="L121" i="8" s="1"/>
  <c r="B98" i="8"/>
  <c r="D98" i="8" s="1"/>
  <c r="I98" i="8"/>
  <c r="J98" i="8" s="1"/>
  <c r="B102" i="8"/>
  <c r="D102" i="8" s="1"/>
  <c r="I103" i="8"/>
  <c r="J103" i="8" s="1"/>
  <c r="H103" i="8"/>
  <c r="L103" i="8" s="1"/>
  <c r="B131" i="8"/>
  <c r="D131" i="8" s="1"/>
  <c r="I131" i="8"/>
  <c r="J131" i="8" s="1"/>
  <c r="I127" i="8"/>
  <c r="J127" i="8" s="1"/>
  <c r="B90" i="8"/>
  <c r="D90" i="8" s="1"/>
  <c r="B104" i="8"/>
  <c r="D104" i="8" s="1"/>
  <c r="B92" i="8"/>
  <c r="D92" i="8" s="1"/>
  <c r="I92" i="8"/>
  <c r="J92" i="8" s="1"/>
  <c r="B95" i="8"/>
  <c r="D95" i="8" s="1"/>
  <c r="I95" i="8"/>
  <c r="J95" i="8" s="1"/>
  <c r="B129" i="8"/>
  <c r="D129" i="8" s="1"/>
  <c r="I129" i="8"/>
  <c r="H129" i="8" s="1"/>
  <c r="L129" i="8" s="1"/>
  <c r="I106" i="8"/>
  <c r="J106" i="8" s="1"/>
  <c r="H106" i="8"/>
  <c r="L106" i="8" s="1"/>
  <c r="I125" i="8"/>
  <c r="J125" i="8" s="1"/>
  <c r="I102" i="8"/>
  <c r="J102" i="8" s="1"/>
  <c r="B107" i="8"/>
  <c r="D107" i="8" s="1"/>
  <c r="I107" i="8"/>
  <c r="J107" i="8" s="1"/>
  <c r="H107" i="8"/>
  <c r="L107" i="8" s="1"/>
  <c r="B81" i="8"/>
  <c r="D81" i="8" s="1"/>
  <c r="I81" i="8"/>
  <c r="J81" i="8" s="1"/>
  <c r="B91" i="8"/>
  <c r="D91" i="8" s="1"/>
  <c r="B94" i="8"/>
  <c r="D94" i="8" s="1"/>
  <c r="I94" i="8"/>
  <c r="J94" i="8" s="1"/>
  <c r="AE28" i="60" a="1"/>
  <c r="AK28" i="60" a="1"/>
  <c r="AH26" i="60" l="1"/>
  <c r="AJ26" i="60"/>
  <c r="AK28" i="60"/>
  <c r="AE28" i="60"/>
  <c r="AF27" i="60"/>
  <c r="AM26" i="60"/>
  <c r="AO26" i="60" s="1"/>
  <c r="AP26" i="60" s="1"/>
  <c r="AL27" i="60"/>
  <c r="AM27" i="60" s="1"/>
  <c r="AO27" i="60" s="1"/>
  <c r="AC28" i="60"/>
  <c r="AB28" i="60"/>
  <c r="AD28" i="60" s="1"/>
  <c r="W30" i="60"/>
  <c r="X29" i="60"/>
  <c r="H119" i="8"/>
  <c r="L119" i="8" s="1"/>
  <c r="H102" i="8"/>
  <c r="L102" i="8" s="1"/>
  <c r="H98" i="8"/>
  <c r="L98" i="8" s="1"/>
  <c r="H99" i="8"/>
  <c r="L99" i="8" s="1"/>
  <c r="H124" i="8"/>
  <c r="L124" i="8" s="1"/>
  <c r="H85" i="8"/>
  <c r="L85" i="8" s="1"/>
  <c r="H78" i="8"/>
  <c r="L78" i="8" s="1"/>
  <c r="H83" i="8"/>
  <c r="L83" i="8" s="1"/>
  <c r="H81" i="8"/>
  <c r="L81" i="8" s="1"/>
  <c r="H125" i="8"/>
  <c r="L125" i="8" s="1"/>
  <c r="H131" i="8"/>
  <c r="L131" i="8" s="1"/>
  <c r="H86" i="8"/>
  <c r="L86" i="8" s="1"/>
  <c r="H88" i="8"/>
  <c r="L88" i="8" s="1"/>
  <c r="H118" i="8"/>
  <c r="L118" i="8" s="1"/>
  <c r="H80" i="8"/>
  <c r="L80" i="8" s="1"/>
  <c r="H116" i="8"/>
  <c r="L116" i="8" s="1"/>
  <c r="H122" i="8"/>
  <c r="L122" i="8" s="1"/>
  <c r="J117" i="8"/>
  <c r="J129" i="8"/>
  <c r="J108" i="8"/>
  <c r="H95" i="8"/>
  <c r="L95" i="8" s="1"/>
  <c r="H92" i="8"/>
  <c r="L92" i="8" s="1"/>
  <c r="H97" i="8"/>
  <c r="L97" i="8" s="1"/>
  <c r="H113" i="8"/>
  <c r="L113" i="8" s="1"/>
  <c r="J90" i="8"/>
  <c r="J112" i="8"/>
  <c r="H101" i="8"/>
  <c r="L101" i="8" s="1"/>
  <c r="J101" i="8"/>
  <c r="H123" i="8"/>
  <c r="L123" i="8" s="1"/>
  <c r="J123" i="8"/>
  <c r="H133" i="8"/>
  <c r="L133" i="8" s="1"/>
  <c r="H134" i="8"/>
  <c r="L134" i="8" s="1"/>
  <c r="H120" i="8"/>
  <c r="L120" i="8" s="1"/>
  <c r="H84" i="8"/>
  <c r="L84" i="8" s="1"/>
  <c r="H115" i="8"/>
  <c r="L115" i="8" s="1"/>
  <c r="J115" i="8"/>
  <c r="J128" i="8"/>
  <c r="H128" i="8"/>
  <c r="L128" i="8" s="1"/>
  <c r="J110" i="8"/>
  <c r="H110" i="8"/>
  <c r="L110" i="8" s="1"/>
  <c r="J111" i="8"/>
  <c r="H111" i="8"/>
  <c r="L111" i="8" s="1"/>
  <c r="H105" i="8"/>
  <c r="L105" i="8" s="1"/>
  <c r="J105" i="8"/>
  <c r="J89" i="8"/>
  <c r="H89" i="8"/>
  <c r="L89" i="8" s="1"/>
  <c r="J96" i="8"/>
  <c r="H96" i="8"/>
  <c r="L96" i="8" s="1"/>
  <c r="H94" i="8"/>
  <c r="L94" i="8" s="1"/>
  <c r="H127" i="8"/>
  <c r="L127" i="8" s="1"/>
  <c r="H79" i="8"/>
  <c r="L79" i="8" s="1"/>
  <c r="H93" i="8"/>
  <c r="L93" i="8" s="1"/>
  <c r="H130" i="8"/>
  <c r="L130" i="8" s="1"/>
  <c r="J87" i="8"/>
  <c r="H87" i="8"/>
  <c r="L87" i="8" s="1"/>
  <c r="H109" i="8"/>
  <c r="L109" i="8" s="1"/>
  <c r="J126" i="8"/>
  <c r="H114" i="8"/>
  <c r="L114" i="8" s="1"/>
  <c r="H91" i="8"/>
  <c r="L91" i="8" s="1"/>
  <c r="H104" i="8"/>
  <c r="L104" i="8" s="1"/>
  <c r="AK29" i="60" a="1"/>
  <c r="AE29" i="60" a="1"/>
  <c r="AP27" i="60" l="1"/>
  <c r="AN26" i="60"/>
  <c r="AL28" i="60"/>
  <c r="AM28" i="60" s="1"/>
  <c r="AO28" i="60" s="1"/>
  <c r="AP28" i="60" s="1"/>
  <c r="AE29" i="60"/>
  <c r="AK29" i="60"/>
  <c r="AN27" i="60"/>
  <c r="AG27" i="60"/>
  <c r="AF28" i="60"/>
  <c r="AG28" i="60" s="1"/>
  <c r="AI28" i="60" s="1"/>
  <c r="AC29" i="60"/>
  <c r="AB29" i="60"/>
  <c r="AD29" i="60" s="1"/>
  <c r="W31" i="60"/>
  <c r="X30" i="60"/>
  <c r="B77" i="8"/>
  <c r="D77" i="8" s="1"/>
  <c r="M77" i="8"/>
  <c r="N77" i="8" s="1"/>
  <c r="I77" i="8"/>
  <c r="H77" i="8" s="1"/>
  <c r="L77" i="8" s="1"/>
  <c r="AE30" i="60" a="1"/>
  <c r="AK30" i="60" a="1"/>
  <c r="AF29" i="60" l="1"/>
  <c r="AE30" i="60"/>
  <c r="AK30" i="60"/>
  <c r="AI27" i="60"/>
  <c r="AJ27" i="60" s="1"/>
  <c r="AJ28" i="60" s="1"/>
  <c r="AH27" i="60"/>
  <c r="AH28" i="60" s="1"/>
  <c r="AN28" i="60"/>
  <c r="AG29" i="60"/>
  <c r="AI29" i="60" s="1"/>
  <c r="AL29" i="60"/>
  <c r="AC30" i="60"/>
  <c r="AB30" i="60"/>
  <c r="AD30" i="60" s="1"/>
  <c r="W32" i="60"/>
  <c r="X31" i="60"/>
  <c r="J77" i="8"/>
  <c r="AK31" i="60" a="1"/>
  <c r="AE31" i="60" a="1"/>
  <c r="AF30" i="60" l="1"/>
  <c r="AE31" i="60"/>
  <c r="AK31" i="60"/>
  <c r="AM29" i="60"/>
  <c r="AO29" i="60" s="1"/>
  <c r="AP29" i="60" s="1"/>
  <c r="AN29" i="60"/>
  <c r="AH29" i="60"/>
  <c r="AG30" i="60"/>
  <c r="AI30" i="60" s="1"/>
  <c r="AJ29" i="60"/>
  <c r="AL30" i="60"/>
  <c r="AM30" i="60" s="1"/>
  <c r="AO30" i="60" s="1"/>
  <c r="AC31" i="60"/>
  <c r="AB31" i="60"/>
  <c r="AD31" i="60" s="1"/>
  <c r="W33" i="60"/>
  <c r="X32" i="60"/>
  <c r="G24" i="62"/>
  <c r="N24" i="62" s="1"/>
  <c r="G29" i="62"/>
  <c r="N29" i="62" s="1"/>
  <c r="G26" i="62"/>
  <c r="G19" i="62"/>
  <c r="N19" i="62" s="1"/>
  <c r="G15" i="62"/>
  <c r="G32" i="62"/>
  <c r="L39" i="62"/>
  <c r="AE32" i="60" a="1"/>
  <c r="L12" i="62"/>
  <c r="L14" i="62"/>
  <c r="AK32" i="60" a="1"/>
  <c r="AP30" i="60" l="1"/>
  <c r="AN30" i="60"/>
  <c r="AK32" i="60"/>
  <c r="AE32" i="60"/>
  <c r="AH30" i="60"/>
  <c r="AJ30" i="60"/>
  <c r="AL31" i="60"/>
  <c r="AM31" i="60" s="1"/>
  <c r="AO31" i="60" s="1"/>
  <c r="AP31" i="60" s="1"/>
  <c r="AF31" i="60"/>
  <c r="AC32" i="60"/>
  <c r="AB32" i="60"/>
  <c r="AD32" i="60" s="1"/>
  <c r="W34" i="60"/>
  <c r="X33" i="60"/>
  <c r="N33" i="62"/>
  <c r="G21" i="62"/>
  <c r="G12" i="62"/>
  <c r="L11" i="62"/>
  <c r="L40" i="62"/>
  <c r="AE33" i="60" a="1"/>
  <c r="AK33" i="60" a="1"/>
  <c r="AF32" i="60" l="1"/>
  <c r="AK33" i="60"/>
  <c r="AE33" i="60"/>
  <c r="AG32" i="60"/>
  <c r="AI32" i="60" s="1"/>
  <c r="AG31" i="60"/>
  <c r="AI31" i="60" s="1"/>
  <c r="AL32" i="60"/>
  <c r="AM32" i="60"/>
  <c r="AO32" i="60" s="1"/>
  <c r="AP32" i="60" s="1"/>
  <c r="AJ31" i="60"/>
  <c r="AJ32" i="60" s="1"/>
  <c r="AN31" i="60"/>
  <c r="AB33" i="60"/>
  <c r="AD33" i="60" s="1"/>
  <c r="AC33" i="60"/>
  <c r="W35" i="60"/>
  <c r="X34" i="60"/>
  <c r="N13" i="62"/>
  <c r="G41" i="62"/>
  <c r="AK34" i="60" a="1"/>
  <c r="L25" i="62"/>
  <c r="AE34" i="60" a="1"/>
  <c r="AE34" i="60" l="1"/>
  <c r="AK34" i="60"/>
  <c r="AH31" i="60"/>
  <c r="AH32" i="60" s="1"/>
  <c r="AN32" i="60"/>
  <c r="AF33" i="60"/>
  <c r="AL33" i="60"/>
  <c r="AC34" i="60"/>
  <c r="AB34" i="60"/>
  <c r="AD34" i="60" s="1"/>
  <c r="W36" i="60"/>
  <c r="X35" i="60"/>
  <c r="N42" i="62"/>
  <c r="E39" i="62"/>
  <c r="AK35" i="60" a="1"/>
  <c r="AE35" i="60" a="1"/>
  <c r="L29" i="62"/>
  <c r="AL34" i="60" l="1"/>
  <c r="AF34" i="60"/>
  <c r="AM34" i="60"/>
  <c r="AO34" i="60" s="1"/>
  <c r="AK35" i="60"/>
  <c r="AE35" i="60"/>
  <c r="AG34" i="60"/>
  <c r="AI34" i="60" s="1"/>
  <c r="AG33" i="60"/>
  <c r="AI33" i="60" s="1"/>
  <c r="AJ33" i="60" s="1"/>
  <c r="AJ34" i="60" s="1"/>
  <c r="AM33" i="60"/>
  <c r="AO33" i="60" s="1"/>
  <c r="AP33" i="60" s="1"/>
  <c r="AC35" i="60"/>
  <c r="AB35" i="60"/>
  <c r="AD35" i="60" s="1"/>
  <c r="W37" i="60"/>
  <c r="X36" i="60"/>
  <c r="E14" i="62"/>
  <c r="E12" i="62"/>
  <c r="E19" i="62"/>
  <c r="G37" i="62"/>
  <c r="G16" i="62"/>
  <c r="N16" i="62" s="1"/>
  <c r="AK36" i="60" a="1"/>
  <c r="L19" i="62"/>
  <c r="L10" i="62"/>
  <c r="AE36" i="60" a="1"/>
  <c r="AP34" i="60" l="1"/>
  <c r="AH33" i="60"/>
  <c r="AH34" i="60" s="1"/>
  <c r="AL35" i="60"/>
  <c r="AK36" i="60"/>
  <c r="AE36" i="60"/>
  <c r="AN33" i="60"/>
  <c r="AN34" i="60" s="1"/>
  <c r="AM35" i="60"/>
  <c r="AO35" i="60" s="1"/>
  <c r="AP35" i="60" s="1"/>
  <c r="AF35" i="60"/>
  <c r="AC36" i="60"/>
  <c r="AB36" i="60"/>
  <c r="AD36" i="60" s="1"/>
  <c r="W38" i="60"/>
  <c r="X37" i="60"/>
  <c r="N38" i="62"/>
  <c r="G20" i="62"/>
  <c r="AK37" i="60" a="1"/>
  <c r="AE37" i="60" a="1"/>
  <c r="AK37" i="60" l="1"/>
  <c r="AE37" i="60"/>
  <c r="AN35" i="60"/>
  <c r="AF36" i="60"/>
  <c r="AG35" i="60"/>
  <c r="AG36" i="60"/>
  <c r="AI36" i="60" s="1"/>
  <c r="AL36" i="60"/>
  <c r="AC37" i="60"/>
  <c r="AB37" i="60"/>
  <c r="AD37" i="60" s="1"/>
  <c r="W39" i="60"/>
  <c r="X38" i="60"/>
  <c r="N20" i="62"/>
  <c r="N21" i="62"/>
  <c r="G39" i="62"/>
  <c r="N39" i="62" s="1"/>
  <c r="G17" i="62"/>
  <c r="AE38" i="60" a="1"/>
  <c r="AK38" i="60" a="1"/>
  <c r="AE38" i="60" l="1"/>
  <c r="AK38" i="60"/>
  <c r="AI35" i="60"/>
  <c r="AJ35" i="60" s="1"/>
  <c r="AJ36" i="60" s="1"/>
  <c r="AH35" i="60"/>
  <c r="AH36" i="60" s="1"/>
  <c r="AF37" i="60"/>
  <c r="AM37" i="60"/>
  <c r="AO37" i="60" s="1"/>
  <c r="AM36" i="60"/>
  <c r="AO36" i="60" s="1"/>
  <c r="AP36" i="60" s="1"/>
  <c r="AL37" i="60"/>
  <c r="AB38" i="60"/>
  <c r="AD38" i="60" s="1"/>
  <c r="AC38" i="60"/>
  <c r="W40" i="60"/>
  <c r="X39" i="60"/>
  <c r="N17" i="62"/>
  <c r="N18" i="62"/>
  <c r="G14" i="62"/>
  <c r="G35" i="62"/>
  <c r="L35" i="62"/>
  <c r="AK39" i="60" a="1"/>
  <c r="AE39" i="60" a="1"/>
  <c r="AP37" i="60" l="1"/>
  <c r="AF38" i="60"/>
  <c r="AL38" i="60"/>
  <c r="AK39" i="60"/>
  <c r="AE39" i="60"/>
  <c r="AG38" i="60"/>
  <c r="AI38" i="60" s="1"/>
  <c r="AN36" i="60"/>
  <c r="AN37" i="60" s="1"/>
  <c r="AG37" i="60"/>
  <c r="AI37" i="60" s="1"/>
  <c r="AJ37" i="60" s="1"/>
  <c r="AJ38" i="60" s="1"/>
  <c r="AM38" i="60"/>
  <c r="AO38" i="60" s="1"/>
  <c r="AP38" i="60" s="1"/>
  <c r="AC39" i="60"/>
  <c r="AB39" i="60"/>
  <c r="AD39" i="60" s="1"/>
  <c r="W41" i="60"/>
  <c r="X40" i="60"/>
  <c r="N14" i="62"/>
  <c r="N15" i="62"/>
  <c r="E11" i="62"/>
  <c r="AE40" i="60" a="1"/>
  <c r="AK40" i="60" a="1"/>
  <c r="AN38" i="60" l="1"/>
  <c r="AK40" i="60"/>
  <c r="AE40" i="60"/>
  <c r="AF39" i="60"/>
  <c r="AH37" i="60"/>
  <c r="AH38" i="60" s="1"/>
  <c r="AL39" i="60"/>
  <c r="AC40" i="60"/>
  <c r="AB40" i="60"/>
  <c r="AD40" i="60" s="1"/>
  <c r="W42" i="60"/>
  <c r="X41" i="60"/>
  <c r="G30" i="62"/>
  <c r="N30" i="62" s="1"/>
  <c r="G11" i="62"/>
  <c r="G36" i="62"/>
  <c r="AE41" i="60" a="1"/>
  <c r="L32" i="62"/>
  <c r="AK41" i="60" a="1"/>
  <c r="AK41" i="60" l="1"/>
  <c r="AE41" i="60"/>
  <c r="AM39" i="60"/>
  <c r="AF40" i="60"/>
  <c r="AG40" i="60" s="1"/>
  <c r="AI40" i="60" s="1"/>
  <c r="AG39" i="60"/>
  <c r="AI39" i="60" s="1"/>
  <c r="AJ39" i="60" s="1"/>
  <c r="AL40" i="60"/>
  <c r="AM40" i="60" s="1"/>
  <c r="AO40" i="60" s="1"/>
  <c r="AB41" i="60"/>
  <c r="AD41" i="60" s="1"/>
  <c r="AC41" i="60"/>
  <c r="X42" i="60"/>
  <c r="W43" i="60"/>
  <c r="N36" i="62"/>
  <c r="N37" i="62"/>
  <c r="N12" i="62"/>
  <c r="E25" i="62"/>
  <c r="G25" i="62"/>
  <c r="AE42" i="60" a="1"/>
  <c r="AK42" i="60" a="1"/>
  <c r="AE42" i="60" l="1"/>
  <c r="AK42" i="60"/>
  <c r="AJ40" i="60"/>
  <c r="AH39" i="60"/>
  <c r="AH40" i="60" s="1"/>
  <c r="AO39" i="60"/>
  <c r="AP39" i="60" s="1"/>
  <c r="AP40" i="60" s="1"/>
  <c r="AN39" i="60"/>
  <c r="AN40" i="60" s="1"/>
  <c r="AF41" i="60"/>
  <c r="AL41" i="60"/>
  <c r="AC42" i="60"/>
  <c r="AB42" i="60"/>
  <c r="AD42" i="60" s="1"/>
  <c r="W44" i="60"/>
  <c r="X43" i="60"/>
  <c r="N25" i="62"/>
  <c r="N26" i="62"/>
  <c r="E35" i="62"/>
  <c r="AK43" i="60" a="1"/>
  <c r="AE43" i="60" a="1"/>
  <c r="AK43" i="60" l="1"/>
  <c r="AE43" i="60"/>
  <c r="AG41" i="60"/>
  <c r="AI41" i="60" s="1"/>
  <c r="AJ41" i="60" s="1"/>
  <c r="AL42" i="60"/>
  <c r="AM41" i="60"/>
  <c r="AO41" i="60" s="1"/>
  <c r="AP41" i="60" s="1"/>
  <c r="AF42" i="60"/>
  <c r="AB43" i="60"/>
  <c r="AD43" i="60" s="1"/>
  <c r="AC43" i="60"/>
  <c r="W45" i="60"/>
  <c r="X44" i="60"/>
  <c r="E29" i="62"/>
  <c r="E10" i="62"/>
  <c r="AK44" i="60" a="1"/>
  <c r="AE44" i="60" a="1"/>
  <c r="AN41" i="60" l="1"/>
  <c r="AK44" i="60"/>
  <c r="AE44" i="60"/>
  <c r="AF43" i="60"/>
  <c r="AL43" i="60"/>
  <c r="AH41" i="60"/>
  <c r="AG43" i="60"/>
  <c r="AI43" i="60" s="1"/>
  <c r="AG42" i="60"/>
  <c r="AI42" i="60" s="1"/>
  <c r="AJ42" i="60" s="1"/>
  <c r="AM42" i="60"/>
  <c r="AO42" i="60" s="1"/>
  <c r="AP42" i="60" s="1"/>
  <c r="AB44" i="60"/>
  <c r="AD44" i="60" s="1"/>
  <c r="AC44" i="60"/>
  <c r="W46" i="60"/>
  <c r="X45" i="60"/>
  <c r="E16" i="62"/>
  <c r="E36" i="62"/>
  <c r="E40" i="62"/>
  <c r="G40" i="62"/>
  <c r="G31" i="62"/>
  <c r="L16" i="62"/>
  <c r="L36" i="62"/>
  <c r="AK45" i="60" a="1"/>
  <c r="L41" i="62"/>
  <c r="AE45" i="60" a="1"/>
  <c r="AN42" i="60" l="1"/>
  <c r="AH42" i="60"/>
  <c r="AL44" i="60"/>
  <c r="AM44" i="60" s="1"/>
  <c r="AO44" i="60" s="1"/>
  <c r="AE45" i="60"/>
  <c r="AK45" i="60"/>
  <c r="AH43" i="60"/>
  <c r="AJ43" i="60"/>
  <c r="AM43" i="60"/>
  <c r="AO43" i="60" s="1"/>
  <c r="AP43" i="60" s="1"/>
  <c r="AF44" i="60"/>
  <c r="AG44" i="60" s="1"/>
  <c r="AI44" i="60" s="1"/>
  <c r="AB45" i="60"/>
  <c r="AD45" i="60" s="1"/>
  <c r="AC45" i="60"/>
  <c r="W47" i="60"/>
  <c r="X46" i="60"/>
  <c r="N31" i="62"/>
  <c r="N32" i="62"/>
  <c r="N40" i="62"/>
  <c r="N41" i="62"/>
  <c r="G27" i="62"/>
  <c r="L34" i="62"/>
  <c r="L17" i="62"/>
  <c r="L15" i="62"/>
  <c r="AK46" i="60" a="1"/>
  <c r="L31" i="62"/>
  <c r="AE46" i="60" a="1"/>
  <c r="AN43" i="60" l="1"/>
  <c r="AK46" i="60"/>
  <c r="AE46" i="60"/>
  <c r="AH44" i="60"/>
  <c r="AN44" i="60"/>
  <c r="AP44" i="60"/>
  <c r="AL45" i="60"/>
  <c r="AJ44" i="60"/>
  <c r="AF45" i="60"/>
  <c r="AG45" i="60" s="1"/>
  <c r="AI45" i="60" s="1"/>
  <c r="AC46" i="60"/>
  <c r="AB46" i="60"/>
  <c r="AD46" i="60" s="1"/>
  <c r="W48" i="60"/>
  <c r="X47" i="60"/>
  <c r="N27" i="62"/>
  <c r="N28" i="62"/>
  <c r="E30" i="62"/>
  <c r="E41" i="62"/>
  <c r="E15" i="62"/>
  <c r="L30" i="62"/>
  <c r="AE47" i="60" a="1"/>
  <c r="L27" i="62"/>
  <c r="AK47" i="60" a="1"/>
  <c r="AL46" i="60" l="1"/>
  <c r="AH45" i="60"/>
  <c r="AF46" i="60"/>
  <c r="AG46" i="60" s="1"/>
  <c r="AI46" i="60" s="1"/>
  <c r="AK47" i="60"/>
  <c r="AE47" i="60"/>
  <c r="AJ45" i="60"/>
  <c r="AM46" i="60"/>
  <c r="AO46" i="60" s="1"/>
  <c r="AM45" i="60"/>
  <c r="AO45" i="60" s="1"/>
  <c r="AP45" i="60" s="1"/>
  <c r="AC47" i="60"/>
  <c r="AB47" i="60"/>
  <c r="AD47" i="60" s="1"/>
  <c r="W49" i="60"/>
  <c r="X48" i="60"/>
  <c r="E31" i="62"/>
  <c r="G22" i="62"/>
  <c r="E9" i="62"/>
  <c r="I9" i="62"/>
  <c r="J9" i="62"/>
  <c r="AK48" i="60" a="1"/>
  <c r="AE48" i="60" a="1"/>
  <c r="AN45" i="60" l="1"/>
  <c r="AP46" i="60"/>
  <c r="AJ46" i="60"/>
  <c r="AN46" i="60"/>
  <c r="AF47" i="60"/>
  <c r="AL47" i="60"/>
  <c r="AM47" i="60" s="1"/>
  <c r="AO47" i="60" s="1"/>
  <c r="AP47" i="60" s="1"/>
  <c r="AE48" i="60"/>
  <c r="AK48" i="60"/>
  <c r="AG47" i="60"/>
  <c r="AI47" i="60" s="1"/>
  <c r="AJ47" i="60" s="1"/>
  <c r="AH46" i="60"/>
  <c r="AB48" i="60"/>
  <c r="AD48" i="60" s="1"/>
  <c r="AC48" i="60"/>
  <c r="W50" i="60"/>
  <c r="X49" i="60"/>
  <c r="N22" i="62"/>
  <c r="N23" i="62"/>
  <c r="K9" i="62"/>
  <c r="E34" i="62"/>
  <c r="AK49" i="60" a="1"/>
  <c r="AE49" i="60" a="1"/>
  <c r="L9" i="62"/>
  <c r="AF48" i="60" l="1"/>
  <c r="AG48" i="60" s="1"/>
  <c r="AI48" i="60" s="1"/>
  <c r="AJ48" i="60" s="1"/>
  <c r="AH47" i="60"/>
  <c r="AH48" i="60" s="1"/>
  <c r="AK49" i="60"/>
  <c r="AE49" i="60"/>
  <c r="AN47" i="60"/>
  <c r="AL48" i="60"/>
  <c r="AC49" i="60"/>
  <c r="AB49" i="60"/>
  <c r="AD49" i="60" s="1"/>
  <c r="X50" i="60"/>
  <c r="W51" i="60"/>
  <c r="E24" i="62"/>
  <c r="E37" i="62"/>
  <c r="E26" i="62"/>
  <c r="E17" i="62"/>
  <c r="L26" i="62"/>
  <c r="AE50" i="60" a="1"/>
  <c r="AK50" i="60" a="1"/>
  <c r="L37" i="62"/>
  <c r="L24" i="62"/>
  <c r="AK50" i="60" l="1"/>
  <c r="AE50" i="60"/>
  <c r="AL49" i="60"/>
  <c r="AM48" i="60"/>
  <c r="AO48" i="60" s="1"/>
  <c r="AP48" i="60" s="1"/>
  <c r="AF49" i="60"/>
  <c r="AB50" i="60"/>
  <c r="AD50" i="60" s="1"/>
  <c r="AC50" i="60"/>
  <c r="X51" i="60"/>
  <c r="W52" i="60"/>
  <c r="E20" i="62"/>
  <c r="E27" i="62"/>
  <c r="L20" i="62"/>
  <c r="AK51" i="60" a="1"/>
  <c r="AE51" i="60" a="1"/>
  <c r="AL50" i="60" l="1"/>
  <c r="AM50" i="60" s="1"/>
  <c r="AO50" i="60" s="1"/>
  <c r="AE51" i="60"/>
  <c r="AK51" i="60"/>
  <c r="AM49" i="60"/>
  <c r="AO49" i="60" s="1"/>
  <c r="AP49" i="60" s="1"/>
  <c r="AN48" i="60"/>
  <c r="AG49" i="60"/>
  <c r="AF50" i="60"/>
  <c r="AG50" i="60" s="1"/>
  <c r="AI50" i="60" s="1"/>
  <c r="AC51" i="60"/>
  <c r="AB51" i="60"/>
  <c r="AD51" i="60" s="1"/>
  <c r="W53" i="60"/>
  <c r="X52" i="60"/>
  <c r="E32" i="62"/>
  <c r="G34" i="62"/>
  <c r="AK52" i="60" a="1"/>
  <c r="AE52" i="60" a="1"/>
  <c r="AN49" i="60" l="1"/>
  <c r="AN50" i="60" s="1"/>
  <c r="AP50" i="60"/>
  <c r="AK52" i="60"/>
  <c r="AE52" i="60"/>
  <c r="AI49" i="60"/>
  <c r="AJ49" i="60" s="1"/>
  <c r="AJ50" i="60" s="1"/>
  <c r="AH49" i="60"/>
  <c r="AH50" i="60" s="1"/>
  <c r="AL51" i="60"/>
  <c r="AF51" i="60"/>
  <c r="AG51" i="60" s="1"/>
  <c r="AI51" i="60" s="1"/>
  <c r="AB52" i="60"/>
  <c r="AD52" i="60" s="1"/>
  <c r="AC52" i="60"/>
  <c r="X53" i="60"/>
  <c r="AC53" i="60" s="1"/>
  <c r="W54" i="60"/>
  <c r="N34" i="62"/>
  <c r="N35" i="62"/>
  <c r="G9" i="62"/>
  <c r="G10" i="62"/>
  <c r="AK53" i="60" a="1"/>
  <c r="AE53" i="60" a="1"/>
  <c r="AF52" i="60" l="1"/>
  <c r="AE53" i="60"/>
  <c r="AK53" i="60"/>
  <c r="AM51" i="60"/>
  <c r="AL52" i="60"/>
  <c r="AH51" i="60"/>
  <c r="AG52" i="60"/>
  <c r="AI52" i="60" s="1"/>
  <c r="AJ51" i="60"/>
  <c r="AB53" i="60"/>
  <c r="AD53" i="60" s="1"/>
  <c r="W55" i="60"/>
  <c r="X54" i="60"/>
  <c r="N10" i="62"/>
  <c r="N11" i="62"/>
  <c r="N9" i="62"/>
  <c r="M9" i="62"/>
  <c r="E21" i="62"/>
  <c r="L21" i="62"/>
  <c r="AK54" i="60" a="1"/>
  <c r="AE54" i="60" a="1"/>
  <c r="AJ52" i="60" l="1"/>
  <c r="AH52" i="60"/>
  <c r="AE54" i="60"/>
  <c r="AK54" i="60"/>
  <c r="O9" i="62"/>
  <c r="Q9" i="62" s="1"/>
  <c r="AL53" i="60"/>
  <c r="AM53" i="60" s="1"/>
  <c r="AO53" i="60" s="1"/>
  <c r="AF53" i="60"/>
  <c r="AG53" i="60" s="1"/>
  <c r="AI53" i="60" s="1"/>
  <c r="AO51" i="60"/>
  <c r="AP51" i="60" s="1"/>
  <c r="AN51" i="60"/>
  <c r="AM52" i="60"/>
  <c r="AO52" i="60" s="1"/>
  <c r="W56" i="60"/>
  <c r="X55" i="60"/>
  <c r="E22" i="62"/>
  <c r="L22" i="62"/>
  <c r="AK55" i="60" a="1"/>
  <c r="AE55" i="60" a="1"/>
  <c r="AJ53" i="60" l="1"/>
  <c r="X67" i="60" s="1"/>
  <c r="AK55" i="60"/>
  <c r="AE55" i="60"/>
  <c r="AN52" i="60"/>
  <c r="AN53" i="60" s="1"/>
  <c r="P9" i="62"/>
  <c r="V9" i="62" s="1"/>
  <c r="W9" i="62" s="1"/>
  <c r="AP52" i="60"/>
  <c r="AP53" i="60" s="1"/>
  <c r="Y67" i="60" s="1"/>
  <c r="AH53" i="60"/>
  <c r="W57" i="60"/>
  <c r="X56" i="60"/>
  <c r="T9" i="62"/>
  <c r="U9" i="62" s="1"/>
  <c r="AE56" i="60" a="1"/>
  <c r="AK56" i="60" a="1"/>
  <c r="H10" i="62" l="1"/>
  <c r="W8" i="62"/>
  <c r="AK56" i="60"/>
  <c r="AE56" i="60"/>
  <c r="W58" i="60"/>
  <c r="X57" i="60"/>
  <c r="I10" i="62"/>
  <c r="AK57" i="60" a="1"/>
  <c r="J10" i="62"/>
  <c r="AE57" i="60" a="1"/>
  <c r="AE57" i="60" l="1"/>
  <c r="AK57" i="60"/>
  <c r="X58" i="60"/>
  <c r="W59" i="60"/>
  <c r="K10" i="62"/>
  <c r="M10" i="62" s="1"/>
  <c r="O10" i="62" s="1"/>
  <c r="AK58" i="60" a="1"/>
  <c r="AE58" i="60" a="1"/>
  <c r="AK58" i="60" l="1"/>
  <c r="AE58" i="60"/>
  <c r="X59" i="60"/>
  <c r="W60" i="60"/>
  <c r="Q10" i="62"/>
  <c r="P10" i="62"/>
  <c r="V10" i="62" s="1"/>
  <c r="AK59" i="60" a="1"/>
  <c r="AE59" i="60" a="1"/>
  <c r="AE59" i="60" l="1"/>
  <c r="AK59" i="60"/>
  <c r="W61" i="60"/>
  <c r="X60" i="60"/>
  <c r="W10" i="62"/>
  <c r="T10" i="62"/>
  <c r="H11" i="62" s="1"/>
  <c r="AK60" i="60" a="1"/>
  <c r="AE60" i="60" a="1"/>
  <c r="AE60" i="60" l="1"/>
  <c r="AK60" i="60"/>
  <c r="U10" i="62"/>
  <c r="W62" i="60"/>
  <c r="X61" i="60"/>
  <c r="I11" i="62"/>
  <c r="AE61" i="60" a="1"/>
  <c r="J11" i="62"/>
  <c r="AK61" i="60" a="1"/>
  <c r="AE61" i="60" l="1"/>
  <c r="AK61" i="60"/>
  <c r="W63" i="60"/>
  <c r="X63" i="60" s="1"/>
  <c r="U65" i="60" s="1"/>
  <c r="X62" i="60"/>
  <c r="K11" i="62"/>
  <c r="M11" i="62" s="1"/>
  <c r="O11" i="62" s="1"/>
  <c r="U63" i="60" a="1"/>
  <c r="AK63" i="60" a="1"/>
  <c r="AK62" i="60" a="1"/>
  <c r="AE62" i="60" a="1"/>
  <c r="AE63" i="60" a="1"/>
  <c r="AE62" i="60" l="1"/>
  <c r="AK62" i="60"/>
  <c r="AE63" i="60"/>
  <c r="AK63" i="60"/>
  <c r="U63" i="60"/>
  <c r="Q11" i="62"/>
  <c r="T11" i="62" s="1"/>
  <c r="P11" i="62"/>
  <c r="V11" i="62" s="1"/>
  <c r="W11" i="62" l="1"/>
  <c r="U11" i="62"/>
  <c r="H12" i="62"/>
  <c r="I12" i="62" l="1"/>
  <c r="J12" i="62"/>
  <c r="K12" i="62" l="1"/>
  <c r="M12" i="62" s="1"/>
  <c r="O12" i="62" s="1"/>
  <c r="Q12" i="62" l="1"/>
  <c r="T12" i="62"/>
  <c r="P12" i="62"/>
  <c r="V12" i="62" s="1"/>
  <c r="W12" i="62" l="1"/>
  <c r="U12" i="62"/>
  <c r="H13" i="62"/>
  <c r="I13" i="62" l="1"/>
  <c r="J13" i="62"/>
  <c r="K13" i="62" l="1"/>
  <c r="M13" i="62" s="1"/>
  <c r="O13" i="62" s="1"/>
  <c r="Q13" i="62" l="1"/>
  <c r="P13" i="62"/>
  <c r="V13" i="62" s="1"/>
  <c r="T13" i="62" l="1"/>
  <c r="W13" i="62"/>
  <c r="U13" i="62"/>
  <c r="H14" i="62"/>
  <c r="I14" i="62" l="1"/>
  <c r="J14" i="62"/>
  <c r="K14" i="62" l="1"/>
  <c r="M14" i="62" s="1"/>
  <c r="O14" i="62" s="1"/>
  <c r="Q14" i="62" l="1"/>
  <c r="T14" i="62" s="1"/>
  <c r="P14" i="62"/>
  <c r="V14" i="62" s="1"/>
  <c r="W14" i="62" l="1"/>
  <c r="H15" i="62"/>
  <c r="U14" i="62"/>
  <c r="I15" i="62" l="1"/>
  <c r="J15" i="62"/>
  <c r="K15" i="62" l="1"/>
  <c r="M15" i="62" s="1"/>
  <c r="O15" i="62" s="1"/>
  <c r="Q15" i="62" l="1"/>
  <c r="T15" i="62" s="1"/>
  <c r="P15" i="62"/>
  <c r="V15" i="62" s="1"/>
  <c r="W15" i="62" l="1"/>
  <c r="U15" i="62"/>
  <c r="H16" i="62"/>
  <c r="I16" i="62" l="1"/>
  <c r="J16" i="62"/>
  <c r="K16" i="62" l="1"/>
  <c r="M16" i="62" s="1"/>
  <c r="O16" i="62" s="1"/>
  <c r="Q16" i="62" l="1"/>
  <c r="T16" i="62" s="1"/>
  <c r="P16" i="62"/>
  <c r="V16" i="62" s="1"/>
  <c r="W16" i="62" l="1"/>
  <c r="U16" i="62"/>
  <c r="H17" i="62"/>
  <c r="I17" i="62" l="1"/>
  <c r="J17" i="62"/>
  <c r="K17" i="62" l="1"/>
  <c r="M17" i="62" s="1"/>
  <c r="O17" i="62" s="1"/>
  <c r="Q17" i="62" l="1"/>
  <c r="P17" i="62"/>
  <c r="V17" i="62" s="1"/>
  <c r="T17" i="62" l="1"/>
  <c r="H18" i="62" s="1"/>
  <c r="W17" i="62"/>
  <c r="U17" i="62" l="1"/>
  <c r="I18" i="62"/>
  <c r="J18" i="62"/>
  <c r="K18" i="62" l="1"/>
  <c r="M18" i="62" s="1"/>
  <c r="O18" i="62" s="1"/>
  <c r="Q18" i="62" l="1"/>
  <c r="T18" i="62"/>
  <c r="P18" i="62"/>
  <c r="V18" i="62" s="1"/>
  <c r="W18" i="62" l="1"/>
  <c r="U18" i="62"/>
  <c r="H19" i="62"/>
  <c r="I19" i="62" l="1"/>
  <c r="J19" i="62"/>
  <c r="K19" i="62" l="1"/>
  <c r="M19" i="62" s="1"/>
  <c r="O19" i="62" s="1"/>
  <c r="Q19" i="62" l="1"/>
  <c r="P19" i="62"/>
  <c r="V19" i="62" s="1"/>
  <c r="T19" i="62" l="1"/>
  <c r="U19" i="62" s="1"/>
  <c r="W19" i="62"/>
  <c r="H20" i="62" l="1"/>
  <c r="I20" i="62" s="1"/>
  <c r="J20" i="62"/>
  <c r="K20" i="62" l="1"/>
  <c r="M20" i="62" s="1"/>
  <c r="O20" i="62" s="1"/>
  <c r="Q20" i="62" l="1"/>
  <c r="P20" i="62"/>
  <c r="V20" i="62" s="1"/>
  <c r="T20" i="62" l="1"/>
  <c r="W20" i="62"/>
  <c r="U20" i="62"/>
  <c r="H21" i="62"/>
  <c r="I21" i="62" l="1"/>
  <c r="J21" i="62"/>
  <c r="K21" i="62" l="1"/>
  <c r="M21" i="62" s="1"/>
  <c r="O21" i="62" s="1"/>
  <c r="Q21" i="62" l="1"/>
  <c r="T21" i="62" s="1"/>
  <c r="P21" i="62"/>
  <c r="V21" i="62" s="1"/>
  <c r="W21" i="62" l="1"/>
  <c r="U21" i="62"/>
  <c r="H22" i="62"/>
  <c r="I22" i="62" l="1"/>
  <c r="J22" i="62"/>
  <c r="K22" i="62" l="1"/>
  <c r="M22" i="62" s="1"/>
  <c r="O22" i="62" s="1"/>
  <c r="Q22" i="62" l="1"/>
  <c r="P22" i="62"/>
  <c r="V22" i="62" s="1"/>
  <c r="T22" i="62" l="1"/>
  <c r="W22" i="62"/>
  <c r="U22" i="62"/>
  <c r="H23" i="62"/>
  <c r="I23" i="62" l="1"/>
  <c r="J23" i="62"/>
  <c r="K23" i="62" l="1"/>
  <c r="M23" i="62" s="1"/>
  <c r="O23" i="62" s="1"/>
  <c r="Q23" i="62" l="1"/>
  <c r="P23" i="62"/>
  <c r="V23" i="62" s="1"/>
  <c r="T23" i="62" l="1"/>
  <c r="W23" i="62"/>
  <c r="H24" i="62"/>
  <c r="U23" i="62"/>
  <c r="I24" i="62" l="1"/>
  <c r="J24" i="62"/>
  <c r="K24" i="62" l="1"/>
  <c r="M24" i="62" s="1"/>
  <c r="O24" i="62" s="1"/>
  <c r="Q24" i="62" l="1"/>
  <c r="P24" i="62"/>
  <c r="V24" i="62" s="1"/>
  <c r="T24" i="62" l="1"/>
  <c r="U24" i="62" s="1"/>
  <c r="W24" i="62"/>
  <c r="H25" i="62" l="1"/>
  <c r="I25" i="62"/>
  <c r="J25" i="62"/>
  <c r="K25" i="62" l="1"/>
  <c r="M25" i="62" s="1"/>
  <c r="O25" i="62" s="1"/>
  <c r="Q25" i="62" l="1"/>
  <c r="P25" i="62"/>
  <c r="V25" i="62" s="1"/>
  <c r="T25" i="62" l="1"/>
  <c r="U25" i="62" s="1"/>
  <c r="W25" i="62"/>
  <c r="H26" i="62" l="1"/>
  <c r="I26" i="62"/>
  <c r="J26" i="62"/>
  <c r="K26" i="62" l="1"/>
  <c r="M26" i="62" s="1"/>
  <c r="O26" i="62" s="1"/>
  <c r="Q26" i="62" l="1"/>
  <c r="P26" i="62"/>
  <c r="V26" i="62" s="1"/>
  <c r="T26" i="62" l="1"/>
  <c r="U26" i="62" s="1"/>
  <c r="W26" i="62"/>
  <c r="H27" i="62" l="1"/>
  <c r="I27" i="62"/>
  <c r="J27" i="62"/>
  <c r="K27" i="62" l="1"/>
  <c r="M27" i="62" s="1"/>
  <c r="O27" i="62" s="1"/>
  <c r="Q27" i="62" l="1"/>
  <c r="P27" i="62"/>
  <c r="V27" i="62" s="1"/>
  <c r="T27" i="62" l="1"/>
  <c r="W27" i="62"/>
  <c r="H28" i="62"/>
  <c r="U27" i="62"/>
  <c r="I28" i="62" l="1"/>
  <c r="J28" i="62"/>
  <c r="K28" i="62" l="1"/>
  <c r="M28" i="62" s="1"/>
  <c r="O28" i="62" s="1"/>
  <c r="Q28" i="62" l="1"/>
  <c r="P28" i="62"/>
  <c r="V28" i="62" s="1"/>
  <c r="T28" i="62" l="1"/>
  <c r="W28" i="62"/>
  <c r="U28" i="62"/>
  <c r="H29" i="62"/>
  <c r="I29" i="62" l="1"/>
  <c r="J29" i="62"/>
  <c r="K29" i="62" l="1"/>
  <c r="M29" i="62" s="1"/>
  <c r="O29" i="62" s="1"/>
  <c r="Q29" i="62" l="1"/>
  <c r="T29" i="62" s="1"/>
  <c r="P29" i="62"/>
  <c r="V29" i="62" s="1"/>
  <c r="W29" i="62" l="1"/>
  <c r="H30" i="62"/>
  <c r="U29" i="62"/>
  <c r="I30" i="62" l="1"/>
  <c r="J30" i="62"/>
  <c r="K30" i="62" l="1"/>
  <c r="M30" i="62" s="1"/>
  <c r="O30" i="62" s="1"/>
  <c r="Q30" i="62" l="1"/>
  <c r="P30" i="62"/>
  <c r="V30" i="62" s="1"/>
  <c r="T30" i="62" l="1"/>
  <c r="U30" i="62" s="1"/>
  <c r="W30" i="62"/>
  <c r="H31" i="62" l="1"/>
  <c r="I31" i="62" s="1"/>
  <c r="J31" i="62"/>
  <c r="K31" i="62" l="1"/>
  <c r="M31" i="62" s="1"/>
  <c r="O31" i="62" s="1"/>
  <c r="Q31" i="62" l="1"/>
  <c r="P31" i="62"/>
  <c r="V31" i="62" s="1"/>
  <c r="T31" i="62" l="1"/>
  <c r="U31" i="62" s="1"/>
  <c r="W31" i="62"/>
  <c r="H32" i="62" l="1"/>
  <c r="I32" i="62" s="1"/>
  <c r="J32" i="62"/>
  <c r="K32" i="62" l="1"/>
  <c r="M32" i="62" s="1"/>
  <c r="O32" i="62" s="1"/>
  <c r="Q32" i="62" l="1"/>
  <c r="T32" i="62" s="1"/>
  <c r="P32" i="62"/>
  <c r="V32" i="62" s="1"/>
  <c r="W32" i="62" l="1"/>
  <c r="H33" i="62"/>
  <c r="U32" i="62"/>
  <c r="I33" i="62" l="1"/>
  <c r="J33" i="62"/>
  <c r="K33" i="62" l="1"/>
  <c r="M33" i="62" s="1"/>
  <c r="O33" i="62" s="1"/>
  <c r="Q33" i="62" l="1"/>
  <c r="T33" i="62" s="1"/>
  <c r="P33" i="62"/>
  <c r="V33" i="62" s="1"/>
  <c r="W33" i="62" l="1"/>
  <c r="U33" i="62"/>
  <c r="H34" i="62"/>
  <c r="I34" i="62" l="1"/>
  <c r="J34" i="62"/>
  <c r="K34" i="62" l="1"/>
  <c r="M34" i="62" s="1"/>
  <c r="O34" i="62" s="1"/>
  <c r="Q34" i="62" l="1"/>
  <c r="P34" i="62"/>
  <c r="V34" i="62" s="1"/>
  <c r="T34" i="62" l="1"/>
  <c r="W34" i="62"/>
  <c r="U34" i="62"/>
  <c r="H35" i="62"/>
  <c r="I35" i="62" l="1"/>
  <c r="J35" i="62"/>
  <c r="K35" i="62" l="1"/>
  <c r="M35" i="62" s="1"/>
  <c r="O35" i="62" s="1"/>
  <c r="Q35" i="62" l="1"/>
  <c r="T35" i="62" s="1"/>
  <c r="P35" i="62"/>
  <c r="V35" i="62" s="1"/>
  <c r="W35" i="62" l="1"/>
  <c r="U35" i="62"/>
  <c r="H36" i="62"/>
  <c r="I36" i="62" l="1"/>
  <c r="J36" i="62"/>
  <c r="K36" i="62" l="1"/>
  <c r="M36" i="62" s="1"/>
  <c r="O36" i="62" s="1"/>
  <c r="Q36" i="62" l="1"/>
  <c r="P36" i="62"/>
  <c r="V36" i="62" s="1"/>
  <c r="T36" i="62" l="1"/>
  <c r="W36" i="62"/>
  <c r="U36" i="62"/>
  <c r="H37" i="62"/>
  <c r="I37" i="62" l="1"/>
  <c r="J37" i="62"/>
  <c r="K37" i="62" l="1"/>
  <c r="M37" i="62" s="1"/>
  <c r="O37" i="62" s="1"/>
  <c r="Q37" i="62" l="1"/>
  <c r="P37" i="62"/>
  <c r="V37" i="62" s="1"/>
  <c r="T37" i="62" l="1"/>
  <c r="W37" i="62"/>
  <c r="U37" i="62"/>
  <c r="H38" i="62"/>
  <c r="I38" i="62" l="1"/>
  <c r="J38" i="62"/>
  <c r="K38" i="62" l="1"/>
  <c r="M38" i="62" s="1"/>
  <c r="O38" i="62" s="1"/>
  <c r="Q38" i="62" l="1"/>
  <c r="T38" i="62"/>
  <c r="P38" i="62"/>
  <c r="V38" i="62" s="1"/>
  <c r="W38" i="62" l="1"/>
  <c r="U38" i="62"/>
  <c r="H39" i="62"/>
  <c r="I39" i="62" l="1"/>
  <c r="J39" i="62"/>
  <c r="K39" i="62" l="1"/>
  <c r="M39" i="62" s="1"/>
  <c r="O39" i="62" s="1"/>
  <c r="Q39" i="62" l="1"/>
  <c r="P39" i="62"/>
  <c r="V39" i="62" s="1"/>
  <c r="T39" i="62" l="1"/>
  <c r="W39" i="62"/>
  <c r="U39" i="62"/>
  <c r="H40" i="62"/>
  <c r="I40" i="62" l="1"/>
  <c r="J40" i="62"/>
  <c r="K40" i="62" l="1"/>
  <c r="M40" i="62" s="1"/>
  <c r="O40" i="62" s="1"/>
  <c r="Q40" i="62" l="1"/>
  <c r="P40" i="62"/>
  <c r="V40" i="62" s="1"/>
  <c r="T40" i="62" l="1"/>
  <c r="U40" i="62" s="1"/>
  <c r="W40" i="62"/>
  <c r="H41" i="62" l="1"/>
  <c r="I41" i="62"/>
  <c r="J41" i="62"/>
  <c r="K41" i="62" l="1"/>
  <c r="M41" i="62" s="1"/>
  <c r="O41" i="62" s="1"/>
  <c r="Q41" i="62" l="1"/>
  <c r="P41" i="62"/>
  <c r="V41" i="62" s="1"/>
  <c r="T41" i="62" l="1"/>
  <c r="W41" i="62"/>
  <c r="U41" i="62"/>
  <c r="H42" i="62"/>
  <c r="I42" i="62" l="1"/>
  <c r="J42" i="62"/>
  <c r="K42" i="62" l="1"/>
  <c r="M42" i="62" s="1"/>
  <c r="O42" i="62" s="1"/>
  <c r="Q42" i="62" l="1"/>
  <c r="P42" i="62"/>
  <c r="V42" i="62" s="1"/>
  <c r="T42" i="62" l="1"/>
  <c r="W42" i="62"/>
  <c r="U42" i="62"/>
  <c r="H43" i="62"/>
  <c r="I43" i="62" l="1"/>
  <c r="J43" i="62"/>
  <c r="K43" i="62" l="1"/>
  <c r="M43" i="62" s="1"/>
  <c r="O43" i="62" s="1"/>
  <c r="Q43" i="62" l="1"/>
  <c r="T43" i="62" s="1"/>
  <c r="P43" i="62"/>
  <c r="V43" i="62" s="1"/>
  <c r="W43" i="62" l="1"/>
  <c r="U43" i="62"/>
  <c r="H44" i="62"/>
  <c r="I44" i="62" l="1"/>
  <c r="J44" i="62"/>
  <c r="K44" i="62" l="1"/>
  <c r="M44" i="62" s="1"/>
  <c r="O44" i="62" s="1"/>
  <c r="Q44" i="62" l="1"/>
  <c r="T44" i="62" s="1"/>
  <c r="P44" i="62"/>
  <c r="V44" i="62" s="1"/>
  <c r="W44" i="62" l="1"/>
  <c r="U44" i="62"/>
  <c r="H45" i="62"/>
  <c r="I45" i="62" l="1"/>
  <c r="J45" i="62"/>
  <c r="K45" i="62" l="1"/>
  <c r="M45" i="62" s="1"/>
  <c r="O45" i="62" s="1"/>
  <c r="Q45" i="62" l="1"/>
  <c r="P45" i="62"/>
  <c r="V45" i="62" s="1"/>
  <c r="T45" i="62" l="1"/>
  <c r="W45" i="62"/>
  <c r="U45" i="62"/>
  <c r="H46" i="62"/>
  <c r="I46" i="62" l="1"/>
  <c r="J46" i="62"/>
  <c r="K46" i="62" l="1"/>
  <c r="M46" i="62" s="1"/>
  <c r="O46" i="62" s="1"/>
  <c r="Q46" i="62" l="1"/>
  <c r="P46" i="62"/>
  <c r="V46" i="62" s="1"/>
  <c r="T46" i="62" l="1"/>
  <c r="U46" i="62" s="1"/>
  <c r="W46" i="62"/>
  <c r="H47" i="62" l="1"/>
  <c r="I47" i="62" s="1"/>
  <c r="J47" i="62"/>
  <c r="K47" i="62" l="1"/>
  <c r="M47" i="62" s="1"/>
  <c r="O47" i="62" s="1"/>
  <c r="Q47" i="62" l="1"/>
  <c r="P47" i="62"/>
  <c r="V47" i="62" s="1"/>
  <c r="T47" i="62" l="1"/>
  <c r="W47" i="62"/>
  <c r="U47" i="62"/>
  <c r="H48" i="62"/>
  <c r="I48" i="62" l="1"/>
  <c r="J48" i="62"/>
  <c r="K48" i="62" l="1"/>
  <c r="M48" i="62" s="1"/>
  <c r="O48" i="62" s="1"/>
  <c r="Q48" i="62" l="1"/>
  <c r="P48" i="62"/>
  <c r="V48" i="62" s="1"/>
  <c r="T48" i="62" l="1"/>
  <c r="W48" i="62"/>
  <c r="R9" i="62"/>
  <c r="R10" i="62" s="1"/>
  <c r="R11" i="62" s="1"/>
  <c r="R12" i="62" s="1"/>
  <c r="R13" i="62" s="1"/>
  <c r="R14" i="62" s="1"/>
  <c r="R15" i="62" s="1"/>
  <c r="R16" i="62" s="1"/>
  <c r="R17" i="62" s="1"/>
  <c r="R18" i="62" s="1"/>
  <c r="R19" i="62" s="1"/>
  <c r="R20" i="62" s="1"/>
  <c r="R21" i="62" s="1"/>
  <c r="R22" i="62" s="1"/>
  <c r="R23" i="62" s="1"/>
  <c r="R24" i="62" s="1"/>
  <c r="R25" i="62" s="1"/>
  <c r="R26" i="62" s="1"/>
  <c r="R27" i="62" s="1"/>
  <c r="R28" i="62" s="1"/>
  <c r="R29" i="62" s="1"/>
  <c r="R30" i="62" s="1"/>
  <c r="R31" i="62" s="1"/>
  <c r="R32" i="62" s="1"/>
  <c r="R33" i="62" s="1"/>
  <c r="R34" i="62" s="1"/>
  <c r="R35" i="62" s="1"/>
  <c r="R36" i="62" s="1"/>
  <c r="R37" i="62" s="1"/>
  <c r="R38" i="62" s="1"/>
  <c r="R39" i="62" s="1"/>
  <c r="R40" i="62" s="1"/>
  <c r="R41" i="62" s="1"/>
  <c r="R42" i="62" s="1"/>
  <c r="R43" i="62" s="1"/>
  <c r="R44" i="62" s="1"/>
  <c r="R45" i="62" s="1"/>
  <c r="R46" i="62" s="1"/>
  <c r="R47" i="62" s="1"/>
  <c r="R48" i="62" s="1"/>
  <c r="X9" i="62"/>
  <c r="Y9" i="62" l="1"/>
  <c r="X10" i="62"/>
  <c r="U48" i="62"/>
  <c r="H49" i="62"/>
  <c r="Y10" i="62" l="1"/>
  <c r="X11" i="62"/>
  <c r="I49" i="62"/>
  <c r="J49" i="62"/>
  <c r="Y11" i="62" l="1"/>
  <c r="X12" i="62"/>
  <c r="K49" i="62"/>
  <c r="M49" i="62" s="1"/>
  <c r="O49" i="62" s="1"/>
  <c r="Q49" i="62" l="1"/>
  <c r="Y12" i="62"/>
  <c r="X13" i="62"/>
  <c r="P49" i="62"/>
  <c r="V49" i="62" s="1"/>
  <c r="W49" i="62" l="1"/>
  <c r="T49" i="62"/>
  <c r="Y13" i="62"/>
  <c r="X14" i="62"/>
  <c r="R49" i="62"/>
  <c r="Y14" i="62" l="1"/>
  <c r="X15" i="62"/>
  <c r="U49" i="62"/>
  <c r="H50" i="62"/>
  <c r="Y15" i="62" l="1"/>
  <c r="X16" i="62"/>
  <c r="I50" i="62"/>
  <c r="J50" i="62"/>
  <c r="Y16" i="62" l="1"/>
  <c r="X17" i="62"/>
  <c r="K50" i="62"/>
  <c r="M50" i="62" s="1"/>
  <c r="O50" i="62" s="1"/>
  <c r="Q50" i="62" l="1"/>
  <c r="T50" i="62" s="1"/>
  <c r="Y17" i="62"/>
  <c r="X18" i="62"/>
  <c r="P50" i="62"/>
  <c r="V50" i="62" s="1"/>
  <c r="W50" i="62" l="1"/>
  <c r="Y18" i="62"/>
  <c r="X19" i="62"/>
  <c r="R50" i="62"/>
  <c r="Y19" i="62" l="1"/>
  <c r="X20" i="62"/>
  <c r="U50" i="62"/>
  <c r="H51" i="62"/>
  <c r="Y20" i="62" l="1"/>
  <c r="X21" i="62"/>
  <c r="I51" i="62"/>
  <c r="J51" i="62"/>
  <c r="Y21" i="62" l="1"/>
  <c r="X22" i="62"/>
  <c r="K51" i="62"/>
  <c r="M51" i="62" s="1"/>
  <c r="O51" i="62" s="1"/>
  <c r="Q51" i="62" l="1"/>
  <c r="Y22" i="62"/>
  <c r="X23" i="62"/>
  <c r="P51" i="62"/>
  <c r="V51" i="62" s="1"/>
  <c r="T51" i="62" l="1"/>
  <c r="W51" i="62"/>
  <c r="Y23" i="62"/>
  <c r="X24" i="62"/>
  <c r="R51" i="62"/>
  <c r="Y24" i="62" l="1"/>
  <c r="X25" i="62"/>
  <c r="U51" i="62"/>
  <c r="H52" i="62"/>
  <c r="Y25" i="62" l="1"/>
  <c r="X26" i="62"/>
  <c r="I52" i="62"/>
  <c r="J52" i="62"/>
  <c r="Y26" i="62" l="1"/>
  <c r="X27" i="62"/>
  <c r="K52" i="62"/>
  <c r="M52" i="62" s="1"/>
  <c r="O52" i="62" s="1"/>
  <c r="Q52" i="62" l="1"/>
  <c r="Y27" i="62"/>
  <c r="X28" i="62"/>
  <c r="P52" i="62"/>
  <c r="V52" i="62" s="1"/>
  <c r="T52" i="62" l="1"/>
  <c r="W52" i="62"/>
  <c r="Y28" i="62"/>
  <c r="X29" i="62"/>
  <c r="R52" i="62"/>
  <c r="Y29" i="62" l="1"/>
  <c r="X30" i="62"/>
  <c r="H53" i="62"/>
  <c r="U52" i="62"/>
  <c r="Y30" i="62" l="1"/>
  <c r="X31" i="62"/>
  <c r="I53" i="62"/>
  <c r="J53" i="62"/>
  <c r="Y31" i="62" l="1"/>
  <c r="X32" i="62"/>
  <c r="K53" i="62"/>
  <c r="M53" i="62" s="1"/>
  <c r="O53" i="62" s="1"/>
  <c r="Q53" i="62" l="1"/>
  <c r="T53" i="62" s="1"/>
  <c r="Y32" i="62"/>
  <c r="X33" i="62"/>
  <c r="P53" i="62"/>
  <c r="V53" i="62" s="1"/>
  <c r="W53" i="62" l="1"/>
  <c r="Y33" i="62"/>
  <c r="X34" i="62"/>
  <c r="R53" i="62"/>
  <c r="Y34" i="62" l="1"/>
  <c r="X35" i="62"/>
  <c r="U53" i="62"/>
  <c r="H54" i="62"/>
  <c r="Y35" i="62" l="1"/>
  <c r="X36" i="62"/>
  <c r="I54" i="62"/>
  <c r="J54" i="62"/>
  <c r="Y36" i="62" l="1"/>
  <c r="X37" i="62"/>
  <c r="K54" i="62"/>
  <c r="M54" i="62" s="1"/>
  <c r="O54" i="62" s="1"/>
  <c r="Q54" i="62" l="1"/>
  <c r="Y37" i="62"/>
  <c r="X38" i="62"/>
  <c r="P54" i="62"/>
  <c r="V54" i="62" s="1"/>
  <c r="T54" i="62" l="1"/>
  <c r="W54" i="62"/>
  <c r="Y38" i="62"/>
  <c r="X39" i="62"/>
  <c r="R54" i="62"/>
  <c r="Y39" i="62" l="1"/>
  <c r="X40" i="62"/>
  <c r="U54" i="62"/>
  <c r="H55" i="62"/>
  <c r="Y40" i="62" l="1"/>
  <c r="X41" i="62"/>
  <c r="I55" i="62"/>
  <c r="J55" i="62"/>
  <c r="Y41" i="62" l="1"/>
  <c r="X42" i="62"/>
  <c r="K55" i="62"/>
  <c r="M55" i="62" s="1"/>
  <c r="O55" i="62" s="1"/>
  <c r="Q55" i="62" l="1"/>
  <c r="T55" i="62" s="1"/>
  <c r="Y42" i="62"/>
  <c r="X43" i="62"/>
  <c r="P55" i="62"/>
  <c r="V55" i="62" s="1"/>
  <c r="W55" i="62" l="1"/>
  <c r="Y43" i="62"/>
  <c r="X44" i="62"/>
  <c r="R55" i="62"/>
  <c r="Y44" i="62" l="1"/>
  <c r="X45" i="62"/>
  <c r="H56" i="62"/>
  <c r="U55" i="62"/>
  <c r="Y45" i="62" l="1"/>
  <c r="X46" i="62"/>
  <c r="I56" i="62"/>
  <c r="J56" i="62"/>
  <c r="Y46" i="62" l="1"/>
  <c r="X47" i="62"/>
  <c r="K56" i="62"/>
  <c r="M56" i="62" s="1"/>
  <c r="O56" i="62" s="1"/>
  <c r="Q56" i="62" l="1"/>
  <c r="Y47" i="62"/>
  <c r="X48" i="62"/>
  <c r="P56" i="62"/>
  <c r="V56" i="62" s="1"/>
  <c r="T56" i="62" l="1"/>
  <c r="W56" i="62"/>
  <c r="Y48" i="62"/>
  <c r="X49" i="62"/>
  <c r="R56" i="62"/>
  <c r="Y49" i="62" l="1"/>
  <c r="X50" i="62"/>
  <c r="U56" i="62"/>
  <c r="H57" i="62"/>
  <c r="Y50" i="62" l="1"/>
  <c r="X51" i="62"/>
  <c r="I57" i="62"/>
  <c r="J57" i="62"/>
  <c r="Y51" i="62" l="1"/>
  <c r="X52" i="62"/>
  <c r="K57" i="62"/>
  <c r="M57" i="62" s="1"/>
  <c r="O57" i="62" s="1"/>
  <c r="Q57" i="62" l="1"/>
  <c r="Y52" i="62"/>
  <c r="X53" i="62"/>
  <c r="P57" i="62"/>
  <c r="V57" i="62" s="1"/>
  <c r="T57" i="62" l="1"/>
  <c r="W57" i="62"/>
  <c r="Y53" i="62"/>
  <c r="X54" i="62"/>
  <c r="R57" i="62"/>
  <c r="Y54" i="62" l="1"/>
  <c r="X55" i="62"/>
  <c r="U57" i="62"/>
  <c r="H58" i="62"/>
  <c r="Y55" i="62" l="1"/>
  <c r="X56" i="62"/>
  <c r="I58" i="62"/>
  <c r="J58" i="62"/>
  <c r="Y56" i="62" l="1"/>
  <c r="X57" i="62"/>
  <c r="Y57" i="62" s="1"/>
  <c r="K58" i="62"/>
  <c r="M58" i="62" s="1"/>
  <c r="O58" i="62" s="1"/>
  <c r="Q58" i="62" s="1"/>
  <c r="T58" i="62" l="1"/>
  <c r="P58" i="62"/>
  <c r="V58" i="62" s="1"/>
  <c r="W58" i="62" s="1"/>
  <c r="X58" i="62" l="1"/>
  <c r="Y58" i="62" s="1"/>
  <c r="J4" i="62" s="1"/>
  <c r="R58" i="62"/>
  <c r="E9" i="79" l="1"/>
  <c r="J2" i="62"/>
  <c r="H59" i="62"/>
  <c r="U58" i="62"/>
  <c r="J3" i="62" s="1"/>
  <c r="D9" i="79" l="1"/>
  <c r="C9" i="79"/>
  <c r="H9" i="61" l="1"/>
  <c r="I9" i="61" s="1"/>
  <c r="J9" i="61"/>
  <c r="K9" i="61" l="1"/>
  <c r="M9" i="61" s="1"/>
  <c r="O9" i="61" s="1"/>
  <c r="Q9" i="61" s="1"/>
  <c r="T9" i="61" l="1"/>
  <c r="P9" i="61"/>
  <c r="V9" i="61" s="1"/>
  <c r="W8" i="61" s="1"/>
  <c r="W9" i="61" l="1"/>
  <c r="U9" i="61"/>
  <c r="H10" i="61"/>
  <c r="I10" i="61" s="1"/>
  <c r="J10" i="61"/>
  <c r="K10" i="61" l="1"/>
  <c r="M10" i="61" s="1"/>
  <c r="O10" i="61" s="1"/>
  <c r="Q10" i="61" s="1"/>
  <c r="T10" i="61" s="1"/>
  <c r="P10" i="61" l="1"/>
  <c r="V10" i="61" s="1"/>
  <c r="W10" i="61" l="1"/>
  <c r="U10" i="61"/>
  <c r="H11" i="61"/>
  <c r="I11" i="61" s="1"/>
  <c r="J11" i="61"/>
  <c r="K11" i="61" l="1"/>
  <c r="M11" i="61" s="1"/>
  <c r="O11" i="61" s="1"/>
  <c r="Q11" i="61" l="1"/>
  <c r="T11" i="61" s="1"/>
  <c r="P11" i="61"/>
  <c r="V11" i="61" s="1"/>
  <c r="W11" i="61" l="1"/>
  <c r="H12" i="61"/>
  <c r="U11" i="61"/>
  <c r="I12" i="61" l="1"/>
  <c r="J12" i="61"/>
  <c r="K12" i="61" l="1"/>
  <c r="M12" i="61" s="1"/>
  <c r="O12" i="61" s="1"/>
  <c r="Q12" i="61" l="1"/>
  <c r="T12" i="61" s="1"/>
  <c r="P12" i="61"/>
  <c r="V12" i="61" s="1"/>
  <c r="W12" i="61" l="1"/>
  <c r="H13" i="61"/>
  <c r="U12" i="61"/>
  <c r="I13" i="61" l="1"/>
  <c r="J13" i="61"/>
  <c r="K13" i="61" l="1"/>
  <c r="M13" i="61" s="1"/>
  <c r="O13" i="61" s="1"/>
  <c r="Q13" i="61" l="1"/>
  <c r="T13" i="61" s="1"/>
  <c r="P13" i="61"/>
  <c r="V13" i="61" s="1"/>
  <c r="W13" i="61" l="1"/>
  <c r="H14" i="61"/>
  <c r="U13" i="61"/>
  <c r="I14" i="61" l="1"/>
  <c r="J14" i="61"/>
  <c r="K14" i="61" l="1"/>
  <c r="M14" i="61" s="1"/>
  <c r="O14" i="61" s="1"/>
  <c r="Q14" i="61" l="1"/>
  <c r="T14" i="61" s="1"/>
  <c r="P14" i="61"/>
  <c r="V14" i="61" s="1"/>
  <c r="W14" i="61" l="1"/>
  <c r="H15" i="61"/>
  <c r="U14" i="61"/>
  <c r="I15" i="61" l="1"/>
  <c r="J15" i="61"/>
  <c r="K15" i="61" l="1"/>
  <c r="M15" i="61" s="1"/>
  <c r="O15" i="61" s="1"/>
  <c r="Q15" i="61" l="1"/>
  <c r="T15" i="61" s="1"/>
  <c r="P15" i="61"/>
  <c r="V15" i="61" s="1"/>
  <c r="W15" i="61" l="1"/>
  <c r="H16" i="61"/>
  <c r="U15" i="61"/>
  <c r="I16" i="61" l="1"/>
  <c r="J16" i="61"/>
  <c r="K16" i="61" l="1"/>
  <c r="M16" i="61" s="1"/>
  <c r="O16" i="61" s="1"/>
  <c r="Q16" i="61" l="1"/>
  <c r="T16" i="61" s="1"/>
  <c r="P16" i="61"/>
  <c r="V16" i="61" s="1"/>
  <c r="W16" i="61" l="1"/>
  <c r="H17" i="61"/>
  <c r="U16" i="61"/>
  <c r="I17" i="61" l="1"/>
  <c r="J17" i="61"/>
  <c r="K17" i="61" l="1"/>
  <c r="M17" i="61" s="1"/>
  <c r="O17" i="61" s="1"/>
  <c r="Q17" i="61" l="1"/>
  <c r="T17" i="61" s="1"/>
  <c r="P17" i="61"/>
  <c r="V17" i="61" s="1"/>
  <c r="W17" i="61" l="1"/>
  <c r="U17" i="61"/>
  <c r="H18" i="61"/>
  <c r="I18" i="61" l="1"/>
  <c r="J18" i="61"/>
  <c r="K18" i="61" l="1"/>
  <c r="M18" i="61" s="1"/>
  <c r="O18" i="61" s="1"/>
  <c r="Q18" i="61" l="1"/>
  <c r="T18" i="61" s="1"/>
  <c r="P18" i="61"/>
  <c r="V18" i="61" s="1"/>
  <c r="W18" i="61" l="1"/>
  <c r="H19" i="61"/>
  <c r="U18" i="61"/>
  <c r="I19" i="61" l="1"/>
  <c r="J19" i="61"/>
  <c r="K19" i="61" l="1"/>
  <c r="M19" i="61" s="1"/>
  <c r="O19" i="61" s="1"/>
  <c r="Q19" i="61" l="1"/>
  <c r="T19" i="61" s="1"/>
  <c r="P19" i="61"/>
  <c r="V19" i="61" s="1"/>
  <c r="W19" i="61" l="1"/>
  <c r="H20" i="61"/>
  <c r="U19" i="61"/>
  <c r="I20" i="61" l="1"/>
  <c r="R9" i="61"/>
  <c r="R10" i="61" s="1"/>
  <c r="R11" i="61" s="1"/>
  <c r="R12" i="61" s="1"/>
  <c r="R13" i="61" s="1"/>
  <c r="R14" i="61" s="1"/>
  <c r="R15" i="61" s="1"/>
  <c r="R16" i="61" s="1"/>
  <c r="R17" i="61" s="1"/>
  <c r="R18" i="61" s="1"/>
  <c r="R19" i="61" s="1"/>
  <c r="J20" i="61"/>
  <c r="K20" i="61" l="1"/>
  <c r="M20" i="61" s="1"/>
  <c r="O20" i="61" s="1"/>
  <c r="Q20" i="61" l="1"/>
  <c r="T20" i="61" s="1"/>
  <c r="P20" i="61"/>
  <c r="V20" i="61" s="1"/>
  <c r="W20" i="61" l="1"/>
  <c r="R20" i="61"/>
  <c r="U20" i="61" l="1"/>
  <c r="H21" i="61"/>
  <c r="I21" i="61" l="1"/>
  <c r="J21" i="61"/>
  <c r="K21" i="61" l="1"/>
  <c r="M21" i="61" s="1"/>
  <c r="O21" i="61" s="1"/>
  <c r="Q21" i="61" l="1"/>
  <c r="T21" i="61" s="1"/>
  <c r="P21" i="61"/>
  <c r="V21" i="61" s="1"/>
  <c r="W21" i="61" l="1"/>
  <c r="R21" i="61"/>
  <c r="H22" i="61" l="1"/>
  <c r="U21" i="61"/>
  <c r="I22" i="61" l="1"/>
  <c r="J22" i="61"/>
  <c r="K22" i="61" l="1"/>
  <c r="M22" i="61" s="1"/>
  <c r="O22" i="61" s="1"/>
  <c r="Q22" i="61" l="1"/>
  <c r="T22" i="61" s="1"/>
  <c r="P22" i="61"/>
  <c r="V22" i="61" s="1"/>
  <c r="W22" i="61" l="1"/>
  <c r="R22" i="61"/>
  <c r="U22" i="61" l="1"/>
  <c r="H23" i="61"/>
  <c r="I23" i="61" l="1"/>
  <c r="J23" i="61"/>
  <c r="K23" i="61" l="1"/>
  <c r="M23" i="61" s="1"/>
  <c r="O23" i="61" s="1"/>
  <c r="Q23" i="61" l="1"/>
  <c r="T23" i="61" s="1"/>
  <c r="P23" i="61"/>
  <c r="V23" i="61" s="1"/>
  <c r="W23" i="61" l="1"/>
  <c r="R23" i="61"/>
  <c r="H24" i="61" l="1"/>
  <c r="U23" i="61"/>
  <c r="I24" i="61" l="1"/>
  <c r="J24" i="61"/>
  <c r="K24" i="61" l="1"/>
  <c r="M24" i="61" s="1"/>
  <c r="O24" i="61" s="1"/>
  <c r="Q24" i="61" l="1"/>
  <c r="T24" i="61" s="1"/>
  <c r="P24" i="61"/>
  <c r="V24" i="61" s="1"/>
  <c r="W24" i="61" l="1"/>
  <c r="R24" i="61"/>
  <c r="U24" i="61" l="1"/>
  <c r="H25" i="61"/>
  <c r="I25" i="61" l="1"/>
  <c r="J25" i="61"/>
  <c r="K25" i="61" l="1"/>
  <c r="M25" i="61" s="1"/>
  <c r="O25" i="61" s="1"/>
  <c r="Q25" i="61" l="1"/>
  <c r="T25" i="61" s="1"/>
  <c r="P25" i="61"/>
  <c r="V25" i="61" s="1"/>
  <c r="W25" i="61" l="1"/>
  <c r="R25" i="61"/>
  <c r="H26" i="61" l="1"/>
  <c r="U25" i="61"/>
  <c r="I26" i="61" l="1"/>
  <c r="J26" i="61"/>
  <c r="K26" i="61" l="1"/>
  <c r="M26" i="61" s="1"/>
  <c r="O26" i="61" s="1"/>
  <c r="Q26" i="61" l="1"/>
  <c r="T26" i="61" s="1"/>
  <c r="P26" i="61"/>
  <c r="V26" i="61" s="1"/>
  <c r="W26" i="61" l="1"/>
  <c r="R26" i="61"/>
  <c r="U26" i="61" l="1"/>
  <c r="H27" i="61"/>
  <c r="I27" i="61" l="1"/>
  <c r="J27" i="61"/>
  <c r="K27" i="61" l="1"/>
  <c r="M27" i="61" s="1"/>
  <c r="O27" i="61" s="1"/>
  <c r="Q27" i="61" l="1"/>
  <c r="T27" i="61" s="1"/>
  <c r="P27" i="61"/>
  <c r="V27" i="61" s="1"/>
  <c r="W27" i="61" l="1"/>
  <c r="R27" i="61"/>
  <c r="H28" i="61" l="1"/>
  <c r="U27" i="61"/>
  <c r="I28" i="61" l="1"/>
  <c r="J28" i="61"/>
  <c r="K28" i="61" l="1"/>
  <c r="M28" i="61" s="1"/>
  <c r="O28" i="61" s="1"/>
  <c r="Q28" i="61" l="1"/>
  <c r="T28" i="61" s="1"/>
  <c r="P28" i="61"/>
  <c r="V28" i="61" s="1"/>
  <c r="W28" i="61" l="1"/>
  <c r="R28" i="61"/>
  <c r="U28" i="61" l="1"/>
  <c r="H29" i="61"/>
  <c r="I29" i="61" l="1"/>
  <c r="J29" i="61"/>
  <c r="K29" i="61" l="1"/>
  <c r="M29" i="61" s="1"/>
  <c r="O29" i="61" s="1"/>
  <c r="Q29" i="61" l="1"/>
  <c r="T29" i="61" s="1"/>
  <c r="P29" i="61"/>
  <c r="V29" i="61" s="1"/>
  <c r="W29" i="61" l="1"/>
  <c r="R29" i="61"/>
  <c r="H30" i="61" l="1"/>
  <c r="U29" i="61"/>
  <c r="I30" i="61" l="1"/>
  <c r="J30" i="61"/>
  <c r="K30" i="61" l="1"/>
  <c r="M30" i="61" s="1"/>
  <c r="O30" i="61" s="1"/>
  <c r="Q30" i="61" l="1"/>
  <c r="T30" i="61" s="1"/>
  <c r="P30" i="61"/>
  <c r="V30" i="61" s="1"/>
  <c r="W30" i="61" l="1"/>
  <c r="R30" i="61"/>
  <c r="H31" i="61" l="1"/>
  <c r="U30" i="61"/>
  <c r="I31" i="61" l="1"/>
  <c r="J31" i="61"/>
  <c r="K31" i="61" l="1"/>
  <c r="M31" i="61" s="1"/>
  <c r="O31" i="61" s="1"/>
  <c r="Q31" i="61" l="1"/>
  <c r="T31" i="61" s="1"/>
  <c r="P31" i="61"/>
  <c r="V31" i="61" s="1"/>
  <c r="W31" i="61" l="1"/>
  <c r="R31" i="61"/>
  <c r="U31" i="61" l="1"/>
  <c r="H32" i="61"/>
  <c r="I32" i="61" l="1"/>
  <c r="J32" i="61"/>
  <c r="K32" i="61" l="1"/>
  <c r="M32" i="61" s="1"/>
  <c r="O32" i="61" s="1"/>
  <c r="Q32" i="61" l="1"/>
  <c r="T32" i="61" s="1"/>
  <c r="P32" i="61"/>
  <c r="V32" i="61" s="1"/>
  <c r="W32" i="61" l="1"/>
  <c r="R32" i="61"/>
  <c r="H33" i="61" l="1"/>
  <c r="U32" i="61"/>
  <c r="I33" i="61" l="1"/>
  <c r="J33" i="61"/>
  <c r="K33" i="61" l="1"/>
  <c r="M33" i="61" s="1"/>
  <c r="O33" i="61" s="1"/>
  <c r="Q33" i="61" l="1"/>
  <c r="T33" i="61" s="1"/>
  <c r="P33" i="61"/>
  <c r="V33" i="61" s="1"/>
  <c r="W33" i="61" l="1"/>
  <c r="R33" i="61"/>
  <c r="U33" i="61" l="1"/>
  <c r="H34" i="61"/>
  <c r="I34" i="61" l="1"/>
  <c r="J34" i="61"/>
  <c r="K34" i="61" l="1"/>
  <c r="M34" i="61" s="1"/>
  <c r="O34" i="61" s="1"/>
  <c r="Q34" i="61" l="1"/>
  <c r="T34" i="61" s="1"/>
  <c r="P34" i="61"/>
  <c r="V34" i="61" s="1"/>
  <c r="W34" i="61" l="1"/>
  <c r="R34" i="61"/>
  <c r="H35" i="61" l="1"/>
  <c r="U34" i="61"/>
  <c r="I35" i="61" l="1"/>
  <c r="J35" i="61"/>
  <c r="K35" i="61" l="1"/>
  <c r="M35" i="61" s="1"/>
  <c r="O35" i="61" s="1"/>
  <c r="Q35" i="61" l="1"/>
  <c r="T35" i="61" s="1"/>
  <c r="P35" i="61"/>
  <c r="V35" i="61" s="1"/>
  <c r="W35" i="61" l="1"/>
  <c r="R35" i="61"/>
  <c r="U35" i="61" l="1"/>
  <c r="H36" i="61"/>
  <c r="I36" i="61" l="1"/>
  <c r="J36" i="61"/>
  <c r="K36" i="61" l="1"/>
  <c r="M36" i="61" s="1"/>
  <c r="O36" i="61" s="1"/>
  <c r="Q36" i="61" l="1"/>
  <c r="T36" i="61" s="1"/>
  <c r="P36" i="61"/>
  <c r="V36" i="61" s="1"/>
  <c r="W36" i="61" l="1"/>
  <c r="R36" i="61"/>
  <c r="H37" i="61" l="1"/>
  <c r="U36" i="61"/>
  <c r="I37" i="61" l="1"/>
  <c r="J37" i="61"/>
  <c r="K37" i="61" l="1"/>
  <c r="M37" i="61" s="1"/>
  <c r="O37" i="61" s="1"/>
  <c r="Q37" i="61" l="1"/>
  <c r="T37" i="61" s="1"/>
  <c r="P37" i="61"/>
  <c r="V37" i="61" s="1"/>
  <c r="W37" i="61" l="1"/>
  <c r="R37" i="61"/>
  <c r="U37" i="61" l="1"/>
  <c r="H38" i="61"/>
  <c r="I38" i="61" l="1"/>
  <c r="J38" i="61"/>
  <c r="K38" i="61" l="1"/>
  <c r="M38" i="61" s="1"/>
  <c r="O38" i="61" s="1"/>
  <c r="Q38" i="61" l="1"/>
  <c r="T38" i="61" s="1"/>
  <c r="P38" i="61"/>
  <c r="V38" i="61" s="1"/>
  <c r="W38" i="61" l="1"/>
  <c r="R38" i="61"/>
  <c r="H49" i="61" l="1"/>
  <c r="H39" i="61"/>
  <c r="U38" i="61"/>
  <c r="I39" i="61" l="1"/>
  <c r="J39" i="61"/>
  <c r="K39" i="61" l="1"/>
  <c r="M39" i="61" s="1"/>
  <c r="O39" i="61" s="1"/>
  <c r="Q39" i="61" l="1"/>
  <c r="T39" i="61" s="1"/>
  <c r="P39" i="61"/>
  <c r="V39" i="61" s="1"/>
  <c r="W39" i="61" l="1"/>
  <c r="R39" i="61"/>
  <c r="U39" i="61" l="1"/>
  <c r="H40" i="61"/>
  <c r="I40" i="61" l="1"/>
  <c r="J40" i="61"/>
  <c r="K40" i="61" l="1"/>
  <c r="M40" i="61" s="1"/>
  <c r="O40" i="61" s="1"/>
  <c r="Q40" i="61" l="1"/>
  <c r="T40" i="61" s="1"/>
  <c r="P40" i="61"/>
  <c r="V40" i="61" s="1"/>
  <c r="W40" i="61" l="1"/>
  <c r="R40" i="61"/>
  <c r="H41" i="61" l="1"/>
  <c r="U40" i="61"/>
  <c r="I41" i="61" l="1"/>
  <c r="J41" i="61"/>
  <c r="K41" i="61" l="1"/>
  <c r="M41" i="61" s="1"/>
  <c r="O41" i="61" s="1"/>
  <c r="Q41" i="61" l="1"/>
  <c r="T41" i="61" s="1"/>
  <c r="P41" i="61"/>
  <c r="V41" i="61" s="1"/>
  <c r="W41" i="61" l="1"/>
  <c r="R41" i="61"/>
  <c r="U41" i="61" l="1"/>
  <c r="H42" i="61"/>
  <c r="I42" i="61" l="1"/>
  <c r="J42" i="61"/>
  <c r="K42" i="61" l="1"/>
  <c r="M42" i="61" s="1"/>
  <c r="O42" i="61" s="1"/>
  <c r="Q42" i="61" l="1"/>
  <c r="T42" i="61" s="1"/>
  <c r="P42" i="61"/>
  <c r="V42" i="61" s="1"/>
  <c r="W42" i="61" l="1"/>
  <c r="R42" i="61"/>
  <c r="H43" i="61" l="1"/>
  <c r="U42" i="61"/>
  <c r="I43" i="61" l="1"/>
  <c r="J43" i="61"/>
  <c r="K43" i="61" l="1"/>
  <c r="M43" i="61" s="1"/>
  <c r="O43" i="61" s="1"/>
  <c r="Q43" i="61" l="1"/>
  <c r="T43" i="61" s="1"/>
  <c r="P43" i="61"/>
  <c r="V43" i="61" s="1"/>
  <c r="W43" i="61" l="1"/>
  <c r="R43" i="61"/>
  <c r="U43" i="61" l="1"/>
  <c r="H44" i="61"/>
  <c r="I44" i="61" l="1"/>
  <c r="J44" i="61"/>
  <c r="K44" i="61" l="1"/>
  <c r="M44" i="61" s="1"/>
  <c r="O44" i="61" s="1"/>
  <c r="Q44" i="61" l="1"/>
  <c r="T44" i="61" s="1"/>
  <c r="P44" i="61"/>
  <c r="V44" i="61" s="1"/>
  <c r="W44" i="61" l="1"/>
  <c r="R44" i="61"/>
  <c r="U44" i="61" l="1"/>
  <c r="H45" i="61"/>
  <c r="I45" i="61" l="1"/>
  <c r="J45" i="61"/>
  <c r="K45" i="61" l="1"/>
  <c r="M45" i="61" s="1"/>
  <c r="O45" i="61" s="1"/>
  <c r="Q45" i="61" l="1"/>
  <c r="T45" i="61" s="1"/>
  <c r="P45" i="61"/>
  <c r="V45" i="61" s="1"/>
  <c r="W45" i="61" l="1"/>
  <c r="R45" i="61"/>
  <c r="H46" i="61" l="1"/>
  <c r="U45" i="61"/>
  <c r="I46" i="61" l="1"/>
  <c r="J46" i="61"/>
  <c r="K46" i="61" l="1"/>
  <c r="M46" i="61" s="1"/>
  <c r="O46" i="61" s="1"/>
  <c r="Q46" i="61" l="1"/>
  <c r="T46" i="61" s="1"/>
  <c r="P46" i="61"/>
  <c r="V46" i="61" s="1"/>
  <c r="W46" i="61" l="1"/>
  <c r="R46" i="61"/>
  <c r="U46" i="61" l="1"/>
  <c r="H47" i="61"/>
  <c r="I47" i="61" l="1"/>
  <c r="J47" i="61"/>
  <c r="K47" i="61" l="1"/>
  <c r="M47" i="61" s="1"/>
  <c r="O47" i="61" s="1"/>
  <c r="Q47" i="61" l="1"/>
  <c r="T47" i="61" s="1"/>
  <c r="P47" i="61"/>
  <c r="V47" i="61" s="1"/>
  <c r="W47" i="61" l="1"/>
  <c r="R47" i="61"/>
  <c r="H48" i="61" l="1"/>
  <c r="I48" i="61" s="1"/>
  <c r="U47" i="61"/>
  <c r="J48" i="61"/>
  <c r="K48" i="61" l="1"/>
  <c r="M48" i="61" s="1"/>
  <c r="O48" i="61" s="1"/>
  <c r="Q48" i="61" s="1"/>
  <c r="T48" i="61" s="1"/>
  <c r="P48" i="61" l="1"/>
  <c r="V48" i="61" s="1"/>
  <c r="W48" i="61" s="1"/>
  <c r="X9" i="61" l="1"/>
  <c r="U48" i="61"/>
  <c r="J3" i="61" s="1"/>
  <c r="D8" i="79" s="1"/>
  <c r="R48" i="61"/>
  <c r="J2" i="61" s="1"/>
  <c r="C8" i="79" s="1"/>
  <c r="Y9" i="61" l="1"/>
  <c r="X10" i="61"/>
  <c r="Y10" i="61" l="1"/>
  <c r="X11" i="61"/>
  <c r="Y11" i="61" l="1"/>
  <c r="X12" i="61"/>
  <c r="X13" i="61" l="1"/>
  <c r="Y12" i="61"/>
  <c r="Y13" i="61" l="1"/>
  <c r="X14" i="61"/>
  <c r="Y14" i="61" l="1"/>
  <c r="X15" i="61"/>
  <c r="X16" i="61" l="1"/>
  <c r="Y15" i="61"/>
  <c r="Y16" i="61" l="1"/>
  <c r="X17" i="61"/>
  <c r="X18" i="61" l="1"/>
  <c r="Y17" i="61"/>
  <c r="Y18" i="61" l="1"/>
  <c r="X19" i="61"/>
  <c r="X20" i="61" l="1"/>
  <c r="Y19" i="61"/>
  <c r="X21" i="61" l="1"/>
  <c r="Y20" i="61"/>
  <c r="Y21" i="61" l="1"/>
  <c r="X22" i="61"/>
  <c r="X23" i="61" l="1"/>
  <c r="Y22" i="61"/>
  <c r="Y23" i="61" l="1"/>
  <c r="X24" i="61"/>
  <c r="X25" i="61" l="1"/>
  <c r="Y24" i="61"/>
  <c r="X26" i="61" l="1"/>
  <c r="Y25" i="61"/>
  <c r="Y26" i="61" l="1"/>
  <c r="X27" i="61"/>
  <c r="Y27" i="61" l="1"/>
  <c r="X28" i="61"/>
  <c r="Y28" i="61" l="1"/>
  <c r="X29" i="61"/>
  <c r="Y29" i="61" l="1"/>
  <c r="X30" i="61"/>
  <c r="X31" i="61" l="1"/>
  <c r="Y30" i="61"/>
  <c r="Y31" i="61" l="1"/>
  <c r="X32" i="61"/>
  <c r="Y32" i="61" l="1"/>
  <c r="X33" i="61"/>
  <c r="Y33" i="61" l="1"/>
  <c r="X34" i="61"/>
  <c r="Y34" i="61" l="1"/>
  <c r="X35" i="61"/>
  <c r="Y35" i="61" l="1"/>
  <c r="X36" i="61"/>
  <c r="Y36" i="61" l="1"/>
  <c r="X37" i="61"/>
  <c r="X38" i="61" l="1"/>
  <c r="Y37" i="61"/>
  <c r="Y38" i="61" l="1"/>
  <c r="X39" i="61"/>
  <c r="Y39" i="61" l="1"/>
  <c r="X40" i="61"/>
  <c r="Y40" i="61" l="1"/>
  <c r="X41" i="61"/>
  <c r="Y41" i="61" l="1"/>
  <c r="X42" i="61"/>
  <c r="Y42" i="61" l="1"/>
  <c r="X43" i="61"/>
  <c r="Y43" i="61" l="1"/>
  <c r="X44" i="61"/>
  <c r="X45" i="61" l="1"/>
  <c r="Y44" i="61"/>
  <c r="Y45" i="61" l="1"/>
  <c r="X46" i="61"/>
  <c r="Y46" i="61" l="1"/>
  <c r="X47" i="61"/>
  <c r="Y47" i="61" l="1"/>
  <c r="X48" i="61"/>
  <c r="Y48" i="61" s="1"/>
  <c r="J4" i="61" s="1"/>
  <c r="E8" i="79" s="1"/>
  <c r="R9" i="65" l="1"/>
  <c r="S9" i="65" s="1"/>
  <c r="R10" i="65" l="1"/>
  <c r="R11" i="65" s="1"/>
  <c r="S11" i="65" s="1"/>
  <c r="S10" i="65"/>
  <c r="R12" i="65" l="1"/>
  <c r="S12" i="65" s="1"/>
  <c r="R13" i="65" l="1"/>
  <c r="R14" i="65"/>
  <c r="S13" i="65"/>
  <c r="R15" i="65" l="1"/>
  <c r="S14" i="65"/>
  <c r="S15" i="65" l="1"/>
  <c r="R16" i="65"/>
  <c r="S16" i="65" l="1"/>
  <c r="R17" i="65"/>
  <c r="R18" i="65" l="1"/>
  <c r="S17" i="65"/>
  <c r="R19" i="65" l="1"/>
  <c r="S18" i="65"/>
  <c r="S19" i="65" l="1"/>
  <c r="R20" i="65"/>
  <c r="S20" i="65" l="1"/>
  <c r="R21" i="65"/>
  <c r="R22" i="65" l="1"/>
  <c r="S21" i="65"/>
  <c r="R23" i="65" l="1"/>
  <c r="S22" i="65"/>
  <c r="S23" i="65" l="1"/>
  <c r="R24" i="65"/>
  <c r="S24" i="65" l="1"/>
  <c r="R25" i="65"/>
  <c r="R26" i="65" l="1"/>
  <c r="S25" i="65"/>
  <c r="R27" i="65" l="1"/>
  <c r="S26" i="65"/>
  <c r="S27" i="65" l="1"/>
  <c r="R28" i="65"/>
  <c r="S28" i="65" l="1"/>
  <c r="R29" i="65"/>
  <c r="R30" i="65" l="1"/>
  <c r="S29" i="65"/>
  <c r="R31" i="65" l="1"/>
  <c r="S30" i="65"/>
  <c r="S31" i="65" l="1"/>
  <c r="R32" i="65"/>
  <c r="S32" i="65" l="1"/>
  <c r="R33" i="65"/>
  <c r="R34" i="65" l="1"/>
  <c r="S33" i="65"/>
  <c r="R35" i="65" l="1"/>
  <c r="S34" i="65"/>
  <c r="S35" i="65" l="1"/>
  <c r="R36" i="65"/>
  <c r="S36" i="65" l="1"/>
  <c r="R37" i="65"/>
  <c r="R38" i="65" l="1"/>
  <c r="S37" i="65"/>
  <c r="R39" i="65" l="1"/>
  <c r="S38" i="65"/>
  <c r="S39" i="65" l="1"/>
  <c r="R40" i="65"/>
  <c r="S40" i="65" l="1"/>
  <c r="R41" i="65"/>
  <c r="R42" i="65" l="1"/>
  <c r="S41" i="65"/>
  <c r="R43" i="65" l="1"/>
  <c r="S42" i="65"/>
  <c r="S43" i="65" l="1"/>
  <c r="R44" i="65"/>
  <c r="S44" i="65" l="1"/>
  <c r="R45" i="65"/>
  <c r="R46" i="65" l="1"/>
  <c r="S45" i="65"/>
  <c r="R47" i="65" l="1"/>
  <c r="S46" i="65"/>
  <c r="S47" i="65" l="1"/>
  <c r="R48" i="65"/>
  <c r="S48" i="65" s="1"/>
  <c r="J4" i="65" s="1"/>
  <c r="Y54" i="60"/>
  <c r="Y55" i="60" s="1"/>
  <c r="Y56" i="60" s="1"/>
  <c r="Z56" i="60" a="1"/>
  <c r="Z55" i="60" a="1"/>
  <c r="Z54" i="60" a="1"/>
  <c r="Z56" i="60" l="1"/>
  <c r="AB56" i="60" s="1"/>
  <c r="AD56" i="60" s="1"/>
  <c r="Z55" i="60"/>
  <c r="AB55" i="60" s="1"/>
  <c r="AD55" i="60" s="1"/>
  <c r="Z54" i="60"/>
  <c r="AB54" i="60" s="1"/>
  <c r="AD54" i="60" s="1"/>
  <c r="Y57" i="60"/>
  <c r="AA54" i="60" a="1"/>
  <c r="Z57" i="60" a="1"/>
  <c r="AA55" i="60" a="1"/>
  <c r="AA56" i="60" a="1"/>
  <c r="AA54" i="60" l="1"/>
  <c r="AC54" i="60" s="1"/>
  <c r="AA55" i="60"/>
  <c r="AC55" i="60" s="1"/>
  <c r="AA56" i="60"/>
  <c r="AC56" i="60" s="1"/>
  <c r="Z57" i="60"/>
  <c r="AB57" i="60" s="1"/>
  <c r="AD57" i="60" s="1"/>
  <c r="Y58" i="60"/>
  <c r="AA57" i="60" a="1"/>
  <c r="Z58" i="60" a="1"/>
  <c r="AL56" i="60" l="1"/>
  <c r="AF56" i="60"/>
  <c r="AL55" i="60"/>
  <c r="AM56" i="60" s="1"/>
  <c r="AO56" i="60" s="1"/>
  <c r="AF55" i="60"/>
  <c r="AG56" i="60" s="1"/>
  <c r="AI56" i="60" s="1"/>
  <c r="AF54" i="60"/>
  <c r="AL54" i="60"/>
  <c r="AA57" i="60"/>
  <c r="AC57" i="60" s="1"/>
  <c r="Z58" i="60"/>
  <c r="AB58" i="60" s="1"/>
  <c r="AD58" i="60" s="1"/>
  <c r="Y59" i="60"/>
  <c r="AA58" i="60" a="1"/>
  <c r="Z59" i="60" a="1"/>
  <c r="AF57" i="60" l="1"/>
  <c r="AL57" i="60"/>
  <c r="AM54" i="60"/>
  <c r="AM55" i="60"/>
  <c r="AO55" i="60" s="1"/>
  <c r="AG55" i="60"/>
  <c r="AI55" i="60" s="1"/>
  <c r="AG54" i="60"/>
  <c r="AM57" i="60"/>
  <c r="AO57" i="60" s="1"/>
  <c r="AA58" i="60"/>
  <c r="AC58" i="60" s="1"/>
  <c r="Z59" i="60"/>
  <c r="AB59" i="60" s="1"/>
  <c r="AD59" i="60" s="1"/>
  <c r="Y60" i="60"/>
  <c r="AA59" i="60" a="1"/>
  <c r="Z60" i="60" a="1"/>
  <c r="AF58" i="60" l="1"/>
  <c r="AL58" i="60"/>
  <c r="AI54" i="60"/>
  <c r="AJ54" i="60" s="1"/>
  <c r="AJ55" i="60" s="1"/>
  <c r="AJ56" i="60" s="1"/>
  <c r="AH54" i="60"/>
  <c r="AH55" i="60" s="1"/>
  <c r="AH56" i="60" s="1"/>
  <c r="AO54" i="60"/>
  <c r="AP54" i="60" s="1"/>
  <c r="AP55" i="60" s="1"/>
  <c r="AP56" i="60" s="1"/>
  <c r="AP57" i="60" s="1"/>
  <c r="AN54" i="60"/>
  <c r="AN55" i="60" s="1"/>
  <c r="AN56" i="60" s="1"/>
  <c r="AN57" i="60" s="1"/>
  <c r="AM58" i="60"/>
  <c r="AO58" i="60" s="1"/>
  <c r="AG57" i="60"/>
  <c r="AI57" i="60" s="1"/>
  <c r="AA59" i="60"/>
  <c r="AC59" i="60" s="1"/>
  <c r="Z60" i="60"/>
  <c r="AB60" i="60" s="1"/>
  <c r="AD60" i="60" s="1"/>
  <c r="Y61" i="60"/>
  <c r="Z61" i="60" a="1"/>
  <c r="AA60" i="60" a="1"/>
  <c r="AN58" i="60" l="1"/>
  <c r="AF59" i="60"/>
  <c r="AL59" i="60"/>
  <c r="AH57" i="60"/>
  <c r="AP58" i="60"/>
  <c r="AJ57" i="60"/>
  <c r="AM59" i="60"/>
  <c r="AO59" i="60" s="1"/>
  <c r="AG59" i="60"/>
  <c r="AI59" i="60" s="1"/>
  <c r="AG58" i="60"/>
  <c r="AI58" i="60" s="1"/>
  <c r="AA60" i="60"/>
  <c r="AC60" i="60" s="1"/>
  <c r="Z61" i="60"/>
  <c r="AB61" i="60" s="1"/>
  <c r="AD61" i="60" s="1"/>
  <c r="Y62" i="60"/>
  <c r="Z62" i="60" a="1"/>
  <c r="AA61" i="60" a="1"/>
  <c r="AJ58" i="60" l="1"/>
  <c r="AJ59" i="60" s="1"/>
  <c r="AH58" i="60"/>
  <c r="AH59" i="60" s="1"/>
  <c r="AL60" i="60"/>
  <c r="AF60" i="60"/>
  <c r="AP59" i="60"/>
  <c r="AM60" i="60"/>
  <c r="AO60" i="60" s="1"/>
  <c r="AG60" i="60"/>
  <c r="AI60" i="60" s="1"/>
  <c r="AN59" i="60"/>
  <c r="AA61" i="60"/>
  <c r="AC61" i="60" s="1"/>
  <c r="Z62" i="60"/>
  <c r="AB62" i="60" s="1"/>
  <c r="AD62" i="60" s="1"/>
  <c r="Y63" i="60"/>
  <c r="Z63" i="60" a="1"/>
  <c r="AA62" i="60" a="1"/>
  <c r="AN60" i="60" l="1"/>
  <c r="AL61" i="60"/>
  <c r="AF61" i="60"/>
  <c r="AP60" i="60"/>
  <c r="AG61" i="60"/>
  <c r="AI61" i="60" s="1"/>
  <c r="AM61" i="60"/>
  <c r="AO61" i="60" s="1"/>
  <c r="AH60" i="60"/>
  <c r="AJ60" i="60"/>
  <c r="AA62" i="60"/>
  <c r="AC62" i="60" s="1"/>
  <c r="Z63" i="60"/>
  <c r="AB63" i="60" s="1"/>
  <c r="AD63" i="60" s="1"/>
  <c r="AA63" i="60" a="1"/>
  <c r="AN61" i="60" l="1"/>
  <c r="AJ61" i="60"/>
  <c r="AH61" i="60"/>
  <c r="AF62" i="60"/>
  <c r="AL62" i="60"/>
  <c r="AP61" i="60"/>
  <c r="AM62" i="60"/>
  <c r="AO62" i="60" s="1"/>
  <c r="AA63" i="60"/>
  <c r="AC63" i="60" s="1"/>
  <c r="AP62" i="60" l="1"/>
  <c r="AF63" i="60"/>
  <c r="AG63" i="60" s="1"/>
  <c r="AI63" i="60" s="1"/>
  <c r="AL63" i="60"/>
  <c r="AM63" i="60" s="1"/>
  <c r="AO63" i="60" s="1"/>
  <c r="AG62" i="60"/>
  <c r="AI62" i="60" s="1"/>
  <c r="AJ62" i="60" s="1"/>
  <c r="AJ63" i="60" s="1"/>
  <c r="X68" i="60" s="1"/>
  <c r="G18" i="89" s="1"/>
  <c r="G19" i="89" s="1"/>
  <c r="AN62" i="60"/>
  <c r="AN63" i="60" l="1"/>
  <c r="AH62" i="60"/>
  <c r="AH63" i="60" s="1"/>
  <c r="AP63" i="60"/>
  <c r="Y68" i="60" s="1"/>
  <c r="G25" i="89" s="1"/>
  <c r="G26" i="89" s="1"/>
  <c r="X6" i="69" l="1"/>
  <c r="AC14" i="69" a="1"/>
  <c r="AC15" i="69" a="1"/>
  <c r="AA16" i="69" a="1"/>
  <c r="AA9" i="69" a="1"/>
  <c r="AC9" i="69" a="1"/>
  <c r="AC10" i="69" a="1"/>
  <c r="AA11" i="69" a="1"/>
  <c r="AA12" i="69" a="1"/>
  <c r="AC13" i="69" a="1"/>
  <c r="AC7" i="69" a="1"/>
  <c r="AA15" i="69" a="1"/>
  <c r="AC16" i="69" a="1"/>
  <c r="AA17" i="69" a="1"/>
  <c r="AC17" i="69" a="1"/>
  <c r="AA10" i="69" a="1"/>
  <c r="AC11" i="69" a="1"/>
  <c r="AC12" i="69" a="1"/>
  <c r="AA14" i="69" a="1"/>
  <c r="AA7" i="69" a="1"/>
  <c r="AA8" i="69" a="1"/>
  <c r="AC8" i="69" a="1"/>
  <c r="AA13" i="69" a="1"/>
  <c r="AC17" i="69" l="1"/>
  <c r="AA17" i="69"/>
  <c r="AD17" i="69" s="1"/>
  <c r="AC16" i="69"/>
  <c r="AA16" i="69"/>
  <c r="AD16" i="69" s="1"/>
  <c r="AC15" i="69"/>
  <c r="AA15" i="69"/>
  <c r="AD15" i="69" s="1"/>
  <c r="AC14" i="69"/>
  <c r="AA14" i="69"/>
  <c r="AD14" i="69" s="1"/>
  <c r="AC13" i="69"/>
  <c r="AA13" i="69"/>
  <c r="AD13" i="69" s="1"/>
  <c r="AC12" i="69"/>
  <c r="AA12" i="69"/>
  <c r="AD12" i="69" s="1"/>
  <c r="AC11" i="69"/>
  <c r="AA11" i="69"/>
  <c r="AD11" i="69" s="1"/>
  <c r="AC10" i="69"/>
  <c r="AA10" i="69"/>
  <c r="AD10" i="69" s="1"/>
  <c r="AC9" i="69"/>
  <c r="AA9" i="69"/>
  <c r="AD9" i="69" s="1"/>
  <c r="AC8" i="69"/>
  <c r="AA8" i="69"/>
  <c r="AD8" i="69" s="1"/>
  <c r="AA7" i="69"/>
  <c r="AD7" i="69" s="1"/>
  <c r="AC7" i="69"/>
  <c r="X7" i="69"/>
  <c r="AE6" i="69"/>
  <c r="AE17" i="69" l="1"/>
  <c r="AF18" i="69" s="1"/>
  <c r="AH18" i="69" s="1"/>
  <c r="AF6" i="69"/>
  <c r="X8" i="69"/>
  <c r="AE7" i="69"/>
  <c r="AG6" i="69" l="1"/>
  <c r="AH6" i="69"/>
  <c r="AI6" i="69" s="1"/>
  <c r="AF7" i="69"/>
  <c r="AH7" i="69" s="1"/>
  <c r="X9" i="69"/>
  <c r="AE8" i="69"/>
  <c r="AI7" i="69" l="1"/>
  <c r="AG7" i="69"/>
  <c r="AF8" i="69"/>
  <c r="AH8" i="69" s="1"/>
  <c r="AI8" i="69" s="1"/>
  <c r="X10" i="69"/>
  <c r="AE9" i="69"/>
  <c r="AG8" i="69" l="1"/>
  <c r="AF9" i="69"/>
  <c r="AH9" i="69" s="1"/>
  <c r="AI9" i="69" s="1"/>
  <c r="X11" i="69"/>
  <c r="AE10" i="69"/>
  <c r="AG9" i="69" l="1"/>
  <c r="AF10" i="69"/>
  <c r="AH10" i="69" s="1"/>
  <c r="AI10" i="69" s="1"/>
  <c r="X12" i="69"/>
  <c r="AE11" i="69"/>
  <c r="AG10" i="69" l="1"/>
  <c r="AF11" i="69"/>
  <c r="AH11" i="69" s="1"/>
  <c r="AI11" i="69" s="1"/>
  <c r="X13" i="69"/>
  <c r="AE12" i="69"/>
  <c r="AG11" i="69" l="1"/>
  <c r="AF12" i="69"/>
  <c r="AH12" i="69" s="1"/>
  <c r="AI12" i="69" s="1"/>
  <c r="X14" i="69"/>
  <c r="AE13" i="69"/>
  <c r="AG12" i="69" l="1"/>
  <c r="AF13" i="69"/>
  <c r="AH13" i="69" s="1"/>
  <c r="AI13" i="69" s="1"/>
  <c r="X15" i="69"/>
  <c r="AE14" i="69"/>
  <c r="AG13" i="69" l="1"/>
  <c r="AF14" i="69"/>
  <c r="AH14" i="69" s="1"/>
  <c r="AI14" i="69" s="1"/>
  <c r="X16" i="69"/>
  <c r="AE16" i="69" s="1"/>
  <c r="AF17" i="69" s="1"/>
  <c r="AH17" i="69" s="1"/>
  <c r="AE15" i="69"/>
  <c r="AF16" i="69" l="1"/>
  <c r="AH16" i="69" s="1"/>
  <c r="AG14" i="69"/>
  <c r="AF15" i="69"/>
  <c r="AH15" i="69" s="1"/>
  <c r="AI15" i="69" s="1"/>
  <c r="AI16" i="69" s="1"/>
  <c r="AI17" i="69" s="1"/>
  <c r="AI18" i="69" l="1"/>
  <c r="AI19" i="69" s="1"/>
  <c r="AI20" i="69" s="1"/>
  <c r="AI21" i="69" s="1"/>
  <c r="AI22" i="69" s="1"/>
  <c r="AI23" i="69" s="1"/>
  <c r="AI24" i="69" s="1"/>
  <c r="AI25" i="69" s="1"/>
  <c r="AI26" i="69" s="1"/>
  <c r="AI27" i="69" s="1"/>
  <c r="AI28" i="69" s="1"/>
  <c r="AI29" i="69" s="1"/>
  <c r="AI30" i="69" s="1"/>
  <c r="AI31" i="69" s="1"/>
  <c r="AI32" i="69" s="1"/>
  <c r="AI33" i="69" s="1"/>
  <c r="AI34" i="69" s="1"/>
  <c r="AI35" i="69" s="1"/>
  <c r="AI36" i="69" s="1"/>
  <c r="AI37" i="69" s="1"/>
  <c r="AI38" i="69" s="1"/>
  <c r="AI39" i="69" s="1"/>
  <c r="AI40" i="69" s="1"/>
  <c r="AI41" i="69" s="1"/>
  <c r="AI42" i="69" s="1"/>
  <c r="AI43" i="69" s="1"/>
  <c r="AI44" i="69" s="1"/>
  <c r="AI45" i="69" s="1"/>
  <c r="AI46" i="69" s="1"/>
  <c r="AI47" i="69" s="1"/>
  <c r="AI48" i="69" s="1"/>
  <c r="AI49" i="69" s="1"/>
  <c r="AI50" i="69" s="1"/>
  <c r="AI51" i="69" s="1"/>
  <c r="AI52" i="69" s="1"/>
  <c r="AI53" i="69" s="1"/>
  <c r="AI54" i="69" s="1"/>
  <c r="AI55" i="69" s="1"/>
  <c r="AI56" i="69" s="1"/>
  <c r="AI57" i="69" s="1"/>
  <c r="AI58" i="69" s="1"/>
  <c r="AI59" i="69" s="1"/>
  <c r="AI60" i="69" s="1"/>
  <c r="AI61" i="69" s="1"/>
  <c r="AI62" i="69" s="1"/>
  <c r="AI63" i="69" s="1"/>
  <c r="AI64" i="69" s="1"/>
  <c r="AI65" i="69" s="1"/>
  <c r="AI66" i="69" s="1"/>
  <c r="AI67" i="69" s="1"/>
  <c r="H13" i="90" s="1"/>
  <c r="H11" i="90"/>
  <c r="I11" i="90" s="1"/>
  <c r="AG15" i="69"/>
  <c r="AG16" i="69" s="1"/>
  <c r="AG17" i="69" s="1"/>
  <c r="AG18" i="69" s="1"/>
  <c r="AG19" i="69" s="1"/>
  <c r="AG20" i="69" s="1"/>
  <c r="AG21" i="69" s="1"/>
  <c r="AG22" i="69" s="1"/>
  <c r="AG23" i="69" s="1"/>
  <c r="AG24" i="69" s="1"/>
  <c r="AG25" i="69" s="1"/>
  <c r="AG26" i="69" s="1"/>
  <c r="AG27" i="69" s="1"/>
  <c r="AG28" i="69" s="1"/>
  <c r="AG29" i="69" s="1"/>
  <c r="AG30" i="69" s="1"/>
  <c r="AG31" i="69" s="1"/>
  <c r="AG32" i="69" s="1"/>
  <c r="AG33" i="69" s="1"/>
  <c r="AG34" i="69" s="1"/>
  <c r="AG35" i="69" s="1"/>
  <c r="AG36" i="69" s="1"/>
  <c r="AG37" i="69" s="1"/>
  <c r="AG38" i="69" s="1"/>
  <c r="AG39" i="69" s="1"/>
  <c r="AG40" i="69" s="1"/>
  <c r="AG41" i="69" s="1"/>
  <c r="AG42" i="69" s="1"/>
  <c r="AG43" i="69" s="1"/>
  <c r="AG44" i="69" s="1"/>
  <c r="AG45" i="69" s="1"/>
  <c r="AG46" i="69" s="1"/>
  <c r="AG47" i="69" s="1"/>
  <c r="AG48" i="69" s="1"/>
  <c r="AG49" i="69" s="1"/>
  <c r="AG50" i="69" s="1"/>
  <c r="AG51" i="69" s="1"/>
  <c r="AG52" i="69" s="1"/>
  <c r="AG53" i="69" s="1"/>
  <c r="AG54" i="69" s="1"/>
  <c r="AG55" i="69" s="1"/>
  <c r="AG56" i="69" s="1"/>
  <c r="AG57" i="69" s="1"/>
  <c r="AG58" i="69" s="1"/>
  <c r="AG59" i="69" s="1"/>
  <c r="AG60" i="69" s="1"/>
  <c r="AG61" i="69" s="1"/>
  <c r="AG62" i="69" s="1"/>
  <c r="AG63" i="69" s="1"/>
  <c r="AG64" i="69" s="1"/>
  <c r="AG65" i="69" s="1"/>
  <c r="AG66" i="69" s="1"/>
  <c r="AG67" i="69" s="1"/>
  <c r="H12" i="90" l="1"/>
  <c r="I12" i="90" s="1"/>
  <c r="I13" i="9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<sst xmlns="http://schemas.openxmlformats.org/spreadsheetml/2006/main" count="3113" uniqueCount="685">
  <si>
    <t>QMS</t>
  </si>
  <si>
    <t>Altitude</t>
  </si>
  <si>
    <t xml:space="preserve"> ft</t>
  </si>
  <si>
    <t xml:space="preserve"> sq ft</t>
  </si>
  <si>
    <t>CLmax</t>
  </si>
  <si>
    <t xml:space="preserve"> lb</t>
  </si>
  <si>
    <t>Weight</t>
  </si>
  <si>
    <t>TEMPF</t>
  </si>
  <si>
    <t>TEMPR</t>
  </si>
  <si>
    <t>TEMPC</t>
  </si>
  <si>
    <t>TR</t>
  </si>
  <si>
    <t>PR</t>
  </si>
  <si>
    <t>PRES</t>
  </si>
  <si>
    <t>RHO</t>
  </si>
  <si>
    <t>DR</t>
  </si>
  <si>
    <t>SQRTDR</t>
  </si>
  <si>
    <t>SPW</t>
  </si>
  <si>
    <t>ASPEED</t>
  </si>
  <si>
    <t>VELA</t>
  </si>
  <si>
    <t xml:space="preserve"> lb/ft^2</t>
  </si>
  <si>
    <t xml:space="preserve"> ft/sec</t>
  </si>
  <si>
    <t>AR</t>
  </si>
  <si>
    <t>max q</t>
  </si>
  <si>
    <t xml:space="preserve"> Mach</t>
  </si>
  <si>
    <t>Velocity</t>
  </si>
  <si>
    <t xml:space="preserve"> ft/min</t>
  </si>
  <si>
    <t xml:space="preserve"> degrees</t>
  </si>
  <si>
    <t>Min R/D</t>
  </si>
  <si>
    <t>No Power</t>
  </si>
  <si>
    <t>Glide Angle</t>
  </si>
  <si>
    <t>(ft)</t>
  </si>
  <si>
    <t>NZW</t>
  </si>
  <si>
    <t>numeng</t>
  </si>
  <si>
    <t>glimit</t>
  </si>
  <si>
    <t>amlim</t>
  </si>
  <si>
    <t>S</t>
  </si>
  <si>
    <t xml:space="preserve"> KEAS</t>
  </si>
  <si>
    <t xml:space="preserve"> g's</t>
  </si>
  <si>
    <t>Wt@NZW</t>
  </si>
  <si>
    <t xml:space="preserve"> lb/sq ft</t>
  </si>
  <si>
    <t>T-38A Drag Polar  (CL, M)</t>
  </si>
  <si>
    <t>T-38A Maximum A/B Power Thrust (lb)  (h, M)</t>
  </si>
  <si>
    <t>T-38A Maximum A/B Power Fuel Flow (lb/hr)  (h, M)</t>
  </si>
  <si>
    <t>T-38A Military Power Thrust (lb)  (h, M)</t>
  </si>
  <si>
    <t>T-38A Military Power Fuel Flow (lb/hr)  (h, M)</t>
  </si>
  <si>
    <t>wingspan</t>
  </si>
  <si>
    <t>(g's)</t>
  </si>
  <si>
    <t>(lb/ft2)</t>
  </si>
  <si>
    <t>(---)</t>
  </si>
  <si>
    <t>Stall Mach</t>
  </si>
  <si>
    <t>Max q Mach</t>
  </si>
  <si>
    <t>Max Mach</t>
  </si>
  <si>
    <t>Limit Mach</t>
  </si>
  <si>
    <t>Flight Envelope</t>
  </si>
  <si>
    <t>V-n Diagram</t>
  </si>
  <si>
    <t>Sea Level</t>
  </si>
  <si>
    <t>n</t>
  </si>
  <si>
    <t>Max g</t>
  </si>
  <si>
    <t>Min/Max g</t>
  </si>
  <si>
    <t>Min g</t>
  </si>
  <si>
    <t>CLmaxTO</t>
  </si>
  <si>
    <t>CLmaxLND</t>
  </si>
  <si>
    <t>Temp F</t>
  </si>
  <si>
    <t>Density</t>
  </si>
  <si>
    <r>
      <t>q/M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</si>
  <si>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Speed of Sound</t>
  </si>
  <si>
    <t>(deg F)</t>
  </si>
  <si>
    <r>
      <t>(slugs/ft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)</t>
    </r>
  </si>
  <si>
    <r>
      <t>(lb/ft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</si>
  <si>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(ft/sec)</t>
  </si>
  <si>
    <t>Atmospheric Table Lookup</t>
  </si>
  <si>
    <t>Drag Polar Table Lookup</t>
  </si>
  <si>
    <t>Mach</t>
  </si>
  <si>
    <t>Load Factor</t>
  </si>
  <si>
    <t>CL</t>
  </si>
  <si>
    <t>CD</t>
  </si>
  <si>
    <t>Drag</t>
  </si>
  <si>
    <t>(--)</t>
  </si>
  <si>
    <t>(lb)</t>
  </si>
  <si>
    <t>X.YYYYYYYY</t>
  </si>
  <si>
    <t>X.YYYY</t>
  </si>
  <si>
    <t>X.YY</t>
  </si>
  <si>
    <t>q</t>
  </si>
  <si>
    <t>Propulsion Table Lookup</t>
  </si>
  <si>
    <t>Thrust</t>
  </si>
  <si>
    <t>Fuel Flow</t>
  </si>
  <si>
    <t>(lb/hr)</t>
  </si>
  <si>
    <t>(%)</t>
  </si>
  <si>
    <t>Max A/B Power</t>
  </si>
  <si>
    <t>Military Power</t>
  </si>
  <si>
    <t>AA</t>
  </si>
  <si>
    <t>BB</t>
  </si>
  <si>
    <t>CC</t>
  </si>
  <si>
    <t>X</t>
  </si>
  <si>
    <t>Y</t>
  </si>
  <si>
    <t>Numerical Methods</t>
  </si>
  <si>
    <t>Part 2</t>
  </si>
  <si>
    <t>Data Points</t>
  </si>
  <si>
    <t>Quadratic Equation Coefficients</t>
  </si>
  <si>
    <r>
      <t>Plotted Curve using y = AAx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+ BBx + CC</t>
    </r>
  </si>
  <si>
    <t>Calculus</t>
  </si>
  <si>
    <t>Macros</t>
  </si>
  <si>
    <t>ROOT1</t>
  </si>
  <si>
    <t>ROOT2</t>
  </si>
  <si>
    <t>Part 3</t>
  </si>
  <si>
    <t>Macro</t>
  </si>
  <si>
    <t>2 points (0.20 Mach increment)</t>
  </si>
  <si>
    <t>21 points (0.01 Mach increments)</t>
  </si>
  <si>
    <t>Time</t>
  </si>
  <si>
    <t>FFmax</t>
  </si>
  <si>
    <t>dW</t>
  </si>
  <si>
    <t>Fuel</t>
  </si>
  <si>
    <t>(sec)</t>
  </si>
  <si>
    <t>(lbs/hr)</t>
  </si>
  <si>
    <t>(lbs)</t>
  </si>
  <si>
    <t>3 points (0.10 Mach increments)</t>
  </si>
  <si>
    <t>5 points (0.05 Mach increments)</t>
  </si>
  <si>
    <t>Part 4</t>
  </si>
  <si>
    <t>Accel Fuel Burned</t>
  </si>
  <si>
    <t># of Increments</t>
  </si>
  <si>
    <t>Aircraft Characteristics</t>
  </si>
  <si>
    <t>Units</t>
  </si>
  <si>
    <t>Leading Edge Sweep Angle</t>
  </si>
  <si>
    <r>
      <t>L</t>
    </r>
    <r>
      <rPr>
        <vertAlign val="subscript"/>
        <sz val="12"/>
        <color theme="1"/>
        <rFont val="Calibri"/>
        <family val="2"/>
        <scheme val="minor"/>
      </rPr>
      <t>LE</t>
    </r>
  </si>
  <si>
    <t>deg</t>
  </si>
  <si>
    <t>X.Y</t>
  </si>
  <si>
    <t>Trailing Edge Sweep Angle</t>
  </si>
  <si>
    <r>
      <t>L</t>
    </r>
    <r>
      <rPr>
        <vertAlign val="subscript"/>
        <sz val="12"/>
        <color theme="1"/>
        <rFont val="Calibri"/>
        <family val="2"/>
        <scheme val="minor"/>
      </rPr>
      <t>TE</t>
    </r>
  </si>
  <si>
    <t>Quarter-Chord Sweep Angle</t>
  </si>
  <si>
    <r>
      <t>L</t>
    </r>
    <r>
      <rPr>
        <vertAlign val="subscript"/>
        <sz val="12"/>
        <color theme="1"/>
        <rFont val="Calibri"/>
        <family val="2"/>
        <scheme val="minor"/>
      </rPr>
      <t>c/4</t>
    </r>
  </si>
  <si>
    <t>Tip Chord</t>
  </si>
  <si>
    <r>
      <t>c</t>
    </r>
    <r>
      <rPr>
        <vertAlign val="subscript"/>
        <sz val="12"/>
        <color theme="1"/>
        <rFont val="Calibri"/>
        <family val="2"/>
        <scheme val="minor"/>
      </rPr>
      <t>t</t>
    </r>
  </si>
  <si>
    <t>ft</t>
  </si>
  <si>
    <t>Root Chord</t>
  </si>
  <si>
    <r>
      <t>c</t>
    </r>
    <r>
      <rPr>
        <vertAlign val="subscript"/>
        <sz val="12"/>
        <color theme="1"/>
        <rFont val="Calibri"/>
        <family val="2"/>
        <scheme val="minor"/>
      </rPr>
      <t>r</t>
    </r>
  </si>
  <si>
    <t>b</t>
  </si>
  <si>
    <t>Taper Ratio</t>
  </si>
  <si>
    <t>l</t>
  </si>
  <si>
    <t>--</t>
  </si>
  <si>
    <r>
      <t>ft</t>
    </r>
    <r>
      <rPr>
        <vertAlign val="superscript"/>
        <sz val="12"/>
        <color theme="1"/>
        <rFont val="Calibri"/>
        <family val="2"/>
        <scheme val="minor"/>
      </rPr>
      <t>2</t>
    </r>
  </si>
  <si>
    <t>Aspect Ratio</t>
  </si>
  <si>
    <t>MAC length</t>
  </si>
  <si>
    <t>MAC</t>
  </si>
  <si>
    <t>MAC location</t>
  </si>
  <si>
    <r>
      <t>y</t>
    </r>
    <r>
      <rPr>
        <vertAlign val="subscript"/>
        <sz val="12"/>
        <color theme="1"/>
        <rFont val="Calibri"/>
        <family val="2"/>
        <scheme val="minor"/>
      </rPr>
      <t>MAC</t>
    </r>
  </si>
  <si>
    <t>AIRCRAFT CHARACTERISTICS</t>
  </si>
  <si>
    <t>Aircraft Height</t>
  </si>
  <si>
    <r>
      <t>H</t>
    </r>
    <r>
      <rPr>
        <vertAlign val="subscript"/>
        <sz val="12"/>
        <color theme="1"/>
        <rFont val="Calibri"/>
        <family val="2"/>
        <scheme val="minor"/>
      </rPr>
      <t>a/c</t>
    </r>
  </si>
  <si>
    <t>Aircraft Length</t>
  </si>
  <si>
    <r>
      <t>L</t>
    </r>
    <r>
      <rPr>
        <vertAlign val="subscript"/>
        <sz val="12"/>
        <color theme="1"/>
        <rFont val="Calibri"/>
        <family val="2"/>
        <scheme val="minor"/>
      </rPr>
      <t>a/c</t>
    </r>
  </si>
  <si>
    <t>Tail Bump Angle</t>
  </si>
  <si>
    <t>Homework #4</t>
  </si>
  <si>
    <t>3-view scale</t>
  </si>
  <si>
    <t>a</t>
  </si>
  <si>
    <t xml:space="preserve"> SLS</t>
  </si>
  <si>
    <t>rho</t>
  </si>
  <si>
    <t xml:space="preserve"> slugs/ft^3</t>
  </si>
  <si>
    <r>
      <t>C</t>
    </r>
    <r>
      <rPr>
        <vertAlign val="subscript"/>
        <sz val="11"/>
        <color theme="1"/>
        <rFont val="Calibri"/>
        <family val="2"/>
        <scheme val="minor"/>
      </rPr>
      <t>Lmax</t>
    </r>
    <r>
      <rPr>
        <sz val="11"/>
        <color theme="1"/>
        <rFont val="Calibri"/>
        <family val="2"/>
        <scheme val="minor"/>
      </rPr>
      <t>(TO)</t>
    </r>
  </si>
  <si>
    <r>
      <t>C</t>
    </r>
    <r>
      <rPr>
        <vertAlign val="subscript"/>
        <sz val="11"/>
        <color theme="1"/>
        <rFont val="Calibri"/>
        <family val="2"/>
        <scheme val="minor"/>
      </rPr>
      <t>D0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</si>
  <si>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D0</t>
    </r>
  </si>
  <si>
    <r>
      <t>m</t>
    </r>
    <r>
      <rPr>
        <vertAlign val="subscript"/>
        <sz val="11"/>
        <color theme="1"/>
        <rFont val="Calibri"/>
        <family val="2"/>
        <scheme val="minor"/>
      </rPr>
      <t>r</t>
    </r>
  </si>
  <si>
    <t>Multiplier</t>
  </si>
  <si>
    <r>
      <t>V</t>
    </r>
    <r>
      <rPr>
        <vertAlign val="subscript"/>
        <sz val="11"/>
        <color theme="1"/>
        <rFont val="Calibri"/>
        <family val="2"/>
        <scheme val="minor"/>
      </rPr>
      <t>stall</t>
    </r>
  </si>
  <si>
    <r>
      <t>V</t>
    </r>
    <r>
      <rPr>
        <vertAlign val="subscript"/>
        <sz val="11"/>
        <color theme="1"/>
        <rFont val="Calibri"/>
        <family val="2"/>
        <scheme val="minor"/>
      </rPr>
      <t>rot</t>
    </r>
  </si>
  <si>
    <r>
      <t>V</t>
    </r>
    <r>
      <rPr>
        <vertAlign val="subscript"/>
        <sz val="11"/>
        <color theme="1"/>
        <rFont val="Calibri"/>
        <family val="2"/>
        <scheme val="minor"/>
      </rPr>
      <t>TO</t>
    </r>
  </si>
  <si>
    <r>
      <t>V</t>
    </r>
    <r>
      <rPr>
        <vertAlign val="subscript"/>
        <sz val="11"/>
        <color theme="1"/>
        <rFont val="Calibri"/>
        <family val="2"/>
        <scheme val="minor"/>
      </rPr>
      <t>obs</t>
    </r>
  </si>
  <si>
    <r>
      <t>0.7 V</t>
    </r>
    <r>
      <rPr>
        <vertAlign val="subscript"/>
        <sz val="11"/>
        <color theme="1"/>
        <rFont val="Calibri"/>
        <family val="2"/>
        <scheme val="minor"/>
      </rPr>
      <t>TO</t>
    </r>
  </si>
  <si>
    <t>R</t>
  </si>
  <si>
    <t>Ground Roll Distance</t>
  </si>
  <si>
    <t>Takeoff - Max A/B Power</t>
  </si>
  <si>
    <t>a.1</t>
  </si>
  <si>
    <t>b.1</t>
  </si>
  <si>
    <t>Takeoff Fuel Allowances</t>
  </si>
  <si>
    <t>Takeoff - Military Power</t>
  </si>
  <si>
    <t>Takeoff</t>
  </si>
  <si>
    <t>Max AB</t>
  </si>
  <si>
    <t>Prop</t>
  </si>
  <si>
    <t>Aero</t>
  </si>
  <si>
    <t>Flt Env</t>
  </si>
  <si>
    <t>Landing</t>
  </si>
  <si>
    <t>max alt</t>
  </si>
  <si>
    <t xml:space="preserve"> min</t>
  </si>
  <si>
    <t>Distance</t>
  </si>
  <si>
    <t xml:space="preserve"> NM</t>
  </si>
  <si>
    <t>KTAS</t>
  </si>
  <si>
    <t>Vel</t>
  </si>
  <si>
    <t>D</t>
  </si>
  <si>
    <t>Tmil</t>
  </si>
  <si>
    <t>(T-D)V/W</t>
  </si>
  <si>
    <t>dV/dh</t>
  </si>
  <si>
    <t>dh/dt</t>
  </si>
  <si>
    <t>climb angle</t>
  </si>
  <si>
    <t>dt</t>
  </si>
  <si>
    <t>FFR</t>
  </si>
  <si>
    <t>Vcos</t>
  </si>
  <si>
    <t>dS</t>
  </si>
  <si>
    <t>(lb/sqft)</t>
  </si>
  <si>
    <t>(NM/hr)</t>
  </si>
  <si>
    <t>(1/sec)</t>
  </si>
  <si>
    <t>(deg)</t>
  </si>
  <si>
    <t>(min)</t>
  </si>
  <si>
    <t xml:space="preserve"> minutes</t>
  </si>
  <si>
    <t>Tmax</t>
  </si>
  <si>
    <t>(NM)</t>
  </si>
  <si>
    <t>ROC</t>
  </si>
  <si>
    <t>ROC-100</t>
  </si>
  <si>
    <t>ROC-300</t>
  </si>
  <si>
    <t>ROC-500</t>
  </si>
  <si>
    <t>(ft/min)</t>
  </si>
  <si>
    <t>Absolute</t>
  </si>
  <si>
    <t>(0 fpm)</t>
  </si>
  <si>
    <t>Service</t>
  </si>
  <si>
    <t>(100 fpm)</t>
  </si>
  <si>
    <t>Cruise</t>
  </si>
  <si>
    <t>(300 fpm)</t>
  </si>
  <si>
    <t>Combat</t>
  </si>
  <si>
    <t>(500 fpm)</t>
  </si>
  <si>
    <t>Military Power Climb</t>
  </si>
  <si>
    <t>Maximum Power Climb</t>
  </si>
  <si>
    <t>Ceilings - Military Power</t>
  </si>
  <si>
    <t>Ceiling</t>
  </si>
  <si>
    <t>Altitude (ft)</t>
  </si>
  <si>
    <t>Ceilings - Maximum Power</t>
  </si>
  <si>
    <t xml:space="preserve"> sec</t>
  </si>
  <si>
    <t xml:space="preserve"> lb/sqft</t>
  </si>
  <si>
    <t>dV/dt</t>
  </si>
  <si>
    <r>
      <t>(ft/sec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</si>
  <si>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(lb/sec)</t>
  </si>
  <si>
    <t>Acceleration at 10,000 ft</t>
  </si>
  <si>
    <t>Acceleration at 30,000 ft</t>
  </si>
  <si>
    <t>Increments</t>
  </si>
  <si>
    <t>max KEAS</t>
  </si>
  <si>
    <t>Vel (ft/sec)</t>
  </si>
  <si>
    <t>PS</t>
  </si>
  <si>
    <t>sfc</t>
  </si>
  <si>
    <t>RF</t>
  </si>
  <si>
    <t>EF</t>
  </si>
  <si>
    <t>max RF</t>
  </si>
  <si>
    <t>max EF</t>
  </si>
  <si>
    <t>Range</t>
  </si>
  <si>
    <t>Endurance</t>
  </si>
  <si>
    <t>Cruise &amp; Endurance at Sea Level</t>
  </si>
  <si>
    <t>Landing Distance</t>
  </si>
  <si>
    <r>
      <t>C</t>
    </r>
    <r>
      <rPr>
        <vertAlign val="subscript"/>
        <sz val="11"/>
        <color theme="1"/>
        <rFont val="Calibri"/>
        <family val="2"/>
        <scheme val="minor"/>
      </rPr>
      <t>Lmax</t>
    </r>
    <r>
      <rPr>
        <sz val="11"/>
        <color theme="1"/>
        <rFont val="Calibri"/>
        <family val="2"/>
        <scheme val="minor"/>
      </rPr>
      <t>(LND)</t>
    </r>
  </si>
  <si>
    <r>
      <t>m</t>
    </r>
    <r>
      <rPr>
        <vertAlign val="subscript"/>
        <sz val="11"/>
        <color theme="1"/>
        <rFont val="Calibri"/>
        <family val="2"/>
        <scheme val="minor"/>
      </rPr>
      <t>b</t>
    </r>
  </si>
  <si>
    <r>
      <t>V</t>
    </r>
    <r>
      <rPr>
        <vertAlign val="subscript"/>
        <sz val="11"/>
        <color theme="1"/>
        <rFont val="Calibri"/>
        <family val="2"/>
        <scheme val="minor"/>
      </rPr>
      <t>TD</t>
    </r>
  </si>
  <si>
    <r>
      <t>V</t>
    </r>
    <r>
      <rPr>
        <vertAlign val="subscript"/>
        <sz val="11"/>
        <color theme="1"/>
        <rFont val="Calibri"/>
        <family val="2"/>
        <scheme val="minor"/>
      </rPr>
      <t>app</t>
    </r>
  </si>
  <si>
    <t>Transition</t>
  </si>
  <si>
    <t>Braking</t>
  </si>
  <si>
    <t>Landing Reserves</t>
  </si>
  <si>
    <t>Loiter Fuel (lb)</t>
  </si>
  <si>
    <t>max g</t>
  </si>
  <si>
    <t>max M</t>
  </si>
  <si>
    <t>1 g CL</t>
  </si>
  <si>
    <t>Diff</t>
  </si>
  <si>
    <t>g @ CLmax</t>
  </si>
  <si>
    <t>(lb/ft^2)</t>
  </si>
  <si>
    <t>Corner Velocity</t>
  </si>
  <si>
    <t>Specific Excess Power</t>
  </si>
  <si>
    <t>Turn Rate</t>
  </si>
  <si>
    <t xml:space="preserve"> deg/sec</t>
  </si>
  <si>
    <t>Turn Radius</t>
  </si>
  <si>
    <t>Bank Angle</t>
  </si>
  <si>
    <t xml:space="preserve"> deg</t>
  </si>
  <si>
    <t>Sustained Load Factor</t>
  </si>
  <si>
    <t>T-D</t>
  </si>
  <si>
    <t>T</t>
  </si>
  <si>
    <t>Ps</t>
  </si>
  <si>
    <t>Maneuver Fuel</t>
  </si>
  <si>
    <t>Max Sustained Load Factor</t>
  </si>
  <si>
    <t>Time to Turn 540 deg</t>
  </si>
  <si>
    <t xml:space="preserve"> lb/hr</t>
  </si>
  <si>
    <t>Fuel to Turn 540 deg</t>
  </si>
  <si>
    <t>One 540° turn at the maximum sustained load factor; Maximum A/B power</t>
  </si>
  <si>
    <t>40,000 ft change in specific energy; Maximum A/B Power</t>
  </si>
  <si>
    <t>Time for 40,000 ft exchange</t>
  </si>
  <si>
    <t>Fuel for energy exchange</t>
  </si>
  <si>
    <t>5 minutes at Maximum A/B Power</t>
  </si>
  <si>
    <t>Fuel for 5 minutes</t>
  </si>
  <si>
    <t>Normal Power</t>
  </si>
  <si>
    <t>T-38 Normal Power Thrust (lb) per engine  (h, M)</t>
  </si>
  <si>
    <t>T-38 Normal Fuel Flow (lb/hr) per engine  (PS,M, h)</t>
  </si>
  <si>
    <t>h</t>
  </si>
  <si>
    <t>h=0</t>
  </si>
  <si>
    <t>h=5,000</t>
  </si>
  <si>
    <t>h=10,000</t>
  </si>
  <si>
    <t>h=15,000</t>
  </si>
  <si>
    <t>h=20,000</t>
  </si>
  <si>
    <t>h=25,000</t>
  </si>
  <si>
    <t>h=30,000</t>
  </si>
  <si>
    <t>h=35,000</t>
  </si>
  <si>
    <t>h=40,000</t>
  </si>
  <si>
    <t>h=45,000</t>
  </si>
  <si>
    <t>h=50,000</t>
  </si>
  <si>
    <t>Tnorm</t>
  </si>
  <si>
    <t>FFnorm</t>
  </si>
  <si>
    <t>q at 0.80 Mach</t>
  </si>
  <si>
    <t>Homework #1 - Part 2</t>
  </si>
  <si>
    <t>Dynamic Pressure (q)</t>
  </si>
  <si>
    <t>Homework #2 - Part 3</t>
  </si>
  <si>
    <t>Homework #3 - Parts 2, 3, and 5</t>
  </si>
  <si>
    <t>X.YY %</t>
  </si>
  <si>
    <t>Normal Thrust Available</t>
  </si>
  <si>
    <t>% Normal Thrust</t>
  </si>
  <si>
    <t>Part Power   Fuel Flow</t>
  </si>
  <si>
    <t>Dyn Pressure (q)</t>
  </si>
  <si>
    <t>SURFACE CHARACTERISTICS</t>
  </si>
  <si>
    <t>Horizontal Tail</t>
  </si>
  <si>
    <t>Vertical   Tail</t>
  </si>
  <si>
    <t>Main Wing</t>
  </si>
  <si>
    <t>degrees</t>
  </si>
  <si>
    <t>Span</t>
  </si>
  <si>
    <t>Height</t>
  </si>
  <si>
    <t>Surface Area</t>
  </si>
  <si>
    <r>
      <t>L</t>
    </r>
    <r>
      <rPr>
        <vertAlign val="subscript"/>
        <sz val="12"/>
        <color theme="1"/>
        <rFont val="Calibri"/>
        <family val="2"/>
        <scheme val="minor"/>
      </rPr>
      <t>HT</t>
    </r>
  </si>
  <si>
    <r>
      <t>L</t>
    </r>
    <r>
      <rPr>
        <vertAlign val="subscript"/>
        <sz val="12"/>
        <color theme="1"/>
        <rFont val="Calibri"/>
        <family val="2"/>
        <scheme val="minor"/>
      </rPr>
      <t>VT</t>
    </r>
  </si>
  <si>
    <t>Horizontal Tail Volume Coefficient</t>
  </si>
  <si>
    <r>
      <t>C</t>
    </r>
    <r>
      <rPr>
        <vertAlign val="subscript"/>
        <sz val="12"/>
        <color theme="1"/>
        <rFont val="Calibri"/>
        <family val="2"/>
        <scheme val="minor"/>
      </rPr>
      <t>HT</t>
    </r>
  </si>
  <si>
    <t>Vertical Tail Volume Coefficient</t>
  </si>
  <si>
    <r>
      <t>C</t>
    </r>
    <r>
      <rPr>
        <vertAlign val="subscript"/>
        <sz val="12"/>
        <color theme="1"/>
        <rFont val="Calibri"/>
        <family val="2"/>
        <scheme val="minor"/>
      </rPr>
      <t>VT</t>
    </r>
  </si>
  <si>
    <t>Aircraft</t>
  </si>
  <si>
    <t>Distance from main landing gear   to nose landing gear</t>
  </si>
  <si>
    <t>Distance from HT’s c/4 of MAC      to wing's c/4 of MAC</t>
  </si>
  <si>
    <t>Distance from VT’s c/4 of MAC       to wing's c/4 of MAC</t>
  </si>
  <si>
    <t>Homework #6</t>
  </si>
  <si>
    <t>Homework #7</t>
  </si>
  <si>
    <t>Homework #16</t>
  </si>
  <si>
    <t>Homework #17</t>
  </si>
  <si>
    <t>Homework #11</t>
  </si>
  <si>
    <t>Homework #13</t>
  </si>
  <si>
    <t>Homework #14</t>
  </si>
  <si>
    <t>Homework #10</t>
  </si>
  <si>
    <t>Exercise #18</t>
  </si>
  <si>
    <t>Exercise #19</t>
  </si>
  <si>
    <t>Homework #9</t>
  </si>
  <si>
    <t xml:space="preserve">  0.60 Mach / Sea Level</t>
  </si>
  <si>
    <t>Value</t>
  </si>
  <si>
    <r>
      <t>Specific Energy (E</t>
    </r>
    <r>
      <rPr>
        <b/>
        <vertAlign val="subscript"/>
        <sz val="12"/>
        <color theme="1"/>
        <rFont val="Calibri"/>
        <family val="2"/>
        <scheme val="minor"/>
      </rPr>
      <t>s</t>
    </r>
    <r>
      <rPr>
        <b/>
        <sz val="12"/>
        <color theme="1"/>
        <rFont val="Calibri"/>
        <family val="2"/>
        <scheme val="minor"/>
      </rPr>
      <t>)</t>
    </r>
  </si>
  <si>
    <t>Maximum Altitude attainable at that energy level unlimited by Flight Envelope constraints</t>
  </si>
  <si>
    <t>Maximum attainable speed at that energy level unlimited by Flight Envelope constraints</t>
  </si>
  <si>
    <t xml:space="preserve">  0.80 Mach / 30,000 ft</t>
  </si>
  <si>
    <t>Maximum Altitude attainable at that energy   level unlimited by Flight Envelope constraints</t>
  </si>
  <si>
    <t>Maximum attainable speed at that energy     level unlimited by Flight Envelope constraints</t>
  </si>
  <si>
    <t xml:space="preserve">  0.60 Mach / Sea Level / 1.0 g</t>
  </si>
  <si>
    <t>Military Thrust</t>
  </si>
  <si>
    <t>Maximum AB Thrust</t>
  </si>
  <si>
    <r>
      <t>Specific Excess Power (P</t>
    </r>
    <r>
      <rPr>
        <b/>
        <vertAlign val="subscript"/>
        <sz val="12"/>
        <color theme="1"/>
        <rFont val="Calibri"/>
        <family val="2"/>
        <scheme val="minor"/>
      </rPr>
      <t>s</t>
    </r>
    <r>
      <rPr>
        <b/>
        <sz val="12"/>
        <color theme="1"/>
        <rFont val="Calibri"/>
        <family val="2"/>
        <scheme val="minor"/>
      </rPr>
      <t>)</t>
    </r>
  </si>
  <si>
    <t>ft/sec</t>
  </si>
  <si>
    <t>Rate of Climb</t>
  </si>
  <si>
    <t>ft/min</t>
  </si>
  <si>
    <t>Acceleration</t>
  </si>
  <si>
    <r>
      <t>ft/sec</t>
    </r>
    <r>
      <rPr>
        <b/>
        <vertAlign val="superscript"/>
        <sz val="12"/>
        <color theme="1"/>
        <rFont val="Calibri"/>
        <family val="2"/>
        <scheme val="minor"/>
      </rPr>
      <t>2</t>
    </r>
  </si>
  <si>
    <t xml:space="preserve">  0.80 Mach / 30,000 ft / 1.0 g</t>
  </si>
  <si>
    <t xml:space="preserve">  0.80 Mach / 30,000 ft / 3.0 g's</t>
  </si>
  <si>
    <t>Homework #8</t>
  </si>
  <si>
    <t>Specific Energy and Specific Excess Power</t>
  </si>
  <si>
    <t>x_at_ymax</t>
  </si>
  <si>
    <t>y_max</t>
  </si>
  <si>
    <t>x_at_y0</t>
  </si>
  <si>
    <t>Y=0</t>
  </si>
  <si>
    <r>
      <t>P</t>
    </r>
    <r>
      <rPr>
        <b/>
        <vertAlign val="subscript"/>
        <sz val="12"/>
        <color rgb="FF000000"/>
        <rFont val="Calibri"/>
        <family val="2"/>
        <scheme val="minor"/>
      </rPr>
      <t>s</t>
    </r>
  </si>
  <si>
    <t>(Mach)</t>
  </si>
  <si>
    <t>(g’s)</t>
  </si>
  <si>
    <t>(deg/sec)</t>
  </si>
  <si>
    <t>Part 1b:  Maximum Instantaneous Load Factor</t>
  </si>
  <si>
    <t>(should be around zero)</t>
  </si>
  <si>
    <t>Part 1c:  Maximum Sustained Load Factor</t>
  </si>
  <si>
    <t>Mach Number</t>
  </si>
  <si>
    <t>0.60 Mach</t>
  </si>
  <si>
    <t>0.80 Mach</t>
  </si>
  <si>
    <t>Part 2a: Maneuver Fuel for Sustained Turn</t>
  </si>
  <si>
    <t>Part 2b: Maneuver Fuel for Energy Exchange</t>
  </si>
  <si>
    <t>Part 2c: Maneuver Fuel for Given Time</t>
  </si>
  <si>
    <t>Part 1d: Flight Condition Maneuver Calculations</t>
  </si>
  <si>
    <t>(Range NM &gt; Endurance NM)</t>
  </si>
  <si>
    <t>(Endurance minutes &gt; Range minutes)</t>
  </si>
  <si>
    <t xml:space="preserve">takes  </t>
  </si>
  <si>
    <t xml:space="preserve">goes  </t>
  </si>
  <si>
    <t>Cruise &amp; Endurance at 40,000 ft</t>
  </si>
  <si>
    <t>Cruise &amp; Endurance at 10,000 ft</t>
  </si>
  <si>
    <t>Cruise &amp; Endurance at 20,000 ft</t>
  </si>
  <si>
    <t>Tmil - D</t>
  </si>
  <si>
    <t>Tmax - D</t>
  </si>
  <si>
    <t>Military</t>
  </si>
  <si>
    <t>Cruise &amp; Endurance at 30,000 ft</t>
  </si>
  <si>
    <t>10,000 ft</t>
  </si>
  <si>
    <t>20,000 ft</t>
  </si>
  <si>
    <t>30,000 ft</t>
  </si>
  <si>
    <t>40,000 ft</t>
  </si>
  <si>
    <t>Part a</t>
  </si>
  <si>
    <t>Maximum Speed - Military</t>
  </si>
  <si>
    <t>---</t>
  </si>
  <si>
    <t>Maximum Speed - Max AB</t>
  </si>
  <si>
    <t>Part b</t>
  </si>
  <si>
    <t>Max Range Factor</t>
  </si>
  <si>
    <t>NM</t>
  </si>
  <si>
    <t>Max RF Mach Number</t>
  </si>
  <si>
    <t>Max Endurance Factor</t>
  </si>
  <si>
    <t>hr</t>
  </si>
  <si>
    <t>Max EF Mach Number</t>
  </si>
  <si>
    <t>Part c</t>
  </si>
  <si>
    <t>min</t>
  </si>
  <si>
    <t>SR</t>
  </si>
  <si>
    <t>Max Mach and Cruise &amp; Endurance</t>
  </si>
  <si>
    <t>Climb</t>
  </si>
  <si>
    <t>Part c - Military Thrust Climb</t>
  </si>
  <si>
    <t>Part g - Maximum AB Thrust Climb</t>
  </si>
  <si>
    <t>Tidle</t>
  </si>
  <si>
    <t>Homework #15</t>
  </si>
  <si>
    <t>Deceleration at 30,000 ft</t>
  </si>
  <si>
    <t>Idle Power</t>
  </si>
  <si>
    <t>Idle Power with speedbrake</t>
  </si>
  <si>
    <t>Homework #12</t>
  </si>
  <si>
    <t>Idle Power Descent</t>
  </si>
  <si>
    <t>(lb/hr/lb)</t>
  </si>
  <si>
    <t>(hr)</t>
  </si>
  <si>
    <t>(NM/lb)</t>
  </si>
  <si>
    <r>
      <t>(ft/sec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</si>
  <si>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Descent</t>
  </si>
  <si>
    <t>Part c - Descent</t>
  </si>
  <si>
    <t>L/D</t>
  </si>
  <si>
    <t>4,000 ft</t>
  </si>
  <si>
    <r>
      <t xml:space="preserve"> ft/sec</t>
    </r>
    <r>
      <rPr>
        <vertAlign val="superscript"/>
        <sz val="11"/>
        <color theme="1"/>
        <rFont val="Calibri"/>
        <family val="2"/>
        <scheme val="minor"/>
      </rPr>
      <t>2</t>
    </r>
  </si>
  <si>
    <t>Takeoff Run Velocities</t>
  </si>
  <si>
    <t>Stall Velocity</t>
  </si>
  <si>
    <t>Rotation Velocity</t>
  </si>
  <si>
    <t>Takeoff Velocity</t>
  </si>
  <si>
    <t>Obstacle Clearance Velocity</t>
  </si>
  <si>
    <t>70% of Takeoff Velocity</t>
  </si>
  <si>
    <t>Military Power Takeoff</t>
  </si>
  <si>
    <r>
      <t>Thrust (T) at 0.7 V</t>
    </r>
    <r>
      <rPr>
        <b/>
        <vertAlign val="subscript"/>
        <sz val="12"/>
        <color theme="1"/>
        <rFont val="Calibri"/>
        <family val="2"/>
        <scheme val="minor"/>
      </rPr>
      <t>TO</t>
    </r>
  </si>
  <si>
    <t>lb</t>
  </si>
  <si>
    <r>
      <t>Drag (D) at 0.7 V</t>
    </r>
    <r>
      <rPr>
        <b/>
        <vertAlign val="subscript"/>
        <sz val="12"/>
        <color theme="1"/>
        <rFont val="Calibri"/>
        <family val="2"/>
        <scheme val="minor"/>
      </rPr>
      <t>TO</t>
    </r>
  </si>
  <si>
    <t>Rolling Resistance (R)</t>
  </si>
  <si>
    <t>Average Ground Roll Acceleration</t>
  </si>
  <si>
    <t>Takeoff Ground Roll Distance</t>
  </si>
  <si>
    <t>Maximum A/B Power Takeoff</t>
  </si>
  <si>
    <t>Takeoff Distance</t>
  </si>
  <si>
    <t>Warm-up Fuel</t>
  </si>
  <si>
    <t>Takeoff Fuel</t>
  </si>
  <si>
    <t>4.6 minutes at                Max Continuous Power</t>
  </si>
  <si>
    <t>20 minutes at             Ground Idle Power</t>
  </si>
  <si>
    <t>6 minutes at                  T/W = 0.2</t>
  </si>
  <si>
    <t>30 seconds at          Maximum A/B Power</t>
  </si>
  <si>
    <t>30 seconds at           Maximum A/B Power</t>
  </si>
  <si>
    <t>Warm-up                Ground Rules</t>
  </si>
  <si>
    <t>Takeoff                   Ground Rules</t>
  </si>
  <si>
    <t>Total Fuel Allowance</t>
  </si>
  <si>
    <t>c.1</t>
  </si>
  <si>
    <t>Power Setting</t>
  </si>
  <si>
    <t xml:space="preserve">  lb/hr</t>
  </si>
  <si>
    <t xml:space="preserve">  lb</t>
  </si>
  <si>
    <t>Thrust/Weight</t>
  </si>
  <si>
    <t>Max Norm Thrust</t>
  </si>
  <si>
    <t>Time (minutes)</t>
  </si>
  <si>
    <t>Fuel Burned</t>
  </si>
  <si>
    <t>Aircraft Weight (lb)</t>
  </si>
  <si>
    <t>Warm-up Fuel Calculations</t>
  </si>
  <si>
    <t>Takeoff Fuel Calculations</t>
  </si>
  <si>
    <t>Normal Thrust and Fuel Flow</t>
  </si>
  <si>
    <t>Max A/B Thrust and Fuel Flow</t>
  </si>
  <si>
    <t xml:space="preserve">  ft</t>
  </si>
  <si>
    <t>Landing Run Velocities</t>
  </si>
  <si>
    <t>Approach Velocity</t>
  </si>
  <si>
    <t>Touchdown Velocity</t>
  </si>
  <si>
    <t>Landing Distances</t>
  </si>
  <si>
    <t>Transition ground roll distance</t>
  </si>
  <si>
    <t>Braking ground roll distance</t>
  </si>
  <si>
    <t>Total ground roll distance</t>
  </si>
  <si>
    <t>Homework #18</t>
  </si>
  <si>
    <t>Landing - Sea Level</t>
  </si>
  <si>
    <t>Landing - 4,000 ft</t>
  </si>
  <si>
    <t>% of Total</t>
  </si>
  <si>
    <t>Initial Fuel</t>
  </si>
  <si>
    <t>Max Endurance</t>
  </si>
  <si>
    <t>% Initial Fuel (lb)</t>
  </si>
  <si>
    <t>Total Landing</t>
  </si>
  <si>
    <t>Reserves (lb)</t>
  </si>
  <si>
    <t>Altitude           (ft)</t>
  </si>
  <si>
    <t>Initial Fuel (lb)</t>
  </si>
  <si>
    <t>Fuel Capacity</t>
  </si>
  <si>
    <t>Use the Max EF value to calculate the fuel burned for the given time</t>
  </si>
  <si>
    <t>- - -</t>
  </si>
  <si>
    <t>Use the "10 - Cruise at SL" or "10 - Cruise at 10k" worksheet for an aircraft weight of 8,500 lb</t>
  </si>
  <si>
    <t>Type those values into the appropriate cells</t>
  </si>
  <si>
    <t>1 - Instructions:</t>
  </si>
  <si>
    <t>2 - Instructions:</t>
  </si>
  <si>
    <t>3 - Instructions:</t>
  </si>
  <si>
    <t>Use the Max EF's Mach Number from the "10 - Cruise at SL" or "10 - Cruise at 10k" worksheet at 8,500 lb</t>
  </si>
  <si>
    <t>↑</t>
  </si>
  <si>
    <t>Plot Minimum Speed (CLmax)</t>
  </si>
  <si>
    <t>Plot Maximum Speed (max Mach, max q)</t>
  </si>
  <si>
    <t>Plot Maximum Load Factor</t>
  </si>
  <si>
    <t>1 g Stall Speed</t>
  </si>
  <si>
    <t>XATY0</t>
  </si>
  <si>
    <t xml:space="preserve">  Corner Velocity</t>
  </si>
  <si>
    <t>Y0</t>
  </si>
  <si>
    <t>Corner Vel</t>
  </si>
  <si>
    <t>CL at sust g</t>
  </si>
  <si>
    <t>CV</t>
  </si>
  <si>
    <t>n at sust g</t>
  </si>
  <si>
    <t>TR at sust g</t>
  </si>
  <si>
    <t>R at sust g</t>
  </si>
  <si>
    <t>Ps at sust g</t>
  </si>
  <si>
    <t>Radius</t>
  </si>
  <si>
    <t>V</t>
  </si>
  <si>
    <t>50</t>
  </si>
  <si>
    <t>100</t>
  </si>
  <si>
    <t>150</t>
  </si>
  <si>
    <t>200</t>
  </si>
  <si>
    <t>250</t>
  </si>
  <si>
    <t>300</t>
  </si>
  <si>
    <t>350</t>
  </si>
  <si>
    <t>400</t>
  </si>
  <si>
    <t>450</t>
  </si>
  <si>
    <t>500</t>
  </si>
  <si>
    <t>550</t>
  </si>
  <si>
    <t>600</t>
  </si>
  <si>
    <t>a (kts)</t>
  </si>
  <si>
    <t>M Nums</t>
  </si>
  <si>
    <t>KEAS</t>
  </si>
  <si>
    <t>KCAS</t>
  </si>
  <si>
    <t>P</t>
  </si>
  <si>
    <t>qc</t>
  </si>
  <si>
    <t>sqrtDR</t>
  </si>
  <si>
    <t>Es (V=0)</t>
  </si>
  <si>
    <t>a (ft/s)</t>
  </si>
  <si>
    <t>PS, M, h</t>
  </si>
  <si>
    <t>Order ^</t>
  </si>
  <si>
    <r>
      <rPr>
        <b/>
        <sz val="11"/>
        <color rgb="FF00B050"/>
        <rFont val="Calibri"/>
        <family val="2"/>
        <scheme val="minor"/>
      </rPr>
      <t xml:space="preserve"> ft/cm</t>
    </r>
    <r>
      <rPr>
        <b/>
        <sz val="11"/>
        <color theme="1"/>
        <rFont val="Calibri"/>
        <family val="2"/>
        <scheme val="minor"/>
      </rPr>
      <t xml:space="preserve"> or ft/in</t>
    </r>
  </si>
  <si>
    <t>ft/cm</t>
  </si>
  <si>
    <t>From length</t>
  </si>
  <si>
    <t>From span</t>
  </si>
  <si>
    <t>Main wing and HT</t>
  </si>
  <si>
    <t>VT</t>
  </si>
  <si>
    <t>y_mac (cm)</t>
  </si>
  <si>
    <t>MAC/4 (cm)</t>
  </si>
  <si>
    <t>HT</t>
  </si>
  <si>
    <t>W</t>
  </si>
  <si>
    <t>Military Power Thrust Per Engine (lbf)</t>
  </si>
  <si>
    <t>Maximum Afterburner Power Thrust Per Engine (lbf)</t>
  </si>
  <si>
    <t>Normal Power Thrust Per Engine (lbf)</t>
  </si>
  <si>
    <t>Maximum Afterburner Power Fuel Flow Per Engine (lbm/hr)</t>
  </si>
  <si>
    <t>Military Power Fuel Flow Per Engine (lbm/hr)</t>
  </si>
  <si>
    <t>Lift Coefficient (CL)</t>
  </si>
  <si>
    <t>Drag Polar (CD)</t>
  </si>
  <si>
    <t>g's</t>
  </si>
  <si>
    <t>lbs</t>
  </si>
  <si>
    <t>n (g's)</t>
  </si>
  <si>
    <t>Fuel to burn:</t>
  </si>
  <si>
    <t>I am unsure why the values in orange are so close but not exact to values provided, I tried to resolve but could not</t>
  </si>
  <si>
    <t>10k Feet</t>
  </si>
  <si>
    <t>20k Feet</t>
  </si>
  <si>
    <t>30k Feet</t>
  </si>
  <si>
    <t>40k Feet</t>
  </si>
  <si>
    <t>Thrust/Drag (lbs)</t>
  </si>
  <si>
    <t>DATA</t>
  </si>
  <si>
    <t>10k</t>
  </si>
  <si>
    <t>20k</t>
  </si>
  <si>
    <t>30k</t>
  </si>
  <si>
    <t>40k</t>
  </si>
  <si>
    <t>Specific Range</t>
  </si>
  <si>
    <t>h=10k</t>
  </si>
  <si>
    <t>h=20k</t>
  </si>
  <si>
    <t>h=30k</t>
  </si>
  <si>
    <t>h=40k</t>
  </si>
  <si>
    <t>NOTE: The 0 plotted values are due to the name errors, I tried to revise my VBA code to avoid this but my attempts were futile. I wil ltry to revise for future homeworks if necessary.</t>
  </si>
  <si>
    <t>Climb Schedules</t>
  </si>
  <si>
    <t>Max Thrust Climb</t>
  </si>
  <si>
    <t>Mil Thrust Climb</t>
  </si>
  <si>
    <t>Mil Thrust</t>
  </si>
  <si>
    <t xml:space="preserve">Weight </t>
  </si>
  <si>
    <t>D (lbs)</t>
  </si>
  <si>
    <t>V (ft/s)</t>
  </si>
  <si>
    <t>Thrust (lbs)</t>
  </si>
  <si>
    <t>RoC (ft/min)</t>
  </si>
  <si>
    <t>Max RoC</t>
  </si>
  <si>
    <t>Mach ^:</t>
  </si>
  <si>
    <t>Max Roc</t>
  </si>
  <si>
    <t>Mach @ RoC</t>
  </si>
  <si>
    <t>[ft]</t>
  </si>
  <si>
    <t>[ft/min]</t>
  </si>
  <si>
    <t>[]</t>
  </si>
  <si>
    <t>Max Thrust</t>
  </si>
  <si>
    <t>Max L/D</t>
  </si>
  <si>
    <t>Mach^</t>
  </si>
  <si>
    <t>Altitude [ft]</t>
  </si>
  <si>
    <t>ΔCD</t>
  </si>
  <si>
    <t>V_TO</t>
  </si>
  <si>
    <t>V_rot</t>
  </si>
  <si>
    <t>Rot</t>
  </si>
  <si>
    <t>TO</t>
  </si>
  <si>
    <t>Take-off Flaps</t>
  </si>
  <si>
    <t>Alpha</t>
  </si>
  <si>
    <t>Take-Off Flaps</t>
  </si>
  <si>
    <t>AoA</t>
  </si>
  <si>
    <t>AoA @ TO</t>
  </si>
  <si>
    <t>CL @ To</t>
  </si>
  <si>
    <t>Lift (lb)</t>
  </si>
  <si>
    <t>Drag (lb)</t>
  </si>
  <si>
    <t>R (lb)</t>
  </si>
  <si>
    <t>Accel (ft/s^2)</t>
  </si>
  <si>
    <t>Time (s)</t>
  </si>
  <si>
    <t>Distance (ft)</t>
  </si>
  <si>
    <t>Mil</t>
  </si>
  <si>
    <t>SEA LEVEL</t>
  </si>
  <si>
    <t>Max</t>
  </si>
  <si>
    <t>To</t>
  </si>
  <si>
    <t>SL</t>
  </si>
  <si>
    <t>Numerical Method</t>
  </si>
  <si>
    <t>4,000ft</t>
  </si>
  <si>
    <t>Difference</t>
  </si>
  <si>
    <t>MAX</t>
  </si>
  <si>
    <t>Initial Weight</t>
  </si>
  <si>
    <t>alpha</t>
  </si>
  <si>
    <t>TD</t>
  </si>
  <si>
    <t>Lift</t>
  </si>
  <si>
    <t>CD Drag</t>
  </si>
  <si>
    <t>Accel</t>
  </si>
  <si>
    <t>(ft/s^2)</t>
  </si>
  <si>
    <t>(s)</t>
  </si>
  <si>
    <t>(ft/s)</t>
  </si>
  <si>
    <t>CL @ TD</t>
  </si>
  <si>
    <t>3-pt</t>
  </si>
  <si>
    <t>Rolling</t>
  </si>
  <si>
    <t>(Rol-&gt;Brake)</t>
  </si>
  <si>
    <t>V_app</t>
  </si>
  <si>
    <t xml:space="preserve">PS @ Idle </t>
  </si>
  <si>
    <t>Mu_TD</t>
  </si>
  <si>
    <t>Stopped</t>
  </si>
  <si>
    <t>Fuel Flow (lb/hr)</t>
  </si>
  <si>
    <t>Fuel Flow (lbs/hr)</t>
  </si>
  <si>
    <t>^Added Fuel Flow in copy of sheets</t>
  </si>
  <si>
    <t>Total fuel left exceeds the fuel reserves at the end of the mission, so at no point would the aircraft run out of fuel</t>
  </si>
  <si>
    <t>Mach Lim</t>
  </si>
  <si>
    <t>Max q</t>
  </si>
  <si>
    <t>Max Mach q</t>
  </si>
  <si>
    <t>Maxq=QMS*M^2</t>
  </si>
  <si>
    <t>M=sqrt(maxq/qms)</t>
  </si>
  <si>
    <t>Clmax</t>
  </si>
  <si>
    <t>ft^2</t>
  </si>
  <si>
    <t xml:space="preserve">rho </t>
  </si>
  <si>
    <t>Vstall</t>
  </si>
  <si>
    <t>VTO</t>
  </si>
  <si>
    <t>M</t>
  </si>
  <si>
    <t>omega</t>
  </si>
  <si>
    <t>deg/s</t>
  </si>
  <si>
    <t>gs</t>
  </si>
  <si>
    <t>Bank angle</t>
  </si>
  <si>
    <t>ft/s</t>
  </si>
  <si>
    <t>(Ps-dh/dt)*g/V</t>
  </si>
  <si>
    <t>knots</t>
  </si>
  <si>
    <t>(knots)*(ft/s^2)*(s/ft)</t>
  </si>
  <si>
    <t xml:space="preserve">ROC SL </t>
  </si>
  <si>
    <t>ROC h</t>
  </si>
  <si>
    <t>h1</t>
  </si>
  <si>
    <t>h2</t>
  </si>
  <si>
    <t>M1</t>
  </si>
  <si>
    <t>M2</t>
  </si>
  <si>
    <t>a1</t>
  </si>
  <si>
    <t>a2</t>
  </si>
  <si>
    <t>ft/s^2</t>
  </si>
  <si>
    <t>V1</t>
  </si>
  <si>
    <t>V2</t>
  </si>
  <si>
    <t>t</t>
  </si>
  <si>
    <t>Wi</t>
  </si>
  <si>
    <t>ct</t>
  </si>
  <si>
    <t>lbfuel/hr/lbthrust</t>
  </si>
  <si>
    <t>Ta</t>
  </si>
  <si>
    <t xml:space="preserve">lb </t>
  </si>
  <si>
    <t>NM/hr</t>
  </si>
  <si>
    <t>sp R</t>
  </si>
  <si>
    <t>d</t>
  </si>
  <si>
    <t>NM/lb</t>
  </si>
  <si>
    <t>R=RF*ln(Wi/Wf)</t>
  </si>
  <si>
    <t>e^(R/RF)=Wi/Wf</t>
  </si>
  <si>
    <t>Wf=Wi/e^(R/RF)</t>
  </si>
  <si>
    <t>Wf</t>
  </si>
  <si>
    <t xml:space="preserve">NM </t>
  </si>
  <si>
    <t>Military Trust</t>
  </si>
  <si>
    <t>Maximum A/B Thrust</t>
  </si>
  <si>
    <t>Aircraft Weight: 10,000 lbs</t>
  </si>
  <si>
    <r>
      <rPr>
        <b/>
        <sz val="11"/>
        <color theme="1"/>
        <rFont val="Calibri"/>
        <family val="2"/>
        <scheme val="minor"/>
      </rPr>
      <t>Aircraft Weight:</t>
    </r>
    <r>
      <rPr>
        <sz val="11"/>
        <color theme="1"/>
        <rFont val="Calibri"/>
        <family val="2"/>
        <scheme val="minor"/>
      </rPr>
      <t xml:space="preserve"> 10,000 lbs</t>
    </r>
  </si>
  <si>
    <t>Format</t>
  </si>
  <si>
    <t>Need to implement Breguet Range Equation somehow, maybe from calculation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</si>
</sst>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0.0000"/>
    <numFmt numFmtId="166" formatCode="_(* #,##0_);_(* \(#,##0\);_(* &quot;-&quot;??_);_(@_)"/>
    <numFmt numFmtId="167" formatCode="0.00000000"/>
    <numFmt numFmtId="168" formatCode="0.00000"/>
    <numFmt numFmtId="169" formatCode="#,##0.0"/>
    <numFmt numFmtId="170" formatCode="#,##0.0000"/>
    <numFmt numFmtId="171" formatCode="0.000"/>
    <numFmt numFmtId="172" formatCode="_(* #,##0.000_);_(* \(#,##0.000\);_(* &quot;-&quot;??_);_(@_)"/>
    <numFmt numFmtId="173" formatCode="_(* #,##0.0_);_(* \(#,##0.0\);_(* &quot;-&quot;??_);_(@_)"/>
    <numFmt numFmtId="174" formatCode="0.0%"/>
    <numFmt numFmtId="175" formatCode="_(* #,##0.0000_);_(* \(#,##0.0000\);_(* &quot;-&quot;??_);_(@_)"/>
    <numFmt numFmtId="176" formatCode="_(* #,##0.0000_);_(* \(#,##0.0000\);_(* &quot;-&quot;????_);_(@_)"/>
  </numFmts>
  <fonts count="3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1"/>
      <charset val="2"/>
      <scheme val="minor"/>
    </font>
    <font>
      <sz val="11"/>
      <color theme="1"/>
      <name val="Symbol"/>
      <family val="1"/>
      <charset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  <font>
      <b/>
      <vertAlign val="subscript"/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</font>
    <font>
      <sz val="8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sz val="11"/>
      <color rgb="FF00000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249977111117893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medium">
        <color rgb="FFFF0000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rgb="FFFF0000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/>
      <diagonal/>
    </border>
    <border>
      <left/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medium">
        <color rgb="FFFF0000"/>
      </right>
      <top/>
      <bottom style="thin">
        <color rgb="FFFF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5">
    <xf numFmtId="0" fontId="0" fillId="0" borderId="0" xfId="0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166" fontId="0" fillId="0" borderId="0" xfId="1" applyNumberFormat="1" applyFont="1"/>
    <xf numFmtId="167" fontId="0" fillId="0" borderId="0" xfId="0" applyNumberFormat="1"/>
    <xf numFmtId="1" fontId="0" fillId="0" borderId="0" xfId="1" applyNumberFormat="1" applyFont="1"/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0" xfId="0" applyFont="1" applyAlignment="1">
      <alignment horizontal="right"/>
    </xf>
    <xf numFmtId="1" fontId="0" fillId="0" borderId="0" xfId="0" applyNumberFormat="1"/>
    <xf numFmtId="2" fontId="0" fillId="0" borderId="0" xfId="0" applyNumberFormat="1" applyAlignment="1">
      <alignment horizontal="right"/>
    </xf>
    <xf numFmtId="164" fontId="0" fillId="0" borderId="0" xfId="0" applyNumberFormat="1" applyAlignment="1">
      <alignment horizontal="center"/>
    </xf>
    <xf numFmtId="169" fontId="0" fillId="0" borderId="0" xfId="0" applyNumberFormat="1"/>
    <xf numFmtId="3" fontId="0" fillId="0" borderId="0" xfId="0" applyNumberFormat="1"/>
    <xf numFmtId="168" fontId="0" fillId="0" borderId="0" xfId="0" applyNumberFormat="1" applyAlignment="1">
      <alignment horizontal="center"/>
    </xf>
    <xf numFmtId="3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0" fontId="1" fillId="2" borderId="0" xfId="0" applyFont="1" applyFill="1"/>
    <xf numFmtId="0" fontId="0" fillId="2" borderId="0" xfId="0" applyFill="1"/>
    <xf numFmtId="166" fontId="1" fillId="2" borderId="0" xfId="0" applyNumberFormat="1" applyFont="1" applyFill="1"/>
    <xf numFmtId="4" fontId="0" fillId="0" borderId="0" xfId="0" applyNumberFormat="1"/>
    <xf numFmtId="170" fontId="0" fillId="0" borderId="0" xfId="0" applyNumberFormat="1"/>
    <xf numFmtId="3" fontId="1" fillId="4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65" fontId="0" fillId="4" borderId="1" xfId="0" applyNumberFormat="1" applyFill="1" applyBorder="1" applyAlignment="1">
      <alignment horizontal="center"/>
    </xf>
    <xf numFmtId="3" fontId="0" fillId="4" borderId="1" xfId="0" applyNumberFormat="1" applyFill="1" applyBorder="1" applyAlignment="1">
      <alignment horizontal="center"/>
    </xf>
    <xf numFmtId="2" fontId="0" fillId="4" borderId="1" xfId="0" applyNumberFormat="1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3" fontId="1" fillId="4" borderId="2" xfId="0" applyNumberFormat="1" applyFont="1" applyFill="1" applyBorder="1" applyAlignment="1">
      <alignment horizontal="center"/>
    </xf>
    <xf numFmtId="3" fontId="1" fillId="4" borderId="3" xfId="0" applyNumberFormat="1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3" fontId="1" fillId="4" borderId="4" xfId="0" applyNumberFormat="1" applyFont="1" applyFill="1" applyBorder="1" applyAlignment="1">
      <alignment horizontal="center"/>
    </xf>
    <xf numFmtId="3" fontId="1" fillId="4" borderId="5" xfId="0" applyNumberFormat="1" applyFont="1" applyFill="1" applyBorder="1" applyAlignment="1">
      <alignment horizontal="center"/>
    </xf>
    <xf numFmtId="3" fontId="1" fillId="4" borderId="6" xfId="0" applyNumberFormat="1" applyFont="1" applyFill="1" applyBorder="1" applyAlignment="1">
      <alignment horizontal="center"/>
    </xf>
    <xf numFmtId="3" fontId="0" fillId="4" borderId="5" xfId="0" applyNumberFormat="1" applyFill="1" applyBorder="1" applyAlignment="1">
      <alignment horizontal="right" indent="3"/>
    </xf>
    <xf numFmtId="3" fontId="0" fillId="0" borderId="6" xfId="0" applyNumberFormat="1" applyBorder="1" applyAlignment="1">
      <alignment horizontal="center"/>
    </xf>
    <xf numFmtId="3" fontId="0" fillId="4" borderId="7" xfId="0" applyNumberFormat="1" applyFill="1" applyBorder="1" applyAlignment="1">
      <alignment horizontal="right" indent="3"/>
    </xf>
    <xf numFmtId="165" fontId="0" fillId="4" borderId="8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2" fontId="0" fillId="4" borderId="8" xfId="0" applyNumberFormat="1" applyFill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3" fontId="0" fillId="0" borderId="9" xfId="0" applyNumberFormat="1" applyBorder="1" applyAlignment="1">
      <alignment horizontal="center"/>
    </xf>
    <xf numFmtId="167" fontId="0" fillId="0" borderId="1" xfId="0" applyNumberFormat="1" applyBorder="1" applyAlignment="1">
      <alignment horizontal="center" vertical="center"/>
    </xf>
    <xf numFmtId="0" fontId="1" fillId="4" borderId="2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3" fontId="0" fillId="4" borderId="5" xfId="0" applyNumberFormat="1" applyFill="1" applyBorder="1" applyAlignment="1">
      <alignment horizontal="center" vertical="center"/>
    </xf>
    <xf numFmtId="3" fontId="0" fillId="4" borderId="7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3" fontId="0" fillId="0" borderId="1" xfId="0" applyNumberFormat="1" applyBorder="1" applyAlignment="1">
      <alignment horizontal="center"/>
    </xf>
    <xf numFmtId="10" fontId="0" fillId="0" borderId="1" xfId="2" applyNumberFormat="1" applyFont="1" applyBorder="1" applyAlignment="1">
      <alignment horizontal="center"/>
    </xf>
    <xf numFmtId="0" fontId="1" fillId="4" borderId="5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 wrapText="1"/>
    </xf>
    <xf numFmtId="3" fontId="0" fillId="4" borderId="5" xfId="0" applyNumberFormat="1" applyFill="1" applyBorder="1" applyAlignment="1">
      <alignment horizontal="center"/>
    </xf>
    <xf numFmtId="3" fontId="0" fillId="4" borderId="7" xfId="0" applyNumberFormat="1" applyFill="1" applyBorder="1" applyAlignment="1">
      <alignment horizontal="center"/>
    </xf>
    <xf numFmtId="171" fontId="0" fillId="0" borderId="0" xfId="0" applyNumberFormat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171" fontId="0" fillId="6" borderId="7" xfId="0" applyNumberFormat="1" applyFill="1" applyBorder="1" applyAlignment="1">
      <alignment horizontal="center"/>
    </xf>
    <xf numFmtId="171" fontId="0" fillId="6" borderId="8" xfId="0" applyNumberFormat="1" applyFill="1" applyBorder="1" applyAlignment="1">
      <alignment horizontal="center"/>
    </xf>
    <xf numFmtId="171" fontId="0" fillId="6" borderId="9" xfId="0" applyNumberFormat="1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171" fontId="0" fillId="6" borderId="6" xfId="0" applyNumberFormat="1" applyFill="1" applyBorder="1" applyAlignment="1">
      <alignment horizontal="center"/>
    </xf>
    <xf numFmtId="0" fontId="0" fillId="4" borderId="2" xfId="0" applyFill="1" applyBorder="1"/>
    <xf numFmtId="0" fontId="1" fillId="4" borderId="5" xfId="0" applyFont="1" applyFill="1" applyBorder="1"/>
    <xf numFmtId="0" fontId="1" fillId="4" borderId="7" xfId="0" applyFont="1" applyFill="1" applyBorder="1"/>
    <xf numFmtId="165" fontId="0" fillId="0" borderId="6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0" fontId="0" fillId="4" borderId="11" xfId="0" applyFill="1" applyBorder="1"/>
    <xf numFmtId="0" fontId="1" fillId="4" borderId="12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64" fontId="0" fillId="6" borderId="7" xfId="0" applyNumberFormat="1" applyFill="1" applyBorder="1" applyAlignment="1">
      <alignment horizontal="center"/>
    </xf>
    <xf numFmtId="164" fontId="0" fillId="6" borderId="8" xfId="0" applyNumberFormat="1" applyFill="1" applyBorder="1" applyAlignment="1">
      <alignment horizontal="center"/>
    </xf>
    <xf numFmtId="164" fontId="0" fillId="6" borderId="9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4" borderId="5" xfId="0" applyFill="1" applyBorder="1"/>
    <xf numFmtId="0" fontId="0" fillId="4" borderId="7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4" borderId="5" xfId="0" applyNumberForma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2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0" fontId="7" fillId="8" borderId="4" xfId="0" applyFont="1" applyFill="1" applyBorder="1" applyAlignment="1">
      <alignment horizontal="center" vertical="center" wrapText="1"/>
    </xf>
    <xf numFmtId="0" fontId="7" fillId="8" borderId="6" xfId="0" applyFont="1" applyFill="1" applyBorder="1" applyAlignment="1">
      <alignment horizontal="center" vertical="center" wrapText="1"/>
    </xf>
    <xf numFmtId="43" fontId="0" fillId="0" borderId="0" xfId="1" applyFont="1"/>
    <xf numFmtId="0" fontId="13" fillId="0" borderId="0" xfId="0" applyFont="1"/>
    <xf numFmtId="0" fontId="14" fillId="0" borderId="0" xfId="0" applyFont="1"/>
    <xf numFmtId="172" fontId="0" fillId="0" borderId="0" xfId="1" applyNumberFormat="1" applyFont="1"/>
    <xf numFmtId="0" fontId="0" fillId="0" borderId="0" xfId="0" quotePrefix="1"/>
    <xf numFmtId="166" fontId="1" fillId="0" borderId="0" xfId="0" applyNumberFormat="1" applyFont="1"/>
    <xf numFmtId="164" fontId="1" fillId="0" borderId="0" xfId="0" applyNumberFormat="1" applyFont="1"/>
    <xf numFmtId="10" fontId="0" fillId="0" borderId="0" xfId="2" applyNumberFormat="1" applyFont="1"/>
    <xf numFmtId="2" fontId="0" fillId="0" borderId="0" xfId="1" applyNumberFormat="1" applyFont="1"/>
    <xf numFmtId="171" fontId="0" fillId="0" borderId="0" xfId="1" applyNumberFormat="1" applyFont="1"/>
    <xf numFmtId="165" fontId="0" fillId="0" borderId="0" xfId="1" applyNumberFormat="1" applyFont="1"/>
    <xf numFmtId="3" fontId="0" fillId="0" borderId="0" xfId="1" applyNumberFormat="1" applyFont="1"/>
    <xf numFmtId="164" fontId="0" fillId="0" borderId="1" xfId="0" applyNumberFormat="1" applyBorder="1" applyAlignment="1">
      <alignment horizontal="center" vertical="center"/>
    </xf>
    <xf numFmtId="169" fontId="0" fillId="0" borderId="1" xfId="0" applyNumberFormat="1" applyBorder="1" applyAlignment="1">
      <alignment horizontal="center"/>
    </xf>
    <xf numFmtId="3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64" fontId="0" fillId="0" borderId="1" xfId="0" applyNumberFormat="1" applyBorder="1"/>
    <xf numFmtId="0" fontId="1" fillId="0" borderId="2" xfId="0" applyFont="1" applyBorder="1"/>
    <xf numFmtId="2" fontId="0" fillId="0" borderId="3" xfId="0" applyNumberFormat="1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1" fillId="0" borderId="7" xfId="0" applyFont="1" applyBorder="1"/>
    <xf numFmtId="2" fontId="0" fillId="0" borderId="8" xfId="0" applyNumberFormat="1" applyBorder="1"/>
    <xf numFmtId="0" fontId="0" fillId="0" borderId="9" xfId="0" applyBorder="1"/>
    <xf numFmtId="165" fontId="0" fillId="0" borderId="0" xfId="0" applyNumberFormat="1" applyAlignment="1">
      <alignment horizontal="right"/>
    </xf>
    <xf numFmtId="168" fontId="0" fillId="0" borderId="0" xfId="0" applyNumberFormat="1"/>
    <xf numFmtId="0" fontId="1" fillId="0" borderId="4" xfId="0" applyFont="1" applyBorder="1" applyAlignment="1">
      <alignment horizontal="center"/>
    </xf>
    <xf numFmtId="0" fontId="6" fillId="8" borderId="2" xfId="0" applyFont="1" applyFill="1" applyBorder="1" applyAlignment="1">
      <alignment horizontal="center" vertical="center" wrapText="1"/>
    </xf>
    <xf numFmtId="2" fontId="6" fillId="0" borderId="6" xfId="0" applyNumberFormat="1" applyFont="1" applyBorder="1" applyAlignment="1">
      <alignment horizontal="center" vertical="center" wrapText="1"/>
    </xf>
    <xf numFmtId="2" fontId="6" fillId="0" borderId="9" xfId="0" applyNumberFormat="1" applyFont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7" xfId="0" applyFont="1" applyFill="1" applyBorder="1" applyAlignment="1">
      <alignment horizontal="center" vertical="center" wrapText="1"/>
    </xf>
    <xf numFmtId="3" fontId="3" fillId="0" borderId="0" xfId="0" applyNumberFormat="1" applyFont="1"/>
    <xf numFmtId="0" fontId="6" fillId="8" borderId="5" xfId="0" applyFont="1" applyFill="1" applyBorder="1" applyAlignment="1">
      <alignment horizontal="center" vertical="center" wrapText="1"/>
    </xf>
    <xf numFmtId="10" fontId="0" fillId="0" borderId="0" xfId="2" applyNumberFormat="1" applyFont="1" applyAlignment="1">
      <alignment horizontal="center"/>
    </xf>
    <xf numFmtId="166" fontId="0" fillId="0" borderId="0" xfId="0" applyNumberFormat="1"/>
    <xf numFmtId="165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173" fontId="0" fillId="0" borderId="0" xfId="0" applyNumberFormat="1"/>
    <xf numFmtId="0" fontId="1" fillId="0" borderId="0" xfId="0" quotePrefix="1" applyFont="1" applyAlignment="1">
      <alignment horizontal="center"/>
    </xf>
    <xf numFmtId="165" fontId="1" fillId="0" borderId="0" xfId="0" applyNumberFormat="1" applyFont="1"/>
    <xf numFmtId="0" fontId="0" fillId="0" borderId="0" xfId="0" applyAlignment="1">
      <alignment horizontal="left"/>
    </xf>
    <xf numFmtId="0" fontId="0" fillId="16" borderId="0" xfId="0" applyFill="1"/>
    <xf numFmtId="0" fontId="1" fillId="16" borderId="0" xfId="0" applyFont="1" applyFill="1"/>
    <xf numFmtId="4" fontId="0" fillId="6" borderId="5" xfId="0" applyNumberFormat="1" applyFill="1" applyBorder="1" applyAlignment="1">
      <alignment horizontal="center"/>
    </xf>
    <xf numFmtId="4" fontId="0" fillId="6" borderId="7" xfId="0" applyNumberFormat="1" applyFill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165" fontId="0" fillId="0" borderId="22" xfId="0" applyNumberFormat="1" applyBorder="1" applyAlignment="1">
      <alignment horizontal="center"/>
    </xf>
    <xf numFmtId="165" fontId="0" fillId="0" borderId="23" xfId="0" applyNumberFormat="1" applyBorder="1" applyAlignment="1">
      <alignment horizontal="center"/>
    </xf>
    <xf numFmtId="2" fontId="0" fillId="0" borderId="26" xfId="1" applyNumberFormat="1" applyFont="1" applyBorder="1"/>
    <xf numFmtId="2" fontId="0" fillId="0" borderId="27" xfId="1" applyNumberFormat="1" applyFont="1" applyBorder="1"/>
    <xf numFmtId="0" fontId="0" fillId="0" borderId="27" xfId="0" applyBorder="1"/>
    <xf numFmtId="2" fontId="0" fillId="0" borderId="28" xfId="1" applyNumberFormat="1" applyFont="1" applyBorder="1"/>
    <xf numFmtId="3" fontId="0" fillId="0" borderId="26" xfId="0" applyNumberFormat="1" applyBorder="1"/>
    <xf numFmtId="3" fontId="0" fillId="0" borderId="27" xfId="0" applyNumberFormat="1" applyBorder="1"/>
    <xf numFmtId="2" fontId="0" fillId="0" borderId="28" xfId="0" applyNumberFormat="1" applyBorder="1"/>
    <xf numFmtId="2" fontId="0" fillId="0" borderId="26" xfId="0" applyNumberFormat="1" applyBorder="1"/>
    <xf numFmtId="2" fontId="0" fillId="0" borderId="27" xfId="0" applyNumberFormat="1" applyBorder="1"/>
    <xf numFmtId="164" fontId="0" fillId="0" borderId="19" xfId="0" applyNumberFormat="1" applyBorder="1"/>
    <xf numFmtId="164" fontId="0" fillId="0" borderId="23" xfId="0" applyNumberFormat="1" applyBorder="1" applyAlignment="1">
      <alignment horizontal="center"/>
    </xf>
    <xf numFmtId="164" fontId="0" fillId="0" borderId="25" xfId="0" applyNumberFormat="1" applyBorder="1" applyAlignment="1">
      <alignment horizontal="center"/>
    </xf>
    <xf numFmtId="164" fontId="0" fillId="0" borderId="27" xfId="0" applyNumberFormat="1" applyBorder="1" applyAlignment="1">
      <alignment horizontal="center"/>
    </xf>
    <xf numFmtId="165" fontId="0" fillId="0" borderId="27" xfId="0" applyNumberFormat="1" applyBorder="1" applyAlignment="1">
      <alignment horizontal="center"/>
    </xf>
    <xf numFmtId="165" fontId="0" fillId="0" borderId="28" xfId="0" applyNumberFormat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1" fillId="6" borderId="0" xfId="0" applyFont="1" applyFill="1"/>
    <xf numFmtId="0" fontId="1" fillId="6" borderId="0" xfId="0" applyFont="1" applyFill="1" applyAlignment="1">
      <alignment horizontal="center"/>
    </xf>
    <xf numFmtId="0" fontId="1" fillId="17" borderId="0" xfId="0" applyFont="1" applyFill="1"/>
    <xf numFmtId="0" fontId="1" fillId="18" borderId="0" xfId="0" applyFont="1" applyFill="1"/>
    <xf numFmtId="3" fontId="0" fillId="0" borderId="19" xfId="0" applyNumberFormat="1" applyBorder="1"/>
    <xf numFmtId="0" fontId="1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1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1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165" fontId="0" fillId="0" borderId="26" xfId="0" applyNumberFormat="1" applyBorder="1" applyAlignment="1">
      <alignment horizontal="center"/>
    </xf>
    <xf numFmtId="164" fontId="0" fillId="0" borderId="26" xfId="0" applyNumberFormat="1" applyBorder="1" applyAlignment="1">
      <alignment horizontal="right"/>
    </xf>
    <xf numFmtId="3" fontId="0" fillId="0" borderId="28" xfId="0" applyNumberFormat="1" applyBorder="1"/>
    <xf numFmtId="165" fontId="0" fillId="0" borderId="19" xfId="0" applyNumberFormat="1" applyBorder="1"/>
    <xf numFmtId="2" fontId="0" fillId="0" borderId="19" xfId="0" applyNumberFormat="1" applyBorder="1"/>
    <xf numFmtId="169" fontId="0" fillId="0" borderId="19" xfId="0" applyNumberFormat="1" applyBorder="1"/>
    <xf numFmtId="0" fontId="1" fillId="4" borderId="29" xfId="0" applyFont="1" applyFill="1" applyBorder="1" applyAlignment="1">
      <alignment horizontal="center"/>
    </xf>
    <xf numFmtId="2" fontId="1" fillId="4" borderId="3" xfId="0" applyNumberFormat="1" applyFont="1" applyFill="1" applyBorder="1" applyAlignment="1">
      <alignment horizontal="center" wrapText="1"/>
    </xf>
    <xf numFmtId="2" fontId="1" fillId="4" borderId="4" xfId="0" applyNumberFormat="1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4" borderId="3" xfId="0" applyFont="1" applyFill="1" applyBorder="1" applyAlignment="1">
      <alignment horizontal="center" wrapText="1"/>
    </xf>
    <xf numFmtId="0" fontId="8" fillId="0" borderId="31" xfId="0" applyFont="1" applyBorder="1" applyAlignment="1">
      <alignment vertical="center" wrapText="1"/>
    </xf>
    <xf numFmtId="0" fontId="9" fillId="0" borderId="32" xfId="0" applyFont="1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 wrapText="1"/>
    </xf>
    <xf numFmtId="0" fontId="7" fillId="8" borderId="32" xfId="0" applyFont="1" applyFill="1" applyBorder="1" applyAlignment="1">
      <alignment horizontal="center" vertical="center" wrapText="1"/>
    </xf>
    <xf numFmtId="0" fontId="7" fillId="8" borderId="31" xfId="0" applyFont="1" applyFill="1" applyBorder="1" applyAlignment="1">
      <alignment vertical="center" wrapText="1"/>
    </xf>
    <xf numFmtId="0" fontId="8" fillId="8" borderId="32" xfId="0" applyFont="1" applyFill="1" applyBorder="1" applyAlignment="1">
      <alignment horizontal="center" vertical="center" wrapText="1"/>
    </xf>
    <xf numFmtId="0" fontId="6" fillId="8" borderId="32" xfId="0" applyFont="1" applyFill="1" applyBorder="1" applyAlignment="1">
      <alignment horizontal="center" vertical="center" wrapText="1"/>
    </xf>
    <xf numFmtId="164" fontId="6" fillId="0" borderId="32" xfId="0" applyNumberFormat="1" applyFont="1" applyBorder="1" applyAlignment="1">
      <alignment horizontal="center" vertical="center" wrapText="1"/>
    </xf>
    <xf numFmtId="2" fontId="6" fillId="0" borderId="32" xfId="0" applyNumberFormat="1" applyFont="1" applyBorder="1" applyAlignment="1">
      <alignment horizontal="center" vertical="center" wrapText="1"/>
    </xf>
    <xf numFmtId="0" fontId="6" fillId="0" borderId="32" xfId="0" applyFont="1" applyBorder="1" applyAlignment="1">
      <alignment horizontal="center" vertical="center" wrapText="1"/>
    </xf>
    <xf numFmtId="0" fontId="7" fillId="8" borderId="30" xfId="0" applyFont="1" applyFill="1" applyBorder="1" applyAlignment="1">
      <alignment horizontal="center" vertical="center" wrapText="1"/>
    </xf>
    <xf numFmtId="0" fontId="7" fillId="8" borderId="10" xfId="0" applyFont="1" applyFill="1" applyBorder="1" applyAlignment="1">
      <alignment vertical="center" wrapText="1"/>
    </xf>
    <xf numFmtId="0" fontId="1" fillId="8" borderId="10" xfId="0" applyFont="1" applyFill="1" applyBorder="1" applyAlignment="1">
      <alignment horizontal="center" vertical="center" wrapText="1"/>
    </xf>
    <xf numFmtId="0" fontId="7" fillId="8" borderId="10" xfId="0" applyFont="1" applyFill="1" applyBorder="1" applyAlignment="1">
      <alignment horizontal="center" vertical="center" wrapText="1"/>
    </xf>
    <xf numFmtId="0" fontId="6" fillId="8" borderId="10" xfId="0" applyFont="1" applyFill="1" applyBorder="1" applyAlignment="1">
      <alignment horizontal="center" vertical="center" wrapText="1"/>
    </xf>
    <xf numFmtId="0" fontId="8" fillId="0" borderId="30" xfId="0" applyFont="1" applyBorder="1" applyAlignment="1">
      <alignment vertical="center" wrapText="1"/>
    </xf>
    <xf numFmtId="0" fontId="8" fillId="0" borderId="30" xfId="0" applyFont="1" applyBorder="1" applyAlignment="1">
      <alignment horizontal="center" vertical="center" wrapText="1"/>
    </xf>
    <xf numFmtId="164" fontId="6" fillId="0" borderId="30" xfId="0" applyNumberFormat="1" applyFont="1" applyBorder="1" applyAlignment="1">
      <alignment horizontal="center" vertical="center" wrapText="1"/>
    </xf>
    <xf numFmtId="0" fontId="8" fillId="0" borderId="10" xfId="0" applyFont="1" applyBorder="1" applyAlignment="1">
      <alignment horizontal="left" vertical="center" wrapText="1"/>
    </xf>
    <xf numFmtId="0" fontId="8" fillId="0" borderId="10" xfId="0" applyFont="1" applyBorder="1" applyAlignment="1">
      <alignment horizontal="center" vertical="center" wrapText="1"/>
    </xf>
    <xf numFmtId="164" fontId="6" fillId="0" borderId="10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/>
    </xf>
    <xf numFmtId="1" fontId="6" fillId="4" borderId="10" xfId="0" applyNumberFormat="1" applyFont="1" applyFill="1" applyBorder="1" applyAlignment="1">
      <alignment horizontal="left" vertical="center"/>
    </xf>
    <xf numFmtId="1" fontId="6" fillId="4" borderId="10" xfId="0" applyNumberFormat="1" applyFont="1" applyFill="1" applyBorder="1" applyAlignment="1">
      <alignment horizontal="center" vertical="center"/>
    </xf>
    <xf numFmtId="1" fontId="6" fillId="4" borderId="10" xfId="0" applyNumberFormat="1" applyFont="1" applyFill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left"/>
    </xf>
    <xf numFmtId="164" fontId="8" fillId="0" borderId="10" xfId="0" applyNumberFormat="1" applyFont="1" applyBorder="1" applyAlignment="1">
      <alignment horizontal="center" vertical="center"/>
    </xf>
    <xf numFmtId="3" fontId="8" fillId="0" borderId="10" xfId="0" applyNumberFormat="1" applyFont="1" applyBorder="1" applyAlignment="1">
      <alignment horizontal="center" vertical="center"/>
    </xf>
    <xf numFmtId="2" fontId="8" fillId="0" borderId="10" xfId="0" applyNumberFormat="1" applyFont="1" applyBorder="1" applyAlignment="1">
      <alignment horizontal="center" vertical="center"/>
    </xf>
    <xf numFmtId="4" fontId="8" fillId="0" borderId="10" xfId="0" applyNumberFormat="1" applyFont="1" applyBorder="1" applyAlignment="1">
      <alignment horizontal="center" vertical="center"/>
    </xf>
    <xf numFmtId="3" fontId="8" fillId="0" borderId="17" xfId="0" applyNumberFormat="1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164" fontId="0" fillId="6" borderId="4" xfId="0" applyNumberFormat="1" applyFill="1" applyBorder="1" applyAlignment="1">
      <alignment horizontal="center"/>
    </xf>
    <xf numFmtId="164" fontId="0" fillId="6" borderId="6" xfId="0" applyNumberFormat="1" applyFill="1" applyBorder="1" applyAlignment="1">
      <alignment horizontal="center"/>
    </xf>
    <xf numFmtId="0" fontId="1" fillId="0" borderId="37" xfId="0" applyFont="1" applyBorder="1" applyAlignment="1">
      <alignment horizontal="center"/>
    </xf>
    <xf numFmtId="170" fontId="0" fillId="0" borderId="19" xfId="0" applyNumberFormat="1" applyBorder="1"/>
    <xf numFmtId="0" fontId="7" fillId="8" borderId="17" xfId="0" applyFont="1" applyFill="1" applyBorder="1" applyAlignment="1">
      <alignment horizontal="center" vertical="center" wrapText="1"/>
    </xf>
    <xf numFmtId="0" fontId="7" fillId="8" borderId="31" xfId="0" applyFont="1" applyFill="1" applyBorder="1" applyAlignment="1">
      <alignment horizontal="center" vertical="center" wrapText="1"/>
    </xf>
    <xf numFmtId="0" fontId="7" fillId="8" borderId="38" xfId="0" applyFont="1" applyFill="1" applyBorder="1" applyAlignment="1">
      <alignment horizontal="center" vertical="center" wrapText="1"/>
    </xf>
    <xf numFmtId="0" fontId="7" fillId="8" borderId="39" xfId="0" applyFont="1" applyFill="1" applyBorder="1" applyAlignment="1">
      <alignment horizontal="center" vertical="center" wrapText="1"/>
    </xf>
    <xf numFmtId="0" fontId="0" fillId="0" borderId="42" xfId="0" applyBorder="1"/>
    <xf numFmtId="0" fontId="0" fillId="0" borderId="40" xfId="0" applyBorder="1"/>
    <xf numFmtId="165" fontId="8" fillId="0" borderId="10" xfId="0" applyNumberFormat="1" applyFont="1" applyBorder="1" applyAlignment="1">
      <alignment horizontal="center"/>
    </xf>
    <xf numFmtId="2" fontId="8" fillId="0" borderId="40" xfId="0" applyNumberFormat="1" applyFont="1" applyBorder="1" applyAlignment="1">
      <alignment horizontal="center"/>
    </xf>
    <xf numFmtId="169" fontId="8" fillId="0" borderId="10" xfId="0" applyNumberFormat="1" applyFont="1" applyBorder="1" applyAlignment="1">
      <alignment horizontal="center"/>
    </xf>
    <xf numFmtId="2" fontId="8" fillId="0" borderId="10" xfId="0" applyNumberFormat="1" applyFont="1" applyBorder="1" applyAlignment="1">
      <alignment horizontal="center"/>
    </xf>
    <xf numFmtId="3" fontId="8" fillId="0" borderId="10" xfId="0" applyNumberFormat="1" applyFont="1" applyBorder="1" applyAlignment="1">
      <alignment horizontal="center"/>
    </xf>
    <xf numFmtId="164" fontId="8" fillId="0" borderId="41" xfId="0" applyNumberFormat="1" applyFont="1" applyBorder="1" applyAlignment="1">
      <alignment horizontal="center"/>
    </xf>
    <xf numFmtId="0" fontId="6" fillId="0" borderId="31" xfId="0" applyFont="1" applyBorder="1" applyAlignment="1">
      <alignment horizontal="center" vertical="center" wrapText="1"/>
    </xf>
    <xf numFmtId="165" fontId="6" fillId="0" borderId="31" xfId="0" applyNumberFormat="1" applyFont="1" applyBorder="1" applyAlignment="1">
      <alignment horizontal="center" vertical="center" wrapText="1"/>
    </xf>
    <xf numFmtId="2" fontId="6" fillId="0" borderId="31" xfId="0" applyNumberFormat="1" applyFont="1" applyBorder="1" applyAlignment="1">
      <alignment horizontal="center" vertical="center" wrapText="1"/>
    </xf>
    <xf numFmtId="0" fontId="6" fillId="8" borderId="31" xfId="0" applyFont="1" applyFill="1" applyBorder="1" applyAlignment="1">
      <alignment horizontal="center" vertical="center" wrapText="1"/>
    </xf>
    <xf numFmtId="164" fontId="8" fillId="0" borderId="32" xfId="0" applyNumberFormat="1" applyFont="1" applyBorder="1" applyAlignment="1">
      <alignment horizontal="center" vertical="center" wrapText="1"/>
    </xf>
    <xf numFmtId="2" fontId="8" fillId="0" borderId="32" xfId="0" applyNumberFormat="1" applyFont="1" applyBorder="1" applyAlignment="1">
      <alignment horizontal="center" vertical="center" wrapText="1"/>
    </xf>
    <xf numFmtId="169" fontId="8" fillId="0" borderId="32" xfId="0" applyNumberFormat="1" applyFont="1" applyBorder="1" applyAlignment="1">
      <alignment horizontal="center" vertical="center" wrapText="1"/>
    </xf>
    <xf numFmtId="3" fontId="8" fillId="0" borderId="32" xfId="0" applyNumberFormat="1" applyFont="1" applyBorder="1" applyAlignment="1">
      <alignment horizontal="center" vertical="center" wrapText="1"/>
    </xf>
    <xf numFmtId="164" fontId="0" fillId="17" borderId="10" xfId="0" applyNumberFormat="1" applyFill="1" applyBorder="1" applyAlignment="1">
      <alignment horizontal="center"/>
    </xf>
    <xf numFmtId="164" fontId="8" fillId="17" borderId="32" xfId="0" applyNumberFormat="1" applyFont="1" applyFill="1" applyBorder="1" applyAlignment="1">
      <alignment horizontal="center" vertical="center" wrapText="1"/>
    </xf>
    <xf numFmtId="164" fontId="0" fillId="0" borderId="8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2" fontId="0" fillId="20" borderId="19" xfId="0" applyNumberFormat="1" applyFill="1" applyBorder="1"/>
    <xf numFmtId="2" fontId="6" fillId="20" borderId="31" xfId="0" applyNumberFormat="1" applyFont="1" applyFill="1" applyBorder="1" applyAlignment="1">
      <alignment horizontal="center" vertical="center" wrapText="1"/>
    </xf>
    <xf numFmtId="2" fontId="6" fillId="20" borderId="32" xfId="0" applyNumberFormat="1" applyFont="1" applyFill="1" applyBorder="1" applyAlignment="1">
      <alignment horizontal="center" vertical="center" wrapText="1"/>
    </xf>
    <xf numFmtId="0" fontId="1" fillId="9" borderId="30" xfId="0" applyFont="1" applyFill="1" applyBorder="1" applyAlignment="1">
      <alignment horizontal="center"/>
    </xf>
    <xf numFmtId="0" fontId="1" fillId="9" borderId="31" xfId="0" applyFont="1" applyFill="1" applyBorder="1" applyAlignment="1">
      <alignment horizontal="center"/>
    </xf>
    <xf numFmtId="164" fontId="0" fillId="0" borderId="0" xfId="2" applyNumberFormat="1" applyFont="1" applyAlignment="1">
      <alignment horizontal="center"/>
    </xf>
    <xf numFmtId="164" fontId="0" fillId="0" borderId="28" xfId="0" applyNumberFormat="1" applyBorder="1" applyAlignment="1">
      <alignment horizontal="right"/>
    </xf>
    <xf numFmtId="164" fontId="0" fillId="0" borderId="19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2" fontId="0" fillId="0" borderId="37" xfId="0" applyNumberFormat="1" applyBorder="1" applyAlignment="1">
      <alignment horizontal="right"/>
    </xf>
    <xf numFmtId="164" fontId="0" fillId="0" borderId="0" xfId="0" applyNumberFormat="1" applyAlignment="1">
      <alignment horizontal="right"/>
    </xf>
    <xf numFmtId="169" fontId="0" fillId="0" borderId="22" xfId="0" applyNumberFormat="1" applyBorder="1" applyAlignment="1">
      <alignment horizontal="center"/>
    </xf>
    <xf numFmtId="169" fontId="0" fillId="0" borderId="24" xfId="0" applyNumberFormat="1" applyBorder="1" applyAlignment="1">
      <alignment horizontal="center"/>
    </xf>
    <xf numFmtId="164" fontId="0" fillId="0" borderId="45" xfId="0" applyNumberFormat="1" applyBorder="1" applyAlignment="1">
      <alignment horizontal="center"/>
    </xf>
    <xf numFmtId="0" fontId="0" fillId="2" borderId="19" xfId="0" applyFill="1" applyBorder="1"/>
    <xf numFmtId="2" fontId="0" fillId="0" borderId="22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0" fontId="6" fillId="0" borderId="10" xfId="0" applyFont="1" applyBorder="1" applyAlignment="1">
      <alignment vertical="center" wrapText="1"/>
    </xf>
    <xf numFmtId="0" fontId="6" fillId="0" borderId="17" xfId="0" applyFont="1" applyBorder="1" applyAlignment="1">
      <alignment horizontal="center" vertical="center" wrapText="1"/>
    </xf>
    <xf numFmtId="0" fontId="7" fillId="21" borderId="31" xfId="0" applyFont="1" applyFill="1" applyBorder="1" applyAlignment="1">
      <alignment vertical="center" wrapText="1"/>
    </xf>
    <xf numFmtId="0" fontId="6" fillId="21" borderId="32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vertical="center" wrapText="1"/>
    </xf>
    <xf numFmtId="0" fontId="8" fillId="21" borderId="32" xfId="0" applyFont="1" applyFill="1" applyBorder="1" applyAlignment="1">
      <alignment horizontal="center" vertical="center" wrapText="1"/>
    </xf>
    <xf numFmtId="0" fontId="6" fillId="21" borderId="32" xfId="0" applyFont="1" applyFill="1" applyBorder="1" applyAlignment="1">
      <alignment vertical="center" wrapText="1"/>
    </xf>
    <xf numFmtId="0" fontId="21" fillId="0" borderId="31" xfId="0" applyFont="1" applyBorder="1" applyAlignment="1">
      <alignment vertical="center" wrapText="1"/>
    </xf>
    <xf numFmtId="0" fontId="6" fillId="4" borderId="31" xfId="0" applyFont="1" applyFill="1" applyBorder="1" applyAlignment="1">
      <alignment vertical="center" wrapText="1"/>
    </xf>
    <xf numFmtId="0" fontId="8" fillId="4" borderId="32" xfId="0" applyFont="1" applyFill="1" applyBorder="1" applyAlignment="1">
      <alignment horizontal="center" vertical="center" wrapText="1"/>
    </xf>
    <xf numFmtId="165" fontId="0" fillId="0" borderId="45" xfId="0" applyNumberFormat="1" applyBorder="1" applyAlignment="1">
      <alignment horizontal="center"/>
    </xf>
    <xf numFmtId="0" fontId="1" fillId="14" borderId="53" xfId="0" applyFont="1" applyFill="1" applyBorder="1" applyAlignment="1">
      <alignment horizontal="center"/>
    </xf>
    <xf numFmtId="0" fontId="1" fillId="14" borderId="54" xfId="0" applyFont="1" applyFill="1" applyBorder="1" applyAlignment="1">
      <alignment horizontal="center"/>
    </xf>
    <xf numFmtId="0" fontId="6" fillId="21" borderId="10" xfId="0" applyFont="1" applyFill="1" applyBorder="1" applyAlignment="1">
      <alignment vertical="center" wrapText="1"/>
    </xf>
    <xf numFmtId="0" fontId="7" fillId="21" borderId="17" xfId="0" applyFont="1" applyFill="1" applyBorder="1" applyAlignment="1">
      <alignment horizontal="center" vertical="center" wrapText="1"/>
    </xf>
    <xf numFmtId="0" fontId="6" fillId="21" borderId="31" xfId="0" applyFont="1" applyFill="1" applyBorder="1" applyAlignment="1">
      <alignment vertical="center" wrapText="1"/>
    </xf>
    <xf numFmtId="0" fontId="7" fillId="21" borderId="32" xfId="0" applyFont="1" applyFill="1" applyBorder="1" applyAlignment="1">
      <alignment horizontal="center" vertical="center" wrapText="1"/>
    </xf>
    <xf numFmtId="0" fontId="22" fillId="21" borderId="32" xfId="0" applyFont="1" applyFill="1" applyBorder="1" applyAlignment="1">
      <alignment horizontal="center" vertical="center" wrapText="1"/>
    </xf>
    <xf numFmtId="0" fontId="0" fillId="0" borderId="37" xfId="0" applyBorder="1"/>
    <xf numFmtId="165" fontId="8" fillId="4" borderId="32" xfId="0" applyNumberFormat="1" applyFont="1" applyFill="1" applyBorder="1" applyAlignment="1">
      <alignment horizontal="center" vertical="center" wrapText="1"/>
    </xf>
    <xf numFmtId="0" fontId="1" fillId="6" borderId="20" xfId="0" applyFont="1" applyFill="1" applyBorder="1" applyAlignment="1">
      <alignment horizontal="center"/>
    </xf>
    <xf numFmtId="0" fontId="1" fillId="16" borderId="37" xfId="0" applyFont="1" applyFill="1" applyBorder="1" applyAlignment="1">
      <alignment horizontal="center"/>
    </xf>
    <xf numFmtId="0" fontId="1" fillId="17" borderId="37" xfId="0" applyFont="1" applyFill="1" applyBorder="1" applyAlignment="1">
      <alignment horizontal="center"/>
    </xf>
    <xf numFmtId="0" fontId="1" fillId="18" borderId="21" xfId="0" applyFont="1" applyFill="1" applyBorder="1" applyAlignment="1">
      <alignment horizontal="center"/>
    </xf>
    <xf numFmtId="169" fontId="0" fillId="0" borderId="23" xfId="0" applyNumberFormat="1" applyBorder="1" applyAlignment="1">
      <alignment horizontal="center"/>
    </xf>
    <xf numFmtId="169" fontId="0" fillId="0" borderId="45" xfId="0" applyNumberFormat="1" applyBorder="1" applyAlignment="1">
      <alignment horizontal="center"/>
    </xf>
    <xf numFmtId="169" fontId="0" fillId="0" borderId="25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0" fontId="1" fillId="17" borderId="26" xfId="0" applyFont="1" applyFill="1" applyBorder="1" applyAlignment="1">
      <alignment horizontal="center"/>
    </xf>
    <xf numFmtId="0" fontId="0" fillId="17" borderId="27" xfId="0" applyFill="1" applyBorder="1" applyAlignment="1">
      <alignment horizontal="center"/>
    </xf>
    <xf numFmtId="0" fontId="1" fillId="17" borderId="21" xfId="0" applyFont="1" applyFill="1" applyBorder="1" applyAlignment="1">
      <alignment horizontal="center"/>
    </xf>
    <xf numFmtId="0" fontId="0" fillId="17" borderId="23" xfId="0" applyFill="1" applyBorder="1" applyAlignment="1">
      <alignment horizontal="center"/>
    </xf>
    <xf numFmtId="0" fontId="1" fillId="17" borderId="20" xfId="0" applyFont="1" applyFill="1" applyBorder="1" applyAlignment="1">
      <alignment horizontal="center"/>
    </xf>
    <xf numFmtId="0" fontId="0" fillId="17" borderId="22" xfId="0" applyFill="1" applyBorder="1" applyAlignment="1">
      <alignment horizontal="center"/>
    </xf>
    <xf numFmtId="1" fontId="0" fillId="0" borderId="22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0" fontId="1" fillId="17" borderId="0" xfId="0" applyFont="1" applyFill="1" applyAlignment="1">
      <alignment horizontal="center"/>
    </xf>
    <xf numFmtId="0" fontId="1" fillId="17" borderId="22" xfId="0" applyFont="1" applyFill="1" applyBorder="1" applyAlignment="1">
      <alignment horizontal="center"/>
    </xf>
    <xf numFmtId="0" fontId="1" fillId="17" borderId="23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/>
    </xf>
    <xf numFmtId="165" fontId="15" fillId="0" borderId="0" xfId="0" applyNumberFormat="1" applyFont="1" applyAlignment="1">
      <alignment horizontal="center"/>
    </xf>
    <xf numFmtId="164" fontId="0" fillId="0" borderId="22" xfId="0" applyNumberFormat="1" applyBorder="1" applyAlignment="1">
      <alignment horizontal="center"/>
    </xf>
    <xf numFmtId="165" fontId="16" fillId="0" borderId="0" xfId="0" applyNumberFormat="1" applyFont="1" applyAlignment="1">
      <alignment horizontal="center"/>
    </xf>
    <xf numFmtId="165" fontId="16" fillId="0" borderId="22" xfId="0" applyNumberFormat="1" applyFont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165" fontId="16" fillId="0" borderId="24" xfId="0" applyNumberFormat="1" applyFont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0" fontId="1" fillId="6" borderId="22" xfId="0" applyFont="1" applyFill="1" applyBorder="1" applyAlignment="1">
      <alignment horizontal="center"/>
    </xf>
    <xf numFmtId="0" fontId="1" fillId="16" borderId="0" xfId="0" applyFont="1" applyFill="1" applyAlignment="1">
      <alignment horizontal="center"/>
    </xf>
    <xf numFmtId="0" fontId="1" fillId="18" borderId="23" xfId="0" applyFont="1" applyFill="1" applyBorder="1" applyAlignment="1">
      <alignment horizontal="center"/>
    </xf>
    <xf numFmtId="0" fontId="1" fillId="17" borderId="27" xfId="0" applyFont="1" applyFill="1" applyBorder="1" applyAlignment="1">
      <alignment horizontal="center"/>
    </xf>
    <xf numFmtId="0" fontId="1" fillId="17" borderId="27" xfId="0" applyFont="1" applyFill="1" applyBorder="1"/>
    <xf numFmtId="0" fontId="1" fillId="22" borderId="53" xfId="0" applyFont="1" applyFill="1" applyBorder="1" applyAlignment="1">
      <alignment horizontal="center"/>
    </xf>
    <xf numFmtId="0" fontId="1" fillId="22" borderId="54" xfId="0" applyFont="1" applyFill="1" applyBorder="1" applyAlignment="1">
      <alignment horizontal="center"/>
    </xf>
    <xf numFmtId="0" fontId="0" fillId="4" borderId="0" xfId="0" applyFill="1"/>
    <xf numFmtId="165" fontId="0" fillId="0" borderId="26" xfId="1" applyNumberFormat="1" applyFont="1" applyBorder="1"/>
    <xf numFmtId="165" fontId="0" fillId="0" borderId="27" xfId="1" applyNumberFormat="1" applyFont="1" applyBorder="1"/>
    <xf numFmtId="165" fontId="0" fillId="0" borderId="28" xfId="1" applyNumberFormat="1" applyFont="1" applyBorder="1"/>
    <xf numFmtId="165" fontId="0" fillId="0" borderId="26" xfId="0" applyNumberFormat="1" applyBorder="1"/>
    <xf numFmtId="165" fontId="0" fillId="0" borderId="27" xfId="0" applyNumberFormat="1" applyBorder="1"/>
    <xf numFmtId="165" fontId="0" fillId="0" borderId="28" xfId="0" applyNumberFormat="1" applyBorder="1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8" borderId="31" xfId="0" applyFont="1" applyFill="1" applyBorder="1" applyAlignment="1">
      <alignment vertical="center" wrapText="1"/>
    </xf>
    <xf numFmtId="0" fontId="6" fillId="8" borderId="32" xfId="0" applyFont="1" applyFill="1" applyBorder="1" applyAlignment="1">
      <alignment vertical="center" wrapText="1"/>
    </xf>
    <xf numFmtId="0" fontId="8" fillId="8" borderId="32" xfId="0" applyFont="1" applyFill="1" applyBorder="1" applyAlignment="1">
      <alignment vertical="center" wrapText="1"/>
    </xf>
    <xf numFmtId="4" fontId="8" fillId="0" borderId="32" xfId="0" applyNumberFormat="1" applyFont="1" applyBorder="1" applyAlignment="1">
      <alignment horizontal="center" vertical="center" wrapText="1"/>
    </xf>
    <xf numFmtId="0" fontId="7" fillId="8" borderId="44" xfId="0" applyFont="1" applyFill="1" applyBorder="1" applyAlignment="1">
      <alignment horizontal="center" vertical="center" wrapText="1"/>
    </xf>
    <xf numFmtId="0" fontId="8" fillId="0" borderId="31" xfId="0" applyFont="1" applyBorder="1" applyAlignment="1">
      <alignment horizontal="center" vertical="center" wrapText="1"/>
    </xf>
    <xf numFmtId="0" fontId="22" fillId="0" borderId="0" xfId="0" applyFont="1" applyAlignment="1">
      <alignment horizontal="left" vertical="center" wrapText="1"/>
    </xf>
    <xf numFmtId="164" fontId="0" fillId="0" borderId="28" xfId="0" applyNumberFormat="1" applyBorder="1"/>
    <xf numFmtId="9" fontId="0" fillId="0" borderId="0" xfId="2" applyFont="1" applyBorder="1"/>
    <xf numFmtId="164" fontId="0" fillId="4" borderId="23" xfId="0" applyNumberFormat="1" applyFill="1" applyBorder="1"/>
    <xf numFmtId="164" fontId="0" fillId="4" borderId="0" xfId="0" applyNumberFormat="1" applyFill="1"/>
    <xf numFmtId="169" fontId="0" fillId="0" borderId="26" xfId="0" applyNumberFormat="1" applyBorder="1"/>
    <xf numFmtId="0" fontId="7" fillId="0" borderId="0" xfId="0" applyFont="1" applyAlignment="1">
      <alignment vertical="center" wrapText="1"/>
    </xf>
    <xf numFmtId="9" fontId="0" fillId="0" borderId="19" xfId="2" applyFont="1" applyBorder="1"/>
    <xf numFmtId="174" fontId="0" fillId="0" borderId="0" xfId="2" applyNumberFormat="1" applyFont="1" applyBorder="1"/>
    <xf numFmtId="174" fontId="0" fillId="0" borderId="28" xfId="2" applyNumberFormat="1" applyFont="1" applyBorder="1"/>
    <xf numFmtId="0" fontId="1" fillId="0" borderId="0" xfId="0" applyFont="1" applyAlignment="1">
      <alignment vertical="center"/>
    </xf>
    <xf numFmtId="0" fontId="1" fillId="24" borderId="30" xfId="0" applyFont="1" applyFill="1" applyBorder="1" applyAlignment="1">
      <alignment horizontal="center"/>
    </xf>
    <xf numFmtId="0" fontId="1" fillId="24" borderId="31" xfId="0" applyFont="1" applyFill="1" applyBorder="1" applyAlignment="1">
      <alignment horizontal="center"/>
    </xf>
    <xf numFmtId="0" fontId="23" fillId="26" borderId="30" xfId="0" applyFont="1" applyFill="1" applyBorder="1" applyAlignment="1">
      <alignment horizontal="center"/>
    </xf>
    <xf numFmtId="0" fontId="23" fillId="26" borderId="31" xfId="0" applyFont="1" applyFill="1" applyBorder="1" applyAlignment="1">
      <alignment horizontal="center"/>
    </xf>
    <xf numFmtId="0" fontId="6" fillId="8" borderId="56" xfId="0" applyFont="1" applyFill="1" applyBorder="1" applyAlignment="1">
      <alignment wrapText="1"/>
    </xf>
    <xf numFmtId="0" fontId="7" fillId="8" borderId="57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0" xfId="0" applyFont="1" applyAlignment="1">
      <alignment vertical="center"/>
    </xf>
    <xf numFmtId="0" fontId="6" fillId="0" borderId="54" xfId="0" applyFont="1" applyBorder="1" applyAlignment="1">
      <alignment vertical="center"/>
    </xf>
    <xf numFmtId="0" fontId="6" fillId="0" borderId="51" xfId="0" applyFont="1" applyBorder="1" applyAlignment="1">
      <alignment vertical="center"/>
    </xf>
    <xf numFmtId="0" fontId="8" fillId="0" borderId="55" xfId="0" applyFont="1" applyBorder="1" applyAlignment="1">
      <alignment horizontal="center" vertical="center" wrapText="1"/>
    </xf>
    <xf numFmtId="0" fontId="6" fillId="0" borderId="55" xfId="0" quotePrefix="1" applyFont="1" applyBorder="1" applyAlignment="1">
      <alignment horizontal="center" vertical="center" wrapText="1"/>
    </xf>
    <xf numFmtId="0" fontId="7" fillId="8" borderId="60" xfId="0" applyFont="1" applyFill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 wrapText="1"/>
    </xf>
    <xf numFmtId="0" fontId="8" fillId="0" borderId="24" xfId="0" applyFont="1" applyBorder="1" applyAlignment="1">
      <alignment horizontal="center" vertical="center" wrapText="1"/>
    </xf>
    <xf numFmtId="0" fontId="6" fillId="0" borderId="25" xfId="0" quotePrefix="1" applyFont="1" applyBorder="1" applyAlignment="1">
      <alignment horizontal="center" vertical="center" wrapText="1"/>
    </xf>
    <xf numFmtId="164" fontId="8" fillId="0" borderId="48" xfId="0" applyNumberFormat="1" applyFont="1" applyBorder="1" applyAlignment="1">
      <alignment horizontal="center" vertical="center" wrapText="1"/>
    </xf>
    <xf numFmtId="164" fontId="8" fillId="0" borderId="59" xfId="0" applyNumberFormat="1" applyFont="1" applyBorder="1" applyAlignment="1">
      <alignment horizontal="center" vertical="center" wrapText="1"/>
    </xf>
    <xf numFmtId="164" fontId="8" fillId="0" borderId="51" xfId="0" applyNumberFormat="1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 wrapText="1"/>
    </xf>
    <xf numFmtId="0" fontId="6" fillId="0" borderId="28" xfId="0" quotePrefix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24" fillId="4" borderId="58" xfId="0" applyFont="1" applyFill="1" applyBorder="1" applyAlignment="1">
      <alignment horizontal="center"/>
    </xf>
    <xf numFmtId="175" fontId="0" fillId="0" borderId="0" xfId="1" applyNumberFormat="1" applyFont="1"/>
    <xf numFmtId="176" fontId="0" fillId="0" borderId="0" xfId="0" applyNumberFormat="1"/>
    <xf numFmtId="175" fontId="0" fillId="0" borderId="0" xfId="0" applyNumberFormat="1"/>
    <xf numFmtId="0" fontId="1" fillId="2" borderId="43" xfId="0" applyFont="1" applyFill="1" applyBorder="1" applyAlignment="1">
      <alignment horizontal="right"/>
    </xf>
    <xf numFmtId="0" fontId="1" fillId="2" borderId="44" xfId="0" applyFont="1" applyFill="1" applyBorder="1" applyAlignment="1">
      <alignment horizontal="right"/>
    </xf>
    <xf numFmtId="0" fontId="0" fillId="6" borderId="40" xfId="0" applyFill="1" applyBorder="1"/>
    <xf numFmtId="165" fontId="0" fillId="6" borderId="39" xfId="0" applyNumberFormat="1" applyFill="1" applyBorder="1"/>
    <xf numFmtId="2" fontId="0" fillId="6" borderId="41" xfId="0" applyNumberFormat="1" applyFill="1" applyBorder="1"/>
    <xf numFmtId="165" fontId="0" fillId="6" borderId="32" xfId="0" applyNumberFormat="1" applyFill="1" applyBorder="1"/>
    <xf numFmtId="165" fontId="0" fillId="6" borderId="40" xfId="0" applyNumberFormat="1" applyFill="1" applyBorder="1"/>
    <xf numFmtId="2" fontId="0" fillId="6" borderId="39" xfId="0" applyNumberFormat="1" applyFill="1" applyBorder="1"/>
    <xf numFmtId="165" fontId="0" fillId="6" borderId="41" xfId="0" applyNumberFormat="1" applyFill="1" applyBorder="1"/>
    <xf numFmtId="2" fontId="0" fillId="6" borderId="32" xfId="0" applyNumberFormat="1" applyFill="1" applyBorder="1"/>
    <xf numFmtId="2" fontId="1" fillId="0" borderId="0" xfId="0" applyNumberFormat="1" applyFont="1"/>
    <xf numFmtId="166" fontId="0" fillId="0" borderId="0" xfId="0" applyNumberFormat="1" applyAlignment="1">
      <alignment horizontal="center"/>
    </xf>
    <xf numFmtId="0" fontId="23" fillId="27" borderId="61" xfId="0" applyFont="1" applyFill="1" applyBorder="1"/>
    <xf numFmtId="0" fontId="23" fillId="27" borderId="62" xfId="0" applyFont="1" applyFill="1" applyBorder="1"/>
    <xf numFmtId="0" fontId="23" fillId="27" borderId="63" xfId="0" applyFont="1" applyFill="1" applyBorder="1"/>
    <xf numFmtId="164" fontId="23" fillId="27" borderId="0" xfId="0" applyNumberFormat="1" applyFont="1" applyFill="1"/>
    <xf numFmtId="1" fontId="23" fillId="27" borderId="0" xfId="0" applyNumberFormat="1" applyFont="1" applyFill="1"/>
    <xf numFmtId="1" fontId="23" fillId="27" borderId="61" xfId="0" applyNumberFormat="1" applyFont="1" applyFill="1" applyBorder="1"/>
    <xf numFmtId="2" fontId="0" fillId="0" borderId="10" xfId="0" applyNumberFormat="1" applyBorder="1"/>
    <xf numFmtId="1" fontId="0" fillId="0" borderId="66" xfId="0" applyNumberFormat="1" applyBorder="1"/>
    <xf numFmtId="1" fontId="0" fillId="0" borderId="67" xfId="0" applyNumberFormat="1" applyBorder="1"/>
    <xf numFmtId="1" fontId="0" fillId="0" borderId="68" xfId="0" applyNumberFormat="1" applyBorder="1"/>
    <xf numFmtId="0" fontId="0" fillId="28" borderId="69" xfId="0" applyFill="1" applyBorder="1"/>
    <xf numFmtId="0" fontId="0" fillId="28" borderId="12" xfId="0" applyFill="1" applyBorder="1"/>
    <xf numFmtId="0" fontId="0" fillId="4" borderId="1" xfId="0" applyFill="1" applyBorder="1"/>
    <xf numFmtId="164" fontId="0" fillId="4" borderId="70" xfId="0" applyNumberFormat="1" applyFill="1" applyBorder="1"/>
    <xf numFmtId="0" fontId="0" fillId="4" borderId="70" xfId="0" applyFill="1" applyBorder="1"/>
    <xf numFmtId="164" fontId="0" fillId="4" borderId="12" xfId="0" applyNumberFormat="1" applyFill="1" applyBorder="1"/>
    <xf numFmtId="0" fontId="0" fillId="4" borderId="71" xfId="0" applyFill="1" applyBorder="1"/>
    <xf numFmtId="0" fontId="0" fillId="4" borderId="72" xfId="0" applyFill="1" applyBorder="1"/>
    <xf numFmtId="164" fontId="0" fillId="4" borderId="1" xfId="0" applyNumberFormat="1" applyFill="1" applyBorder="1"/>
    <xf numFmtId="0" fontId="0" fillId="4" borderId="12" xfId="0" applyFill="1" applyBorder="1"/>
    <xf numFmtId="165" fontId="0" fillId="0" borderId="66" xfId="0" applyNumberFormat="1" applyBorder="1"/>
    <xf numFmtId="2" fontId="0" fillId="4" borderId="70" xfId="0" applyNumberFormat="1" applyFill="1" applyBorder="1"/>
    <xf numFmtId="2" fontId="0" fillId="4" borderId="12" xfId="0" applyNumberFormat="1" applyFill="1" applyBorder="1"/>
    <xf numFmtId="2" fontId="0" fillId="4" borderId="67" xfId="0" applyNumberFormat="1" applyFill="1" applyBorder="1"/>
    <xf numFmtId="2" fontId="0" fillId="4" borderId="68" xfId="0" applyNumberFormat="1" applyFill="1" applyBorder="1"/>
    <xf numFmtId="2" fontId="0" fillId="0" borderId="74" xfId="0" applyNumberForma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166" fontId="0" fillId="0" borderId="23" xfId="0" applyNumberFormat="1" applyBorder="1" applyAlignment="1">
      <alignment horizontal="center"/>
    </xf>
    <xf numFmtId="176" fontId="0" fillId="0" borderId="22" xfId="0" applyNumberFormat="1" applyBorder="1" applyAlignment="1">
      <alignment horizontal="center"/>
    </xf>
    <xf numFmtId="164" fontId="0" fillId="0" borderId="75" xfId="0" applyNumberFormat="1" applyBorder="1" applyAlignment="1">
      <alignment horizontal="center"/>
    </xf>
    <xf numFmtId="165" fontId="15" fillId="0" borderId="76" xfId="0" applyNumberFormat="1" applyFont="1" applyBorder="1" applyAlignment="1">
      <alignment horizontal="center"/>
    </xf>
    <xf numFmtId="164" fontId="0" fillId="0" borderId="77" xfId="0" applyNumberFormat="1" applyBorder="1" applyAlignment="1">
      <alignment horizontal="center"/>
    </xf>
    <xf numFmtId="0" fontId="0" fillId="0" borderId="26" xfId="0" applyBorder="1"/>
    <xf numFmtId="0" fontId="1" fillId="0" borderId="0" xfId="0" applyFont="1" applyAlignment="1">
      <alignment horizontal="left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165" fontId="0" fillId="0" borderId="23" xfId="0" applyNumberFormat="1" applyBorder="1"/>
    <xf numFmtId="0" fontId="0" fillId="0" borderId="24" xfId="0" applyBorder="1"/>
    <xf numFmtId="2" fontId="0" fillId="0" borderId="45" xfId="0" applyNumberFormat="1" applyBorder="1"/>
    <xf numFmtId="165" fontId="0" fillId="0" borderId="25" xfId="0" applyNumberFormat="1" applyBorder="1"/>
    <xf numFmtId="0" fontId="6" fillId="0" borderId="22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23" xfId="0" applyFont="1" applyBorder="1" applyAlignment="1">
      <alignment horizontal="center"/>
    </xf>
    <xf numFmtId="0" fontId="0" fillId="0" borderId="43" xfId="0" applyBorder="1"/>
    <xf numFmtId="0" fontId="0" fillId="0" borderId="44" xfId="0" applyBorder="1"/>
    <xf numFmtId="0" fontId="6" fillId="0" borderId="40" xfId="0" applyFont="1" applyBorder="1" applyAlignment="1">
      <alignment horizontal="center"/>
    </xf>
    <xf numFmtId="0" fontId="6" fillId="0" borderId="39" xfId="0" applyFont="1" applyBorder="1" applyAlignment="1">
      <alignment horizontal="center"/>
    </xf>
    <xf numFmtId="165" fontId="0" fillId="0" borderId="39" xfId="0" applyNumberFormat="1" applyBorder="1"/>
    <xf numFmtId="0" fontId="0" fillId="0" borderId="41" xfId="0" applyBorder="1"/>
    <xf numFmtId="2" fontId="0" fillId="0" borderId="55" xfId="0" applyNumberFormat="1" applyBorder="1"/>
    <xf numFmtId="165" fontId="0" fillId="0" borderId="32" xfId="0" applyNumberFormat="1" applyBorder="1"/>
    <xf numFmtId="165" fontId="0" fillId="0" borderId="40" xfId="0" applyNumberFormat="1" applyBorder="1" applyAlignment="1">
      <alignment horizontal="center"/>
    </xf>
    <xf numFmtId="165" fontId="0" fillId="0" borderId="41" xfId="0" applyNumberFormat="1" applyBorder="1" applyAlignment="1">
      <alignment horizontal="center"/>
    </xf>
    <xf numFmtId="0" fontId="0" fillId="28" borderId="16" xfId="0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0" fontId="0" fillId="0" borderId="39" xfId="0" applyBorder="1" applyAlignment="1">
      <alignment horizontal="center"/>
    </xf>
    <xf numFmtId="165" fontId="0" fillId="0" borderId="55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28" borderId="18" xfId="0" applyFill="1" applyBorder="1" applyAlignment="1">
      <alignment horizontal="center" vertical="center"/>
    </xf>
    <xf numFmtId="2" fontId="0" fillId="18" borderId="0" xfId="0" applyNumberFormat="1" applyFill="1"/>
    <xf numFmtId="2" fontId="0" fillId="16" borderId="0" xfId="0" applyNumberFormat="1" applyFill="1"/>
    <xf numFmtId="0" fontId="27" fillId="0" borderId="0" xfId="0" applyFont="1"/>
    <xf numFmtId="0" fontId="28" fillId="0" borderId="0" xfId="0" applyFont="1"/>
    <xf numFmtId="0" fontId="29" fillId="0" borderId="44" xfId="0" applyFont="1" applyBorder="1"/>
    <xf numFmtId="171" fontId="0" fillId="0" borderId="39" xfId="0" applyNumberFormat="1" applyBorder="1"/>
    <xf numFmtId="171" fontId="0" fillId="0" borderId="32" xfId="0" applyNumberFormat="1" applyBorder="1"/>
    <xf numFmtId="2" fontId="0" fillId="0" borderId="40" xfId="0" applyNumberFormat="1" applyBorder="1"/>
    <xf numFmtId="2" fontId="0" fillId="0" borderId="41" xfId="0" applyNumberFormat="1" applyBorder="1"/>
    <xf numFmtId="164" fontId="0" fillId="0" borderId="40" xfId="0" applyNumberFormat="1" applyBorder="1"/>
    <xf numFmtId="164" fontId="0" fillId="0" borderId="41" xfId="0" applyNumberFormat="1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2" fontId="0" fillId="0" borderId="39" xfId="0" applyNumberFormat="1" applyBorder="1"/>
    <xf numFmtId="165" fontId="0" fillId="18" borderId="0" xfId="0" applyNumberFormat="1" applyFill="1"/>
    <xf numFmtId="0" fontId="0" fillId="18" borderId="0" xfId="0" applyFill="1"/>
    <xf numFmtId="164" fontId="0" fillId="18" borderId="0" xfId="0" applyNumberFormat="1" applyFill="1"/>
    <xf numFmtId="2" fontId="0" fillId="18" borderId="40" xfId="0" applyNumberFormat="1" applyFill="1" applyBorder="1"/>
    <xf numFmtId="2" fontId="0" fillId="18" borderId="39" xfId="0" applyNumberFormat="1" applyFill="1" applyBorder="1"/>
    <xf numFmtId="165" fontId="0" fillId="16" borderId="0" xfId="0" applyNumberFormat="1" applyFill="1"/>
    <xf numFmtId="164" fontId="0" fillId="16" borderId="0" xfId="0" applyNumberFormat="1" applyFill="1"/>
    <xf numFmtId="2" fontId="0" fillId="16" borderId="41" xfId="0" applyNumberFormat="1" applyFill="1" applyBorder="1"/>
    <xf numFmtId="2" fontId="0" fillId="16" borderId="55" xfId="0" applyNumberFormat="1" applyFill="1" applyBorder="1"/>
    <xf numFmtId="2" fontId="0" fillId="16" borderId="32" xfId="0" applyNumberFormat="1" applyFill="1" applyBorder="1"/>
    <xf numFmtId="2" fontId="0" fillId="0" borderId="42" xfId="0" applyNumberFormat="1" applyBorder="1"/>
    <xf numFmtId="0" fontId="0" fillId="0" borderId="39" xfId="0" applyBorder="1"/>
    <xf numFmtId="0" fontId="0" fillId="0" borderId="32" xfId="0" applyBorder="1"/>
    <xf numFmtId="3" fontId="8" fillId="0" borderId="55" xfId="0" applyNumberFormat="1" applyFont="1" applyBorder="1" applyAlignment="1">
      <alignment horizontal="center" vertical="center" wrapText="1"/>
    </xf>
    <xf numFmtId="4" fontId="8" fillId="0" borderId="55" xfId="0" applyNumberFormat="1" applyFont="1" applyBorder="1" applyAlignment="1">
      <alignment horizontal="center" vertical="center" wrapText="1"/>
    </xf>
    <xf numFmtId="0" fontId="8" fillId="8" borderId="55" xfId="0" applyFont="1" applyFill="1" applyBorder="1" applyAlignment="1">
      <alignment vertical="center" wrapText="1"/>
    </xf>
    <xf numFmtId="0" fontId="0" fillId="0" borderId="55" xfId="0" applyBorder="1"/>
    <xf numFmtId="2" fontId="0" fillId="0" borderId="43" xfId="0" applyNumberFormat="1" applyBorder="1"/>
    <xf numFmtId="0" fontId="0" fillId="0" borderId="30" xfId="0" applyBorder="1"/>
    <xf numFmtId="0" fontId="0" fillId="0" borderId="31" xfId="0" applyBorder="1"/>
    <xf numFmtId="2" fontId="0" fillId="0" borderId="44" xfId="0" applyNumberFormat="1" applyBorder="1"/>
    <xf numFmtId="3" fontId="0" fillId="16" borderId="41" xfId="0" applyNumberFormat="1" applyFill="1" applyBorder="1"/>
    <xf numFmtId="3" fontId="0" fillId="16" borderId="32" xfId="0" applyNumberFormat="1" applyFill="1" applyBorder="1"/>
    <xf numFmtId="3" fontId="0" fillId="16" borderId="55" xfId="0" applyNumberFormat="1" applyFill="1" applyBorder="1"/>
    <xf numFmtId="3" fontId="1" fillId="0" borderId="0" xfId="0" applyNumberFormat="1" applyFont="1"/>
    <xf numFmtId="0" fontId="8" fillId="0" borderId="43" xfId="0" applyFont="1" applyBorder="1"/>
    <xf numFmtId="0" fontId="22" fillId="0" borderId="44" xfId="0" applyFont="1" applyBorder="1"/>
    <xf numFmtId="0" fontId="8" fillId="0" borderId="40" xfId="0" applyFont="1" applyBorder="1"/>
    <xf numFmtId="0" fontId="8" fillId="0" borderId="39" xfId="0" applyFont="1" applyBorder="1"/>
    <xf numFmtId="0" fontId="8" fillId="0" borderId="41" xfId="0" applyFont="1" applyBorder="1"/>
    <xf numFmtId="0" fontId="8" fillId="0" borderId="32" xfId="0" applyFont="1" applyBorder="1"/>
    <xf numFmtId="0" fontId="22" fillId="0" borderId="43" xfId="0" applyFont="1" applyBorder="1"/>
    <xf numFmtId="0" fontId="0" fillId="28" borderId="0" xfId="0" applyFill="1"/>
    <xf numFmtId="164" fontId="0" fillId="28" borderId="0" xfId="0" applyNumberFormat="1" applyFill="1"/>
    <xf numFmtId="43" fontId="0" fillId="0" borderId="0" xfId="0" applyNumberFormat="1"/>
    <xf numFmtId="171" fontId="0" fillId="16" borderId="0" xfId="0" applyNumberFormat="1" applyFill="1"/>
    <xf numFmtId="171" fontId="0" fillId="18" borderId="0" xfId="0" applyNumberFormat="1" applyFill="1"/>
    <xf numFmtId="0" fontId="0" fillId="17" borderId="0" xfId="0" applyFill="1"/>
    <xf numFmtId="2" fontId="0" fillId="17" borderId="0" xfId="0" applyNumberFormat="1" applyFill="1"/>
    <xf numFmtId="171" fontId="0" fillId="17" borderId="0" xfId="0" applyNumberFormat="1" applyFill="1"/>
    <xf numFmtId="0" fontId="6" fillId="0" borderId="10" xfId="0" applyFont="1" applyBorder="1" applyAlignment="1">
      <alignment horizontal="center" vertical="center" wrapText="1"/>
    </xf>
    <xf numFmtId="0" fontId="8" fillId="8" borderId="31" xfId="0" applyFont="1" applyFill="1" applyBorder="1" applyAlignment="1">
      <alignment horizontal="center" vertical="center" wrapText="1"/>
    </xf>
    <xf numFmtId="3" fontId="8" fillId="0" borderId="31" xfId="0" applyNumberFormat="1" applyFont="1" applyBorder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2" fontId="8" fillId="0" borderId="0" xfId="0" applyNumberFormat="1" applyFont="1" applyAlignment="1">
      <alignment horizontal="center" vertical="center" wrapText="1"/>
    </xf>
    <xf numFmtId="3" fontId="8" fillId="16" borderId="32" xfId="0" applyNumberFormat="1" applyFont="1" applyFill="1" applyBorder="1" applyAlignment="1">
      <alignment horizontal="center" vertical="center" wrapText="1"/>
    </xf>
    <xf numFmtId="171" fontId="0" fillId="0" borderId="22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65" fontId="8" fillId="0" borderId="26" xfId="0" applyNumberFormat="1" applyFont="1" applyBorder="1" applyAlignment="1">
      <alignment horizontal="center" vertical="center" wrapText="1"/>
    </xf>
    <xf numFmtId="165" fontId="8" fillId="0" borderId="27" xfId="0" applyNumberFormat="1" applyFont="1" applyBorder="1" applyAlignment="1">
      <alignment horizontal="center" vertical="center" wrapText="1"/>
    </xf>
    <xf numFmtId="171" fontId="0" fillId="16" borderId="0" xfId="0" applyNumberFormat="1" applyFill="1" applyAlignment="1">
      <alignment horizontal="center"/>
    </xf>
    <xf numFmtId="0" fontId="24" fillId="0" borderId="0" xfId="0" applyFont="1" applyAlignment="1">
      <alignment horizontal="left"/>
    </xf>
    <xf numFmtId="44" fontId="0" fillId="0" borderId="0" xfId="0" applyNumberFormat="1"/>
    <xf numFmtId="0" fontId="1" fillId="4" borderId="11" xfId="0" applyFont="1" applyFill="1" applyBorder="1"/>
    <xf numFmtId="0" fontId="1" fillId="0" borderId="78" xfId="0" applyFont="1" applyBorder="1"/>
    <xf numFmtId="3" fontId="0" fillId="0" borderId="79" xfId="0" applyNumberFormat="1" applyBorder="1" applyAlignment="1">
      <alignment horizontal="center"/>
    </xf>
    <xf numFmtId="165" fontId="8" fillId="0" borderId="32" xfId="0" applyNumberFormat="1" applyFont="1" applyBorder="1" applyAlignment="1">
      <alignment horizontal="center" vertical="center" wrapText="1"/>
    </xf>
    <xf numFmtId="0" fontId="0" fillId="28" borderId="73" xfId="0" applyFill="1" applyBorder="1" applyAlignment="1">
      <alignment horizontal="center"/>
    </xf>
    <xf numFmtId="0" fontId="0" fillId="28" borderId="71" xfId="0" applyFill="1" applyBorder="1" applyAlignment="1">
      <alignment horizontal="center"/>
    </xf>
    <xf numFmtId="0" fontId="0" fillId="28" borderId="72" xfId="0" applyFill="1" applyBorder="1" applyAlignment="1">
      <alignment horizontal="center"/>
    </xf>
    <xf numFmtId="0" fontId="0" fillId="28" borderId="64" xfId="0" applyFill="1" applyBorder="1" applyAlignment="1">
      <alignment horizontal="center"/>
    </xf>
    <xf numFmtId="0" fontId="0" fillId="28" borderId="65" xfId="0" applyFill="1" applyBorder="1" applyAlignment="1">
      <alignment horizontal="center"/>
    </xf>
    <xf numFmtId="0" fontId="0" fillId="28" borderId="70" xfId="0" applyFill="1" applyBorder="1" applyAlignment="1">
      <alignment horizontal="center" vertical="center" textRotation="90"/>
    </xf>
    <xf numFmtId="0" fontId="0" fillId="28" borderId="67" xfId="0" applyFill="1" applyBorder="1" applyAlignment="1">
      <alignment horizontal="center"/>
    </xf>
    <xf numFmtId="0" fontId="0" fillId="28" borderId="68" xfId="0" applyFill="1" applyBorder="1" applyAlignment="1">
      <alignment horizontal="center"/>
    </xf>
    <xf numFmtId="0" fontId="0" fillId="28" borderId="69" xfId="0" applyFill="1" applyBorder="1" applyAlignment="1">
      <alignment horizontal="center" vertical="center" textRotation="90"/>
    </xf>
    <xf numFmtId="0" fontId="0" fillId="28" borderId="12" xfId="0" applyFill="1" applyBorder="1" applyAlignment="1">
      <alignment horizontal="center" vertical="center" textRotation="90"/>
    </xf>
    <xf numFmtId="2" fontId="0" fillId="28" borderId="73" xfId="0" applyNumberFormat="1" applyFill="1" applyBorder="1" applyAlignment="1">
      <alignment horizontal="center"/>
    </xf>
    <xf numFmtId="2" fontId="0" fillId="28" borderId="71" xfId="0" applyNumberFormat="1" applyFill="1" applyBorder="1" applyAlignment="1">
      <alignment horizontal="center"/>
    </xf>
    <xf numFmtId="2" fontId="0" fillId="28" borderId="72" xfId="0" applyNumberFormat="1" applyFill="1" applyBorder="1" applyAlignment="1">
      <alignment horizontal="center"/>
    </xf>
    <xf numFmtId="0" fontId="1" fillId="2" borderId="41" xfId="0" applyFont="1" applyFill="1" applyBorder="1" applyAlignment="1">
      <alignment horizontal="center"/>
    </xf>
    <xf numFmtId="0" fontId="1" fillId="2" borderId="32" xfId="0" applyFont="1" applyFill="1" applyBorder="1" applyAlignment="1">
      <alignment horizontal="center"/>
    </xf>
    <xf numFmtId="0" fontId="1" fillId="2" borderId="43" xfId="0" applyFont="1" applyFill="1" applyBorder="1" applyAlignment="1">
      <alignment horizontal="center"/>
    </xf>
    <xf numFmtId="0" fontId="1" fillId="2" borderId="44" xfId="0" applyFont="1" applyFill="1" applyBorder="1" applyAlignment="1">
      <alignment horizontal="center"/>
    </xf>
    <xf numFmtId="0" fontId="1" fillId="3" borderId="43" xfId="0" applyFont="1" applyFill="1" applyBorder="1" applyAlignment="1">
      <alignment horizontal="center"/>
    </xf>
    <xf numFmtId="0" fontId="1" fillId="3" borderId="44" xfId="0" applyFont="1" applyFill="1" applyBorder="1" applyAlignment="1">
      <alignment horizontal="center"/>
    </xf>
    <xf numFmtId="0" fontId="1" fillId="3" borderId="4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center"/>
    </xf>
    <xf numFmtId="0" fontId="1" fillId="5" borderId="43" xfId="0" applyFont="1" applyFill="1" applyBorder="1" applyAlignment="1">
      <alignment horizontal="center"/>
    </xf>
    <xf numFmtId="0" fontId="1" fillId="5" borderId="44" xfId="0" applyFont="1" applyFill="1" applyBorder="1" applyAlignment="1">
      <alignment horizontal="center"/>
    </xf>
    <xf numFmtId="0" fontId="1" fillId="5" borderId="41" xfId="0" applyFont="1" applyFill="1" applyBorder="1" applyAlignment="1">
      <alignment horizontal="center"/>
    </xf>
    <xf numFmtId="0" fontId="1" fillId="5" borderId="32" xfId="0" applyFont="1" applyFill="1" applyBorder="1" applyAlignment="1">
      <alignment horizontal="center"/>
    </xf>
    <xf numFmtId="0" fontId="1" fillId="7" borderId="43" xfId="0" applyFont="1" applyFill="1" applyBorder="1" applyAlignment="1">
      <alignment horizontal="center"/>
    </xf>
    <xf numFmtId="0" fontId="1" fillId="7" borderId="44" xfId="0" applyFont="1" applyFill="1" applyBorder="1" applyAlignment="1">
      <alignment horizontal="center"/>
    </xf>
    <xf numFmtId="0" fontId="1" fillId="7" borderId="41" xfId="0" applyFont="1" applyFill="1" applyBorder="1" applyAlignment="1">
      <alignment horizontal="center"/>
    </xf>
    <xf numFmtId="0" fontId="1" fillId="7" borderId="32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1" fillId="15" borderId="43" xfId="0" applyFont="1" applyFill="1" applyBorder="1" applyAlignment="1">
      <alignment horizontal="center"/>
    </xf>
    <xf numFmtId="0" fontId="1" fillId="15" borderId="44" xfId="0" applyFont="1" applyFill="1" applyBorder="1" applyAlignment="1">
      <alignment horizontal="center"/>
    </xf>
    <xf numFmtId="0" fontId="1" fillId="15" borderId="41" xfId="0" applyFont="1" applyFill="1" applyBorder="1" applyAlignment="1">
      <alignment horizontal="center"/>
    </xf>
    <xf numFmtId="0" fontId="1" fillId="15" borderId="32" xfId="0" applyFont="1" applyFill="1" applyBorder="1" applyAlignment="1">
      <alignment horizontal="center"/>
    </xf>
    <xf numFmtId="1" fontId="6" fillId="4" borderId="34" xfId="0" applyNumberFormat="1" applyFont="1" applyFill="1" applyBorder="1" applyAlignment="1">
      <alignment horizontal="center" vertical="center" wrapText="1"/>
    </xf>
    <xf numFmtId="1" fontId="6" fillId="4" borderId="36" xfId="0" applyNumberFormat="1" applyFont="1" applyFill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left" vertical="center" wrapText="1"/>
    </xf>
    <xf numFmtId="1" fontId="6" fillId="0" borderId="35" xfId="0" applyNumberFormat="1" applyFont="1" applyBorder="1" applyAlignment="1">
      <alignment horizontal="left" vertical="center" wrapText="1"/>
    </xf>
    <xf numFmtId="1" fontId="6" fillId="0" borderId="33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3" fontId="8" fillId="0" borderId="34" xfId="0" applyNumberFormat="1" applyFont="1" applyBorder="1" applyAlignment="1">
      <alignment horizontal="center" vertical="center"/>
    </xf>
    <xf numFmtId="3" fontId="8" fillId="0" borderId="36" xfId="0" applyNumberFormat="1" applyFont="1" applyBorder="1" applyAlignment="1">
      <alignment horizontal="center" vertical="center"/>
    </xf>
    <xf numFmtId="165" fontId="8" fillId="0" borderId="34" xfId="0" applyNumberFormat="1" applyFont="1" applyBorder="1" applyAlignment="1">
      <alignment horizontal="center" vertical="center"/>
    </xf>
    <xf numFmtId="165" fontId="8" fillId="0" borderId="36" xfId="0" applyNumberFormat="1" applyFont="1" applyBorder="1" applyAlignment="1">
      <alignment horizontal="center" vertical="center"/>
    </xf>
    <xf numFmtId="1" fontId="6" fillId="4" borderId="33" xfId="0" applyNumberFormat="1" applyFont="1" applyFill="1" applyBorder="1" applyAlignment="1">
      <alignment horizontal="left" vertical="center"/>
    </xf>
    <xf numFmtId="1" fontId="6" fillId="4" borderId="35" xfId="0" applyNumberFormat="1" applyFont="1" applyFill="1" applyBorder="1" applyAlignment="1">
      <alignment horizontal="left" vertical="center"/>
    </xf>
    <xf numFmtId="1" fontId="6" fillId="4" borderId="33" xfId="0" applyNumberFormat="1" applyFont="1" applyFill="1" applyBorder="1" applyAlignment="1">
      <alignment horizontal="center" vertical="center"/>
    </xf>
    <xf numFmtId="1" fontId="6" fillId="4" borderId="35" xfId="0" applyNumberFormat="1" applyFont="1" applyFill="1" applyBorder="1" applyAlignment="1">
      <alignment horizontal="center" vertical="center"/>
    </xf>
    <xf numFmtId="1" fontId="6" fillId="4" borderId="10" xfId="0" applyNumberFormat="1" applyFont="1" applyFill="1" applyBorder="1" applyAlignment="1">
      <alignment horizontal="center" vertical="center" wrapText="1"/>
    </xf>
    <xf numFmtId="0" fontId="1" fillId="19" borderId="43" xfId="0" applyFont="1" applyFill="1" applyBorder="1" applyAlignment="1">
      <alignment horizontal="center"/>
    </xf>
    <xf numFmtId="0" fontId="1" fillId="19" borderId="44" xfId="0" applyFont="1" applyFill="1" applyBorder="1" applyAlignment="1">
      <alignment horizontal="center"/>
    </xf>
    <xf numFmtId="0" fontId="1" fillId="19" borderId="41" xfId="0" applyFont="1" applyFill="1" applyBorder="1" applyAlignment="1">
      <alignment horizontal="center"/>
    </xf>
    <xf numFmtId="0" fontId="1" fillId="19" borderId="32" xfId="0" applyFont="1" applyFill="1" applyBorder="1" applyAlignment="1">
      <alignment horizontal="center"/>
    </xf>
    <xf numFmtId="1" fontId="6" fillId="4" borderId="10" xfId="0" applyNumberFormat="1" applyFont="1" applyFill="1" applyBorder="1" applyAlignment="1">
      <alignment horizontal="left" vertical="center"/>
    </xf>
    <xf numFmtId="1" fontId="6" fillId="4" borderId="10" xfId="0" applyNumberFormat="1" applyFont="1" applyFill="1" applyBorder="1" applyAlignment="1">
      <alignment horizontal="center" vertical="center"/>
    </xf>
    <xf numFmtId="0" fontId="1" fillId="16" borderId="43" xfId="0" applyFont="1" applyFill="1" applyBorder="1" applyAlignment="1">
      <alignment horizontal="center"/>
    </xf>
    <xf numFmtId="0" fontId="1" fillId="16" borderId="44" xfId="0" applyFont="1" applyFill="1" applyBorder="1" applyAlignment="1">
      <alignment horizontal="center"/>
    </xf>
    <xf numFmtId="0" fontId="1" fillId="16" borderId="41" xfId="0" applyFont="1" applyFill="1" applyBorder="1" applyAlignment="1">
      <alignment horizontal="center"/>
    </xf>
    <xf numFmtId="0" fontId="1" fillId="16" borderId="32" xfId="0" applyFont="1" applyFill="1" applyBorder="1" applyAlignment="1">
      <alignment horizontal="center"/>
    </xf>
    <xf numFmtId="0" fontId="21" fillId="4" borderId="16" xfId="0" applyFont="1" applyFill="1" applyBorder="1" applyAlignment="1">
      <alignment horizontal="center"/>
    </xf>
    <xf numFmtId="0" fontId="21" fillId="4" borderId="18" xfId="0" applyFont="1" applyFill="1" applyBorder="1" applyAlignment="1">
      <alignment horizontal="center"/>
    </xf>
    <xf numFmtId="0" fontId="21" fillId="4" borderId="17" xfId="0" applyFont="1" applyFill="1" applyBorder="1" applyAlignment="1">
      <alignment horizontal="center"/>
    </xf>
    <xf numFmtId="0" fontId="6" fillId="4" borderId="16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6" fillId="4" borderId="17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165" fontId="1" fillId="2" borderId="0" xfId="0" applyNumberFormat="1" applyFont="1" applyFill="1" applyAlignment="1">
      <alignment horizontal="center"/>
    </xf>
    <xf numFmtId="0" fontId="1" fillId="18" borderId="46" xfId="0" applyFont="1" applyFill="1" applyBorder="1" applyAlignment="1">
      <alignment horizontal="center"/>
    </xf>
    <xf numFmtId="0" fontId="1" fillId="18" borderId="49" xfId="0" applyFont="1" applyFill="1" applyBorder="1" applyAlignment="1">
      <alignment horizontal="center"/>
    </xf>
    <xf numFmtId="0" fontId="0" fillId="0" borderId="16" xfId="0" applyBorder="1" applyAlignment="1">
      <alignment horizontal="left"/>
    </xf>
    <xf numFmtId="0" fontId="0" fillId="0" borderId="18" xfId="0" applyBorder="1" applyAlignment="1">
      <alignment horizontal="left"/>
    </xf>
    <xf numFmtId="0" fontId="1" fillId="18" borderId="47" xfId="0" applyFont="1" applyFill="1" applyBorder="1" applyAlignment="1">
      <alignment horizontal="center"/>
    </xf>
    <xf numFmtId="0" fontId="1" fillId="18" borderId="48" xfId="0" applyFont="1" applyFill="1" applyBorder="1" applyAlignment="1">
      <alignment horizontal="center"/>
    </xf>
    <xf numFmtId="0" fontId="1" fillId="18" borderId="50" xfId="0" applyFont="1" applyFill="1" applyBorder="1" applyAlignment="1">
      <alignment horizontal="center"/>
    </xf>
    <xf numFmtId="0" fontId="1" fillId="18" borderId="51" xfId="0" applyFont="1" applyFill="1" applyBorder="1" applyAlignment="1">
      <alignment horizontal="center"/>
    </xf>
    <xf numFmtId="0" fontId="1" fillId="14" borderId="46" xfId="0" applyFont="1" applyFill="1" applyBorder="1" applyAlignment="1">
      <alignment horizontal="center"/>
    </xf>
    <xf numFmtId="0" fontId="1" fillId="14" borderId="47" xfId="0" applyFont="1" applyFill="1" applyBorder="1" applyAlignment="1">
      <alignment horizontal="center"/>
    </xf>
    <xf numFmtId="0" fontId="1" fillId="14" borderId="48" xfId="0" applyFont="1" applyFill="1" applyBorder="1" applyAlignment="1">
      <alignment horizontal="center"/>
    </xf>
    <xf numFmtId="0" fontId="1" fillId="14" borderId="49" xfId="0" applyFont="1" applyFill="1" applyBorder="1" applyAlignment="1">
      <alignment horizontal="center"/>
    </xf>
    <xf numFmtId="0" fontId="1" fillId="14" borderId="50" xfId="0" applyFont="1" applyFill="1" applyBorder="1" applyAlignment="1">
      <alignment horizontal="center"/>
    </xf>
    <xf numFmtId="0" fontId="1" fillId="14" borderId="51" xfId="0" applyFont="1" applyFill="1" applyBorder="1" applyAlignment="1">
      <alignment horizontal="center"/>
    </xf>
    <xf numFmtId="0" fontId="1" fillId="22" borderId="46" xfId="0" applyFont="1" applyFill="1" applyBorder="1" applyAlignment="1">
      <alignment horizontal="center"/>
    </xf>
    <xf numFmtId="0" fontId="1" fillId="22" borderId="47" xfId="0" applyFont="1" applyFill="1" applyBorder="1" applyAlignment="1">
      <alignment horizontal="center"/>
    </xf>
    <xf numFmtId="0" fontId="1" fillId="22" borderId="48" xfId="0" applyFont="1" applyFill="1" applyBorder="1" applyAlignment="1">
      <alignment horizontal="center"/>
    </xf>
    <xf numFmtId="0" fontId="1" fillId="22" borderId="49" xfId="0" applyFont="1" applyFill="1" applyBorder="1" applyAlignment="1">
      <alignment horizontal="center"/>
    </xf>
    <xf numFmtId="0" fontId="1" fillId="22" borderId="50" xfId="0" applyFont="1" applyFill="1" applyBorder="1" applyAlignment="1">
      <alignment horizontal="center"/>
    </xf>
    <xf numFmtId="0" fontId="1" fillId="22" borderId="51" xfId="0" applyFont="1" applyFill="1" applyBorder="1" applyAlignment="1">
      <alignment horizontal="center"/>
    </xf>
    <xf numFmtId="0" fontId="1" fillId="10" borderId="43" xfId="0" applyFont="1" applyFill="1" applyBorder="1" applyAlignment="1">
      <alignment horizontal="center"/>
    </xf>
    <xf numFmtId="0" fontId="1" fillId="10" borderId="44" xfId="0" applyFont="1" applyFill="1" applyBorder="1" applyAlignment="1">
      <alignment horizontal="center"/>
    </xf>
    <xf numFmtId="0" fontId="1" fillId="10" borderId="41" xfId="0" applyFont="1" applyFill="1" applyBorder="1" applyAlignment="1">
      <alignment horizontal="center"/>
    </xf>
    <xf numFmtId="0" fontId="1" fillId="10" borderId="32" xfId="0" applyFont="1" applyFill="1" applyBorder="1" applyAlignment="1">
      <alignment horizontal="center"/>
    </xf>
    <xf numFmtId="0" fontId="1" fillId="28" borderId="16" xfId="0" applyFont="1" applyFill="1" applyBorder="1" applyAlignment="1">
      <alignment horizontal="center"/>
    </xf>
    <xf numFmtId="0" fontId="1" fillId="28" borderId="18" xfId="0" applyFont="1" applyFill="1" applyBorder="1" applyAlignment="1">
      <alignment horizontal="center"/>
    </xf>
    <xf numFmtId="0" fontId="1" fillId="28" borderId="17" xfId="0" applyFont="1" applyFill="1" applyBorder="1" applyAlignment="1">
      <alignment horizontal="center"/>
    </xf>
    <xf numFmtId="0" fontId="1" fillId="0" borderId="16" xfId="0" applyFont="1" applyBorder="1" applyAlignment="1">
      <alignment horizontal="left"/>
    </xf>
    <xf numFmtId="0" fontId="1" fillId="0" borderId="18" xfId="0" applyFont="1" applyBorder="1" applyAlignment="1">
      <alignment horizontal="left"/>
    </xf>
    <xf numFmtId="0" fontId="1" fillId="0" borderId="17" xfId="0" applyFont="1" applyBorder="1" applyAlignment="1">
      <alignment horizontal="left"/>
    </xf>
    <xf numFmtId="0" fontId="23" fillId="23" borderId="46" xfId="0" applyFont="1" applyFill="1" applyBorder="1" applyAlignment="1">
      <alignment horizontal="center"/>
    </xf>
    <xf numFmtId="0" fontId="23" fillId="23" borderId="47" xfId="0" applyFont="1" applyFill="1" applyBorder="1" applyAlignment="1">
      <alignment horizontal="center"/>
    </xf>
    <xf numFmtId="0" fontId="23" fillId="23" borderId="48" xfId="0" applyFont="1" applyFill="1" applyBorder="1" applyAlignment="1">
      <alignment horizontal="center"/>
    </xf>
    <xf numFmtId="0" fontId="23" fillId="23" borderId="49" xfId="0" applyFont="1" applyFill="1" applyBorder="1" applyAlignment="1">
      <alignment horizontal="center"/>
    </xf>
    <xf numFmtId="0" fontId="23" fillId="23" borderId="50" xfId="0" applyFont="1" applyFill="1" applyBorder="1" applyAlignment="1">
      <alignment horizontal="center"/>
    </xf>
    <xf numFmtId="0" fontId="23" fillId="23" borderId="51" xfId="0" applyFont="1" applyFill="1" applyBorder="1" applyAlignment="1">
      <alignment horizontal="center"/>
    </xf>
    <xf numFmtId="0" fontId="1" fillId="4" borderId="43" xfId="0" applyFont="1" applyFill="1" applyBorder="1" applyAlignment="1">
      <alignment horizontal="center"/>
    </xf>
    <xf numFmtId="0" fontId="1" fillId="4" borderId="42" xfId="0" applyFont="1" applyFill="1" applyBorder="1" applyAlignment="1">
      <alignment horizontal="center"/>
    </xf>
    <xf numFmtId="0" fontId="1" fillId="4" borderId="44" xfId="0" applyFont="1" applyFill="1" applyBorder="1" applyAlignment="1">
      <alignment horizontal="center"/>
    </xf>
    <xf numFmtId="0" fontId="1" fillId="4" borderId="40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1" fillId="4" borderId="39" xfId="0" applyFont="1" applyFill="1" applyBorder="1" applyAlignment="1">
      <alignment horizontal="center"/>
    </xf>
    <xf numFmtId="0" fontId="1" fillId="4" borderId="41" xfId="0" applyFont="1" applyFill="1" applyBorder="1" applyAlignment="1">
      <alignment horizontal="center"/>
    </xf>
    <xf numFmtId="0" fontId="1" fillId="4" borderId="55" xfId="0" applyFont="1" applyFill="1" applyBorder="1" applyAlignment="1">
      <alignment horizontal="center"/>
    </xf>
    <xf numFmtId="0" fontId="1" fillId="4" borderId="32" xfId="0" applyFont="1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4" xfId="0" applyBorder="1" applyAlignment="1">
      <alignment horizontal="center"/>
    </xf>
    <xf numFmtId="0" fontId="1" fillId="24" borderId="41" xfId="0" applyFont="1" applyFill="1" applyBorder="1" applyAlignment="1">
      <alignment horizontal="center"/>
    </xf>
    <xf numFmtId="0" fontId="1" fillId="24" borderId="32" xfId="0" applyFont="1" applyFill="1" applyBorder="1" applyAlignment="1">
      <alignment horizontal="center"/>
    </xf>
    <xf numFmtId="0" fontId="1" fillId="24" borderId="43" xfId="0" applyFont="1" applyFill="1" applyBorder="1" applyAlignment="1">
      <alignment horizontal="center"/>
    </xf>
    <xf numFmtId="0" fontId="1" fillId="24" borderId="44" xfId="0" applyFont="1" applyFill="1" applyBorder="1" applyAlignment="1">
      <alignment horizontal="center"/>
    </xf>
    <xf numFmtId="0" fontId="1" fillId="24" borderId="40" xfId="0" applyFont="1" applyFill="1" applyBorder="1" applyAlignment="1">
      <alignment horizontal="center"/>
    </xf>
    <xf numFmtId="0" fontId="1" fillId="24" borderId="39" xfId="0" applyFont="1" applyFill="1" applyBorder="1" applyAlignment="1">
      <alignment horizontal="center"/>
    </xf>
    <xf numFmtId="0" fontId="23" fillId="25" borderId="43" xfId="0" applyFont="1" applyFill="1" applyBorder="1" applyAlignment="1">
      <alignment horizontal="center"/>
    </xf>
    <xf numFmtId="0" fontId="23" fillId="25" borderId="42" xfId="0" applyFont="1" applyFill="1" applyBorder="1" applyAlignment="1">
      <alignment horizontal="center"/>
    </xf>
    <xf numFmtId="0" fontId="23" fillId="25" borderId="44" xfId="0" applyFont="1" applyFill="1" applyBorder="1" applyAlignment="1">
      <alignment horizontal="center"/>
    </xf>
    <xf numFmtId="0" fontId="23" fillId="25" borderId="41" xfId="0" applyFont="1" applyFill="1" applyBorder="1" applyAlignment="1">
      <alignment horizontal="center"/>
    </xf>
    <xf numFmtId="0" fontId="23" fillId="25" borderId="55" xfId="0" applyFont="1" applyFill="1" applyBorder="1" applyAlignment="1">
      <alignment horizontal="center"/>
    </xf>
    <xf numFmtId="0" fontId="23" fillId="25" borderId="32" xfId="0" applyFont="1" applyFill="1" applyBorder="1" applyAlignment="1">
      <alignment horizontal="center"/>
    </xf>
    <xf numFmtId="164" fontId="8" fillId="0" borderId="10" xfId="0" applyNumberFormat="1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25" borderId="0" xfId="0" applyFont="1" applyFill="1" applyAlignment="1">
      <alignment horizontal="center" vertical="center"/>
    </xf>
    <xf numFmtId="0" fontId="6" fillId="0" borderId="16" xfId="0" applyFont="1" applyBorder="1" applyAlignment="1">
      <alignment horizontal="center" vertical="center" wrapText="1"/>
    </xf>
    <xf numFmtId="0" fontId="7" fillId="8" borderId="10" xfId="0" applyFont="1" applyFill="1" applyBorder="1" applyAlignment="1">
      <alignment horizontal="center" vertical="center" wrapText="1"/>
    </xf>
    <xf numFmtId="164" fontId="8" fillId="0" borderId="17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6" fillId="4" borderId="16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center" vertical="center"/>
    </xf>
    <xf numFmtId="0" fontId="6" fillId="4" borderId="17" xfId="0" applyFont="1" applyFill="1" applyBorder="1" applyAlignment="1">
      <alignment horizontal="center" vertical="center"/>
    </xf>
    <xf numFmtId="0" fontId="23" fillId="26" borderId="43" xfId="0" applyFont="1" applyFill="1" applyBorder="1" applyAlignment="1">
      <alignment horizontal="center"/>
    </xf>
    <xf numFmtId="0" fontId="23" fillId="26" borderId="44" xfId="0" applyFont="1" applyFill="1" applyBorder="1" applyAlignment="1">
      <alignment horizontal="center"/>
    </xf>
    <xf numFmtId="0" fontId="23" fillId="26" borderId="41" xfId="0" applyFont="1" applyFill="1" applyBorder="1" applyAlignment="1">
      <alignment horizontal="center"/>
    </xf>
    <xf numFmtId="0" fontId="23" fillId="26" borderId="32" xfId="0" applyFont="1" applyFill="1" applyBorder="1" applyAlignment="1">
      <alignment horizontal="center"/>
    </xf>
    <xf numFmtId="0" fontId="1" fillId="0" borderId="46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49" xfId="0" applyFont="1" applyBorder="1" applyAlignment="1">
      <alignment horizontal="center"/>
    </xf>
    <xf numFmtId="0" fontId="1" fillId="0" borderId="51" xfId="0" applyFont="1" applyBorder="1" applyAlignment="1">
      <alignment horizontal="center"/>
    </xf>
    <xf numFmtId="0" fontId="7" fillId="8" borderId="30" xfId="0" applyFont="1" applyFill="1" applyBorder="1" applyAlignment="1">
      <alignment horizontal="center" vertical="center" wrapText="1"/>
    </xf>
    <xf numFmtId="0" fontId="7" fillId="8" borderId="57" xfId="0" applyFont="1" applyFill="1" applyBorder="1" applyAlignment="1">
      <alignment horizontal="center" vertical="center" wrapText="1"/>
    </xf>
    <xf numFmtId="164" fontId="8" fillId="0" borderId="21" xfId="0" applyNumberFormat="1" applyFont="1" applyFill="1" applyBorder="1" applyAlignment="1">
      <alignment horizontal="center" vertical="center" wrapText="1"/>
    </xf>
    <xf numFmtId="164" fontId="8" fillId="0" borderId="23" xfId="0" applyNumberFormat="1" applyFont="1" applyFill="1" applyBorder="1" applyAlignment="1">
      <alignment horizontal="center" vertical="center" wrapText="1"/>
    </xf>
    <xf numFmtId="1" fontId="0" fillId="0" borderId="0" xfId="0" applyNumberFormat="1" applyFill="1" applyAlignment="1">
      <alignment horizontal="left"/>
    </xf>
  </cellXfs>
  <cellStyles count="3">
    <cellStyle name="Comma" xfId="1" builtinId="3"/>
    <cellStyle name="Normal" xfId="0" builtinId="0"/>
    <cellStyle name="Percent" xfId="2" builtinId="5"/>
  </cellStyles>
  <dxfs count="13"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</dxfs>
  <tableStyles count="0" defaultTableStyle="TableStyleMedium2" defaultPivotStyle="PivotStyleLight16"/>
  <colors>
    <mruColors>
      <color rgb="FFCCFFCC"/>
      <color rgb="FFFFCCFF"/>
      <color rgb="FFFFFFCC"/>
      <color rgb="FFFF66FF"/>
      <color rgb="FFCCCCFF"/>
      <color rgb="FFFF99FF"/>
      <color rgb="FFFFFF00"/>
      <color rgb="FFCCECFF"/>
      <color rgb="FFFF00FF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6.xml"/><Relationship Id="rId26" Type="http://schemas.openxmlformats.org/officeDocument/2006/relationships/worksheet" Target="worksheets/sheet23.xml"/><Relationship Id="rId39" Type="http://schemas.openxmlformats.org/officeDocument/2006/relationships/worksheet" Target="worksheets/sheet36.xml"/><Relationship Id="rId21" Type="http://schemas.openxmlformats.org/officeDocument/2006/relationships/worksheet" Target="worksheets/sheet18.xml"/><Relationship Id="rId34" Type="http://schemas.openxmlformats.org/officeDocument/2006/relationships/worksheet" Target="worksheets/sheet31.xml"/><Relationship Id="rId42" Type="http://schemas.openxmlformats.org/officeDocument/2006/relationships/worksheet" Target="worksheets/sheet39.xml"/><Relationship Id="rId47" Type="http://schemas.openxmlformats.org/officeDocument/2006/relationships/worksheet" Target="worksheets/sheet44.xml"/><Relationship Id="rId50" Type="http://schemas.openxmlformats.org/officeDocument/2006/relationships/worksheet" Target="worksheets/sheet47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4.xml"/><Relationship Id="rId29" Type="http://schemas.openxmlformats.org/officeDocument/2006/relationships/worksheet" Target="worksheets/sheet2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1.xml"/><Relationship Id="rId32" Type="http://schemas.openxmlformats.org/officeDocument/2006/relationships/worksheet" Target="worksheets/sheet29.xml"/><Relationship Id="rId37" Type="http://schemas.openxmlformats.org/officeDocument/2006/relationships/worksheet" Target="worksheets/sheet34.xml"/><Relationship Id="rId40" Type="http://schemas.openxmlformats.org/officeDocument/2006/relationships/worksheet" Target="worksheets/sheet37.xml"/><Relationship Id="rId45" Type="http://schemas.openxmlformats.org/officeDocument/2006/relationships/worksheet" Target="worksheets/sheet42.xml"/><Relationship Id="rId53" Type="http://schemas.openxmlformats.org/officeDocument/2006/relationships/theme" Target="theme/theme1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worksheet" Target="worksheets/sheet19.xml"/><Relationship Id="rId27" Type="http://schemas.openxmlformats.org/officeDocument/2006/relationships/worksheet" Target="worksheets/sheet24.xml"/><Relationship Id="rId30" Type="http://schemas.openxmlformats.org/officeDocument/2006/relationships/worksheet" Target="worksheets/sheet27.xml"/><Relationship Id="rId35" Type="http://schemas.openxmlformats.org/officeDocument/2006/relationships/worksheet" Target="worksheets/sheet32.xml"/><Relationship Id="rId43" Type="http://schemas.openxmlformats.org/officeDocument/2006/relationships/worksheet" Target="worksheets/sheet40.xml"/><Relationship Id="rId48" Type="http://schemas.openxmlformats.org/officeDocument/2006/relationships/worksheet" Target="worksheets/sheet45.xml"/><Relationship Id="rId56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4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5.xml"/><Relationship Id="rId25" Type="http://schemas.openxmlformats.org/officeDocument/2006/relationships/worksheet" Target="worksheets/sheet22.xml"/><Relationship Id="rId33" Type="http://schemas.openxmlformats.org/officeDocument/2006/relationships/worksheet" Target="worksheets/sheet30.xml"/><Relationship Id="rId38" Type="http://schemas.openxmlformats.org/officeDocument/2006/relationships/worksheet" Target="worksheets/sheet35.xml"/><Relationship Id="rId46" Type="http://schemas.openxmlformats.org/officeDocument/2006/relationships/worksheet" Target="worksheets/sheet43.xml"/><Relationship Id="rId20" Type="http://schemas.openxmlformats.org/officeDocument/2006/relationships/chartsheet" Target="chartsheets/sheet3.xml"/><Relationship Id="rId41" Type="http://schemas.openxmlformats.org/officeDocument/2006/relationships/worksheet" Target="worksheets/sheet38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chartsheet" Target="chartsheets/sheet2.xml"/><Relationship Id="rId23" Type="http://schemas.openxmlformats.org/officeDocument/2006/relationships/worksheet" Target="worksheets/sheet20.xml"/><Relationship Id="rId28" Type="http://schemas.openxmlformats.org/officeDocument/2006/relationships/worksheet" Target="worksheets/sheet25.xml"/><Relationship Id="rId36" Type="http://schemas.openxmlformats.org/officeDocument/2006/relationships/worksheet" Target="worksheets/sheet33.xml"/><Relationship Id="rId49" Type="http://schemas.openxmlformats.org/officeDocument/2006/relationships/worksheet" Target="worksheets/sheet46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28.xml"/><Relationship Id="rId44" Type="http://schemas.openxmlformats.org/officeDocument/2006/relationships/worksheet" Target="worksheets/sheet41.xml"/><Relationship Id="rId52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Temperature vs Altitude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Atmos!$B$4:$B$134</c:f>
              <c:numCache>
                <c:formatCode>0.0</c:formatCode>
                <c:ptCount val="131"/>
                <c:pt idx="0">
                  <c:v>58.96999999999997</c:v>
                </c:pt>
                <c:pt idx="1">
                  <c:v>57.186999999999955</c:v>
                </c:pt>
                <c:pt idx="2">
                  <c:v>55.40399999999994</c:v>
                </c:pt>
                <c:pt idx="3">
                  <c:v>53.620999999999924</c:v>
                </c:pt>
                <c:pt idx="4">
                  <c:v>51.837999999999965</c:v>
                </c:pt>
                <c:pt idx="5">
                  <c:v>50.05499999999995</c:v>
                </c:pt>
                <c:pt idx="6">
                  <c:v>48.271999999999991</c:v>
                </c:pt>
                <c:pt idx="7">
                  <c:v>46.488999999999976</c:v>
                </c:pt>
                <c:pt idx="8">
                  <c:v>44.70599999999996</c:v>
                </c:pt>
                <c:pt idx="9">
                  <c:v>42.922999999999945</c:v>
                </c:pt>
                <c:pt idx="10">
                  <c:v>41.139999999999986</c:v>
                </c:pt>
                <c:pt idx="11">
                  <c:v>39.356999999999971</c:v>
                </c:pt>
                <c:pt idx="12">
                  <c:v>37.573999999999955</c:v>
                </c:pt>
                <c:pt idx="13">
                  <c:v>35.790999999999997</c:v>
                </c:pt>
                <c:pt idx="14">
                  <c:v>34.007999999999981</c:v>
                </c:pt>
                <c:pt idx="15">
                  <c:v>32.224999999999966</c:v>
                </c:pt>
                <c:pt idx="16">
                  <c:v>30.44199999999995</c:v>
                </c:pt>
                <c:pt idx="17">
                  <c:v>28.658999999999992</c:v>
                </c:pt>
                <c:pt idx="18">
                  <c:v>26.875999999999976</c:v>
                </c:pt>
                <c:pt idx="19">
                  <c:v>25.092999999999961</c:v>
                </c:pt>
                <c:pt idx="20">
                  <c:v>23.310000000000002</c:v>
                </c:pt>
                <c:pt idx="21">
                  <c:v>21.526999999999987</c:v>
                </c:pt>
                <c:pt idx="22">
                  <c:v>19.743999999999971</c:v>
                </c:pt>
                <c:pt idx="23">
                  <c:v>17.960999999999956</c:v>
                </c:pt>
                <c:pt idx="24">
                  <c:v>16.17799999999994</c:v>
                </c:pt>
                <c:pt idx="25">
                  <c:v>14.394999999999982</c:v>
                </c:pt>
                <c:pt idx="26">
                  <c:v>12.611999999999966</c:v>
                </c:pt>
                <c:pt idx="27">
                  <c:v>10.828999999999951</c:v>
                </c:pt>
                <c:pt idx="28">
                  <c:v>9.0459999999999923</c:v>
                </c:pt>
                <c:pt idx="29">
                  <c:v>7.2629999999999768</c:v>
                </c:pt>
                <c:pt idx="30">
                  <c:v>5.4799999999999613</c:v>
                </c:pt>
                <c:pt idx="31">
                  <c:v>3.6969999999999459</c:v>
                </c:pt>
                <c:pt idx="32">
                  <c:v>1.9139999999999873</c:v>
                </c:pt>
                <c:pt idx="33">
                  <c:v>0.13099999999997181</c:v>
                </c:pt>
                <c:pt idx="34">
                  <c:v>-1.6520000000000437</c:v>
                </c:pt>
                <c:pt idx="35">
                  <c:v>-3.4350000000000023</c:v>
                </c:pt>
                <c:pt idx="36">
                  <c:v>-5.2180000000000177</c:v>
                </c:pt>
                <c:pt idx="37">
                  <c:v>-7.0010000000000332</c:v>
                </c:pt>
                <c:pt idx="38">
                  <c:v>-8.7840000000000487</c:v>
                </c:pt>
                <c:pt idx="39">
                  <c:v>-10.567000000000007</c:v>
                </c:pt>
                <c:pt idx="40">
                  <c:v>-12.350000000000023</c:v>
                </c:pt>
                <c:pt idx="41">
                  <c:v>-14.133000000000038</c:v>
                </c:pt>
                <c:pt idx="42">
                  <c:v>-15.915999999999997</c:v>
                </c:pt>
                <c:pt idx="43">
                  <c:v>-17.699000000000012</c:v>
                </c:pt>
                <c:pt idx="44">
                  <c:v>-19.482000000000028</c:v>
                </c:pt>
                <c:pt idx="45">
                  <c:v>-21.265000000000043</c:v>
                </c:pt>
                <c:pt idx="46">
                  <c:v>-23.048000000000059</c:v>
                </c:pt>
                <c:pt idx="47">
                  <c:v>-24.831000000000017</c:v>
                </c:pt>
                <c:pt idx="48">
                  <c:v>-26.614000000000033</c:v>
                </c:pt>
                <c:pt idx="49">
                  <c:v>-28.396999999999991</c:v>
                </c:pt>
                <c:pt idx="50">
                  <c:v>-30.180000000000007</c:v>
                </c:pt>
                <c:pt idx="51">
                  <c:v>-31.963000000000022</c:v>
                </c:pt>
                <c:pt idx="52">
                  <c:v>-33.746000000000038</c:v>
                </c:pt>
                <c:pt idx="53">
                  <c:v>-35.529000000000053</c:v>
                </c:pt>
                <c:pt idx="54">
                  <c:v>-37.312000000000012</c:v>
                </c:pt>
                <c:pt idx="55">
                  <c:v>-39.095000000000027</c:v>
                </c:pt>
                <c:pt idx="56">
                  <c:v>-40.878000000000043</c:v>
                </c:pt>
                <c:pt idx="57">
                  <c:v>-42.661000000000001</c:v>
                </c:pt>
                <c:pt idx="58">
                  <c:v>-44.444000000000017</c:v>
                </c:pt>
                <c:pt idx="59">
                  <c:v>-46.227000000000032</c:v>
                </c:pt>
                <c:pt idx="60">
                  <c:v>-48.010000000000048</c:v>
                </c:pt>
                <c:pt idx="61">
                  <c:v>-49.793000000000006</c:v>
                </c:pt>
                <c:pt idx="62">
                  <c:v>-51.576000000000022</c:v>
                </c:pt>
                <c:pt idx="63">
                  <c:v>-53.359000000000037</c:v>
                </c:pt>
                <c:pt idx="64">
                  <c:v>-55.141999999999996</c:v>
                </c:pt>
                <c:pt idx="65">
                  <c:v>-56.925000000000011</c:v>
                </c:pt>
                <c:pt idx="66">
                  <c:v>-58.708000000000027</c:v>
                </c:pt>
                <c:pt idx="67">
                  <c:v>-60.491000000000042</c:v>
                </c:pt>
                <c:pt idx="68">
                  <c:v>-62.274000000000058</c:v>
                </c:pt>
                <c:pt idx="69">
                  <c:v>-64.057000000000016</c:v>
                </c:pt>
                <c:pt idx="70">
                  <c:v>-65.840000000000032</c:v>
                </c:pt>
                <c:pt idx="71">
                  <c:v>-67.62299999999999</c:v>
                </c:pt>
                <c:pt idx="72">
                  <c:v>-69.406000000000006</c:v>
                </c:pt>
                <c:pt idx="73">
                  <c:v>-69.70999999999998</c:v>
                </c:pt>
                <c:pt idx="74">
                  <c:v>-69.70999999999998</c:v>
                </c:pt>
                <c:pt idx="75">
                  <c:v>-69.70999999999998</c:v>
                </c:pt>
                <c:pt idx="76">
                  <c:v>-69.70999999999998</c:v>
                </c:pt>
                <c:pt idx="77">
                  <c:v>-69.70999999999998</c:v>
                </c:pt>
                <c:pt idx="78">
                  <c:v>-69.70999999999998</c:v>
                </c:pt>
                <c:pt idx="79">
                  <c:v>-69.70999999999998</c:v>
                </c:pt>
                <c:pt idx="80">
                  <c:v>-69.70999999999998</c:v>
                </c:pt>
                <c:pt idx="81">
                  <c:v>-69.70999999999998</c:v>
                </c:pt>
                <c:pt idx="82">
                  <c:v>-69.70999999999998</c:v>
                </c:pt>
                <c:pt idx="83">
                  <c:v>-69.70999999999998</c:v>
                </c:pt>
                <c:pt idx="84">
                  <c:v>-69.70999999999998</c:v>
                </c:pt>
                <c:pt idx="85">
                  <c:v>-69.70999999999998</c:v>
                </c:pt>
                <c:pt idx="86">
                  <c:v>-69.70999999999998</c:v>
                </c:pt>
                <c:pt idx="87">
                  <c:v>-69.70999999999998</c:v>
                </c:pt>
                <c:pt idx="88">
                  <c:v>-69.70999999999998</c:v>
                </c:pt>
                <c:pt idx="89">
                  <c:v>-69.70999999999998</c:v>
                </c:pt>
                <c:pt idx="90">
                  <c:v>-69.70999999999998</c:v>
                </c:pt>
                <c:pt idx="91">
                  <c:v>-69.70999999999998</c:v>
                </c:pt>
                <c:pt idx="92">
                  <c:v>-69.70999999999998</c:v>
                </c:pt>
                <c:pt idx="93">
                  <c:v>-69.70999999999998</c:v>
                </c:pt>
                <c:pt idx="94">
                  <c:v>-69.70999999999998</c:v>
                </c:pt>
                <c:pt idx="95">
                  <c:v>-69.70999999999998</c:v>
                </c:pt>
                <c:pt idx="96">
                  <c:v>-69.70999999999998</c:v>
                </c:pt>
                <c:pt idx="97">
                  <c:v>-69.70999999999998</c:v>
                </c:pt>
                <c:pt idx="98">
                  <c:v>-69.70999999999998</c:v>
                </c:pt>
                <c:pt idx="99">
                  <c:v>-69.70999999999998</c:v>
                </c:pt>
                <c:pt idx="100">
                  <c:v>-69.70999999999998</c:v>
                </c:pt>
                <c:pt idx="101">
                  <c:v>-69.70999999999998</c:v>
                </c:pt>
                <c:pt idx="102">
                  <c:v>-69.70999999999998</c:v>
                </c:pt>
                <c:pt idx="103">
                  <c:v>-69.70999999999998</c:v>
                </c:pt>
                <c:pt idx="104">
                  <c:v>-69.70999999999998</c:v>
                </c:pt>
                <c:pt idx="105">
                  <c:v>-69.70999999999998</c:v>
                </c:pt>
                <c:pt idx="106">
                  <c:v>-69.70999999999998</c:v>
                </c:pt>
                <c:pt idx="107">
                  <c:v>-69.70999999999998</c:v>
                </c:pt>
                <c:pt idx="108">
                  <c:v>-69.70999999999998</c:v>
                </c:pt>
                <c:pt idx="109">
                  <c:v>-69.70999999999998</c:v>
                </c:pt>
                <c:pt idx="110">
                  <c:v>-69.70999999999998</c:v>
                </c:pt>
                <c:pt idx="111">
                  <c:v>-69.70999999999998</c:v>
                </c:pt>
                <c:pt idx="112">
                  <c:v>-69.70999999999998</c:v>
                </c:pt>
                <c:pt idx="113">
                  <c:v>-69.70999999999998</c:v>
                </c:pt>
                <c:pt idx="114">
                  <c:v>-69.70999999999998</c:v>
                </c:pt>
                <c:pt idx="115">
                  <c:v>-69.70999999999998</c:v>
                </c:pt>
                <c:pt idx="116">
                  <c:v>-69.70999999999998</c:v>
                </c:pt>
                <c:pt idx="117">
                  <c:v>-69.70999999999998</c:v>
                </c:pt>
                <c:pt idx="118">
                  <c:v>-69.70999999999998</c:v>
                </c:pt>
                <c:pt idx="119">
                  <c:v>-69.70999999999998</c:v>
                </c:pt>
                <c:pt idx="120">
                  <c:v>-69.70999999999998</c:v>
                </c:pt>
                <c:pt idx="121">
                  <c:v>-69.70999999999998</c:v>
                </c:pt>
                <c:pt idx="122">
                  <c:v>-69.70999999999998</c:v>
                </c:pt>
                <c:pt idx="123">
                  <c:v>-69.70999999999998</c:v>
                </c:pt>
                <c:pt idx="124">
                  <c:v>-69.70999999999998</c:v>
                </c:pt>
                <c:pt idx="125">
                  <c:v>-69.70999999999998</c:v>
                </c:pt>
                <c:pt idx="126">
                  <c:v>-69.70999999999998</c:v>
                </c:pt>
                <c:pt idx="127">
                  <c:v>-69.70999999999998</c:v>
                </c:pt>
                <c:pt idx="128">
                  <c:v>-69.70999999999998</c:v>
                </c:pt>
                <c:pt idx="129">
                  <c:v>-69.70999999999998</c:v>
                </c:pt>
                <c:pt idx="130">
                  <c:v>-69.70999999999998</c:v>
                </c:pt>
              </c:numCache>
            </c:numRef>
          </c:xVal>
          <c:yVal>
            <c:numRef>
              <c:f>Atmos!$A$4:$A$134</c:f>
              <c:numCache>
                <c:formatCode>#,##0</c:formatCode>
                <c:ptCount val="13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  <c:pt idx="26">
                  <c:v>13000</c:v>
                </c:pt>
                <c:pt idx="27">
                  <c:v>13500</c:v>
                </c:pt>
                <c:pt idx="28">
                  <c:v>14000</c:v>
                </c:pt>
                <c:pt idx="29">
                  <c:v>14500</c:v>
                </c:pt>
                <c:pt idx="30">
                  <c:v>15000</c:v>
                </c:pt>
                <c:pt idx="31">
                  <c:v>15500</c:v>
                </c:pt>
                <c:pt idx="32">
                  <c:v>16000</c:v>
                </c:pt>
                <c:pt idx="33">
                  <c:v>16500</c:v>
                </c:pt>
                <c:pt idx="34">
                  <c:v>17000</c:v>
                </c:pt>
                <c:pt idx="35">
                  <c:v>17500</c:v>
                </c:pt>
                <c:pt idx="36">
                  <c:v>18000</c:v>
                </c:pt>
                <c:pt idx="37">
                  <c:v>18500</c:v>
                </c:pt>
                <c:pt idx="38">
                  <c:v>19000</c:v>
                </c:pt>
                <c:pt idx="39">
                  <c:v>19500</c:v>
                </c:pt>
                <c:pt idx="40">
                  <c:v>20000</c:v>
                </c:pt>
                <c:pt idx="41">
                  <c:v>20500</c:v>
                </c:pt>
                <c:pt idx="42">
                  <c:v>21000</c:v>
                </c:pt>
                <c:pt idx="43">
                  <c:v>21500</c:v>
                </c:pt>
                <c:pt idx="44">
                  <c:v>22000</c:v>
                </c:pt>
                <c:pt idx="45">
                  <c:v>22500</c:v>
                </c:pt>
                <c:pt idx="46">
                  <c:v>23000</c:v>
                </c:pt>
                <c:pt idx="47">
                  <c:v>23500</c:v>
                </c:pt>
                <c:pt idx="48">
                  <c:v>24000</c:v>
                </c:pt>
                <c:pt idx="49">
                  <c:v>24500</c:v>
                </c:pt>
                <c:pt idx="50">
                  <c:v>25000</c:v>
                </c:pt>
                <c:pt idx="51">
                  <c:v>25500</c:v>
                </c:pt>
                <c:pt idx="52">
                  <c:v>26000</c:v>
                </c:pt>
                <c:pt idx="53">
                  <c:v>26500</c:v>
                </c:pt>
                <c:pt idx="54">
                  <c:v>27000</c:v>
                </c:pt>
                <c:pt idx="55">
                  <c:v>27500</c:v>
                </c:pt>
                <c:pt idx="56">
                  <c:v>28000</c:v>
                </c:pt>
                <c:pt idx="57">
                  <c:v>28500</c:v>
                </c:pt>
                <c:pt idx="58">
                  <c:v>29000</c:v>
                </c:pt>
                <c:pt idx="59">
                  <c:v>29500</c:v>
                </c:pt>
                <c:pt idx="60">
                  <c:v>30000</c:v>
                </c:pt>
                <c:pt idx="61">
                  <c:v>30500</c:v>
                </c:pt>
                <c:pt idx="62">
                  <c:v>31000</c:v>
                </c:pt>
                <c:pt idx="63">
                  <c:v>31500</c:v>
                </c:pt>
                <c:pt idx="64">
                  <c:v>32000</c:v>
                </c:pt>
                <c:pt idx="65">
                  <c:v>32500</c:v>
                </c:pt>
                <c:pt idx="66">
                  <c:v>33000</c:v>
                </c:pt>
                <c:pt idx="67">
                  <c:v>33500</c:v>
                </c:pt>
                <c:pt idx="68">
                  <c:v>34000</c:v>
                </c:pt>
                <c:pt idx="69">
                  <c:v>34500</c:v>
                </c:pt>
                <c:pt idx="70">
                  <c:v>35000</c:v>
                </c:pt>
                <c:pt idx="71">
                  <c:v>35500</c:v>
                </c:pt>
                <c:pt idx="72">
                  <c:v>36000</c:v>
                </c:pt>
                <c:pt idx="73">
                  <c:v>36500</c:v>
                </c:pt>
                <c:pt idx="74">
                  <c:v>37000</c:v>
                </c:pt>
                <c:pt idx="75">
                  <c:v>37500</c:v>
                </c:pt>
                <c:pt idx="76">
                  <c:v>38000</c:v>
                </c:pt>
                <c:pt idx="77">
                  <c:v>38500</c:v>
                </c:pt>
                <c:pt idx="78">
                  <c:v>39000</c:v>
                </c:pt>
                <c:pt idx="79">
                  <c:v>39500</c:v>
                </c:pt>
                <c:pt idx="80">
                  <c:v>40000</c:v>
                </c:pt>
                <c:pt idx="81">
                  <c:v>40500</c:v>
                </c:pt>
                <c:pt idx="82">
                  <c:v>41000</c:v>
                </c:pt>
                <c:pt idx="83">
                  <c:v>41500</c:v>
                </c:pt>
                <c:pt idx="84">
                  <c:v>42000</c:v>
                </c:pt>
                <c:pt idx="85">
                  <c:v>42500</c:v>
                </c:pt>
                <c:pt idx="86">
                  <c:v>43000</c:v>
                </c:pt>
                <c:pt idx="87">
                  <c:v>43500</c:v>
                </c:pt>
                <c:pt idx="88">
                  <c:v>44000</c:v>
                </c:pt>
                <c:pt idx="89">
                  <c:v>44500</c:v>
                </c:pt>
                <c:pt idx="90">
                  <c:v>45000</c:v>
                </c:pt>
                <c:pt idx="91">
                  <c:v>45500</c:v>
                </c:pt>
                <c:pt idx="92">
                  <c:v>46000</c:v>
                </c:pt>
                <c:pt idx="93">
                  <c:v>46500</c:v>
                </c:pt>
                <c:pt idx="94">
                  <c:v>47000</c:v>
                </c:pt>
                <c:pt idx="95">
                  <c:v>47500</c:v>
                </c:pt>
                <c:pt idx="96">
                  <c:v>48000</c:v>
                </c:pt>
                <c:pt idx="97">
                  <c:v>48500</c:v>
                </c:pt>
                <c:pt idx="98">
                  <c:v>49000</c:v>
                </c:pt>
                <c:pt idx="99">
                  <c:v>49500</c:v>
                </c:pt>
                <c:pt idx="100">
                  <c:v>50000</c:v>
                </c:pt>
                <c:pt idx="101">
                  <c:v>50500</c:v>
                </c:pt>
                <c:pt idx="102">
                  <c:v>51000</c:v>
                </c:pt>
                <c:pt idx="103">
                  <c:v>51500</c:v>
                </c:pt>
                <c:pt idx="104">
                  <c:v>52000</c:v>
                </c:pt>
                <c:pt idx="105">
                  <c:v>52500</c:v>
                </c:pt>
                <c:pt idx="106">
                  <c:v>53000</c:v>
                </c:pt>
                <c:pt idx="107">
                  <c:v>53500</c:v>
                </c:pt>
                <c:pt idx="108">
                  <c:v>54000</c:v>
                </c:pt>
                <c:pt idx="109">
                  <c:v>54500</c:v>
                </c:pt>
                <c:pt idx="110">
                  <c:v>55000</c:v>
                </c:pt>
                <c:pt idx="111">
                  <c:v>55500</c:v>
                </c:pt>
                <c:pt idx="112">
                  <c:v>56000</c:v>
                </c:pt>
                <c:pt idx="113">
                  <c:v>56500</c:v>
                </c:pt>
                <c:pt idx="114">
                  <c:v>57000</c:v>
                </c:pt>
                <c:pt idx="115">
                  <c:v>57500</c:v>
                </c:pt>
                <c:pt idx="116">
                  <c:v>58000</c:v>
                </c:pt>
                <c:pt idx="117">
                  <c:v>58500</c:v>
                </c:pt>
                <c:pt idx="118">
                  <c:v>59000</c:v>
                </c:pt>
                <c:pt idx="119">
                  <c:v>59500</c:v>
                </c:pt>
                <c:pt idx="120">
                  <c:v>60000</c:v>
                </c:pt>
                <c:pt idx="121">
                  <c:v>60500</c:v>
                </c:pt>
                <c:pt idx="122">
                  <c:v>61000</c:v>
                </c:pt>
                <c:pt idx="123">
                  <c:v>61500</c:v>
                </c:pt>
                <c:pt idx="124">
                  <c:v>62000</c:v>
                </c:pt>
                <c:pt idx="125">
                  <c:v>62500</c:v>
                </c:pt>
                <c:pt idx="126">
                  <c:v>63000</c:v>
                </c:pt>
                <c:pt idx="127">
                  <c:v>63500</c:v>
                </c:pt>
                <c:pt idx="128">
                  <c:v>64000</c:v>
                </c:pt>
                <c:pt idx="129">
                  <c:v>64500</c:v>
                </c:pt>
                <c:pt idx="130">
                  <c:v>65000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7A-4384-96F0-568F1A59C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092320"/>
        <c:axId val="740090880"/>
      </c:scatterChart>
      <c:valAx>
        <c:axId val="740092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 [deg</a:t>
                </a:r>
                <a:r>
                  <a:rPr lang="en-US" baseline="0"/>
                  <a:t> F]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090880"/>
        <c:crosses val="autoZero"/>
        <c:crossBetween val="midCat"/>
      </c:valAx>
      <c:valAx>
        <c:axId val="74009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</a:t>
                </a:r>
                <a:r>
                  <a:rPr lang="en-US" baseline="0"/>
                  <a:t> [ft]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092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Pressure vs Altitude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Atmos!$G$4:$G$134</c:f>
              <c:numCache>
                <c:formatCode>#,##0.00</c:formatCode>
                <c:ptCount val="131"/>
                <c:pt idx="0">
                  <c:v>2116.2199999999998</c:v>
                </c:pt>
                <c:pt idx="1">
                  <c:v>2078.2612345633916</c:v>
                </c:pt>
                <c:pt idx="2">
                  <c:v>2040.8556915990741</c:v>
                </c:pt>
                <c:pt idx="3">
                  <c:v>2003.9971814375062</c:v>
                </c:pt>
                <c:pt idx="4">
                  <c:v>1967.6795625591478</c:v>
                </c:pt>
                <c:pt idx="5">
                  <c:v>1931.8967413851967</c:v>
                </c:pt>
                <c:pt idx="6">
                  <c:v>1896.6426720685065</c:v>
                </c:pt>
                <c:pt idx="7">
                  <c:v>1861.9113562846912</c:v>
                </c:pt>
                <c:pt idx="8">
                  <c:v>1827.6968430234169</c:v>
                </c:pt>
                <c:pt idx="9">
                  <c:v>1793.9932283798828</c:v>
                </c:pt>
                <c:pt idx="10">
                  <c:v>1760.7946553464919</c:v>
                </c:pt>
                <c:pt idx="11">
                  <c:v>1728.0953136046978</c:v>
                </c:pt>
                <c:pt idx="12">
                  <c:v>1695.8894393170633</c:v>
                </c:pt>
                <c:pt idx="13">
                  <c:v>1664.1713149194857</c:v>
                </c:pt>
                <c:pt idx="14">
                  <c:v>1632.9352689136249</c:v>
                </c:pt>
                <c:pt idx="15">
                  <c:v>1602.17567565952</c:v>
                </c:pt>
                <c:pt idx="16">
                  <c:v>1571.886955168397</c:v>
                </c:pt>
                <c:pt idx="17">
                  <c:v>1542.0635728956643</c:v>
                </c:pt>
                <c:pt idx="18">
                  <c:v>1512.7000395341013</c:v>
                </c:pt>
                <c:pt idx="19">
                  <c:v>1483.7909108072499</c:v>
                </c:pt>
                <c:pt idx="20">
                  <c:v>1455.3307872629821</c:v>
                </c:pt>
                <c:pt idx="21">
                  <c:v>1427.3143140672737</c:v>
                </c:pt>
                <c:pt idx="22">
                  <c:v>1399.736180798167</c:v>
                </c:pt>
                <c:pt idx="23">
                  <c:v>1372.5911212399326</c:v>
                </c:pt>
                <c:pt idx="24">
                  <c:v>1345.8739131774189</c:v>
                </c:pt>
                <c:pt idx="25">
                  <c:v>1319.579378190605</c:v>
                </c:pt>
                <c:pt idx="26">
                  <c:v>1293.7023814493457</c:v>
                </c:pt>
                <c:pt idx="27">
                  <c:v>1268.2378315083151</c:v>
                </c:pt>
                <c:pt idx="28">
                  <c:v>1243.1806801021501</c:v>
                </c:pt>
                <c:pt idx="29">
                  <c:v>1218.5259219407794</c:v>
                </c:pt>
                <c:pt idx="30">
                  <c:v>1194.2685945049741</c:v>
                </c:pt>
                <c:pt idx="31">
                  <c:v>1170.4037778420723</c:v>
                </c:pt>
                <c:pt idx="32">
                  <c:v>1146.9265943619225</c:v>
                </c:pt>
                <c:pt idx="33">
                  <c:v>1123.8322086330147</c:v>
                </c:pt>
                <c:pt idx="34">
                  <c:v>1101.1158271788208</c:v>
                </c:pt>
                <c:pt idx="35">
                  <c:v>1078.7726982743341</c:v>
                </c:pt>
                <c:pt idx="36">
                  <c:v>1056.7981117428026</c:v>
                </c:pt>
                <c:pt idx="37">
                  <c:v>1035.1873987526817</c:v>
                </c:pt>
                <c:pt idx="38">
                  <c:v>1013.9359316147718</c:v>
                </c:pt>
                <c:pt idx="39">
                  <c:v>993.03912357957574</c:v>
                </c:pt>
                <c:pt idx="40">
                  <c:v>972.49242863484506</c:v>
                </c:pt>
                <c:pt idx="41">
                  <c:v>952.29134130334512</c:v>
                </c:pt>
                <c:pt idx="42">
                  <c:v>932.43139644081998</c:v>
                </c:pt>
                <c:pt idx="43">
                  <c:v>912.90816903415669</c:v>
                </c:pt>
                <c:pt idx="44">
                  <c:v>893.71727399977203</c:v>
                </c:pt>
                <c:pt idx="45">
                  <c:v>874.85436598218996</c:v>
                </c:pt>
                <c:pt idx="46">
                  <c:v>856.31513915284052</c:v>
                </c:pt>
                <c:pt idx="47">
                  <c:v>838.09532700905697</c:v>
                </c:pt>
                <c:pt idx="48">
                  <c:v>820.1907021732876</c:v>
                </c:pt>
                <c:pt idx="49">
                  <c:v>802.5970761925214</c:v>
                </c:pt>
                <c:pt idx="50">
                  <c:v>785.31029933791115</c:v>
                </c:pt>
                <c:pt idx="51">
                  <c:v>768.3262604046248</c:v>
                </c:pt>
                <c:pt idx="52">
                  <c:v>751.64088651189309</c:v>
                </c:pt>
                <c:pt idx="53">
                  <c:v>735.25014290328102</c:v>
                </c:pt>
                <c:pt idx="54">
                  <c:v>719.15003274716605</c:v>
                </c:pt>
                <c:pt idx="55">
                  <c:v>703.33659693742936</c:v>
                </c:pt>
                <c:pt idx="56">
                  <c:v>687.80591389437154</c:v>
                </c:pt>
                <c:pt idx="57">
                  <c:v>672.55409936582862</c:v>
                </c:pt>
                <c:pt idx="58">
                  <c:v>657.57730622851614</c:v>
                </c:pt>
                <c:pt idx="59">
                  <c:v>642.87172428958218</c:v>
                </c:pt>
                <c:pt idx="60">
                  <c:v>628.43358008838447</c:v>
                </c:pt>
                <c:pt idx="61">
                  <c:v>614.25913669847637</c:v>
                </c:pt>
                <c:pt idx="62">
                  <c:v>600.34469352982012</c:v>
                </c:pt>
                <c:pt idx="63">
                  <c:v>586.68658613121465</c:v>
                </c:pt>
                <c:pt idx="64">
                  <c:v>573.28118599294476</c:v>
                </c:pt>
                <c:pt idx="65">
                  <c:v>560.12490034965072</c:v>
                </c:pt>
                <c:pt idx="66">
                  <c:v>547.21417198341862</c:v>
                </c:pt>
                <c:pt idx="67">
                  <c:v>534.54547902709635</c:v>
                </c:pt>
                <c:pt idx="68">
                  <c:v>522.11533476782563</c:v>
                </c:pt>
                <c:pt idx="69">
                  <c:v>509.92028745080648</c:v>
                </c:pt>
                <c:pt idx="70">
                  <c:v>497.95692008327683</c:v>
                </c:pt>
                <c:pt idx="71">
                  <c:v>486.22185023872606</c:v>
                </c:pt>
                <c:pt idx="72">
                  <c:v>474.71172986132763</c:v>
                </c:pt>
                <c:pt idx="73">
                  <c:v>463.4396664339925</c:v>
                </c:pt>
                <c:pt idx="74">
                  <c:v>452.43511338663518</c:v>
                </c:pt>
                <c:pt idx="75">
                  <c:v>441.69186768205213</c:v>
                </c:pt>
                <c:pt idx="76">
                  <c:v>431.20372447693057</c:v>
                </c:pt>
                <c:pt idx="77">
                  <c:v>420.96462626434737</c:v>
                </c:pt>
                <c:pt idx="78">
                  <c:v>410.96865937521011</c:v>
                </c:pt>
                <c:pt idx="79">
                  <c:v>401.21005056277266</c:v>
                </c:pt>
                <c:pt idx="80">
                  <c:v>391.68316366825212</c:v>
                </c:pt>
                <c:pt idx="81">
                  <c:v>382.3824963656229</c:v>
                </c:pt>
                <c:pt idx="82">
                  <c:v>373.30267698370608</c:v>
                </c:pt>
                <c:pt idx="83">
                  <c:v>364.43846140372011</c:v>
                </c:pt>
                <c:pt idx="84">
                  <c:v>355.78473003049982</c:v>
                </c:pt>
                <c:pt idx="85">
                  <c:v>347.33648483563587</c:v>
                </c:pt>
                <c:pt idx="86">
                  <c:v>339.08884647082454</c:v>
                </c:pt>
                <c:pt idx="87">
                  <c:v>331.03705144976345</c:v>
                </c:pt>
                <c:pt idx="88">
                  <c:v>323.17644939696407</c:v>
                </c:pt>
                <c:pt idx="89">
                  <c:v>315.50250036189152</c:v>
                </c:pt>
                <c:pt idx="90">
                  <c:v>308.01077219688165</c:v>
                </c:pt>
                <c:pt idx="91">
                  <c:v>300.69693799732062</c:v>
                </c:pt>
                <c:pt idx="92">
                  <c:v>293.55677360260808</c:v>
                </c:pt>
                <c:pt idx="93">
                  <c:v>286.58615515646119</c:v>
                </c:pt>
                <c:pt idx="94">
                  <c:v>279.78105672514971</c:v>
                </c:pt>
                <c:pt idx="95">
                  <c:v>273.13754797228779</c:v>
                </c:pt>
                <c:pt idx="96">
                  <c:v>266.65179188883815</c:v>
                </c:pt>
                <c:pt idx="97">
                  <c:v>260.32004257701794</c:v>
                </c:pt>
                <c:pt idx="98">
                  <c:v>254.13864308682744</c:v>
                </c:pt>
                <c:pt idx="99">
                  <c:v>248.10402330395061</c:v>
                </c:pt>
                <c:pt idx="100">
                  <c:v>242.21269788780825</c:v>
                </c:pt>
                <c:pt idx="101">
                  <c:v>236.46126425857321</c:v>
                </c:pt>
                <c:pt idx="102">
                  <c:v>230.84640063198444</c:v>
                </c:pt>
                <c:pt idx="103">
                  <c:v>225.3648641008252</c:v>
                </c:pt>
                <c:pt idx="104">
                  <c:v>220.01348876195735</c:v>
                </c:pt>
                <c:pt idx="105">
                  <c:v>214.78918388782986</c:v>
                </c:pt>
                <c:pt idx="106">
                  <c:v>209.68893214140564</c:v>
                </c:pt>
                <c:pt idx="107">
                  <c:v>204.70978783347559</c:v>
                </c:pt>
                <c:pt idx="108">
                  <c:v>199.84887522135327</c:v>
                </c:pt>
                <c:pt idx="109">
                  <c:v>195.10338684796795</c:v>
                </c:pt>
                <c:pt idx="110">
                  <c:v>190.47058192039634</c:v>
                </c:pt>
                <c:pt idx="111">
                  <c:v>185.94778472689674</c:v>
                </c:pt>
                <c:pt idx="112">
                  <c:v>181.53238309153164</c:v>
                </c:pt>
                <c:pt idx="113">
                  <c:v>177.22182686548516</c:v>
                </c:pt>
                <c:pt idx="114">
                  <c:v>173.01362645420548</c:v>
                </c:pt>
                <c:pt idx="115">
                  <c:v>168.90535137952079</c:v>
                </c:pt>
                <c:pt idx="116">
                  <c:v>164.89462887589752</c:v>
                </c:pt>
                <c:pt idx="117">
                  <c:v>160.97914252003207</c:v>
                </c:pt>
                <c:pt idx="118">
                  <c:v>157.15663089298278</c:v>
                </c:pt>
                <c:pt idx="119">
                  <c:v>153.42488627406996</c:v>
                </c:pt>
                <c:pt idx="120">
                  <c:v>149.78175336579045</c:v>
                </c:pt>
                <c:pt idx="121">
                  <c:v>146.22512804900867</c:v>
                </c:pt>
                <c:pt idx="122">
                  <c:v>142.75295616770697</c:v>
                </c:pt>
                <c:pt idx="123">
                  <c:v>139.36323234259206</c:v>
                </c:pt>
                <c:pt idx="124">
                  <c:v>136.05399881287289</c:v>
                </c:pt>
                <c:pt idx="125">
                  <c:v>132.82334430554099</c:v>
                </c:pt>
                <c:pt idx="126">
                  <c:v>129.6694029315004</c:v>
                </c:pt>
                <c:pt idx="127">
                  <c:v>126.590353107909</c:v>
                </c:pt>
                <c:pt idx="128">
                  <c:v>123.58441650610949</c:v>
                </c:pt>
                <c:pt idx="129">
                  <c:v>120.64985702454233</c:v>
                </c:pt>
                <c:pt idx="130">
                  <c:v>117.78497978604695</c:v>
                </c:pt>
              </c:numCache>
            </c:numRef>
          </c:xVal>
          <c:yVal>
            <c:numRef>
              <c:f>Atmos!$A$4:$A$134</c:f>
              <c:numCache>
                <c:formatCode>#,##0</c:formatCode>
                <c:ptCount val="13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  <c:pt idx="26">
                  <c:v>13000</c:v>
                </c:pt>
                <c:pt idx="27">
                  <c:v>13500</c:v>
                </c:pt>
                <c:pt idx="28">
                  <c:v>14000</c:v>
                </c:pt>
                <c:pt idx="29">
                  <c:v>14500</c:v>
                </c:pt>
                <c:pt idx="30">
                  <c:v>15000</c:v>
                </c:pt>
                <c:pt idx="31">
                  <c:v>15500</c:v>
                </c:pt>
                <c:pt idx="32">
                  <c:v>16000</c:v>
                </c:pt>
                <c:pt idx="33">
                  <c:v>16500</c:v>
                </c:pt>
                <c:pt idx="34">
                  <c:v>17000</c:v>
                </c:pt>
                <c:pt idx="35">
                  <c:v>17500</c:v>
                </c:pt>
                <c:pt idx="36">
                  <c:v>18000</c:v>
                </c:pt>
                <c:pt idx="37">
                  <c:v>18500</c:v>
                </c:pt>
                <c:pt idx="38">
                  <c:v>19000</c:v>
                </c:pt>
                <c:pt idx="39">
                  <c:v>19500</c:v>
                </c:pt>
                <c:pt idx="40">
                  <c:v>20000</c:v>
                </c:pt>
                <c:pt idx="41">
                  <c:v>20500</c:v>
                </c:pt>
                <c:pt idx="42">
                  <c:v>21000</c:v>
                </c:pt>
                <c:pt idx="43">
                  <c:v>21500</c:v>
                </c:pt>
                <c:pt idx="44">
                  <c:v>22000</c:v>
                </c:pt>
                <c:pt idx="45">
                  <c:v>22500</c:v>
                </c:pt>
                <c:pt idx="46">
                  <c:v>23000</c:v>
                </c:pt>
                <c:pt idx="47">
                  <c:v>23500</c:v>
                </c:pt>
                <c:pt idx="48">
                  <c:v>24000</c:v>
                </c:pt>
                <c:pt idx="49">
                  <c:v>24500</c:v>
                </c:pt>
                <c:pt idx="50">
                  <c:v>25000</c:v>
                </c:pt>
                <c:pt idx="51">
                  <c:v>25500</c:v>
                </c:pt>
                <c:pt idx="52">
                  <c:v>26000</c:v>
                </c:pt>
                <c:pt idx="53">
                  <c:v>26500</c:v>
                </c:pt>
                <c:pt idx="54">
                  <c:v>27000</c:v>
                </c:pt>
                <c:pt idx="55">
                  <c:v>27500</c:v>
                </c:pt>
                <c:pt idx="56">
                  <c:v>28000</c:v>
                </c:pt>
                <c:pt idx="57">
                  <c:v>28500</c:v>
                </c:pt>
                <c:pt idx="58">
                  <c:v>29000</c:v>
                </c:pt>
                <c:pt idx="59">
                  <c:v>29500</c:v>
                </c:pt>
                <c:pt idx="60">
                  <c:v>30000</c:v>
                </c:pt>
                <c:pt idx="61">
                  <c:v>30500</c:v>
                </c:pt>
                <c:pt idx="62">
                  <c:v>31000</c:v>
                </c:pt>
                <c:pt idx="63">
                  <c:v>31500</c:v>
                </c:pt>
                <c:pt idx="64">
                  <c:v>32000</c:v>
                </c:pt>
                <c:pt idx="65">
                  <c:v>32500</c:v>
                </c:pt>
                <c:pt idx="66">
                  <c:v>33000</c:v>
                </c:pt>
                <c:pt idx="67">
                  <c:v>33500</c:v>
                </c:pt>
                <c:pt idx="68">
                  <c:v>34000</c:v>
                </c:pt>
                <c:pt idx="69">
                  <c:v>34500</c:v>
                </c:pt>
                <c:pt idx="70">
                  <c:v>35000</c:v>
                </c:pt>
                <c:pt idx="71">
                  <c:v>35500</c:v>
                </c:pt>
                <c:pt idx="72">
                  <c:v>36000</c:v>
                </c:pt>
                <c:pt idx="73">
                  <c:v>36500</c:v>
                </c:pt>
                <c:pt idx="74">
                  <c:v>37000</c:v>
                </c:pt>
                <c:pt idx="75">
                  <c:v>37500</c:v>
                </c:pt>
                <c:pt idx="76">
                  <c:v>38000</c:v>
                </c:pt>
                <c:pt idx="77">
                  <c:v>38500</c:v>
                </c:pt>
                <c:pt idx="78">
                  <c:v>39000</c:v>
                </c:pt>
                <c:pt idx="79">
                  <c:v>39500</c:v>
                </c:pt>
                <c:pt idx="80">
                  <c:v>40000</c:v>
                </c:pt>
                <c:pt idx="81">
                  <c:v>40500</c:v>
                </c:pt>
                <c:pt idx="82">
                  <c:v>41000</c:v>
                </c:pt>
                <c:pt idx="83">
                  <c:v>41500</c:v>
                </c:pt>
                <c:pt idx="84">
                  <c:v>42000</c:v>
                </c:pt>
                <c:pt idx="85">
                  <c:v>42500</c:v>
                </c:pt>
                <c:pt idx="86">
                  <c:v>43000</c:v>
                </c:pt>
                <c:pt idx="87">
                  <c:v>43500</c:v>
                </c:pt>
                <c:pt idx="88">
                  <c:v>44000</c:v>
                </c:pt>
                <c:pt idx="89">
                  <c:v>44500</c:v>
                </c:pt>
                <c:pt idx="90">
                  <c:v>45000</c:v>
                </c:pt>
                <c:pt idx="91">
                  <c:v>45500</c:v>
                </c:pt>
                <c:pt idx="92">
                  <c:v>46000</c:v>
                </c:pt>
                <c:pt idx="93">
                  <c:v>46500</c:v>
                </c:pt>
                <c:pt idx="94">
                  <c:v>47000</c:v>
                </c:pt>
                <c:pt idx="95">
                  <c:v>47500</c:v>
                </c:pt>
                <c:pt idx="96">
                  <c:v>48000</c:v>
                </c:pt>
                <c:pt idx="97">
                  <c:v>48500</c:v>
                </c:pt>
                <c:pt idx="98">
                  <c:v>49000</c:v>
                </c:pt>
                <c:pt idx="99">
                  <c:v>49500</c:v>
                </c:pt>
                <c:pt idx="100">
                  <c:v>50000</c:v>
                </c:pt>
                <c:pt idx="101">
                  <c:v>50500</c:v>
                </c:pt>
                <c:pt idx="102">
                  <c:v>51000</c:v>
                </c:pt>
                <c:pt idx="103">
                  <c:v>51500</c:v>
                </c:pt>
                <c:pt idx="104">
                  <c:v>52000</c:v>
                </c:pt>
                <c:pt idx="105">
                  <c:v>52500</c:v>
                </c:pt>
                <c:pt idx="106">
                  <c:v>53000</c:v>
                </c:pt>
                <c:pt idx="107">
                  <c:v>53500</c:v>
                </c:pt>
                <c:pt idx="108">
                  <c:v>54000</c:v>
                </c:pt>
                <c:pt idx="109">
                  <c:v>54500</c:v>
                </c:pt>
                <c:pt idx="110">
                  <c:v>55000</c:v>
                </c:pt>
                <c:pt idx="111">
                  <c:v>55500</c:v>
                </c:pt>
                <c:pt idx="112">
                  <c:v>56000</c:v>
                </c:pt>
                <c:pt idx="113">
                  <c:v>56500</c:v>
                </c:pt>
                <c:pt idx="114">
                  <c:v>57000</c:v>
                </c:pt>
                <c:pt idx="115">
                  <c:v>57500</c:v>
                </c:pt>
                <c:pt idx="116">
                  <c:v>58000</c:v>
                </c:pt>
                <c:pt idx="117">
                  <c:v>58500</c:v>
                </c:pt>
                <c:pt idx="118">
                  <c:v>59000</c:v>
                </c:pt>
                <c:pt idx="119">
                  <c:v>59500</c:v>
                </c:pt>
                <c:pt idx="120">
                  <c:v>60000</c:v>
                </c:pt>
                <c:pt idx="121">
                  <c:v>60500</c:v>
                </c:pt>
                <c:pt idx="122">
                  <c:v>61000</c:v>
                </c:pt>
                <c:pt idx="123">
                  <c:v>61500</c:v>
                </c:pt>
                <c:pt idx="124">
                  <c:v>62000</c:v>
                </c:pt>
                <c:pt idx="125">
                  <c:v>62500</c:v>
                </c:pt>
                <c:pt idx="126">
                  <c:v>63000</c:v>
                </c:pt>
                <c:pt idx="127">
                  <c:v>63500</c:v>
                </c:pt>
                <c:pt idx="128">
                  <c:v>64000</c:v>
                </c:pt>
                <c:pt idx="129">
                  <c:v>64500</c:v>
                </c:pt>
                <c:pt idx="130">
                  <c:v>65000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2-47E1-A804-F909115EB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092320"/>
        <c:axId val="740090880"/>
      </c:scatterChart>
      <c:valAx>
        <c:axId val="740092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 [lbf/ft^2</a:t>
                </a:r>
                <a:r>
                  <a:rPr lang="en-US" baseline="0"/>
                  <a:t>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090880"/>
        <c:crosses val="autoZero"/>
        <c:crossBetween val="midCat"/>
      </c:valAx>
      <c:valAx>
        <c:axId val="74009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</a:t>
                </a:r>
                <a:r>
                  <a:rPr lang="en-US" baseline="0"/>
                  <a:t> [ft]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092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Density vs Altitude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Atmos!$H$4:$H$134</c:f>
              <c:numCache>
                <c:formatCode>0.00000000</c:formatCode>
                <c:ptCount val="131"/>
                <c:pt idx="0">
                  <c:v>2.3768800000000001E-3</c:v>
                </c:pt>
                <c:pt idx="1">
                  <c:v>2.3422977335081758E-3</c:v>
                </c:pt>
                <c:pt idx="2">
                  <c:v>2.3081017242140294E-3</c:v>
                </c:pt>
                <c:pt idx="3">
                  <c:v>2.2742889725549547E-3</c:v>
                </c:pt>
                <c:pt idx="4">
                  <c:v>2.2408564919824043E-3</c:v>
                </c:pt>
                <c:pt idx="5">
                  <c:v>2.2078013089503377E-3</c:v>
                </c:pt>
                <c:pt idx="6">
                  <c:v>2.1751204629036369E-3</c:v>
                </c:pt>
                <c:pt idx="7">
                  <c:v>2.1428110062664931E-3</c:v>
                </c:pt>
                <c:pt idx="8">
                  <c:v>2.1108700044307608E-3</c:v>
                </c:pt>
                <c:pt idx="9">
                  <c:v>2.0792945357442846E-3</c:v>
                </c:pt>
                <c:pt idx="10">
                  <c:v>2.0480816914991993E-3</c:v>
                </c:pt>
                <c:pt idx="11">
                  <c:v>2.0172285759201781E-3</c:v>
                </c:pt>
                <c:pt idx="12">
                  <c:v>1.9867323061526858E-3</c:v>
                </c:pt>
                <c:pt idx="13">
                  <c:v>1.9565900122511665E-3</c:v>
                </c:pt>
                <c:pt idx="14">
                  <c:v>1.9267988371672181E-3</c:v>
                </c:pt>
                <c:pt idx="15">
                  <c:v>1.897355936737732E-3</c:v>
                </c:pt>
                <c:pt idx="16">
                  <c:v>1.868258479673001E-3</c:v>
                </c:pt>
                <c:pt idx="17">
                  <c:v>1.8395036475447918E-3</c:v>
                </c:pt>
                <c:pt idx="18">
                  <c:v>1.8110886347743854E-3</c:v>
                </c:pt>
                <c:pt idx="19">
                  <c:v>1.7830106486205971E-3</c:v>
                </c:pt>
                <c:pt idx="20">
                  <c:v>1.7552669091677436E-3</c:v>
                </c:pt>
                <c:pt idx="21">
                  <c:v>1.7278546493135942E-3</c:v>
                </c:pt>
                <c:pt idx="22">
                  <c:v>1.7007711147572799E-3</c:v>
                </c:pt>
                <c:pt idx="23">
                  <c:v>1.674013563987176E-3</c:v>
                </c:pt>
                <c:pt idx="24">
                  <c:v>1.6475792682687424E-3</c:v>
                </c:pt>
                <c:pt idx="25">
                  <c:v>1.6214655116323382E-3</c:v>
                </c:pt>
                <c:pt idx="26">
                  <c:v>1.5956695908609982E-3</c:v>
                </c:pt>
                <c:pt idx="27">
                  <c:v>1.5701888154781782E-3</c:v>
                </c:pt>
                <c:pt idx="28">
                  <c:v>1.5450205077354639E-3</c:v>
                </c:pt>
                <c:pt idx="29">
                  <c:v>1.5201620026002412E-3</c:v>
                </c:pt>
                <c:pt idx="30">
                  <c:v>1.4956106477433447E-3</c:v>
                </c:pt>
                <c:pt idx="31">
                  <c:v>1.4713638035266539E-3</c:v>
                </c:pt>
                <c:pt idx="32">
                  <c:v>1.4474188429906695E-3</c:v>
                </c:pt>
                <c:pt idx="33">
                  <c:v>1.4237731518420415E-3</c:v>
                </c:pt>
                <c:pt idx="34">
                  <c:v>1.4004241284410735E-3</c:v>
                </c:pt>
                <c:pt idx="35">
                  <c:v>1.3773691837891831E-3</c:v>
                </c:pt>
                <c:pt idx="36">
                  <c:v>1.3546057415163243E-3</c:v>
                </c:pt>
                <c:pt idx="37">
                  <c:v>1.3321312378683837E-3</c:v>
                </c:pt>
                <c:pt idx="38">
                  <c:v>1.3099431216945282E-3</c:v>
                </c:pt>
                <c:pt idx="39">
                  <c:v>1.288038854434526E-3</c:v>
                </c:pt>
                <c:pt idx="40">
                  <c:v>1.2664159101060197E-3</c:v>
                </c:pt>
                <c:pt idx="41">
                  <c:v>1.2450717752917719E-3</c:v>
                </c:pt>
                <c:pt idx="42">
                  <c:v>1.2240039491268704E-3</c:v>
                </c:pt>
                <c:pt idx="43">
                  <c:v>1.2032099432858865E-3</c:v>
                </c:pt>
                <c:pt idx="44">
                  <c:v>1.182687281970012E-3</c:v>
                </c:pt>
                <c:pt idx="45">
                  <c:v>1.1624335018941398E-3</c:v>
                </c:pt>
                <c:pt idx="46">
                  <c:v>1.142446152273921E-3</c:v>
                </c:pt>
                <c:pt idx="47">
                  <c:v>1.1227227948127699E-3</c:v>
                </c:pt>
                <c:pt idx="48">
                  <c:v>1.1032610036888378E-3</c:v>
                </c:pt>
                <c:pt idx="49">
                  <c:v>1.0840583655419493E-3</c:v>
                </c:pt>
                <c:pt idx="50">
                  <c:v>1.0651124794604854E-3</c:v>
                </c:pt>
                <c:pt idx="51">
                  <c:v>1.0464209569682455E-3</c:v>
                </c:pt>
                <c:pt idx="52">
                  <c:v>1.0279814220112513E-3</c:v>
                </c:pt>
                <c:pt idx="53">
                  <c:v>1.0097915109445218E-3</c:v>
                </c:pt>
                <c:pt idx="54">
                  <c:v>9.9184887251880095E-4</c:v>
                </c:pt>
                <c:pt idx="55">
                  <c:v>9.7415116786724357E-4</c:v>
                </c:pt>
                <c:pt idx="56">
                  <c:v>9.5669607049206861E-4</c:v>
                </c:pt>
                <c:pt idx="57">
                  <c:v>9.3948126625115647E-4</c:v>
                </c:pt>
                <c:pt idx="58">
                  <c:v>9.2250445334461531E-4</c:v>
                </c:pt>
                <c:pt idx="59">
                  <c:v>9.057633423012986E-4</c:v>
                </c:pt>
                <c:pt idx="60">
                  <c:v>8.8925565596528484E-4</c:v>
                </c:pt>
                <c:pt idx="61">
                  <c:v>8.7297912948230603E-4</c:v>
                </c:pt>
                <c:pt idx="62">
                  <c:v>8.5693151028614126E-4</c:v>
                </c:pt>
                <c:pt idx="63">
                  <c:v>8.4111055808496187E-4</c:v>
                </c:pt>
                <c:pt idx="64">
                  <c:v>8.2551404484763175E-4</c:v>
                </c:pt>
                <c:pt idx="65">
                  <c:v>8.1013975478996586E-4</c:v>
                </c:pt>
                <c:pt idx="66">
                  <c:v>7.9498548436094112E-4</c:v>
                </c:pt>
                <c:pt idx="67">
                  <c:v>7.8004904222886493E-4</c:v>
                </c:pt>
                <c:pt idx="68">
                  <c:v>7.6532824926749371E-4</c:v>
                </c:pt>
                <c:pt idx="69">
                  <c:v>7.5082093854211146E-4</c:v>
                </c:pt>
                <c:pt idx="70">
                  <c:v>7.3652495529555404E-4</c:v>
                </c:pt>
                <c:pt idx="71">
                  <c:v>7.2243815693419692E-4</c:v>
                </c:pt>
                <c:pt idx="72">
                  <c:v>7.0855841301388554E-4</c:v>
                </c:pt>
                <c:pt idx="73">
                  <c:v>6.9227285497388766E-4</c:v>
                </c:pt>
                <c:pt idx="74">
                  <c:v>6.7583456989047069E-4</c:v>
                </c:pt>
                <c:pt idx="75">
                  <c:v>6.5978661820600482E-4</c:v>
                </c:pt>
                <c:pt idx="76">
                  <c:v>6.4411973130386996E-4</c:v>
                </c:pt>
                <c:pt idx="77">
                  <c:v>6.2882486065431024E-4</c:v>
                </c:pt>
                <c:pt idx="78">
                  <c:v>6.1389317258838782E-4</c:v>
                </c:pt>
                <c:pt idx="79">
                  <c:v>5.9931604319603011E-4</c:v>
                </c:pt>
                <c:pt idx="80">
                  <c:v>5.8508505334522413E-4</c:v>
                </c:pt>
                <c:pt idx="81">
                  <c:v>5.7119198381948375E-4</c:v>
                </c:pt>
                <c:pt idx="82">
                  <c:v>5.5762881057077761E-4</c:v>
                </c:pt>
                <c:pt idx="83">
                  <c:v>5.4438770008518017E-4</c:v>
                </c:pt>
                <c:pt idx="84">
                  <c:v>5.3146100485856526E-4</c:v>
                </c:pt>
                <c:pt idx="85">
                  <c:v>5.1884125897973276E-4</c:v>
                </c:pt>
                <c:pt idx="86">
                  <c:v>5.0652117381841367E-4</c:v>
                </c:pt>
                <c:pt idx="87">
                  <c:v>4.9449363381566687E-4</c:v>
                </c:pt>
                <c:pt idx="88">
                  <c:v>4.8275169237423419E-4</c:v>
                </c:pt>
                <c:pt idx="89">
                  <c:v>4.7128856784647984E-4</c:v>
                </c:pt>
                <c:pt idx="90">
                  <c:v>4.6009763961759811E-4</c:v>
                </c:pt>
                <c:pt idx="91">
                  <c:v>4.4917244428182743E-4</c:v>
                </c:pt>
                <c:pt idx="92">
                  <c:v>4.3850667190946071E-4</c:v>
                </c:pt>
                <c:pt idx="93">
                  <c:v>4.280941624024976E-4</c:v>
                </c:pt>
                <c:pt idx="94">
                  <c:v>4.1792890193683286E-4</c:v>
                </c:pt>
                <c:pt idx="95">
                  <c:v>4.0800501948892682E-4</c:v>
                </c:pt>
                <c:pt idx="96">
                  <c:v>3.9831678344495102E-4</c:v>
                </c:pt>
                <c:pt idx="97">
                  <c:v>3.8885859829045034E-4</c:v>
                </c:pt>
                <c:pt idx="98">
                  <c:v>3.7962500137861199E-4</c:v>
                </c:pt>
                <c:pt idx="99">
                  <c:v>3.7061065977527175E-4</c:v>
                </c:pt>
                <c:pt idx="100">
                  <c:v>3.6181036717883736E-4</c:v>
                </c:pt>
                <c:pt idx="101">
                  <c:v>3.5321904091334931E-4</c:v>
                </c:pt>
                <c:pt idx="102">
                  <c:v>3.4483171899294296E-4</c:v>
                </c:pt>
                <c:pt idx="103">
                  <c:v>3.3664355725601544E-4</c:v>
                </c:pt>
                <c:pt idx="104">
                  <c:v>3.2864982656744359E-4</c:v>
                </c:pt>
                <c:pt idx="105">
                  <c:v>3.2084591008723582E-4</c:v>
                </c:pt>
                <c:pt idx="106">
                  <c:v>3.1322730060404108E-4</c:v>
                </c:pt>
                <c:pt idx="107">
                  <c:v>3.0578959793197455E-4</c:v>
                </c:pt>
                <c:pt idx="108">
                  <c:v>2.9852850636925696E-4</c:v>
                </c:pt>
                <c:pt idx="109">
                  <c:v>2.9143983221719934E-4</c:v>
                </c:pt>
                <c:pt idx="110">
                  <c:v>2.8451948135810025E-4</c:v>
                </c:pt>
                <c:pt idx="111">
                  <c:v>2.7776345689065686E-4</c:v>
                </c:pt>
                <c:pt idx="112">
                  <c:v>2.7116785682152481E-4</c:v>
                </c:pt>
                <c:pt idx="113">
                  <c:v>2.6472887181169141E-4</c:v>
                </c:pt>
                <c:pt idx="114">
                  <c:v>2.5844278297636338E-4</c:v>
                </c:pt>
                <c:pt idx="115">
                  <c:v>2.5230595973709685E-4</c:v>
                </c:pt>
                <c:pt idx="116">
                  <c:v>2.463148577249286E-4</c:v>
                </c:pt>
                <c:pt idx="117">
                  <c:v>2.4046601673329899E-4</c:v>
                </c:pt>
                <c:pt idx="118">
                  <c:v>2.3475605871958377E-4</c:v>
                </c:pt>
                <c:pt idx="119">
                  <c:v>2.2918168585407903E-4</c:v>
                </c:pt>
                <c:pt idx="120">
                  <c:v>2.237396786153154E-4</c:v>
                </c:pt>
                <c:pt idx="121">
                  <c:v>2.1842689393059827E-4</c:v>
                </c:pt>
                <c:pt idx="122">
                  <c:v>2.1324026336070264E-4</c:v>
                </c:pt>
                <c:pt idx="123">
                  <c:v>2.0817679132767257E-4</c:v>
                </c:pt>
                <c:pt idx="124">
                  <c:v>2.0323355338470228E-4</c:v>
                </c:pt>
                <c:pt idx="125">
                  <c:v>1.9840769452709962E-4</c:v>
                </c:pt>
                <c:pt idx="126">
                  <c:v>1.9369642754335655E-4</c:v>
                </c:pt>
                <c:pt idx="127">
                  <c:v>1.8909703140537398E-4</c:v>
                </c:pt>
                <c:pt idx="128">
                  <c:v>1.8460684969691065E-4</c:v>
                </c:pt>
                <c:pt idx="129">
                  <c:v>1.8022328907935065E-4</c:v>
                </c:pt>
                <c:pt idx="130">
                  <c:v>1.7594381779390041E-4</c:v>
                </c:pt>
              </c:numCache>
            </c:numRef>
          </c:xVal>
          <c:yVal>
            <c:numRef>
              <c:f>Atmos!$A$4:$A$134</c:f>
              <c:numCache>
                <c:formatCode>#,##0</c:formatCode>
                <c:ptCount val="13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  <c:pt idx="26">
                  <c:v>13000</c:v>
                </c:pt>
                <c:pt idx="27">
                  <c:v>13500</c:v>
                </c:pt>
                <c:pt idx="28">
                  <c:v>14000</c:v>
                </c:pt>
                <c:pt idx="29">
                  <c:v>14500</c:v>
                </c:pt>
                <c:pt idx="30">
                  <c:v>15000</c:v>
                </c:pt>
                <c:pt idx="31">
                  <c:v>15500</c:v>
                </c:pt>
                <c:pt idx="32">
                  <c:v>16000</c:v>
                </c:pt>
                <c:pt idx="33">
                  <c:v>16500</c:v>
                </c:pt>
                <c:pt idx="34">
                  <c:v>17000</c:v>
                </c:pt>
                <c:pt idx="35">
                  <c:v>17500</c:v>
                </c:pt>
                <c:pt idx="36">
                  <c:v>18000</c:v>
                </c:pt>
                <c:pt idx="37">
                  <c:v>18500</c:v>
                </c:pt>
                <c:pt idx="38">
                  <c:v>19000</c:v>
                </c:pt>
                <c:pt idx="39">
                  <c:v>19500</c:v>
                </c:pt>
                <c:pt idx="40">
                  <c:v>20000</c:v>
                </c:pt>
                <c:pt idx="41">
                  <c:v>20500</c:v>
                </c:pt>
                <c:pt idx="42">
                  <c:v>21000</c:v>
                </c:pt>
                <c:pt idx="43">
                  <c:v>21500</c:v>
                </c:pt>
                <c:pt idx="44">
                  <c:v>22000</c:v>
                </c:pt>
                <c:pt idx="45">
                  <c:v>22500</c:v>
                </c:pt>
                <c:pt idx="46">
                  <c:v>23000</c:v>
                </c:pt>
                <c:pt idx="47">
                  <c:v>23500</c:v>
                </c:pt>
                <c:pt idx="48">
                  <c:v>24000</c:v>
                </c:pt>
                <c:pt idx="49">
                  <c:v>24500</c:v>
                </c:pt>
                <c:pt idx="50">
                  <c:v>25000</c:v>
                </c:pt>
                <c:pt idx="51">
                  <c:v>25500</c:v>
                </c:pt>
                <c:pt idx="52">
                  <c:v>26000</c:v>
                </c:pt>
                <c:pt idx="53">
                  <c:v>26500</c:v>
                </c:pt>
                <c:pt idx="54">
                  <c:v>27000</c:v>
                </c:pt>
                <c:pt idx="55">
                  <c:v>27500</c:v>
                </c:pt>
                <c:pt idx="56">
                  <c:v>28000</c:v>
                </c:pt>
                <c:pt idx="57">
                  <c:v>28500</c:v>
                </c:pt>
                <c:pt idx="58">
                  <c:v>29000</c:v>
                </c:pt>
                <c:pt idx="59">
                  <c:v>29500</c:v>
                </c:pt>
                <c:pt idx="60">
                  <c:v>30000</c:v>
                </c:pt>
                <c:pt idx="61">
                  <c:v>30500</c:v>
                </c:pt>
                <c:pt idx="62">
                  <c:v>31000</c:v>
                </c:pt>
                <c:pt idx="63">
                  <c:v>31500</c:v>
                </c:pt>
                <c:pt idx="64">
                  <c:v>32000</c:v>
                </c:pt>
                <c:pt idx="65">
                  <c:v>32500</c:v>
                </c:pt>
                <c:pt idx="66">
                  <c:v>33000</c:v>
                </c:pt>
                <c:pt idx="67">
                  <c:v>33500</c:v>
                </c:pt>
                <c:pt idx="68">
                  <c:v>34000</c:v>
                </c:pt>
                <c:pt idx="69">
                  <c:v>34500</c:v>
                </c:pt>
                <c:pt idx="70">
                  <c:v>35000</c:v>
                </c:pt>
                <c:pt idx="71">
                  <c:v>35500</c:v>
                </c:pt>
                <c:pt idx="72">
                  <c:v>36000</c:v>
                </c:pt>
                <c:pt idx="73">
                  <c:v>36500</c:v>
                </c:pt>
                <c:pt idx="74">
                  <c:v>37000</c:v>
                </c:pt>
                <c:pt idx="75">
                  <c:v>37500</c:v>
                </c:pt>
                <c:pt idx="76">
                  <c:v>38000</c:v>
                </c:pt>
                <c:pt idx="77">
                  <c:v>38500</c:v>
                </c:pt>
                <c:pt idx="78">
                  <c:v>39000</c:v>
                </c:pt>
                <c:pt idx="79">
                  <c:v>39500</c:v>
                </c:pt>
                <c:pt idx="80">
                  <c:v>40000</c:v>
                </c:pt>
                <c:pt idx="81">
                  <c:v>40500</c:v>
                </c:pt>
                <c:pt idx="82">
                  <c:v>41000</c:v>
                </c:pt>
                <c:pt idx="83">
                  <c:v>41500</c:v>
                </c:pt>
                <c:pt idx="84">
                  <c:v>42000</c:v>
                </c:pt>
                <c:pt idx="85">
                  <c:v>42500</c:v>
                </c:pt>
                <c:pt idx="86">
                  <c:v>43000</c:v>
                </c:pt>
                <c:pt idx="87">
                  <c:v>43500</c:v>
                </c:pt>
                <c:pt idx="88">
                  <c:v>44000</c:v>
                </c:pt>
                <c:pt idx="89">
                  <c:v>44500</c:v>
                </c:pt>
                <c:pt idx="90">
                  <c:v>45000</c:v>
                </c:pt>
                <c:pt idx="91">
                  <c:v>45500</c:v>
                </c:pt>
                <c:pt idx="92">
                  <c:v>46000</c:v>
                </c:pt>
                <c:pt idx="93">
                  <c:v>46500</c:v>
                </c:pt>
                <c:pt idx="94">
                  <c:v>47000</c:v>
                </c:pt>
                <c:pt idx="95">
                  <c:v>47500</c:v>
                </c:pt>
                <c:pt idx="96">
                  <c:v>48000</c:v>
                </c:pt>
                <c:pt idx="97">
                  <c:v>48500</c:v>
                </c:pt>
                <c:pt idx="98">
                  <c:v>49000</c:v>
                </c:pt>
                <c:pt idx="99">
                  <c:v>49500</c:v>
                </c:pt>
                <c:pt idx="100">
                  <c:v>50000</c:v>
                </c:pt>
                <c:pt idx="101">
                  <c:v>50500</c:v>
                </c:pt>
                <c:pt idx="102">
                  <c:v>51000</c:v>
                </c:pt>
                <c:pt idx="103">
                  <c:v>51500</c:v>
                </c:pt>
                <c:pt idx="104">
                  <c:v>52000</c:v>
                </c:pt>
                <c:pt idx="105">
                  <c:v>52500</c:v>
                </c:pt>
                <c:pt idx="106">
                  <c:v>53000</c:v>
                </c:pt>
                <c:pt idx="107">
                  <c:v>53500</c:v>
                </c:pt>
                <c:pt idx="108">
                  <c:v>54000</c:v>
                </c:pt>
                <c:pt idx="109">
                  <c:v>54500</c:v>
                </c:pt>
                <c:pt idx="110">
                  <c:v>55000</c:v>
                </c:pt>
                <c:pt idx="111">
                  <c:v>55500</c:v>
                </c:pt>
                <c:pt idx="112">
                  <c:v>56000</c:v>
                </c:pt>
                <c:pt idx="113">
                  <c:v>56500</c:v>
                </c:pt>
                <c:pt idx="114">
                  <c:v>57000</c:v>
                </c:pt>
                <c:pt idx="115">
                  <c:v>57500</c:v>
                </c:pt>
                <c:pt idx="116">
                  <c:v>58000</c:v>
                </c:pt>
                <c:pt idx="117">
                  <c:v>58500</c:v>
                </c:pt>
                <c:pt idx="118">
                  <c:v>59000</c:v>
                </c:pt>
                <c:pt idx="119">
                  <c:v>59500</c:v>
                </c:pt>
                <c:pt idx="120">
                  <c:v>60000</c:v>
                </c:pt>
                <c:pt idx="121">
                  <c:v>60500</c:v>
                </c:pt>
                <c:pt idx="122">
                  <c:v>61000</c:v>
                </c:pt>
                <c:pt idx="123">
                  <c:v>61500</c:v>
                </c:pt>
                <c:pt idx="124">
                  <c:v>62000</c:v>
                </c:pt>
                <c:pt idx="125">
                  <c:v>62500</c:v>
                </c:pt>
                <c:pt idx="126">
                  <c:v>63000</c:v>
                </c:pt>
                <c:pt idx="127">
                  <c:v>63500</c:v>
                </c:pt>
                <c:pt idx="128">
                  <c:v>64000</c:v>
                </c:pt>
                <c:pt idx="129">
                  <c:v>64500</c:v>
                </c:pt>
                <c:pt idx="130">
                  <c:v>65000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D4-4A38-80F3-EBE40AC84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092320"/>
        <c:axId val="740090880"/>
      </c:scatterChart>
      <c:valAx>
        <c:axId val="740092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Density [slugs/ft^3</a:t>
                </a:r>
                <a:r>
                  <a:rPr lang="en-US" baseline="0"/>
                  <a:t>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090880"/>
        <c:crosses val="autoZero"/>
        <c:crossBetween val="midCat"/>
      </c:valAx>
      <c:valAx>
        <c:axId val="74009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</a:t>
                </a:r>
                <a:r>
                  <a:rPr lang="en-US" baseline="0"/>
                  <a:t> [ft]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092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KCAS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'1 - ICET Data'!$B$48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'1 - ICET Data'!$B$49:$B$61</c:f>
              <c:numCache>
                <c:formatCode>General</c:formatCode>
                <c:ptCount val="13"/>
                <c:pt idx="0">
                  <c:v>7.5636566298930202E-2</c:v>
                </c:pt>
                <c:pt idx="1">
                  <c:v>8.2907781416588375E-2</c:v>
                </c:pt>
                <c:pt idx="2">
                  <c:v>9.1178125866564E-2</c:v>
                </c:pt>
                <c:pt idx="3">
                  <c:v>0.10062876749946625</c:v>
                </c:pt>
                <c:pt idx="4">
                  <c:v>0.11148210010445975</c:v>
                </c:pt>
                <c:pt idx="5">
                  <c:v>0.12401308775952054</c:v>
                </c:pt>
                <c:pt idx="6">
                  <c:v>0.13856426295566943</c:v>
                </c:pt>
                <c:pt idx="7">
                  <c:v>0.15556570745600304</c:v>
                </c:pt>
                <c:pt idx="8">
                  <c:v>0.1752625161834431</c:v>
                </c:pt>
                <c:pt idx="9">
                  <c:v>0.19743570949715847</c:v>
                </c:pt>
                <c:pt idx="10">
                  <c:v>0.22235331936051911</c:v>
                </c:pt>
                <c:pt idx="11">
                  <c:v>0.25032962845367829</c:v>
                </c:pt>
                <c:pt idx="12">
                  <c:v>0.28170451692252929</c:v>
                </c:pt>
              </c:numCache>
            </c:numRef>
          </c:xVal>
          <c:yVal>
            <c:numRef>
              <c:f>'1 - ICET Data'!$N$49:$N$61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9B-45B7-BE3D-DA006F35E618}"/>
            </c:ext>
          </c:extLst>
        </c:ser>
        <c:ser>
          <c:idx val="1"/>
          <c:order val="1"/>
          <c:tx>
            <c:strRef>
              <c:f>'1 - ICET Data'!$C$48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'1 - ICET Data'!$C$49:$C$61</c:f>
              <c:numCache>
                <c:formatCode>General</c:formatCode>
                <c:ptCount val="13"/>
                <c:pt idx="0">
                  <c:v>0.15127313259786776</c:v>
                </c:pt>
                <c:pt idx="1">
                  <c:v>0.16574449623485613</c:v>
                </c:pt>
                <c:pt idx="2">
                  <c:v>0.18218081486222429</c:v>
                </c:pt>
                <c:pt idx="3">
                  <c:v>0.20092930618028665</c:v>
                </c:pt>
                <c:pt idx="4">
                  <c:v>0.22241218337094951</c:v>
                </c:pt>
                <c:pt idx="5">
                  <c:v>0.24714528371977268</c:v>
                </c:pt>
                <c:pt idx="6">
                  <c:v>0.27576157856782885</c:v>
                </c:pt>
                <c:pt idx="7">
                  <c:v>0.3090406571506828</c:v>
                </c:pt>
                <c:pt idx="8">
                  <c:v>0.3473648421207739</c:v>
                </c:pt>
                <c:pt idx="9">
                  <c:v>0.39018253608393505</c:v>
                </c:pt>
                <c:pt idx="10">
                  <c:v>0.43785287371542131</c:v>
                </c:pt>
                <c:pt idx="11">
                  <c:v>0.49076623564793992</c:v>
                </c:pt>
                <c:pt idx="12">
                  <c:v>0.54928892494288473</c:v>
                </c:pt>
              </c:numCache>
            </c:numRef>
          </c:xVal>
          <c:yVal>
            <c:numRef>
              <c:f>'1 - ICET Data'!$N$49:$N$61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9B-45B7-BE3D-DA006F35E618}"/>
            </c:ext>
          </c:extLst>
        </c:ser>
        <c:ser>
          <c:idx val="2"/>
          <c:order val="2"/>
          <c:tx>
            <c:strRef>
              <c:f>'1 - ICET Data'!$D$48</c:f>
              <c:strCache>
                <c:ptCount val="1"/>
                <c:pt idx="0">
                  <c:v>150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'1 - ICET Data'!$D$49:$D$61</c:f>
              <c:numCache>
                <c:formatCode>General</c:formatCode>
                <c:ptCount val="13"/>
                <c:pt idx="0">
                  <c:v>0.2269096988968004</c:v>
                </c:pt>
                <c:pt idx="1">
                  <c:v>0.24844201560711635</c:v>
                </c:pt>
                <c:pt idx="2">
                  <c:v>0.27284150142982783</c:v>
                </c:pt>
                <c:pt idx="3">
                  <c:v>0.30059374873126093</c:v>
                </c:pt>
                <c:pt idx="4">
                  <c:v>0.33228038471217886</c:v>
                </c:pt>
                <c:pt idx="5">
                  <c:v>0.36859880256971367</c:v>
                </c:pt>
                <c:pt idx="6">
                  <c:v>0.41038496024151361</c:v>
                </c:pt>
                <c:pt idx="7">
                  <c:v>0.45863874108443353</c:v>
                </c:pt>
                <c:pt idx="8">
                  <c:v>0.51372043743803653</c:v>
                </c:pt>
                <c:pt idx="9">
                  <c:v>0.57460456317554387</c:v>
                </c:pt>
                <c:pt idx="10">
                  <c:v>0.64153375546577318</c:v>
                </c:pt>
                <c:pt idx="11">
                  <c:v>0.71473286130054992</c:v>
                </c:pt>
                <c:pt idx="12">
                  <c:v>0.79433225075319958</c:v>
                </c:pt>
              </c:numCache>
            </c:numRef>
          </c:xVal>
          <c:yVal>
            <c:numRef>
              <c:f>'1 - ICET Data'!$N$49:$N$61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9B-45B7-BE3D-DA006F35E618}"/>
            </c:ext>
          </c:extLst>
        </c:ser>
        <c:ser>
          <c:idx val="3"/>
          <c:order val="3"/>
          <c:tx>
            <c:strRef>
              <c:f>'1 - ICET Data'!$E$48</c:f>
              <c:strCache>
                <c:ptCount val="1"/>
                <c:pt idx="0">
                  <c:v>200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'1 - ICET Data'!$E$49:$E$61</c:f>
              <c:numCache>
                <c:formatCode>General</c:formatCode>
                <c:ptCount val="13"/>
                <c:pt idx="0">
                  <c:v>0.30254626519573369</c:v>
                </c:pt>
                <c:pt idx="1">
                  <c:v>0.33093783534887039</c:v>
                </c:pt>
                <c:pt idx="2">
                  <c:v>0.36301038356911802</c:v>
                </c:pt>
                <c:pt idx="3">
                  <c:v>0.3993520868826782</c:v>
                </c:pt>
                <c:pt idx="4">
                  <c:v>0.44065365586110533</c:v>
                </c:pt>
                <c:pt idx="5">
                  <c:v>0.48772355012029828</c:v>
                </c:pt>
                <c:pt idx="6">
                  <c:v>0.54150281452659699</c:v>
                </c:pt>
                <c:pt idx="7">
                  <c:v>0.60307763334675912</c:v>
                </c:pt>
                <c:pt idx="8">
                  <c:v>0.67264452994253787</c:v>
                </c:pt>
                <c:pt idx="9">
                  <c:v>0.74862229772245692</c:v>
                </c:pt>
                <c:pt idx="10">
                  <c:v>0.83102337428270179</c:v>
                </c:pt>
                <c:pt idx="11">
                  <c:v>0.91981717703560861</c:v>
                </c:pt>
                <c:pt idx="12">
                  <c:v>1.0148558483366992</c:v>
                </c:pt>
              </c:numCache>
            </c:numRef>
          </c:xVal>
          <c:yVal>
            <c:numRef>
              <c:f>'1 - ICET Data'!$N$49:$N$61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89B-45B7-BE3D-DA006F35E618}"/>
            </c:ext>
          </c:extLst>
        </c:ser>
        <c:ser>
          <c:idx val="4"/>
          <c:order val="4"/>
          <c:tx>
            <c:strRef>
              <c:f>'1 - ICET Data'!$F$48</c:f>
              <c:strCache>
                <c:ptCount val="1"/>
                <c:pt idx="0">
                  <c:v>250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'1 - ICET Data'!$F$49:$F$61</c:f>
              <c:numCache>
                <c:formatCode>General</c:formatCode>
                <c:ptCount val="13"/>
                <c:pt idx="0">
                  <c:v>0.37818283149466864</c:v>
                </c:pt>
                <c:pt idx="1">
                  <c:v>0.41317729814272564</c:v>
                </c:pt>
                <c:pt idx="2">
                  <c:v>0.45256054918403654</c:v>
                </c:pt>
                <c:pt idx="3">
                  <c:v>0.4969846656297468</c:v>
                </c:pt>
                <c:pt idx="4">
                  <c:v>0.54719785055652148</c:v>
                </c:pt>
                <c:pt idx="5">
                  <c:v>0.60405204951554081</c:v>
                </c:pt>
                <c:pt idx="6">
                  <c:v>0.66850724555318219</c:v>
                </c:pt>
                <c:pt idx="7">
                  <c:v>0.74163052569979648</c:v>
                </c:pt>
                <c:pt idx="8">
                  <c:v>0.82337053516321723</c:v>
                </c:pt>
                <c:pt idx="9">
                  <c:v>0.9115952962159084</c:v>
                </c:pt>
                <c:pt idx="10">
                  <c:v>1.0060828305374201</c:v>
                </c:pt>
                <c:pt idx="11">
                  <c:v>1.1065858738421548</c:v>
                </c:pt>
                <c:pt idx="12">
                  <c:v>1.2127666475820236</c:v>
                </c:pt>
              </c:numCache>
            </c:numRef>
          </c:xVal>
          <c:yVal>
            <c:numRef>
              <c:f>'1 - ICET Data'!$N$49:$N$61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89B-45B7-BE3D-DA006F35E618}"/>
            </c:ext>
          </c:extLst>
        </c:ser>
        <c:ser>
          <c:idx val="5"/>
          <c:order val="5"/>
          <c:tx>
            <c:strRef>
              <c:f>'1 - ICET Data'!$G$48</c:f>
              <c:strCache>
                <c:ptCount val="1"/>
                <c:pt idx="0">
                  <c:v>300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'1 - ICET Data'!$G$49:$G$61</c:f>
              <c:numCache>
                <c:formatCode>General</c:formatCode>
                <c:ptCount val="13"/>
                <c:pt idx="0">
                  <c:v>0.45381939779360203</c:v>
                </c:pt>
                <c:pt idx="1">
                  <c:v>0.49511520270160164</c:v>
                </c:pt>
                <c:pt idx="2">
                  <c:v>0.54139187547291168</c:v>
                </c:pt>
                <c:pt idx="3">
                  <c:v>0.5933286999034072</c:v>
                </c:pt>
                <c:pt idx="4">
                  <c:v>0.65168574841771365</c:v>
                </c:pt>
                <c:pt idx="5">
                  <c:v>0.7173038774450986</c:v>
                </c:pt>
                <c:pt idx="6">
                  <c:v>0.79110036840493625</c:v>
                </c:pt>
                <c:pt idx="7">
                  <c:v>0.87405962984101981</c:v>
                </c:pt>
                <c:pt idx="8">
                  <c:v>0.96585940943888349</c:v>
                </c:pt>
                <c:pt idx="9">
                  <c:v>1.0638857143923313</c:v>
                </c:pt>
                <c:pt idx="10">
                  <c:v>1.1677402236554231</c:v>
                </c:pt>
                <c:pt idx="11">
                  <c:v>1.277045069785933</c:v>
                </c:pt>
                <c:pt idx="12">
                  <c:v>1.3913791108683555</c:v>
                </c:pt>
              </c:numCache>
            </c:numRef>
          </c:xVal>
          <c:yVal>
            <c:numRef>
              <c:f>'1 - ICET Data'!$N$49:$N$61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89B-45B7-BE3D-DA006F35E618}"/>
            </c:ext>
          </c:extLst>
        </c:ser>
        <c:ser>
          <c:idx val="6"/>
          <c:order val="6"/>
          <c:tx>
            <c:strRef>
              <c:f>'1 - ICET Data'!$H$48</c:f>
              <c:strCache>
                <c:ptCount val="1"/>
                <c:pt idx="0">
                  <c:v>350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'1 - ICET Data'!$H$49:$H$61</c:f>
              <c:numCache>
                <c:formatCode>General</c:formatCode>
                <c:ptCount val="13"/>
                <c:pt idx="0">
                  <c:v>0.52945596409253559</c:v>
                </c:pt>
                <c:pt idx="1">
                  <c:v>0.5767167315831514</c:v>
                </c:pt>
                <c:pt idx="2">
                  <c:v>0.62943260753295627</c:v>
                </c:pt>
                <c:pt idx="3">
                  <c:v>0.68827903296972226</c:v>
                </c:pt>
                <c:pt idx="4">
                  <c:v>0.75399281531770579</c:v>
                </c:pt>
                <c:pt idx="5">
                  <c:v>0.82736676025306155</c:v>
                </c:pt>
                <c:pt idx="6">
                  <c:v>0.90924099241685286</c:v>
                </c:pt>
                <c:pt idx="7">
                  <c:v>1.0004921189563749</c:v>
                </c:pt>
                <c:pt idx="8">
                  <c:v>1.1005474295756783</c:v>
                </c:pt>
                <c:pt idx="9">
                  <c:v>1.206406670851913</c:v>
                </c:pt>
                <c:pt idx="10">
                  <c:v>1.3175681608307976</c:v>
                </c:pt>
                <c:pt idx="11">
                  <c:v>1.4336034302011464</c:v>
                </c:pt>
                <c:pt idx="12">
                  <c:v>1.5540856257425013</c:v>
                </c:pt>
              </c:numCache>
            </c:numRef>
          </c:xVal>
          <c:yVal>
            <c:numRef>
              <c:f>'1 - ICET Data'!$N$49:$N$61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89B-45B7-BE3D-DA006F35E618}"/>
            </c:ext>
          </c:extLst>
        </c:ser>
        <c:ser>
          <c:idx val="7"/>
          <c:order val="7"/>
          <c:tx>
            <c:strRef>
              <c:f>'1 - ICET Data'!$I$48</c:f>
              <c:strCache>
                <c:ptCount val="1"/>
                <c:pt idx="0">
                  <c:v>400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'1 - ICET Data'!$I$49:$I$61</c:f>
              <c:numCache>
                <c:formatCode>General</c:formatCode>
                <c:ptCount val="13"/>
                <c:pt idx="0">
                  <c:v>0.60509253039146915</c:v>
                </c:pt>
                <c:pt idx="1">
                  <c:v>0.65795770833549327</c:v>
                </c:pt>
                <c:pt idx="2">
                  <c:v>0.71663884194872984</c:v>
                </c:pt>
                <c:pt idx="3">
                  <c:v>0.7817842380460327</c:v>
                </c:pt>
                <c:pt idx="4">
                  <c:v>0.85408441492445086</c:v>
                </c:pt>
                <c:pt idx="5">
                  <c:v>0.93426461719155141</c:v>
                </c:pt>
                <c:pt idx="6">
                  <c:v>1.023076381874698</c:v>
                </c:pt>
                <c:pt idx="7">
                  <c:v>1.1212906138401388</c:v>
                </c:pt>
                <c:pt idx="8">
                  <c:v>1.2281265860561488</c:v>
                </c:pt>
                <c:pt idx="9">
                  <c:v>1.340292872425132</c:v>
                </c:pt>
                <c:pt idx="10">
                  <c:v>1.4572468432017311</c:v>
                </c:pt>
                <c:pt idx="11">
                  <c:v>1.5785655567753698</c:v>
                </c:pt>
                <c:pt idx="12">
                  <c:v>1.7038608955824224</c:v>
                </c:pt>
              </c:numCache>
            </c:numRef>
          </c:xVal>
          <c:yVal>
            <c:numRef>
              <c:f>'1 - ICET Data'!$N$49:$N$61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89B-45B7-BE3D-DA006F35E618}"/>
            </c:ext>
          </c:extLst>
        </c:ser>
        <c:ser>
          <c:idx val="8"/>
          <c:order val="8"/>
          <c:tx>
            <c:strRef>
              <c:f>'1 - ICET Data'!$J$48</c:f>
              <c:strCache>
                <c:ptCount val="1"/>
                <c:pt idx="0">
                  <c:v>450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'1 - ICET Data'!$J$49:$J$61</c:f>
              <c:numCache>
                <c:formatCode>General</c:formatCode>
                <c:ptCount val="13"/>
                <c:pt idx="0">
                  <c:v>0.68072909669040282</c:v>
                </c:pt>
                <c:pt idx="1">
                  <c:v>0.73882425974785015</c:v>
                </c:pt>
                <c:pt idx="2">
                  <c:v>0.8029923554505719</c:v>
                </c:pt>
                <c:pt idx="3">
                  <c:v>0.87383958768934711</c:v>
                </c:pt>
                <c:pt idx="4">
                  <c:v>0.95199857804376131</c:v>
                </c:pt>
                <c:pt idx="5">
                  <c:v>1.038121822335933</c:v>
                </c:pt>
                <c:pt idx="6">
                  <c:v>1.1328768816654982</c:v>
                </c:pt>
                <c:pt idx="7">
                  <c:v>1.2369462816358046</c:v>
                </c:pt>
                <c:pt idx="8">
                  <c:v>1.3493894404003082</c:v>
                </c:pt>
                <c:pt idx="9">
                  <c:v>1.4667043238285118</c:v>
                </c:pt>
                <c:pt idx="10">
                  <c:v>1.5883516245737812</c:v>
                </c:pt>
                <c:pt idx="11">
                  <c:v>1.7139469247433021</c:v>
                </c:pt>
                <c:pt idx="12">
                  <c:v>1.8431612864095654</c:v>
                </c:pt>
              </c:numCache>
            </c:numRef>
          </c:xVal>
          <c:yVal>
            <c:numRef>
              <c:f>'1 - ICET Data'!$N$49:$N$61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89B-45B7-BE3D-DA006F35E618}"/>
            </c:ext>
          </c:extLst>
        </c:ser>
        <c:ser>
          <c:idx val="9"/>
          <c:order val="9"/>
          <c:tx>
            <c:strRef>
              <c:f>'1 - ICET Data'!$K$48</c:f>
              <c:strCache>
                <c:ptCount val="1"/>
                <c:pt idx="0">
                  <c:v>500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'1 - ICET Data'!$K$49:$K$61</c:f>
              <c:numCache>
                <c:formatCode>General</c:formatCode>
                <c:ptCount val="13"/>
                <c:pt idx="0">
                  <c:v>0.7563656629893365</c:v>
                </c:pt>
                <c:pt idx="1">
                  <c:v>0.81931200255701309</c:v>
                </c:pt>
                <c:pt idx="2">
                  <c:v>0.88849731148578037</c:v>
                </c:pt>
                <c:pt idx="3">
                  <c:v>0.96447842008696372</c:v>
                </c:pt>
                <c:pt idx="4">
                  <c:v>1.0478277615817744</c:v>
                </c:pt>
                <c:pt idx="5">
                  <c:v>1.1391299491200035</c:v>
                </c:pt>
                <c:pt idx="6">
                  <c:v>1.2389823324092375</c:v>
                </c:pt>
                <c:pt idx="7">
                  <c:v>1.3480023367266649</c:v>
                </c:pt>
                <c:pt idx="8">
                  <c:v>1.4651340537345761</c:v>
                </c:pt>
                <c:pt idx="9">
                  <c:v>1.5867270312943373</c:v>
                </c:pt>
                <c:pt idx="10">
                  <c:v>1.7122727312614641</c:v>
                </c:pt>
                <c:pt idx="11">
                  <c:v>1.8414414004951658</c:v>
                </c:pt>
                <c:pt idx="12">
                  <c:v>1.9739693206996278</c:v>
                </c:pt>
              </c:numCache>
            </c:numRef>
          </c:xVal>
          <c:yVal>
            <c:numRef>
              <c:f>'1 - ICET Data'!$N$49:$N$61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89B-45B7-BE3D-DA006F35E618}"/>
            </c:ext>
          </c:extLst>
        </c:ser>
        <c:ser>
          <c:idx val="10"/>
          <c:order val="10"/>
          <c:tx>
            <c:strRef>
              <c:f>'1 - ICET Data'!$L$48</c:f>
              <c:strCache>
                <c:ptCount val="1"/>
                <c:pt idx="0">
                  <c:v>550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'1 - ICET Data'!$L$49:$L$61</c:f>
              <c:numCache>
                <c:formatCode>General</c:formatCode>
                <c:ptCount val="13"/>
                <c:pt idx="0">
                  <c:v>0.83200222928826961</c:v>
                </c:pt>
                <c:pt idx="1">
                  <c:v>0.89942489418527827</c:v>
                </c:pt>
                <c:pt idx="2">
                  <c:v>0.97317636626684045</c:v>
                </c:pt>
                <c:pt idx="3">
                  <c:v>1.0537631640053109</c:v>
                </c:pt>
                <c:pt idx="4">
                  <c:v>1.1417019117891873</c:v>
                </c:pt>
                <c:pt idx="5">
                  <c:v>1.2375201425553228</c:v>
                </c:pt>
                <c:pt idx="6">
                  <c:v>1.3417625327422553</c:v>
                </c:pt>
                <c:pt idx="7">
                  <c:v>1.455004820065386</c:v>
                </c:pt>
                <c:pt idx="8">
                  <c:v>1.5761126803579271</c:v>
                </c:pt>
                <c:pt idx="9">
                  <c:v>1.7013323853825184</c:v>
                </c:pt>
                <c:pt idx="10">
                  <c:v>1.8302009150337228</c:v>
                </c:pt>
                <c:pt idx="11">
                  <c:v>1.9624486426485006</c:v>
                </c:pt>
                <c:pt idx="12">
                  <c:v>2.0978754551469834</c:v>
                </c:pt>
              </c:numCache>
            </c:numRef>
          </c:xVal>
          <c:yVal>
            <c:numRef>
              <c:f>'1 - ICET Data'!$N$49:$N$61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89B-45B7-BE3D-DA006F35E618}"/>
            </c:ext>
          </c:extLst>
        </c:ser>
        <c:ser>
          <c:idx val="11"/>
          <c:order val="11"/>
          <c:tx>
            <c:strRef>
              <c:f>'1 - ICET Data'!$M$48</c:f>
              <c:strCache>
                <c:ptCount val="1"/>
                <c:pt idx="0">
                  <c:v>600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'1 - ICET Data'!$M$49:$M$61</c:f>
              <c:numCache>
                <c:formatCode>General</c:formatCode>
                <c:ptCount val="13"/>
                <c:pt idx="0">
                  <c:v>0.9076387955872034</c:v>
                </c:pt>
                <c:pt idx="1">
                  <c:v>0.97917388678394557</c:v>
                </c:pt>
                <c:pt idx="2">
                  <c:v>1.0570666156415576</c:v>
                </c:pt>
                <c:pt idx="3">
                  <c:v>1.141776906099883</c:v>
                </c:pt>
                <c:pt idx="4">
                  <c:v>1.2337740605905283</c:v>
                </c:pt>
                <c:pt idx="5">
                  <c:v>1.3335419662300949</c:v>
                </c:pt>
                <c:pt idx="6">
                  <c:v>1.441590380342725</c:v>
                </c:pt>
                <c:pt idx="7">
                  <c:v>1.5584739070081641</c:v>
                </c:pt>
                <c:pt idx="8">
                  <c:v>1.68300834063871</c:v>
                </c:pt>
                <c:pt idx="9">
                  <c:v>1.8113679819162276</c:v>
                </c:pt>
                <c:pt idx="10">
                  <c:v>1.9431415059279942</c:v>
                </c:pt>
                <c:pt idx="11">
                  <c:v>2.0781187395050833</c:v>
                </c:pt>
                <c:pt idx="12">
                  <c:v>2.2161579870733581</c:v>
                </c:pt>
              </c:numCache>
            </c:numRef>
          </c:xVal>
          <c:yVal>
            <c:numRef>
              <c:f>'1 - ICET Data'!$N$49:$N$61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89B-45B7-BE3D-DA006F35E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200431"/>
        <c:axId val="98203311"/>
      </c:scatterChart>
      <c:valAx>
        <c:axId val="98200431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03311"/>
        <c:crosses val="autoZero"/>
        <c:crossBetween val="midCat"/>
      </c:valAx>
      <c:valAx>
        <c:axId val="98203311"/>
        <c:scaling>
          <c:orientation val="minMax"/>
          <c:max val="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004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199999999999999"/>
          <c:y val="6.3284120734908147E-2"/>
          <c:w val="0.12133333333333333"/>
          <c:h val="0.88773694954797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KEAS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'1 - ICET Data'!$B$18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'1 - ICET Data'!$B$19:$B$31</c:f>
              <c:numCache>
                <c:formatCode>General</c:formatCode>
                <c:ptCount val="13"/>
                <c:pt idx="0">
                  <c:v>7.563656629893363E-2</c:v>
                </c:pt>
                <c:pt idx="1">
                  <c:v>8.2919725628328778E-2</c:v>
                </c:pt>
                <c:pt idx="2">
                  <c:v>9.1207668377670068E-2</c:v>
                </c:pt>
                <c:pt idx="3">
                  <c:v>0.10068417274501672</c:v>
                </c:pt>
                <c:pt idx="4">
                  <c:v>0.11157556575390752</c:v>
                </c:pt>
                <c:pt idx="5">
                  <c:v>0.12416281932718992</c:v>
                </c:pt>
                <c:pt idx="6">
                  <c:v>0.13879778016794925</c:v>
                </c:pt>
                <c:pt idx="7">
                  <c:v>0.15592520581974723</c:v>
                </c:pt>
                <c:pt idx="8">
                  <c:v>0.17581048016377868</c:v>
                </c:pt>
                <c:pt idx="9">
                  <c:v>0.19825733282574595</c:v>
                </c:pt>
                <c:pt idx="10">
                  <c:v>0.22357011927026524</c:v>
                </c:pt>
                <c:pt idx="11">
                  <c:v>0.25211475166193542</c:v>
                </c:pt>
                <c:pt idx="12">
                  <c:v>0.28430386052047474</c:v>
                </c:pt>
              </c:numCache>
            </c:numRef>
          </c:xVal>
          <c:yVal>
            <c:numRef>
              <c:f>'1 - ICET Data'!$N$19:$N$31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ABB-48F1-B873-33A961823C52}"/>
            </c:ext>
          </c:extLst>
        </c:ser>
        <c:ser>
          <c:idx val="1"/>
          <c:order val="1"/>
          <c:tx>
            <c:strRef>
              <c:f>'1 - ICET Data'!$C$18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'1 - ICET Data'!$C$19:$C$31</c:f>
              <c:numCache>
                <c:formatCode>General</c:formatCode>
                <c:ptCount val="13"/>
                <c:pt idx="0">
                  <c:v>0.15127313259786726</c:v>
                </c:pt>
                <c:pt idx="1">
                  <c:v>0.16583945125665756</c:v>
                </c:pt>
                <c:pt idx="2">
                  <c:v>0.18241533675534014</c:v>
                </c:pt>
                <c:pt idx="3">
                  <c:v>0.20136834549003343</c:v>
                </c:pt>
                <c:pt idx="4">
                  <c:v>0.22315113150781504</c:v>
                </c:pt>
                <c:pt idx="5">
                  <c:v>0.24832563865437984</c:v>
                </c:pt>
                <c:pt idx="6">
                  <c:v>0.27759556033589849</c:v>
                </c:pt>
                <c:pt idx="7">
                  <c:v>0.31185041163949445</c:v>
                </c:pt>
                <c:pt idx="8">
                  <c:v>0.35162096032755735</c:v>
                </c:pt>
                <c:pt idx="9">
                  <c:v>0.3965146656514919</c:v>
                </c:pt>
                <c:pt idx="10">
                  <c:v>0.44714023854053048</c:v>
                </c:pt>
                <c:pt idx="11">
                  <c:v>0.50422950332387084</c:v>
                </c:pt>
                <c:pt idx="12">
                  <c:v>0.56860772104094948</c:v>
                </c:pt>
              </c:numCache>
            </c:numRef>
          </c:xVal>
          <c:yVal>
            <c:numRef>
              <c:f>'1 - ICET Data'!$N$19:$N$31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ABB-48F1-B873-33A961823C52}"/>
            </c:ext>
          </c:extLst>
        </c:ser>
        <c:ser>
          <c:idx val="2"/>
          <c:order val="2"/>
          <c:tx>
            <c:strRef>
              <c:f>'1 - ICET Data'!$D$18</c:f>
              <c:strCache>
                <c:ptCount val="1"/>
                <c:pt idx="0">
                  <c:v>150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'1 - ICET Data'!$D$19:$D$31</c:f>
              <c:numCache>
                <c:formatCode>General</c:formatCode>
                <c:ptCount val="13"/>
                <c:pt idx="0">
                  <c:v>0.22690969889680088</c:v>
                </c:pt>
                <c:pt idx="1">
                  <c:v>0.24875917688498636</c:v>
                </c:pt>
                <c:pt idx="2">
                  <c:v>0.27362300513301019</c:v>
                </c:pt>
                <c:pt idx="3">
                  <c:v>0.30205251823505014</c:v>
                </c:pt>
                <c:pt idx="4">
                  <c:v>0.33472669726172255</c:v>
                </c:pt>
                <c:pt idx="5">
                  <c:v>0.37248845798156976</c:v>
                </c:pt>
                <c:pt idx="6">
                  <c:v>0.4163933405038478</c:v>
                </c:pt>
                <c:pt idx="7">
                  <c:v>0.46777561745924168</c:v>
                </c:pt>
                <c:pt idx="8">
                  <c:v>0.52743144049133606</c:v>
                </c:pt>
                <c:pt idx="9">
                  <c:v>0.59477199847723783</c:v>
                </c:pt>
                <c:pt idx="10">
                  <c:v>0.6707103578107958</c:v>
                </c:pt>
                <c:pt idx="11">
                  <c:v>0.75634425498580637</c:v>
                </c:pt>
                <c:pt idx="12">
                  <c:v>0.85291158156142421</c:v>
                </c:pt>
              </c:numCache>
            </c:numRef>
          </c:xVal>
          <c:yVal>
            <c:numRef>
              <c:f>'1 - ICET Data'!$N$19:$N$31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ABB-48F1-B873-33A961823C52}"/>
            </c:ext>
          </c:extLst>
        </c:ser>
        <c:ser>
          <c:idx val="3"/>
          <c:order val="3"/>
          <c:tx>
            <c:strRef>
              <c:f>'1 - ICET Data'!$E$18</c:f>
              <c:strCache>
                <c:ptCount val="1"/>
                <c:pt idx="0">
                  <c:v>200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'1 - ICET Data'!$E$19:$E$31</c:f>
              <c:numCache>
                <c:formatCode>General</c:formatCode>
                <c:ptCount val="13"/>
                <c:pt idx="0">
                  <c:v>0.30254626519573452</c:v>
                </c:pt>
                <c:pt idx="1">
                  <c:v>0.33167890251331511</c:v>
                </c:pt>
                <c:pt idx="2">
                  <c:v>0.36483067351068027</c:v>
                </c:pt>
                <c:pt idx="3">
                  <c:v>0.40273669098006687</c:v>
                </c:pt>
                <c:pt idx="4">
                  <c:v>0.44630226301563009</c:v>
                </c:pt>
                <c:pt idx="5">
                  <c:v>0.49665127730875969</c:v>
                </c:pt>
                <c:pt idx="6">
                  <c:v>0.55519112067179699</c:v>
                </c:pt>
                <c:pt idx="7">
                  <c:v>0.6237008232789889</c:v>
                </c:pt>
                <c:pt idx="8">
                  <c:v>0.70324192065511471</c:v>
                </c:pt>
                <c:pt idx="9">
                  <c:v>0.79302933130298381</c:v>
                </c:pt>
                <c:pt idx="10">
                  <c:v>0.89428047708106095</c:v>
                </c:pt>
                <c:pt idx="11">
                  <c:v>1.0084590066477417</c:v>
                </c:pt>
                <c:pt idx="12">
                  <c:v>1.137215442081899</c:v>
                </c:pt>
              </c:numCache>
            </c:numRef>
          </c:xVal>
          <c:yVal>
            <c:numRef>
              <c:f>'1 - ICET Data'!$N$19:$N$31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ABB-48F1-B873-33A961823C52}"/>
            </c:ext>
          </c:extLst>
        </c:ser>
        <c:ser>
          <c:idx val="4"/>
          <c:order val="4"/>
          <c:tx>
            <c:strRef>
              <c:f>'1 - ICET Data'!$F$18</c:f>
              <c:strCache>
                <c:ptCount val="1"/>
                <c:pt idx="0">
                  <c:v>250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'1 - ICET Data'!$F$19:$F$31</c:f>
              <c:numCache>
                <c:formatCode>General</c:formatCode>
                <c:ptCount val="13"/>
                <c:pt idx="0">
                  <c:v>0.37818283149466814</c:v>
                </c:pt>
                <c:pt idx="1">
                  <c:v>0.41459862814164394</c:v>
                </c:pt>
                <c:pt idx="2">
                  <c:v>0.45603834188835035</c:v>
                </c:pt>
                <c:pt idx="3">
                  <c:v>0.50342086372508354</c:v>
                </c:pt>
                <c:pt idx="4">
                  <c:v>0.55787782876953762</c:v>
                </c:pt>
                <c:pt idx="5">
                  <c:v>0.62081409663594966</c:v>
                </c:pt>
                <c:pt idx="6">
                  <c:v>0.69398890083974629</c:v>
                </c:pt>
                <c:pt idx="7">
                  <c:v>0.77962602909873613</c:v>
                </c:pt>
                <c:pt idx="8">
                  <c:v>0.87905240081889335</c:v>
                </c:pt>
                <c:pt idx="9">
                  <c:v>0.99128666412872979</c:v>
                </c:pt>
                <c:pt idx="10">
                  <c:v>1.1178505963513263</c:v>
                </c:pt>
                <c:pt idx="11">
                  <c:v>1.2605737583096772</c:v>
                </c:pt>
                <c:pt idx="12">
                  <c:v>1.4215193026023736</c:v>
                </c:pt>
              </c:numCache>
            </c:numRef>
          </c:xVal>
          <c:yVal>
            <c:numRef>
              <c:f>'1 - ICET Data'!$N$19:$N$31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ABB-48F1-B873-33A961823C52}"/>
            </c:ext>
          </c:extLst>
        </c:ser>
        <c:ser>
          <c:idx val="5"/>
          <c:order val="5"/>
          <c:tx>
            <c:strRef>
              <c:f>'1 - ICET Data'!$G$18</c:f>
              <c:strCache>
                <c:ptCount val="1"/>
                <c:pt idx="0">
                  <c:v>300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'1 - ICET Data'!$G$19:$G$31</c:f>
              <c:numCache>
                <c:formatCode>General</c:formatCode>
                <c:ptCount val="13"/>
                <c:pt idx="0">
                  <c:v>0.45381939779360175</c:v>
                </c:pt>
                <c:pt idx="1">
                  <c:v>0.49751835376997272</c:v>
                </c:pt>
                <c:pt idx="2">
                  <c:v>0.54724601026602038</c:v>
                </c:pt>
                <c:pt idx="3">
                  <c:v>0.60410503647010028</c:v>
                </c:pt>
                <c:pt idx="4">
                  <c:v>0.6694533945234451</c:v>
                </c:pt>
                <c:pt idx="5">
                  <c:v>0.74497691596313953</c:v>
                </c:pt>
                <c:pt idx="6">
                  <c:v>0.8327866810076956</c:v>
                </c:pt>
                <c:pt idx="7">
                  <c:v>0.93555123491848335</c:v>
                </c:pt>
                <c:pt idx="8">
                  <c:v>1.0548628809826721</c:v>
                </c:pt>
                <c:pt idx="9">
                  <c:v>1.1895439969544757</c:v>
                </c:pt>
                <c:pt idx="10">
                  <c:v>1.3414207156215916</c:v>
                </c:pt>
                <c:pt idx="11">
                  <c:v>1.5126885099716127</c:v>
                </c:pt>
                <c:pt idx="12">
                  <c:v>1.7058231631228484</c:v>
                </c:pt>
              </c:numCache>
            </c:numRef>
          </c:xVal>
          <c:yVal>
            <c:numRef>
              <c:f>'1 - ICET Data'!$N$19:$N$31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ABB-48F1-B873-33A961823C52}"/>
            </c:ext>
          </c:extLst>
        </c:ser>
        <c:ser>
          <c:idx val="6"/>
          <c:order val="6"/>
          <c:tx>
            <c:strRef>
              <c:f>'1 - ICET Data'!$H$18</c:f>
              <c:strCache>
                <c:ptCount val="1"/>
                <c:pt idx="0">
                  <c:v>350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'1 - ICET Data'!$H$19:$H$31</c:f>
              <c:numCache>
                <c:formatCode>General</c:formatCode>
                <c:ptCount val="13"/>
                <c:pt idx="0">
                  <c:v>0.52945596409253537</c:v>
                </c:pt>
                <c:pt idx="1">
                  <c:v>0.5804380793983015</c:v>
                </c:pt>
                <c:pt idx="2">
                  <c:v>0.63845367864369051</c:v>
                </c:pt>
                <c:pt idx="3">
                  <c:v>0.70478920921511701</c:v>
                </c:pt>
                <c:pt idx="4">
                  <c:v>0.78102896027735269</c:v>
                </c:pt>
                <c:pt idx="5">
                  <c:v>0.86913973529032951</c:v>
                </c:pt>
                <c:pt idx="6">
                  <c:v>0.97158446117564479</c:v>
                </c:pt>
                <c:pt idx="7">
                  <c:v>1.0914764407382307</c:v>
                </c:pt>
                <c:pt idx="8">
                  <c:v>1.2306733611464507</c:v>
                </c:pt>
                <c:pt idx="9">
                  <c:v>1.3878013297802216</c:v>
                </c:pt>
                <c:pt idx="10">
                  <c:v>1.5649908348918566</c:v>
                </c:pt>
                <c:pt idx="11">
                  <c:v>1.7648032616335481</c:v>
                </c:pt>
                <c:pt idx="12">
                  <c:v>1.9901270236433231</c:v>
                </c:pt>
              </c:numCache>
            </c:numRef>
          </c:xVal>
          <c:yVal>
            <c:numRef>
              <c:f>'1 - ICET Data'!$N$19:$N$31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ABB-48F1-B873-33A961823C52}"/>
            </c:ext>
          </c:extLst>
        </c:ser>
        <c:ser>
          <c:idx val="7"/>
          <c:order val="7"/>
          <c:tx>
            <c:strRef>
              <c:f>'1 - ICET Data'!$I$18</c:f>
              <c:strCache>
                <c:ptCount val="1"/>
                <c:pt idx="0">
                  <c:v>400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'1 - ICET Data'!$I$19:$I$31</c:f>
              <c:numCache>
                <c:formatCode>General</c:formatCode>
                <c:ptCount val="13"/>
                <c:pt idx="0">
                  <c:v>0.60509253039146904</c:v>
                </c:pt>
                <c:pt idx="1">
                  <c:v>0.66335780502663022</c:v>
                </c:pt>
                <c:pt idx="2">
                  <c:v>0.72966134702136054</c:v>
                </c:pt>
                <c:pt idx="3">
                  <c:v>0.80547338196013374</c:v>
                </c:pt>
                <c:pt idx="4">
                  <c:v>0.89260452603126017</c:v>
                </c:pt>
                <c:pt idx="5">
                  <c:v>0.99330255461751937</c:v>
                </c:pt>
                <c:pt idx="6">
                  <c:v>1.110382241343594</c:v>
                </c:pt>
                <c:pt idx="7">
                  <c:v>1.2474016465579778</c:v>
                </c:pt>
                <c:pt idx="8">
                  <c:v>1.4064838413102294</c:v>
                </c:pt>
                <c:pt idx="9">
                  <c:v>1.5860586626059676</c:v>
                </c:pt>
                <c:pt idx="10">
                  <c:v>1.7885609541621219</c:v>
                </c:pt>
                <c:pt idx="11">
                  <c:v>2.0169180132954834</c:v>
                </c:pt>
                <c:pt idx="12">
                  <c:v>2.2744308841637979</c:v>
                </c:pt>
              </c:numCache>
            </c:numRef>
          </c:xVal>
          <c:yVal>
            <c:numRef>
              <c:f>'1 - ICET Data'!$N$19:$N$31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ABB-48F1-B873-33A961823C52}"/>
            </c:ext>
          </c:extLst>
        </c:ser>
        <c:ser>
          <c:idx val="8"/>
          <c:order val="8"/>
          <c:tx>
            <c:strRef>
              <c:f>'1 - ICET Data'!$J$18</c:f>
              <c:strCache>
                <c:ptCount val="1"/>
                <c:pt idx="0">
                  <c:v>450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'1 - ICET Data'!$J$19:$J$31</c:f>
              <c:numCache>
                <c:formatCode>General</c:formatCode>
                <c:ptCount val="13"/>
                <c:pt idx="0">
                  <c:v>0.6807290966904026</c:v>
                </c:pt>
                <c:pt idx="1">
                  <c:v>0.74627753065495905</c:v>
                </c:pt>
                <c:pt idx="2">
                  <c:v>0.82086901539903068</c:v>
                </c:pt>
                <c:pt idx="3">
                  <c:v>0.90615755470515047</c:v>
                </c:pt>
                <c:pt idx="4">
                  <c:v>1.0041800917851678</c:v>
                </c:pt>
                <c:pt idx="5">
                  <c:v>1.1174653739447094</c:v>
                </c:pt>
                <c:pt idx="6">
                  <c:v>1.2491800215115434</c:v>
                </c:pt>
                <c:pt idx="7">
                  <c:v>1.4033268523777251</c:v>
                </c:pt>
                <c:pt idx="8">
                  <c:v>1.5822943214740079</c:v>
                </c:pt>
                <c:pt idx="9">
                  <c:v>1.7843159954317136</c:v>
                </c:pt>
                <c:pt idx="10">
                  <c:v>2.0121310734323874</c:v>
                </c:pt>
                <c:pt idx="11">
                  <c:v>2.2690327649574189</c:v>
                </c:pt>
                <c:pt idx="12">
                  <c:v>2.5587347446842723</c:v>
                </c:pt>
              </c:numCache>
            </c:numRef>
          </c:xVal>
          <c:yVal>
            <c:numRef>
              <c:f>'1 - ICET Data'!$N$19:$N$31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ABB-48F1-B873-33A961823C52}"/>
            </c:ext>
          </c:extLst>
        </c:ser>
        <c:ser>
          <c:idx val="9"/>
          <c:order val="9"/>
          <c:tx>
            <c:strRef>
              <c:f>'1 - ICET Data'!$K$18</c:f>
              <c:strCache>
                <c:ptCount val="1"/>
                <c:pt idx="0">
                  <c:v>500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'1 - ICET Data'!$K$19:$K$31</c:f>
              <c:numCache>
                <c:formatCode>General</c:formatCode>
                <c:ptCount val="13"/>
                <c:pt idx="0">
                  <c:v>0.75636566298933627</c:v>
                </c:pt>
                <c:pt idx="1">
                  <c:v>0.82919725628328789</c:v>
                </c:pt>
                <c:pt idx="2">
                  <c:v>0.9120766837767007</c:v>
                </c:pt>
                <c:pt idx="3">
                  <c:v>1.0068417274501671</c:v>
                </c:pt>
                <c:pt idx="4">
                  <c:v>1.1157556575390752</c:v>
                </c:pt>
                <c:pt idx="5">
                  <c:v>1.2416281932718993</c:v>
                </c:pt>
                <c:pt idx="6">
                  <c:v>1.3879778016794926</c:v>
                </c:pt>
                <c:pt idx="7">
                  <c:v>1.5592520581974723</c:v>
                </c:pt>
                <c:pt idx="8">
                  <c:v>1.7581048016377867</c:v>
                </c:pt>
                <c:pt idx="9">
                  <c:v>1.9825733282574596</c:v>
                </c:pt>
                <c:pt idx="10">
                  <c:v>2.2357011927026527</c:v>
                </c:pt>
                <c:pt idx="11">
                  <c:v>2.5211475166193544</c:v>
                </c:pt>
                <c:pt idx="12">
                  <c:v>2.8430386052047472</c:v>
                </c:pt>
              </c:numCache>
            </c:numRef>
          </c:xVal>
          <c:yVal>
            <c:numRef>
              <c:f>'1 - ICET Data'!$N$19:$N$31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ABB-48F1-B873-33A961823C52}"/>
            </c:ext>
          </c:extLst>
        </c:ser>
        <c:ser>
          <c:idx val="10"/>
          <c:order val="10"/>
          <c:tx>
            <c:strRef>
              <c:f>'1 - ICET Data'!$L$18</c:f>
              <c:strCache>
                <c:ptCount val="1"/>
                <c:pt idx="0">
                  <c:v>550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'1 - ICET Data'!$L$19:$L$31</c:f>
              <c:numCache>
                <c:formatCode>General</c:formatCode>
                <c:ptCount val="13"/>
                <c:pt idx="0">
                  <c:v>0.83200222928826983</c:v>
                </c:pt>
                <c:pt idx="1">
                  <c:v>0.91211698191161661</c:v>
                </c:pt>
                <c:pt idx="2">
                  <c:v>1.0032843521543708</c:v>
                </c:pt>
                <c:pt idx="3">
                  <c:v>1.1075259001951838</c:v>
                </c:pt>
                <c:pt idx="4">
                  <c:v>1.2273312232929827</c:v>
                </c:pt>
                <c:pt idx="5">
                  <c:v>1.3657910125990891</c:v>
                </c:pt>
                <c:pt idx="6">
                  <c:v>1.5267755818474418</c:v>
                </c:pt>
                <c:pt idx="7">
                  <c:v>1.7151772640172196</c:v>
                </c:pt>
                <c:pt idx="8">
                  <c:v>1.9339152818015655</c:v>
                </c:pt>
                <c:pt idx="9">
                  <c:v>2.1808306610832053</c:v>
                </c:pt>
                <c:pt idx="10">
                  <c:v>2.4592713119729179</c:v>
                </c:pt>
                <c:pt idx="11">
                  <c:v>2.77326226828129</c:v>
                </c:pt>
                <c:pt idx="12">
                  <c:v>3.127342465725222</c:v>
                </c:pt>
              </c:numCache>
            </c:numRef>
          </c:xVal>
          <c:yVal>
            <c:numRef>
              <c:f>'1 - ICET Data'!$N$19:$N$31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ABB-48F1-B873-33A961823C52}"/>
            </c:ext>
          </c:extLst>
        </c:ser>
        <c:ser>
          <c:idx val="11"/>
          <c:order val="11"/>
          <c:tx>
            <c:strRef>
              <c:f>'1 - ICET Data'!$M$18</c:f>
              <c:strCache>
                <c:ptCount val="1"/>
                <c:pt idx="0">
                  <c:v>600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'1 - ICET Data'!$M$19:$M$31</c:f>
              <c:numCache>
                <c:formatCode>General</c:formatCode>
                <c:ptCount val="13"/>
                <c:pt idx="0">
                  <c:v>0.90763879558720351</c:v>
                </c:pt>
                <c:pt idx="1">
                  <c:v>0.99503670753994544</c:v>
                </c:pt>
                <c:pt idx="2">
                  <c:v>1.0944920205320408</c:v>
                </c:pt>
                <c:pt idx="3">
                  <c:v>1.2082100729402006</c:v>
                </c:pt>
                <c:pt idx="4">
                  <c:v>1.3389067890468902</c:v>
                </c:pt>
                <c:pt idx="5">
                  <c:v>1.4899538319262791</c:v>
                </c:pt>
                <c:pt idx="6">
                  <c:v>1.6655733620153912</c:v>
                </c:pt>
                <c:pt idx="7">
                  <c:v>1.8711024698369667</c:v>
                </c:pt>
                <c:pt idx="8">
                  <c:v>2.1097257619653442</c:v>
                </c:pt>
                <c:pt idx="9">
                  <c:v>2.3790879939089513</c:v>
                </c:pt>
                <c:pt idx="10">
                  <c:v>2.6828414312431832</c:v>
                </c:pt>
                <c:pt idx="11">
                  <c:v>3.0253770199432255</c:v>
                </c:pt>
                <c:pt idx="12">
                  <c:v>3.4116463262456969</c:v>
                </c:pt>
              </c:numCache>
            </c:numRef>
          </c:xVal>
          <c:yVal>
            <c:numRef>
              <c:f>'1 - ICET Data'!$N$19:$N$31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ABB-48F1-B873-33A961823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200431"/>
        <c:axId val="98203311"/>
      </c:scatterChart>
      <c:valAx>
        <c:axId val="98200431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03311"/>
        <c:crosses val="autoZero"/>
        <c:crossBetween val="midCat"/>
      </c:valAx>
      <c:valAx>
        <c:axId val="98203311"/>
        <c:scaling>
          <c:orientation val="minMax"/>
          <c:max val="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004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199999999999999"/>
          <c:y val="5.8654491105278504E-2"/>
          <c:w val="0.12133333333333333"/>
          <c:h val="0.89236657917760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'1 - ICET Data'!$B$3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'1 - ICET Data'!$B$4:$B$16</c:f>
              <c:numCache>
                <c:formatCode>General</c:formatCode>
                <c:ptCount val="13"/>
                <c:pt idx="0">
                  <c:v>7.563656629893363E-2</c:v>
                </c:pt>
                <c:pt idx="1">
                  <c:v>7.6971130612787597E-2</c:v>
                </c:pt>
                <c:pt idx="2">
                  <c:v>7.8378925996565388E-2</c:v>
                </c:pt>
                <c:pt idx="3">
                  <c:v>7.986690447337641E-2</c:v>
                </c:pt>
                <c:pt idx="4">
                  <c:v>8.1442978563304735E-2</c:v>
                </c:pt>
                <c:pt idx="5">
                  <c:v>8.3116198925905979E-2</c:v>
                </c:pt>
                <c:pt idx="6">
                  <c:v>8.489697388279191E-2</c:v>
                </c:pt>
                <c:pt idx="7">
                  <c:v>8.6797343012492298E-2</c:v>
                </c:pt>
                <c:pt idx="8">
                  <c:v>8.7226939285141039E-2</c:v>
                </c:pt>
                <c:pt idx="9">
                  <c:v>8.7226939285141039E-2</c:v>
                </c:pt>
                <c:pt idx="10">
                  <c:v>8.7226939285141039E-2</c:v>
                </c:pt>
                <c:pt idx="11">
                  <c:v>8.7226939285141039E-2</c:v>
                </c:pt>
                <c:pt idx="12">
                  <c:v>8.7226939285141039E-2</c:v>
                </c:pt>
              </c:numCache>
            </c:numRef>
          </c:xVal>
          <c:yVal>
            <c:numRef>
              <c:f>'1 - ICET Data'!$N$4:$N$16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E5A-4714-BC4E-EF72BFC50DCC}"/>
            </c:ext>
          </c:extLst>
        </c:ser>
        <c:ser>
          <c:idx val="1"/>
          <c:order val="1"/>
          <c:tx>
            <c:strRef>
              <c:f>'1 - ICET Data'!$C$3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'1 - ICET Data'!$C$4:$C$16</c:f>
              <c:numCache>
                <c:formatCode>General</c:formatCode>
                <c:ptCount val="13"/>
                <c:pt idx="0">
                  <c:v>0.15127313259786726</c:v>
                </c:pt>
                <c:pt idx="1">
                  <c:v>0.15394226122557519</c:v>
                </c:pt>
                <c:pt idx="2">
                  <c:v>0.15675785199313078</c:v>
                </c:pt>
                <c:pt idx="3">
                  <c:v>0.15973380894675282</c:v>
                </c:pt>
                <c:pt idx="4">
                  <c:v>0.16288595712660947</c:v>
                </c:pt>
                <c:pt idx="5">
                  <c:v>0.16623239785181196</c:v>
                </c:pt>
                <c:pt idx="6">
                  <c:v>0.16979394776558382</c:v>
                </c:pt>
                <c:pt idx="7">
                  <c:v>0.1735946860249846</c:v>
                </c:pt>
                <c:pt idx="8">
                  <c:v>0.17445387857028208</c:v>
                </c:pt>
                <c:pt idx="9">
                  <c:v>0.17445387857028208</c:v>
                </c:pt>
                <c:pt idx="10">
                  <c:v>0.17445387857028208</c:v>
                </c:pt>
                <c:pt idx="11">
                  <c:v>0.17445387857028208</c:v>
                </c:pt>
                <c:pt idx="12">
                  <c:v>0.17445387857028208</c:v>
                </c:pt>
              </c:numCache>
            </c:numRef>
          </c:xVal>
          <c:yVal>
            <c:numRef>
              <c:f>'1 - ICET Data'!$N$4:$N$16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E5A-4714-BC4E-EF72BFC50DCC}"/>
            </c:ext>
          </c:extLst>
        </c:ser>
        <c:ser>
          <c:idx val="2"/>
          <c:order val="2"/>
          <c:tx>
            <c:strRef>
              <c:f>'1 - ICET Data'!$D$3</c:f>
              <c:strCache>
                <c:ptCount val="1"/>
                <c:pt idx="0">
                  <c:v>150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'1 - ICET Data'!$D$4:$D$16</c:f>
              <c:numCache>
                <c:formatCode>General</c:formatCode>
                <c:ptCount val="13"/>
                <c:pt idx="0">
                  <c:v>0.22690969889680088</c:v>
                </c:pt>
                <c:pt idx="1">
                  <c:v>0.23091339183836279</c:v>
                </c:pt>
                <c:pt idx="2">
                  <c:v>0.23513677798969615</c:v>
                </c:pt>
                <c:pt idx="3">
                  <c:v>0.2396007134201292</c:v>
                </c:pt>
                <c:pt idx="4">
                  <c:v>0.24432893568991418</c:v>
                </c:pt>
                <c:pt idx="5">
                  <c:v>0.24934859677771792</c:v>
                </c:pt>
                <c:pt idx="6">
                  <c:v>0.25469092164837576</c:v>
                </c:pt>
                <c:pt idx="7">
                  <c:v>0.26039202903747688</c:v>
                </c:pt>
                <c:pt idx="8">
                  <c:v>0.26168081785542308</c:v>
                </c:pt>
                <c:pt idx="9">
                  <c:v>0.26168081785542308</c:v>
                </c:pt>
                <c:pt idx="10">
                  <c:v>0.26168081785542308</c:v>
                </c:pt>
                <c:pt idx="11">
                  <c:v>0.26168081785542308</c:v>
                </c:pt>
                <c:pt idx="12">
                  <c:v>0.26168081785542308</c:v>
                </c:pt>
              </c:numCache>
            </c:numRef>
          </c:xVal>
          <c:yVal>
            <c:numRef>
              <c:f>'1 - ICET Data'!$N$4:$N$16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CE5A-4714-BC4E-EF72BFC50DCC}"/>
            </c:ext>
          </c:extLst>
        </c:ser>
        <c:ser>
          <c:idx val="3"/>
          <c:order val="3"/>
          <c:tx>
            <c:strRef>
              <c:f>'1 - ICET Data'!$E$3</c:f>
              <c:strCache>
                <c:ptCount val="1"/>
                <c:pt idx="0">
                  <c:v>200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'1 - ICET Data'!$E$4:$E$16</c:f>
              <c:numCache>
                <c:formatCode>General</c:formatCode>
                <c:ptCount val="13"/>
                <c:pt idx="0">
                  <c:v>0.30254626519573452</c:v>
                </c:pt>
                <c:pt idx="1">
                  <c:v>0.30788452245115039</c:v>
                </c:pt>
                <c:pt idx="2">
                  <c:v>0.31351570398626155</c:v>
                </c:pt>
                <c:pt idx="3">
                  <c:v>0.31946761789350564</c:v>
                </c:pt>
                <c:pt idx="4">
                  <c:v>0.32577191425321894</c:v>
                </c:pt>
                <c:pt idx="5">
                  <c:v>0.33246479570362392</c:v>
                </c:pt>
                <c:pt idx="6">
                  <c:v>0.33958789553116764</c:v>
                </c:pt>
                <c:pt idx="7">
                  <c:v>0.34718937204996919</c:v>
                </c:pt>
                <c:pt idx="8">
                  <c:v>0.34890775714056416</c:v>
                </c:pt>
                <c:pt idx="9">
                  <c:v>0.34890775714056416</c:v>
                </c:pt>
                <c:pt idx="10">
                  <c:v>0.34890775714056416</c:v>
                </c:pt>
                <c:pt idx="11">
                  <c:v>0.34890775714056416</c:v>
                </c:pt>
                <c:pt idx="12">
                  <c:v>0.34890775714056416</c:v>
                </c:pt>
              </c:numCache>
            </c:numRef>
          </c:xVal>
          <c:yVal>
            <c:numRef>
              <c:f>'1 - ICET Data'!$N$4:$N$16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CE5A-4714-BC4E-EF72BFC50DCC}"/>
            </c:ext>
          </c:extLst>
        </c:ser>
        <c:ser>
          <c:idx val="4"/>
          <c:order val="4"/>
          <c:tx>
            <c:strRef>
              <c:f>'1 - ICET Data'!$F$3</c:f>
              <c:strCache>
                <c:ptCount val="1"/>
                <c:pt idx="0">
                  <c:v>250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'1 - ICET Data'!$F$4:$F$16</c:f>
              <c:numCache>
                <c:formatCode>General</c:formatCode>
                <c:ptCount val="13"/>
                <c:pt idx="0">
                  <c:v>0.37818283149466814</c:v>
                </c:pt>
                <c:pt idx="1">
                  <c:v>0.38485565306393799</c:v>
                </c:pt>
                <c:pt idx="2">
                  <c:v>0.39189462998282693</c:v>
                </c:pt>
                <c:pt idx="3">
                  <c:v>0.39933452236688205</c:v>
                </c:pt>
                <c:pt idx="4">
                  <c:v>0.40721489281652368</c:v>
                </c:pt>
                <c:pt idx="5">
                  <c:v>0.41558099462952985</c:v>
                </c:pt>
                <c:pt idx="6">
                  <c:v>0.42448486941395958</c:v>
                </c:pt>
                <c:pt idx="7">
                  <c:v>0.4339867150624615</c:v>
                </c:pt>
                <c:pt idx="8">
                  <c:v>0.43613469642570518</c:v>
                </c:pt>
                <c:pt idx="9">
                  <c:v>0.43613469642570518</c:v>
                </c:pt>
                <c:pt idx="10">
                  <c:v>0.43613469642570518</c:v>
                </c:pt>
                <c:pt idx="11">
                  <c:v>0.43613469642570518</c:v>
                </c:pt>
                <c:pt idx="12">
                  <c:v>0.43613469642570518</c:v>
                </c:pt>
              </c:numCache>
            </c:numRef>
          </c:xVal>
          <c:yVal>
            <c:numRef>
              <c:f>'1 - ICET Data'!$N$4:$N$16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CE5A-4714-BC4E-EF72BFC50DCC}"/>
            </c:ext>
          </c:extLst>
        </c:ser>
        <c:ser>
          <c:idx val="5"/>
          <c:order val="5"/>
          <c:tx>
            <c:strRef>
              <c:f>'1 - ICET Data'!$G$3</c:f>
              <c:strCache>
                <c:ptCount val="1"/>
                <c:pt idx="0">
                  <c:v>300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'1 - ICET Data'!$G$4:$G$16</c:f>
              <c:numCache>
                <c:formatCode>General</c:formatCode>
                <c:ptCount val="13"/>
                <c:pt idx="0">
                  <c:v>0.45381939779360175</c:v>
                </c:pt>
                <c:pt idx="1">
                  <c:v>0.46182678367672558</c:v>
                </c:pt>
                <c:pt idx="2">
                  <c:v>0.4702735559793923</c:v>
                </c:pt>
                <c:pt idx="3">
                  <c:v>0.4792014268402584</c:v>
                </c:pt>
                <c:pt idx="4">
                  <c:v>0.48865787137982836</c:v>
                </c:pt>
                <c:pt idx="5">
                  <c:v>0.49869719355543585</c:v>
                </c:pt>
                <c:pt idx="6">
                  <c:v>0.50938184329675151</c:v>
                </c:pt>
                <c:pt idx="7">
                  <c:v>0.52078405807495376</c:v>
                </c:pt>
                <c:pt idx="8">
                  <c:v>0.52336163571084615</c:v>
                </c:pt>
                <c:pt idx="9">
                  <c:v>0.52336163571084615</c:v>
                </c:pt>
                <c:pt idx="10">
                  <c:v>0.52336163571084615</c:v>
                </c:pt>
                <c:pt idx="11">
                  <c:v>0.52336163571084615</c:v>
                </c:pt>
                <c:pt idx="12">
                  <c:v>0.52336163571084615</c:v>
                </c:pt>
              </c:numCache>
            </c:numRef>
          </c:xVal>
          <c:yVal>
            <c:numRef>
              <c:f>'1 - ICET Data'!$N$4:$N$16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CE5A-4714-BC4E-EF72BFC50DCC}"/>
            </c:ext>
          </c:extLst>
        </c:ser>
        <c:ser>
          <c:idx val="6"/>
          <c:order val="6"/>
          <c:tx>
            <c:strRef>
              <c:f>'1 - ICET Data'!$H$3</c:f>
              <c:strCache>
                <c:ptCount val="1"/>
                <c:pt idx="0">
                  <c:v>350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'1 - ICET Data'!$H$4:$H$16</c:f>
              <c:numCache>
                <c:formatCode>General</c:formatCode>
                <c:ptCount val="13"/>
                <c:pt idx="0">
                  <c:v>0.52945596409253537</c:v>
                </c:pt>
                <c:pt idx="1">
                  <c:v>0.53879791428951318</c:v>
                </c:pt>
                <c:pt idx="2">
                  <c:v>0.54865248197595773</c:v>
                </c:pt>
                <c:pt idx="3">
                  <c:v>0.55906833131363487</c:v>
                </c:pt>
                <c:pt idx="4">
                  <c:v>0.57010084994313315</c:v>
                </c:pt>
                <c:pt idx="5">
                  <c:v>0.58181339248134178</c:v>
                </c:pt>
                <c:pt idx="6">
                  <c:v>0.59427881717954334</c:v>
                </c:pt>
                <c:pt idx="7">
                  <c:v>0.60758140108744607</c:v>
                </c:pt>
                <c:pt idx="8">
                  <c:v>0.61058857499598729</c:v>
                </c:pt>
                <c:pt idx="9">
                  <c:v>0.61058857499598729</c:v>
                </c:pt>
                <c:pt idx="10">
                  <c:v>0.61058857499598729</c:v>
                </c:pt>
                <c:pt idx="11">
                  <c:v>0.61058857499598729</c:v>
                </c:pt>
                <c:pt idx="12">
                  <c:v>0.61058857499598729</c:v>
                </c:pt>
              </c:numCache>
            </c:numRef>
          </c:xVal>
          <c:yVal>
            <c:numRef>
              <c:f>'1 - ICET Data'!$N$4:$N$16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CE5A-4714-BC4E-EF72BFC50DCC}"/>
            </c:ext>
          </c:extLst>
        </c:ser>
        <c:ser>
          <c:idx val="7"/>
          <c:order val="7"/>
          <c:tx>
            <c:strRef>
              <c:f>'1 - ICET Data'!$I$3</c:f>
              <c:strCache>
                <c:ptCount val="1"/>
                <c:pt idx="0">
                  <c:v>400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'1 - ICET Data'!$I$4:$I$16</c:f>
              <c:numCache>
                <c:formatCode>General</c:formatCode>
                <c:ptCount val="13"/>
                <c:pt idx="0">
                  <c:v>0.60509253039146904</c:v>
                </c:pt>
                <c:pt idx="1">
                  <c:v>0.61576904490230078</c:v>
                </c:pt>
                <c:pt idx="2">
                  <c:v>0.6270314079725231</c:v>
                </c:pt>
                <c:pt idx="3">
                  <c:v>0.63893523578701128</c:v>
                </c:pt>
                <c:pt idx="4">
                  <c:v>0.65154382850643788</c:v>
                </c:pt>
                <c:pt idx="5">
                  <c:v>0.66492959140724783</c:v>
                </c:pt>
                <c:pt idx="6">
                  <c:v>0.67917579106233528</c:v>
                </c:pt>
                <c:pt idx="7">
                  <c:v>0.69437874409993838</c:v>
                </c:pt>
                <c:pt idx="8">
                  <c:v>0.69781551428112831</c:v>
                </c:pt>
                <c:pt idx="9">
                  <c:v>0.69781551428112831</c:v>
                </c:pt>
                <c:pt idx="10">
                  <c:v>0.69781551428112831</c:v>
                </c:pt>
                <c:pt idx="11">
                  <c:v>0.69781551428112831</c:v>
                </c:pt>
                <c:pt idx="12">
                  <c:v>0.69781551428112831</c:v>
                </c:pt>
              </c:numCache>
            </c:numRef>
          </c:xVal>
          <c:yVal>
            <c:numRef>
              <c:f>'1 - ICET Data'!$N$4:$N$16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CE5A-4714-BC4E-EF72BFC50DCC}"/>
            </c:ext>
          </c:extLst>
        </c:ser>
        <c:ser>
          <c:idx val="9"/>
          <c:order val="8"/>
          <c:tx>
            <c:strRef>
              <c:f>'1 - ICET Data'!$J$3</c:f>
              <c:strCache>
                <c:ptCount val="1"/>
                <c:pt idx="0">
                  <c:v>450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'1 - ICET Data'!$J$4:$J$16</c:f>
              <c:numCache>
                <c:formatCode>General</c:formatCode>
                <c:ptCount val="13"/>
                <c:pt idx="0">
                  <c:v>0.6807290966904026</c:v>
                </c:pt>
                <c:pt idx="1">
                  <c:v>0.69274017551508837</c:v>
                </c:pt>
                <c:pt idx="2">
                  <c:v>0.70541033396908848</c:v>
                </c:pt>
                <c:pt idx="3">
                  <c:v>0.71880214026038769</c:v>
                </c:pt>
                <c:pt idx="4">
                  <c:v>0.73298680706974262</c:v>
                </c:pt>
                <c:pt idx="5">
                  <c:v>0.74804579033315377</c:v>
                </c:pt>
                <c:pt idx="6">
                  <c:v>0.76407276494512721</c:v>
                </c:pt>
                <c:pt idx="7">
                  <c:v>0.78117608711243069</c:v>
                </c:pt>
                <c:pt idx="8">
                  <c:v>0.78504245356626934</c:v>
                </c:pt>
                <c:pt idx="9">
                  <c:v>0.78504245356626934</c:v>
                </c:pt>
                <c:pt idx="10">
                  <c:v>0.78504245356626934</c:v>
                </c:pt>
                <c:pt idx="11">
                  <c:v>0.78504245356626934</c:v>
                </c:pt>
                <c:pt idx="12">
                  <c:v>0.78504245356626934</c:v>
                </c:pt>
              </c:numCache>
            </c:numRef>
          </c:xVal>
          <c:yVal>
            <c:numRef>
              <c:f>'1 - ICET Data'!$N$4:$N$16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CE5A-4714-BC4E-EF72BFC50DCC}"/>
            </c:ext>
          </c:extLst>
        </c:ser>
        <c:ser>
          <c:idx val="8"/>
          <c:order val="9"/>
          <c:tx>
            <c:strRef>
              <c:f>'1 - ICET Data'!$K$3</c:f>
              <c:strCache>
                <c:ptCount val="1"/>
                <c:pt idx="0">
                  <c:v>500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'1 - ICET Data'!$K$4:$K$16</c:f>
              <c:numCache>
                <c:formatCode>General</c:formatCode>
                <c:ptCount val="13"/>
                <c:pt idx="0">
                  <c:v>0.75636566298933627</c:v>
                </c:pt>
                <c:pt idx="1">
                  <c:v>0.76971130612787597</c:v>
                </c:pt>
                <c:pt idx="2">
                  <c:v>0.78378925996565385</c:v>
                </c:pt>
                <c:pt idx="3">
                  <c:v>0.7986690447337641</c:v>
                </c:pt>
                <c:pt idx="4">
                  <c:v>0.81442978563304735</c:v>
                </c:pt>
                <c:pt idx="5">
                  <c:v>0.83116198925905971</c:v>
                </c:pt>
                <c:pt idx="6">
                  <c:v>0.84896973882791915</c:v>
                </c:pt>
                <c:pt idx="7">
                  <c:v>0.86797343012492301</c:v>
                </c:pt>
                <c:pt idx="8">
                  <c:v>0.87226939285141036</c:v>
                </c:pt>
                <c:pt idx="9">
                  <c:v>0.87226939285141036</c:v>
                </c:pt>
                <c:pt idx="10">
                  <c:v>0.87226939285141036</c:v>
                </c:pt>
                <c:pt idx="11">
                  <c:v>0.87226939285141036</c:v>
                </c:pt>
                <c:pt idx="12">
                  <c:v>0.87226939285141036</c:v>
                </c:pt>
              </c:numCache>
            </c:numRef>
          </c:xVal>
          <c:yVal>
            <c:numRef>
              <c:f>'1 - ICET Data'!$N$4:$N$16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CE5A-4714-BC4E-EF72BFC50DCC}"/>
            </c:ext>
          </c:extLst>
        </c:ser>
        <c:ser>
          <c:idx val="10"/>
          <c:order val="10"/>
          <c:tx>
            <c:strRef>
              <c:f>'1 - ICET Data'!$L$3</c:f>
              <c:strCache>
                <c:ptCount val="1"/>
                <c:pt idx="0">
                  <c:v>550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'1 - ICET Data'!$L$4:$L$16</c:f>
              <c:numCache>
                <c:formatCode>General</c:formatCode>
                <c:ptCount val="13"/>
                <c:pt idx="0">
                  <c:v>0.83200222928826983</c:v>
                </c:pt>
                <c:pt idx="1">
                  <c:v>0.84668243674066357</c:v>
                </c:pt>
                <c:pt idx="2">
                  <c:v>0.86216818596221922</c:v>
                </c:pt>
                <c:pt idx="3">
                  <c:v>0.8785359492071404</c:v>
                </c:pt>
                <c:pt idx="4">
                  <c:v>0.89587276419635198</c:v>
                </c:pt>
                <c:pt idx="5">
                  <c:v>0.91427818818496576</c:v>
                </c:pt>
                <c:pt idx="6">
                  <c:v>0.93386671271071109</c:v>
                </c:pt>
                <c:pt idx="7">
                  <c:v>0.95477077313741532</c:v>
                </c:pt>
                <c:pt idx="8">
                  <c:v>0.95949633213655139</c:v>
                </c:pt>
                <c:pt idx="9">
                  <c:v>0.95949633213655139</c:v>
                </c:pt>
                <c:pt idx="10">
                  <c:v>0.95949633213655139</c:v>
                </c:pt>
                <c:pt idx="11">
                  <c:v>0.95949633213655139</c:v>
                </c:pt>
                <c:pt idx="12">
                  <c:v>0.95949633213655139</c:v>
                </c:pt>
              </c:numCache>
            </c:numRef>
          </c:xVal>
          <c:yVal>
            <c:numRef>
              <c:f>'1 - ICET Data'!$N$4:$N$16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CE5A-4714-BC4E-EF72BFC50DCC}"/>
            </c:ext>
          </c:extLst>
        </c:ser>
        <c:ser>
          <c:idx val="11"/>
          <c:order val="11"/>
          <c:tx>
            <c:strRef>
              <c:f>'1 - ICET Data'!$M$3</c:f>
              <c:strCache>
                <c:ptCount val="1"/>
                <c:pt idx="0">
                  <c:v>600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'1 - ICET Data'!$M$4:$M$16</c:f>
              <c:numCache>
                <c:formatCode>General</c:formatCode>
                <c:ptCount val="13"/>
                <c:pt idx="0">
                  <c:v>0.90763879558720351</c:v>
                </c:pt>
                <c:pt idx="1">
                  <c:v>0.92365356735345117</c:v>
                </c:pt>
                <c:pt idx="2">
                  <c:v>0.9405471119587846</c:v>
                </c:pt>
                <c:pt idx="3">
                  <c:v>0.95840285368051681</c:v>
                </c:pt>
                <c:pt idx="4">
                  <c:v>0.97731574275965671</c:v>
                </c:pt>
                <c:pt idx="5">
                  <c:v>0.99739438711087169</c:v>
                </c:pt>
                <c:pt idx="6">
                  <c:v>1.018763686593503</c:v>
                </c:pt>
                <c:pt idx="7">
                  <c:v>1.0415681161499075</c:v>
                </c:pt>
                <c:pt idx="8">
                  <c:v>1.0467232714216923</c:v>
                </c:pt>
                <c:pt idx="9">
                  <c:v>1.0467232714216923</c:v>
                </c:pt>
                <c:pt idx="10">
                  <c:v>1.0467232714216923</c:v>
                </c:pt>
                <c:pt idx="11">
                  <c:v>1.0467232714216923</c:v>
                </c:pt>
                <c:pt idx="12">
                  <c:v>1.0467232714216923</c:v>
                </c:pt>
              </c:numCache>
            </c:numRef>
          </c:xVal>
          <c:yVal>
            <c:numRef>
              <c:f>'1 - ICET Data'!$N$4:$N$16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5000</c:v>
                </c:pt>
                <c:pt idx="2" formatCode="General">
                  <c:v>10000</c:v>
                </c:pt>
                <c:pt idx="3">
                  <c:v>15000</c:v>
                </c:pt>
                <c:pt idx="4" formatCode="General">
                  <c:v>20000</c:v>
                </c:pt>
                <c:pt idx="5">
                  <c:v>25000</c:v>
                </c:pt>
                <c:pt idx="6" formatCode="General">
                  <c:v>30000</c:v>
                </c:pt>
                <c:pt idx="7">
                  <c:v>35000</c:v>
                </c:pt>
                <c:pt idx="8" formatCode="General">
                  <c:v>40000</c:v>
                </c:pt>
                <c:pt idx="9">
                  <c:v>45000</c:v>
                </c:pt>
                <c:pt idx="10" formatCode="General">
                  <c:v>50000</c:v>
                </c:pt>
                <c:pt idx="11">
                  <c:v>55000</c:v>
                </c:pt>
                <c:pt idx="12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CE5A-4714-BC4E-EF72BFC50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200431"/>
        <c:axId val="98203311"/>
      </c:scatterChart>
      <c:valAx>
        <c:axId val="98200431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03311"/>
        <c:crosses val="autoZero"/>
        <c:crossBetween val="midCat"/>
      </c:valAx>
      <c:valAx>
        <c:axId val="98203311"/>
        <c:scaling>
          <c:orientation val="minMax"/>
          <c:max val="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004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199999999999999"/>
          <c:y val="5.8654491105278504E-2"/>
          <c:w val="0.12133333333333333"/>
          <c:h val="0.781255468066491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'1 - ICET Data'!$B$63</c:f>
              <c:strCache>
                <c:ptCount val="1"/>
                <c:pt idx="0">
                  <c:v>5000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'1 - ICET Data'!$B$64:$B$76</c:f>
              <c:numCache>
                <c:formatCode>General</c:formatCode>
                <c:ptCount val="13"/>
                <c:pt idx="0">
                  <c:v>0.50805794903705803</c:v>
                </c:pt>
                <c:pt idx="1">
                  <c:v>0.45599108035753777</c:v>
                </c:pt>
                <c:pt idx="2">
                  <c:v>0.3962739188996901</c:v>
                </c:pt>
                <c:pt idx="3">
                  <c:v>0.32469000795030051</c:v>
                </c:pt>
                <c:pt idx="4">
                  <c:v>0.23040064527372173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xVal>
          <c:yVal>
            <c:numRef>
              <c:f>'1 - ICET Data'!$N$64:$N$76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1000</c:v>
                </c:pt>
                <c:pt idx="2" formatCode="General">
                  <c:v>2000</c:v>
                </c:pt>
                <c:pt idx="3">
                  <c:v>3000</c:v>
                </c:pt>
                <c:pt idx="4" formatCode="General">
                  <c:v>4000</c:v>
                </c:pt>
                <c:pt idx="5">
                  <c:v>5000</c:v>
                </c:pt>
                <c:pt idx="6" formatCode="General">
                  <c:v>6000</c:v>
                </c:pt>
                <c:pt idx="7">
                  <c:v>7000</c:v>
                </c:pt>
                <c:pt idx="8" formatCode="General">
                  <c:v>8000</c:v>
                </c:pt>
                <c:pt idx="9">
                  <c:v>9000</c:v>
                </c:pt>
                <c:pt idx="10" formatCode="General">
                  <c:v>10000</c:v>
                </c:pt>
                <c:pt idx="11">
                  <c:v>11000</c:v>
                </c:pt>
                <c:pt idx="12" formatCode="General">
                  <c:v>12000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57B-474F-8361-F1A3FE9F7B7D}"/>
            </c:ext>
          </c:extLst>
        </c:ser>
        <c:ser>
          <c:idx val="1"/>
          <c:order val="1"/>
          <c:tx>
            <c:strRef>
              <c:f>'1 - ICET Data'!$C$63</c:f>
              <c:strCache>
                <c:ptCount val="1"/>
                <c:pt idx="0">
                  <c:v>10000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'1 - ICET Data'!$C$64:$C$76</c:f>
              <c:numCache>
                <c:formatCode>General</c:formatCode>
                <c:ptCount val="13"/>
                <c:pt idx="0">
                  <c:v>0.71850244199966617</c:v>
                </c:pt>
                <c:pt idx="1">
                  <c:v>0.68398662053630666</c:v>
                </c:pt>
                <c:pt idx="2">
                  <c:v>0.64711259978485591</c:v>
                </c:pt>
                <c:pt idx="3">
                  <c:v>0.6074393833294659</c:v>
                </c:pt>
                <c:pt idx="4">
                  <c:v>0.56436401732860686</c:v>
                </c:pt>
                <c:pt idx="5">
                  <c:v>0.51702234339460906</c:v>
                </c:pt>
                <c:pt idx="6">
                  <c:v>0.46409397715985856</c:v>
                </c:pt>
                <c:pt idx="7">
                  <c:v>0.40336606472332509</c:v>
                </c:pt>
                <c:pt idx="8">
                  <c:v>0.33054291412049935</c:v>
                </c:pt>
                <c:pt idx="9">
                  <c:v>0.2345840452281468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xVal>
          <c:yVal>
            <c:numRef>
              <c:f>'1 - ICET Data'!$N$64:$N$76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1000</c:v>
                </c:pt>
                <c:pt idx="2" formatCode="General">
                  <c:v>2000</c:v>
                </c:pt>
                <c:pt idx="3">
                  <c:v>3000</c:v>
                </c:pt>
                <c:pt idx="4" formatCode="General">
                  <c:v>4000</c:v>
                </c:pt>
                <c:pt idx="5">
                  <c:v>5000</c:v>
                </c:pt>
                <c:pt idx="6" formatCode="General">
                  <c:v>6000</c:v>
                </c:pt>
                <c:pt idx="7">
                  <c:v>7000</c:v>
                </c:pt>
                <c:pt idx="8" formatCode="General">
                  <c:v>8000</c:v>
                </c:pt>
                <c:pt idx="9">
                  <c:v>9000</c:v>
                </c:pt>
                <c:pt idx="10" formatCode="General">
                  <c:v>10000</c:v>
                </c:pt>
                <c:pt idx="11">
                  <c:v>11000</c:v>
                </c:pt>
                <c:pt idx="12" formatCode="General">
                  <c:v>12000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57B-474F-8361-F1A3FE9F7B7D}"/>
            </c:ext>
          </c:extLst>
        </c:ser>
        <c:ser>
          <c:idx val="2"/>
          <c:order val="2"/>
          <c:tx>
            <c:strRef>
              <c:f>'1 - ICET Data'!$D$63</c:f>
              <c:strCache>
                <c:ptCount val="1"/>
                <c:pt idx="0">
                  <c:v>15000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'1 - ICET Data'!$D$64:$D$124</c:f>
              <c:numCache>
                <c:formatCode>General</c:formatCode>
                <c:ptCount val="61"/>
                <c:pt idx="0">
                  <c:v>0.87998218092142388</c:v>
                </c:pt>
                <c:pt idx="1">
                  <c:v>0.85308119706140551</c:v>
                </c:pt>
                <c:pt idx="2">
                  <c:v>0.82490994344868451</c:v>
                </c:pt>
                <c:pt idx="3">
                  <c:v>0.79532484405844961</c:v>
                </c:pt>
                <c:pt idx="4">
                  <c:v>0.76415249182870626</c:v>
                </c:pt>
                <c:pt idx="5">
                  <c:v>0.7311800100785758</c:v>
                </c:pt>
                <c:pt idx="6">
                  <c:v>0.6961409657397879</c:v>
                </c:pt>
                <c:pt idx="7">
                  <c:v>0.65869402541773359</c:v>
                </c:pt>
                <c:pt idx="8">
                  <c:v>0.61838916813237543</c:v>
                </c:pt>
                <c:pt idx="9">
                  <c:v>0.57461121260693071</c:v>
                </c:pt>
                <c:pt idx="10">
                  <c:v>0.52647863775518566</c:v>
                </c:pt>
                <c:pt idx="11">
                  <c:v>0.47264477878393402</c:v>
                </c:pt>
                <c:pt idx="12">
                  <c:v>0.41085315520979737</c:v>
                </c:pt>
                <c:pt idx="13">
                  <c:v>0.33672419316445668</c:v>
                </c:pt>
                <c:pt idx="14">
                  <c:v>0.23900392089089192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xVal>
          <c:yVal>
            <c:numRef>
              <c:f>'1 - ICET Data'!$N$64:$N$124</c:f>
              <c:numCache>
                <c:formatCode>#,##0</c:formatCode>
                <c:ptCount val="61"/>
                <c:pt idx="0" formatCode="General">
                  <c:v>0</c:v>
                </c:pt>
                <c:pt idx="1">
                  <c:v>1000</c:v>
                </c:pt>
                <c:pt idx="2" formatCode="General">
                  <c:v>2000</c:v>
                </c:pt>
                <c:pt idx="3">
                  <c:v>3000</c:v>
                </c:pt>
                <c:pt idx="4" formatCode="General">
                  <c:v>4000</c:v>
                </c:pt>
                <c:pt idx="5">
                  <c:v>5000</c:v>
                </c:pt>
                <c:pt idx="6" formatCode="General">
                  <c:v>6000</c:v>
                </c:pt>
                <c:pt idx="7">
                  <c:v>7000</c:v>
                </c:pt>
                <c:pt idx="8" formatCode="General">
                  <c:v>8000</c:v>
                </c:pt>
                <c:pt idx="9">
                  <c:v>9000</c:v>
                </c:pt>
                <c:pt idx="10" formatCode="General">
                  <c:v>10000</c:v>
                </c:pt>
                <c:pt idx="11">
                  <c:v>11000</c:v>
                </c:pt>
                <c:pt idx="12" formatCode="General">
                  <c:v>12000</c:v>
                </c:pt>
                <c:pt idx="13">
                  <c:v>13000</c:v>
                </c:pt>
                <c:pt idx="14" formatCode="General">
                  <c:v>14000</c:v>
                </c:pt>
                <c:pt idx="15">
                  <c:v>15000</c:v>
                </c:pt>
                <c:pt idx="16" formatCode="General">
                  <c:v>16000</c:v>
                </c:pt>
                <c:pt idx="17">
                  <c:v>17000</c:v>
                </c:pt>
                <c:pt idx="18" formatCode="General">
                  <c:v>18000</c:v>
                </c:pt>
                <c:pt idx="19">
                  <c:v>19000</c:v>
                </c:pt>
                <c:pt idx="20" formatCode="General">
                  <c:v>20000</c:v>
                </c:pt>
                <c:pt idx="21">
                  <c:v>21000</c:v>
                </c:pt>
                <c:pt idx="22" formatCode="General">
                  <c:v>22000</c:v>
                </c:pt>
                <c:pt idx="23">
                  <c:v>23000</c:v>
                </c:pt>
                <c:pt idx="24" formatCode="General">
                  <c:v>24000</c:v>
                </c:pt>
                <c:pt idx="25">
                  <c:v>25000</c:v>
                </c:pt>
                <c:pt idx="26" formatCode="General">
                  <c:v>26000</c:v>
                </c:pt>
                <c:pt idx="27">
                  <c:v>27000</c:v>
                </c:pt>
                <c:pt idx="28" formatCode="General">
                  <c:v>28000</c:v>
                </c:pt>
                <c:pt idx="29">
                  <c:v>29000</c:v>
                </c:pt>
                <c:pt idx="30" formatCode="General">
                  <c:v>30000</c:v>
                </c:pt>
                <c:pt idx="31">
                  <c:v>31000</c:v>
                </c:pt>
                <c:pt idx="32" formatCode="General">
                  <c:v>32000</c:v>
                </c:pt>
                <c:pt idx="33">
                  <c:v>33000</c:v>
                </c:pt>
                <c:pt idx="34" formatCode="General">
                  <c:v>34000</c:v>
                </c:pt>
                <c:pt idx="35">
                  <c:v>35000</c:v>
                </c:pt>
                <c:pt idx="36" formatCode="General">
                  <c:v>36000</c:v>
                </c:pt>
                <c:pt idx="37">
                  <c:v>37000</c:v>
                </c:pt>
                <c:pt idx="38" formatCode="General">
                  <c:v>38000</c:v>
                </c:pt>
                <c:pt idx="39">
                  <c:v>39000</c:v>
                </c:pt>
                <c:pt idx="40" formatCode="General">
                  <c:v>40000</c:v>
                </c:pt>
                <c:pt idx="41">
                  <c:v>41000</c:v>
                </c:pt>
                <c:pt idx="42" formatCode="General">
                  <c:v>42000</c:v>
                </c:pt>
                <c:pt idx="43">
                  <c:v>43000</c:v>
                </c:pt>
                <c:pt idx="44" formatCode="General">
                  <c:v>44000</c:v>
                </c:pt>
                <c:pt idx="45">
                  <c:v>45000</c:v>
                </c:pt>
                <c:pt idx="46" formatCode="General">
                  <c:v>46000</c:v>
                </c:pt>
                <c:pt idx="47">
                  <c:v>47000</c:v>
                </c:pt>
                <c:pt idx="48" formatCode="General">
                  <c:v>48000</c:v>
                </c:pt>
                <c:pt idx="49">
                  <c:v>49000</c:v>
                </c:pt>
                <c:pt idx="50" formatCode="General">
                  <c:v>50000</c:v>
                </c:pt>
                <c:pt idx="51">
                  <c:v>51000</c:v>
                </c:pt>
                <c:pt idx="52" formatCode="General">
                  <c:v>52000</c:v>
                </c:pt>
                <c:pt idx="53">
                  <c:v>53000</c:v>
                </c:pt>
                <c:pt idx="54" formatCode="General">
                  <c:v>54000</c:v>
                </c:pt>
                <c:pt idx="55">
                  <c:v>55000</c:v>
                </c:pt>
                <c:pt idx="56" formatCode="General">
                  <c:v>56000</c:v>
                </c:pt>
                <c:pt idx="57">
                  <c:v>57000</c:v>
                </c:pt>
                <c:pt idx="58" formatCode="General">
                  <c:v>58000</c:v>
                </c:pt>
                <c:pt idx="59">
                  <c:v>59000</c:v>
                </c:pt>
                <c:pt idx="60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57B-474F-8361-F1A3FE9F7B7D}"/>
            </c:ext>
          </c:extLst>
        </c:ser>
        <c:ser>
          <c:idx val="3"/>
          <c:order val="3"/>
          <c:tx>
            <c:strRef>
              <c:f>'1 - ICET Data'!$E$63</c:f>
              <c:strCache>
                <c:ptCount val="1"/>
                <c:pt idx="0">
                  <c:v>20000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'1 - ICET Data'!$E$64:$E$124</c:f>
              <c:numCache>
                <c:formatCode>General</c:formatCode>
                <c:ptCount val="61"/>
                <c:pt idx="0">
                  <c:v>1.0161158980741161</c:v>
                </c:pt>
                <c:pt idx="1">
                  <c:v>0.99380951921722083</c:v>
                </c:pt>
                <c:pt idx="2">
                  <c:v>0.97066889967728376</c:v>
                </c:pt>
                <c:pt idx="3">
                  <c:v>0.94662590854757034</c:v>
                </c:pt>
                <c:pt idx="4">
                  <c:v>0.92160258109488691</c:v>
                </c:pt>
                <c:pt idx="5">
                  <c:v>0.89550896740778607</c:v>
                </c:pt>
                <c:pt idx="6">
                  <c:v>0.86824032889874081</c:v>
                </c:pt>
                <c:pt idx="7">
                  <c:v>0.83967342227300124</c:v>
                </c:pt>
                <c:pt idx="8">
                  <c:v>0.80966147768782404</c:v>
                </c:pt>
                <c:pt idx="9">
                  <c:v>0.77802725982552401</c:v>
                </c:pt>
                <c:pt idx="10">
                  <c:v>0.74455322981309535</c:v>
                </c:pt>
                <c:pt idx="11">
                  <c:v>0.708967168175901</c:v>
                </c:pt>
                <c:pt idx="12">
                  <c:v>0.67092039298433581</c:v>
                </c:pt>
                <c:pt idx="13">
                  <c:v>0.62995328232964243</c:v>
                </c:pt>
                <c:pt idx="14">
                  <c:v>0.58543765270720194</c:v>
                </c:pt>
                <c:pt idx="15">
                  <c:v>0.5364735295136519</c:v>
                </c:pt>
                <c:pt idx="16">
                  <c:v>0.48168633150732915</c:v>
                </c:pt>
                <c:pt idx="17">
                  <c:v>0.41877326191224301</c:v>
                </c:pt>
                <c:pt idx="18">
                  <c:v>0.34326574535911991</c:v>
                </c:pt>
                <c:pt idx="19">
                  <c:v>0.24368342502367335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xVal>
          <c:yVal>
            <c:numRef>
              <c:f>'1 - ICET Data'!$N$64:$N$124</c:f>
              <c:numCache>
                <c:formatCode>#,##0</c:formatCode>
                <c:ptCount val="61"/>
                <c:pt idx="0" formatCode="General">
                  <c:v>0</c:v>
                </c:pt>
                <c:pt idx="1">
                  <c:v>1000</c:v>
                </c:pt>
                <c:pt idx="2" formatCode="General">
                  <c:v>2000</c:v>
                </c:pt>
                <c:pt idx="3">
                  <c:v>3000</c:v>
                </c:pt>
                <c:pt idx="4" formatCode="General">
                  <c:v>4000</c:v>
                </c:pt>
                <c:pt idx="5">
                  <c:v>5000</c:v>
                </c:pt>
                <c:pt idx="6" formatCode="General">
                  <c:v>6000</c:v>
                </c:pt>
                <c:pt idx="7">
                  <c:v>7000</c:v>
                </c:pt>
                <c:pt idx="8" formatCode="General">
                  <c:v>8000</c:v>
                </c:pt>
                <c:pt idx="9">
                  <c:v>9000</c:v>
                </c:pt>
                <c:pt idx="10" formatCode="General">
                  <c:v>10000</c:v>
                </c:pt>
                <c:pt idx="11">
                  <c:v>11000</c:v>
                </c:pt>
                <c:pt idx="12" formatCode="General">
                  <c:v>12000</c:v>
                </c:pt>
                <c:pt idx="13">
                  <c:v>13000</c:v>
                </c:pt>
                <c:pt idx="14" formatCode="General">
                  <c:v>14000</c:v>
                </c:pt>
                <c:pt idx="15">
                  <c:v>15000</c:v>
                </c:pt>
                <c:pt idx="16" formatCode="General">
                  <c:v>16000</c:v>
                </c:pt>
                <c:pt idx="17">
                  <c:v>17000</c:v>
                </c:pt>
                <c:pt idx="18" formatCode="General">
                  <c:v>18000</c:v>
                </c:pt>
                <c:pt idx="19">
                  <c:v>19000</c:v>
                </c:pt>
                <c:pt idx="20" formatCode="General">
                  <c:v>20000</c:v>
                </c:pt>
                <c:pt idx="21">
                  <c:v>21000</c:v>
                </c:pt>
                <c:pt idx="22" formatCode="General">
                  <c:v>22000</c:v>
                </c:pt>
                <c:pt idx="23">
                  <c:v>23000</c:v>
                </c:pt>
                <c:pt idx="24" formatCode="General">
                  <c:v>24000</c:v>
                </c:pt>
                <c:pt idx="25">
                  <c:v>25000</c:v>
                </c:pt>
                <c:pt idx="26" formatCode="General">
                  <c:v>26000</c:v>
                </c:pt>
                <c:pt idx="27">
                  <c:v>27000</c:v>
                </c:pt>
                <c:pt idx="28" formatCode="General">
                  <c:v>28000</c:v>
                </c:pt>
                <c:pt idx="29">
                  <c:v>29000</c:v>
                </c:pt>
                <c:pt idx="30" formatCode="General">
                  <c:v>30000</c:v>
                </c:pt>
                <c:pt idx="31">
                  <c:v>31000</c:v>
                </c:pt>
                <c:pt idx="32" formatCode="General">
                  <c:v>32000</c:v>
                </c:pt>
                <c:pt idx="33">
                  <c:v>33000</c:v>
                </c:pt>
                <c:pt idx="34" formatCode="General">
                  <c:v>34000</c:v>
                </c:pt>
                <c:pt idx="35">
                  <c:v>35000</c:v>
                </c:pt>
                <c:pt idx="36" formatCode="General">
                  <c:v>36000</c:v>
                </c:pt>
                <c:pt idx="37">
                  <c:v>37000</c:v>
                </c:pt>
                <c:pt idx="38" formatCode="General">
                  <c:v>38000</c:v>
                </c:pt>
                <c:pt idx="39">
                  <c:v>39000</c:v>
                </c:pt>
                <c:pt idx="40" formatCode="General">
                  <c:v>40000</c:v>
                </c:pt>
                <c:pt idx="41">
                  <c:v>41000</c:v>
                </c:pt>
                <c:pt idx="42" formatCode="General">
                  <c:v>42000</c:v>
                </c:pt>
                <c:pt idx="43">
                  <c:v>43000</c:v>
                </c:pt>
                <c:pt idx="44" formatCode="General">
                  <c:v>44000</c:v>
                </c:pt>
                <c:pt idx="45">
                  <c:v>45000</c:v>
                </c:pt>
                <c:pt idx="46" formatCode="General">
                  <c:v>46000</c:v>
                </c:pt>
                <c:pt idx="47">
                  <c:v>47000</c:v>
                </c:pt>
                <c:pt idx="48" formatCode="General">
                  <c:v>48000</c:v>
                </c:pt>
                <c:pt idx="49">
                  <c:v>49000</c:v>
                </c:pt>
                <c:pt idx="50" formatCode="General">
                  <c:v>50000</c:v>
                </c:pt>
                <c:pt idx="51">
                  <c:v>51000</c:v>
                </c:pt>
                <c:pt idx="52" formatCode="General">
                  <c:v>52000</c:v>
                </c:pt>
                <c:pt idx="53">
                  <c:v>53000</c:v>
                </c:pt>
                <c:pt idx="54" formatCode="General">
                  <c:v>54000</c:v>
                </c:pt>
                <c:pt idx="55">
                  <c:v>55000</c:v>
                </c:pt>
                <c:pt idx="56" formatCode="General">
                  <c:v>56000</c:v>
                </c:pt>
                <c:pt idx="57">
                  <c:v>57000</c:v>
                </c:pt>
                <c:pt idx="58" formatCode="General">
                  <c:v>58000</c:v>
                </c:pt>
                <c:pt idx="59">
                  <c:v>59000</c:v>
                </c:pt>
                <c:pt idx="60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57B-474F-8361-F1A3FE9F7B7D}"/>
            </c:ext>
          </c:extLst>
        </c:ser>
        <c:ser>
          <c:idx val="4"/>
          <c:order val="4"/>
          <c:tx>
            <c:strRef>
              <c:f>'1 - ICET Data'!$F$63</c:f>
              <c:strCache>
                <c:ptCount val="1"/>
                <c:pt idx="0">
                  <c:v>25000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'1 - ICET Data'!$F$64:$F$124</c:f>
              <c:numCache>
                <c:formatCode>General</c:formatCode>
                <c:ptCount val="61"/>
                <c:pt idx="0">
                  <c:v>1.1360521105559855</c:v>
                </c:pt>
                <c:pt idx="1">
                  <c:v>1.1169454741364087</c:v>
                </c:pt>
                <c:pt idx="2">
                  <c:v>1.0972327969947426</c:v>
                </c:pt>
                <c:pt idx="3">
                  <c:v>1.0768749295486584</c:v>
                </c:pt>
                <c:pt idx="4">
                  <c:v>1.0558283971334994</c:v>
                </c:pt>
                <c:pt idx="5">
                  <c:v>1.0340446867892181</c:v>
                </c:pt>
                <c:pt idx="6">
                  <c:v>1.0114693733728484</c:v>
                </c:pt>
                <c:pt idx="7">
                  <c:v>0.98804103812660027</c:v>
                </c:pt>
                <c:pt idx="8">
                  <c:v>0.96368991570930662</c:v>
                </c:pt>
                <c:pt idx="9">
                  <c:v>0.93833618091258719</c:v>
                </c:pt>
                <c:pt idx="10">
                  <c:v>0.91188774969163178</c:v>
                </c:pt>
                <c:pt idx="11">
                  <c:v>0.88423741392852107</c:v>
                </c:pt>
                <c:pt idx="12">
                  <c:v>0.85525904397361696</c:v>
                </c:pt>
                <c:pt idx="13">
                  <c:v>0.82480245730327817</c:v>
                </c:pt>
                <c:pt idx="14">
                  <c:v>0.79268632901887304</c:v>
                </c:pt>
                <c:pt idx="15">
                  <c:v>0.75868814129236928</c:v>
                </c:pt>
                <c:pt idx="16">
                  <c:v>0.72252949726099369</c:v>
                </c:pt>
                <c:pt idx="17">
                  <c:v>0.68385387307059509</c:v>
                </c:pt>
                <c:pt idx="18">
                  <c:v>0.64219140587470691</c:v>
                </c:pt>
                <c:pt idx="19">
                  <c:v>0.5969000500817615</c:v>
                </c:pt>
                <c:pt idx="20">
                  <c:v>0.54706016781363398</c:v>
                </c:pt>
                <c:pt idx="21">
                  <c:v>0.49126744840242786</c:v>
                </c:pt>
                <c:pt idx="22">
                  <c:v>0.42716980078859257</c:v>
                </c:pt>
                <c:pt idx="23">
                  <c:v>0.3502039852970838</c:v>
                </c:pt>
                <c:pt idx="24">
                  <c:v>0.2486490135315349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xVal>
          <c:yVal>
            <c:numRef>
              <c:f>'1 - ICET Data'!$N$64:$N$124</c:f>
              <c:numCache>
                <c:formatCode>#,##0</c:formatCode>
                <c:ptCount val="61"/>
                <c:pt idx="0" formatCode="General">
                  <c:v>0</c:v>
                </c:pt>
                <c:pt idx="1">
                  <c:v>1000</c:v>
                </c:pt>
                <c:pt idx="2" formatCode="General">
                  <c:v>2000</c:v>
                </c:pt>
                <c:pt idx="3">
                  <c:v>3000</c:v>
                </c:pt>
                <c:pt idx="4" formatCode="General">
                  <c:v>4000</c:v>
                </c:pt>
                <c:pt idx="5">
                  <c:v>5000</c:v>
                </c:pt>
                <c:pt idx="6" formatCode="General">
                  <c:v>6000</c:v>
                </c:pt>
                <c:pt idx="7">
                  <c:v>7000</c:v>
                </c:pt>
                <c:pt idx="8" formatCode="General">
                  <c:v>8000</c:v>
                </c:pt>
                <c:pt idx="9">
                  <c:v>9000</c:v>
                </c:pt>
                <c:pt idx="10" formatCode="General">
                  <c:v>10000</c:v>
                </c:pt>
                <c:pt idx="11">
                  <c:v>11000</c:v>
                </c:pt>
                <c:pt idx="12" formatCode="General">
                  <c:v>12000</c:v>
                </c:pt>
                <c:pt idx="13">
                  <c:v>13000</c:v>
                </c:pt>
                <c:pt idx="14" formatCode="General">
                  <c:v>14000</c:v>
                </c:pt>
                <c:pt idx="15">
                  <c:v>15000</c:v>
                </c:pt>
                <c:pt idx="16" formatCode="General">
                  <c:v>16000</c:v>
                </c:pt>
                <c:pt idx="17">
                  <c:v>17000</c:v>
                </c:pt>
                <c:pt idx="18" formatCode="General">
                  <c:v>18000</c:v>
                </c:pt>
                <c:pt idx="19">
                  <c:v>19000</c:v>
                </c:pt>
                <c:pt idx="20" formatCode="General">
                  <c:v>20000</c:v>
                </c:pt>
                <c:pt idx="21">
                  <c:v>21000</c:v>
                </c:pt>
                <c:pt idx="22" formatCode="General">
                  <c:v>22000</c:v>
                </c:pt>
                <c:pt idx="23">
                  <c:v>23000</c:v>
                </c:pt>
                <c:pt idx="24" formatCode="General">
                  <c:v>24000</c:v>
                </c:pt>
                <c:pt idx="25">
                  <c:v>25000</c:v>
                </c:pt>
                <c:pt idx="26" formatCode="General">
                  <c:v>26000</c:v>
                </c:pt>
                <c:pt idx="27">
                  <c:v>27000</c:v>
                </c:pt>
                <c:pt idx="28" formatCode="General">
                  <c:v>28000</c:v>
                </c:pt>
                <c:pt idx="29">
                  <c:v>29000</c:v>
                </c:pt>
                <c:pt idx="30" formatCode="General">
                  <c:v>30000</c:v>
                </c:pt>
                <c:pt idx="31">
                  <c:v>31000</c:v>
                </c:pt>
                <c:pt idx="32" formatCode="General">
                  <c:v>32000</c:v>
                </c:pt>
                <c:pt idx="33">
                  <c:v>33000</c:v>
                </c:pt>
                <c:pt idx="34" formatCode="General">
                  <c:v>34000</c:v>
                </c:pt>
                <c:pt idx="35">
                  <c:v>35000</c:v>
                </c:pt>
                <c:pt idx="36" formatCode="General">
                  <c:v>36000</c:v>
                </c:pt>
                <c:pt idx="37">
                  <c:v>37000</c:v>
                </c:pt>
                <c:pt idx="38" formatCode="General">
                  <c:v>38000</c:v>
                </c:pt>
                <c:pt idx="39">
                  <c:v>39000</c:v>
                </c:pt>
                <c:pt idx="40" formatCode="General">
                  <c:v>40000</c:v>
                </c:pt>
                <c:pt idx="41">
                  <c:v>41000</c:v>
                </c:pt>
                <c:pt idx="42" formatCode="General">
                  <c:v>42000</c:v>
                </c:pt>
                <c:pt idx="43">
                  <c:v>43000</c:v>
                </c:pt>
                <c:pt idx="44" formatCode="General">
                  <c:v>44000</c:v>
                </c:pt>
                <c:pt idx="45">
                  <c:v>45000</c:v>
                </c:pt>
                <c:pt idx="46" formatCode="General">
                  <c:v>46000</c:v>
                </c:pt>
                <c:pt idx="47">
                  <c:v>47000</c:v>
                </c:pt>
                <c:pt idx="48" formatCode="General">
                  <c:v>48000</c:v>
                </c:pt>
                <c:pt idx="49">
                  <c:v>49000</c:v>
                </c:pt>
                <c:pt idx="50" formatCode="General">
                  <c:v>50000</c:v>
                </c:pt>
                <c:pt idx="51">
                  <c:v>51000</c:v>
                </c:pt>
                <c:pt idx="52" formatCode="General">
                  <c:v>52000</c:v>
                </c:pt>
                <c:pt idx="53">
                  <c:v>53000</c:v>
                </c:pt>
                <c:pt idx="54" formatCode="General">
                  <c:v>54000</c:v>
                </c:pt>
                <c:pt idx="55">
                  <c:v>55000</c:v>
                </c:pt>
                <c:pt idx="56" formatCode="General">
                  <c:v>56000</c:v>
                </c:pt>
                <c:pt idx="57">
                  <c:v>57000</c:v>
                </c:pt>
                <c:pt idx="58" formatCode="General">
                  <c:v>58000</c:v>
                </c:pt>
                <c:pt idx="59">
                  <c:v>59000</c:v>
                </c:pt>
                <c:pt idx="60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57B-474F-8361-F1A3FE9F7B7D}"/>
            </c:ext>
          </c:extLst>
        </c:ser>
        <c:ser>
          <c:idx val="5"/>
          <c:order val="5"/>
          <c:tx>
            <c:strRef>
              <c:f>'1 - ICET Data'!$G$63</c:f>
              <c:strCache>
                <c:ptCount val="1"/>
                <c:pt idx="0">
                  <c:v>30000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'1 - ICET Data'!$G$64:$G$124</c:f>
              <c:numCache>
                <c:formatCode>General</c:formatCode>
                <c:ptCount val="61"/>
                <c:pt idx="0">
                  <c:v>1.2444827349057324</c:v>
                </c:pt>
                <c:pt idx="1">
                  <c:v>1.227793559154327</c:v>
                </c:pt>
                <c:pt idx="2">
                  <c:v>1.2106368195297477</c:v>
                </c:pt>
                <c:pt idx="3">
                  <c:v>1.1929872660876746</c:v>
                </c:pt>
                <c:pt idx="4">
                  <c:v>1.1748173861950764</c:v>
                </c:pt>
                <c:pt idx="5">
                  <c:v>1.1560971057165854</c:v>
                </c:pt>
                <c:pt idx="6">
                  <c:v>1.1367934367405241</c:v>
                </c:pt>
                <c:pt idx="7">
                  <c:v>1.1168700595740431</c:v>
                </c:pt>
                <c:pt idx="8">
                  <c:v>1.096286823248364</c:v>
                </c:pt>
                <c:pt idx="9">
                  <c:v>1.0749991440869271</c:v>
                </c:pt>
                <c:pt idx="10">
                  <c:v>1.0529572755103713</c:v>
                </c:pt>
                <c:pt idx="11">
                  <c:v>1.0301054134556527</c:v>
                </c:pt>
                <c:pt idx="12">
                  <c:v>1.0063805894765037</c:v>
                </c:pt>
                <c:pt idx="13">
                  <c:v>0.98171128608627189</c:v>
                </c:pt>
                <c:pt idx="14">
                  <c:v>0.9560156835635677</c:v>
                </c:pt>
                <c:pt idx="15">
                  <c:v>0.92919941003344664</c:v>
                </c:pt>
                <c:pt idx="16">
                  <c:v>0.90115261019621973</c:v>
                </c:pt>
                <c:pt idx="17">
                  <c:v>0.87174606080824191</c:v>
                </c:pt>
                <c:pt idx="18">
                  <c:v>0.84082592230598652</c:v>
                </c:pt>
                <c:pt idx="19">
                  <c:v>0.80820648843222642</c:v>
                </c:pt>
                <c:pt idx="20">
                  <c:v>0.77365990875614254</c:v>
                </c:pt>
                <c:pt idx="21">
                  <c:v>0.73690117260364185</c:v>
                </c:pt>
                <c:pt idx="22">
                  <c:v>0.69756536363892729</c:v>
                </c:pt>
                <c:pt idx="23">
                  <c:v>0.65517166423225315</c:v>
                </c:pt>
                <c:pt idx="24">
                  <c:v>0.60906320819865034</c:v>
                </c:pt>
                <c:pt idx="25">
                  <c:v>0.55829934678892568</c:v>
                </c:pt>
                <c:pt idx="26">
                  <c:v>0.50144402203564842</c:v>
                </c:pt>
                <c:pt idx="27">
                  <c:v>0.43609253716834728</c:v>
                </c:pt>
                <c:pt idx="28">
                  <c:v>0.35758069791925706</c:v>
                </c:pt>
                <c:pt idx="29">
                  <c:v>0.25393107715106955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xVal>
          <c:yVal>
            <c:numRef>
              <c:f>'1 - ICET Data'!$N$64:$N$124</c:f>
              <c:numCache>
                <c:formatCode>#,##0</c:formatCode>
                <c:ptCount val="61"/>
                <c:pt idx="0" formatCode="General">
                  <c:v>0</c:v>
                </c:pt>
                <c:pt idx="1">
                  <c:v>1000</c:v>
                </c:pt>
                <c:pt idx="2" formatCode="General">
                  <c:v>2000</c:v>
                </c:pt>
                <c:pt idx="3">
                  <c:v>3000</c:v>
                </c:pt>
                <c:pt idx="4" formatCode="General">
                  <c:v>4000</c:v>
                </c:pt>
                <c:pt idx="5">
                  <c:v>5000</c:v>
                </c:pt>
                <c:pt idx="6" formatCode="General">
                  <c:v>6000</c:v>
                </c:pt>
                <c:pt idx="7">
                  <c:v>7000</c:v>
                </c:pt>
                <c:pt idx="8" formatCode="General">
                  <c:v>8000</c:v>
                </c:pt>
                <c:pt idx="9">
                  <c:v>9000</c:v>
                </c:pt>
                <c:pt idx="10" formatCode="General">
                  <c:v>10000</c:v>
                </c:pt>
                <c:pt idx="11">
                  <c:v>11000</c:v>
                </c:pt>
                <c:pt idx="12" formatCode="General">
                  <c:v>12000</c:v>
                </c:pt>
                <c:pt idx="13">
                  <c:v>13000</c:v>
                </c:pt>
                <c:pt idx="14" formatCode="General">
                  <c:v>14000</c:v>
                </c:pt>
                <c:pt idx="15">
                  <c:v>15000</c:v>
                </c:pt>
                <c:pt idx="16" formatCode="General">
                  <c:v>16000</c:v>
                </c:pt>
                <c:pt idx="17">
                  <c:v>17000</c:v>
                </c:pt>
                <c:pt idx="18" formatCode="General">
                  <c:v>18000</c:v>
                </c:pt>
                <c:pt idx="19">
                  <c:v>19000</c:v>
                </c:pt>
                <c:pt idx="20" formatCode="General">
                  <c:v>20000</c:v>
                </c:pt>
                <c:pt idx="21">
                  <c:v>21000</c:v>
                </c:pt>
                <c:pt idx="22" formatCode="General">
                  <c:v>22000</c:v>
                </c:pt>
                <c:pt idx="23">
                  <c:v>23000</c:v>
                </c:pt>
                <c:pt idx="24" formatCode="General">
                  <c:v>24000</c:v>
                </c:pt>
                <c:pt idx="25">
                  <c:v>25000</c:v>
                </c:pt>
                <c:pt idx="26" formatCode="General">
                  <c:v>26000</c:v>
                </c:pt>
                <c:pt idx="27">
                  <c:v>27000</c:v>
                </c:pt>
                <c:pt idx="28" formatCode="General">
                  <c:v>28000</c:v>
                </c:pt>
                <c:pt idx="29">
                  <c:v>29000</c:v>
                </c:pt>
                <c:pt idx="30" formatCode="General">
                  <c:v>30000</c:v>
                </c:pt>
                <c:pt idx="31">
                  <c:v>31000</c:v>
                </c:pt>
                <c:pt idx="32" formatCode="General">
                  <c:v>32000</c:v>
                </c:pt>
                <c:pt idx="33">
                  <c:v>33000</c:v>
                </c:pt>
                <c:pt idx="34" formatCode="General">
                  <c:v>34000</c:v>
                </c:pt>
                <c:pt idx="35">
                  <c:v>35000</c:v>
                </c:pt>
                <c:pt idx="36" formatCode="General">
                  <c:v>36000</c:v>
                </c:pt>
                <c:pt idx="37">
                  <c:v>37000</c:v>
                </c:pt>
                <c:pt idx="38" formatCode="General">
                  <c:v>38000</c:v>
                </c:pt>
                <c:pt idx="39">
                  <c:v>39000</c:v>
                </c:pt>
                <c:pt idx="40" formatCode="General">
                  <c:v>40000</c:v>
                </c:pt>
                <c:pt idx="41">
                  <c:v>41000</c:v>
                </c:pt>
                <c:pt idx="42" formatCode="General">
                  <c:v>42000</c:v>
                </c:pt>
                <c:pt idx="43">
                  <c:v>43000</c:v>
                </c:pt>
                <c:pt idx="44" formatCode="General">
                  <c:v>44000</c:v>
                </c:pt>
                <c:pt idx="45">
                  <c:v>45000</c:v>
                </c:pt>
                <c:pt idx="46" formatCode="General">
                  <c:v>46000</c:v>
                </c:pt>
                <c:pt idx="47">
                  <c:v>47000</c:v>
                </c:pt>
                <c:pt idx="48" formatCode="General">
                  <c:v>48000</c:v>
                </c:pt>
                <c:pt idx="49">
                  <c:v>49000</c:v>
                </c:pt>
                <c:pt idx="50" formatCode="General">
                  <c:v>50000</c:v>
                </c:pt>
                <c:pt idx="51">
                  <c:v>51000</c:v>
                </c:pt>
                <c:pt idx="52" formatCode="General">
                  <c:v>52000</c:v>
                </c:pt>
                <c:pt idx="53">
                  <c:v>53000</c:v>
                </c:pt>
                <c:pt idx="54" formatCode="General">
                  <c:v>54000</c:v>
                </c:pt>
                <c:pt idx="55">
                  <c:v>55000</c:v>
                </c:pt>
                <c:pt idx="56" formatCode="General">
                  <c:v>56000</c:v>
                </c:pt>
                <c:pt idx="57">
                  <c:v>57000</c:v>
                </c:pt>
                <c:pt idx="58" formatCode="General">
                  <c:v>58000</c:v>
                </c:pt>
                <c:pt idx="59">
                  <c:v>59000</c:v>
                </c:pt>
                <c:pt idx="60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57B-474F-8361-F1A3FE9F7B7D}"/>
            </c:ext>
          </c:extLst>
        </c:ser>
        <c:ser>
          <c:idx val="6"/>
          <c:order val="6"/>
          <c:tx>
            <c:strRef>
              <c:f>'1 - ICET Data'!$H$63</c:f>
              <c:strCache>
                <c:ptCount val="1"/>
                <c:pt idx="0">
                  <c:v>35000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'1 - ICET Data'!$H$64:$H$124</c:f>
              <c:numCache>
                <c:formatCode>General</c:formatCode>
                <c:ptCount val="61"/>
                <c:pt idx="0">
                  <c:v>1.3441949847615833</c:v>
                </c:pt>
                <c:pt idx="1">
                  <c:v>1.3294310270216703</c:v>
                </c:pt>
                <c:pt idx="2">
                  <c:v>1.3142919031939972</c:v>
                </c:pt>
                <c:pt idx="3">
                  <c:v>1.298760031801202</c:v>
                </c:pt>
                <c:pt idx="4">
                  <c:v>1.2828165019280691</c:v>
                </c:pt>
                <c:pt idx="5">
                  <c:v>1.2664409269348169</c:v>
                </c:pt>
                <c:pt idx="6">
                  <c:v>1.2496112765021772</c:v>
                </c:pt>
                <c:pt idx="7">
                  <c:v>1.2323036829140626</c:v>
                </c:pt>
                <c:pt idx="8">
                  <c:v>1.214492216531736</c:v>
                </c:pt>
                <c:pt idx="9">
                  <c:v>1.1961486241958528</c:v>
                </c:pt>
                <c:pt idx="10">
                  <c:v>1.1772420227220823</c:v>
                </c:pt>
                <c:pt idx="11">
                  <c:v>1.1577385376112705</c:v>
                </c:pt>
                <c:pt idx="12">
                  <c:v>1.1376008744069621</c:v>
                </c:pt>
                <c:pt idx="13">
                  <c:v>1.1167878065616572</c:v>
                </c:pt>
                <c:pt idx="14">
                  <c:v>1.0952535588737498</c:v>
                </c:pt>
                <c:pt idx="15">
                  <c:v>1.0729470590273038</c:v>
                </c:pt>
                <c:pt idx="16">
                  <c:v>1.0498110207626397</c:v>
                </c:pt>
                <c:pt idx="17">
                  <c:v>1.0257808096058925</c:v>
                </c:pt>
                <c:pt idx="18">
                  <c:v>1.0007830241686224</c:v>
                </c:pt>
                <c:pt idx="19">
                  <c:v>0.9747337000946934</c:v>
                </c:pt>
                <c:pt idx="20">
                  <c:v>0.94753600545037031</c:v>
                </c:pt>
                <c:pt idx="21">
                  <c:v>0.91907723859826507</c:v>
                </c:pt>
                <c:pt idx="22">
                  <c:v>0.88922485030033427</c:v>
                </c:pt>
                <c:pt idx="23">
                  <c:v>0.85782106986699758</c:v>
                </c:pt>
                <c:pt idx="24">
                  <c:v>0.824675482376104</c:v>
                </c:pt>
                <c:pt idx="25">
                  <c:v>0.78955450809293859</c:v>
                </c:pt>
                <c:pt idx="26">
                  <c:v>0.75216603305347263</c:v>
                </c:pt>
                <c:pt idx="27">
                  <c:v>0.71213613113210572</c:v>
                </c:pt>
                <c:pt idx="28">
                  <c:v>0.66897222986868476</c:v>
                </c:pt>
                <c:pt idx="29">
                  <c:v>0.62200156885542868</c:v>
                </c:pt>
                <c:pt idx="30">
                  <c:v>0.57026098011739135</c:v>
                </c:pt>
                <c:pt idx="31">
                  <c:v>0.51228040176019718</c:v>
                </c:pt>
                <c:pt idx="32">
                  <c:v>0.44559883178006271</c:v>
                </c:pt>
                <c:pt idx="33">
                  <c:v>0.36544410169108205</c:v>
                </c:pt>
                <c:pt idx="34">
                  <c:v>0.25956472735267722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xVal>
          <c:yVal>
            <c:numRef>
              <c:f>'1 - ICET Data'!$N$64:$N$124</c:f>
              <c:numCache>
                <c:formatCode>#,##0</c:formatCode>
                <c:ptCount val="61"/>
                <c:pt idx="0" formatCode="General">
                  <c:v>0</c:v>
                </c:pt>
                <c:pt idx="1">
                  <c:v>1000</c:v>
                </c:pt>
                <c:pt idx="2" formatCode="General">
                  <c:v>2000</c:v>
                </c:pt>
                <c:pt idx="3">
                  <c:v>3000</c:v>
                </c:pt>
                <c:pt idx="4" formatCode="General">
                  <c:v>4000</c:v>
                </c:pt>
                <c:pt idx="5">
                  <c:v>5000</c:v>
                </c:pt>
                <c:pt idx="6" formatCode="General">
                  <c:v>6000</c:v>
                </c:pt>
                <c:pt idx="7">
                  <c:v>7000</c:v>
                </c:pt>
                <c:pt idx="8" formatCode="General">
                  <c:v>8000</c:v>
                </c:pt>
                <c:pt idx="9">
                  <c:v>9000</c:v>
                </c:pt>
                <c:pt idx="10" formatCode="General">
                  <c:v>10000</c:v>
                </c:pt>
                <c:pt idx="11">
                  <c:v>11000</c:v>
                </c:pt>
                <c:pt idx="12" formatCode="General">
                  <c:v>12000</c:v>
                </c:pt>
                <c:pt idx="13">
                  <c:v>13000</c:v>
                </c:pt>
                <c:pt idx="14" formatCode="General">
                  <c:v>14000</c:v>
                </c:pt>
                <c:pt idx="15">
                  <c:v>15000</c:v>
                </c:pt>
                <c:pt idx="16" formatCode="General">
                  <c:v>16000</c:v>
                </c:pt>
                <c:pt idx="17">
                  <c:v>17000</c:v>
                </c:pt>
                <c:pt idx="18" formatCode="General">
                  <c:v>18000</c:v>
                </c:pt>
                <c:pt idx="19">
                  <c:v>19000</c:v>
                </c:pt>
                <c:pt idx="20" formatCode="General">
                  <c:v>20000</c:v>
                </c:pt>
                <c:pt idx="21">
                  <c:v>21000</c:v>
                </c:pt>
                <c:pt idx="22" formatCode="General">
                  <c:v>22000</c:v>
                </c:pt>
                <c:pt idx="23">
                  <c:v>23000</c:v>
                </c:pt>
                <c:pt idx="24" formatCode="General">
                  <c:v>24000</c:v>
                </c:pt>
                <c:pt idx="25">
                  <c:v>25000</c:v>
                </c:pt>
                <c:pt idx="26" formatCode="General">
                  <c:v>26000</c:v>
                </c:pt>
                <c:pt idx="27">
                  <c:v>27000</c:v>
                </c:pt>
                <c:pt idx="28" formatCode="General">
                  <c:v>28000</c:v>
                </c:pt>
                <c:pt idx="29">
                  <c:v>29000</c:v>
                </c:pt>
                <c:pt idx="30" formatCode="General">
                  <c:v>30000</c:v>
                </c:pt>
                <c:pt idx="31">
                  <c:v>31000</c:v>
                </c:pt>
                <c:pt idx="32" formatCode="General">
                  <c:v>32000</c:v>
                </c:pt>
                <c:pt idx="33">
                  <c:v>33000</c:v>
                </c:pt>
                <c:pt idx="34" formatCode="General">
                  <c:v>34000</c:v>
                </c:pt>
                <c:pt idx="35">
                  <c:v>35000</c:v>
                </c:pt>
                <c:pt idx="36" formatCode="General">
                  <c:v>36000</c:v>
                </c:pt>
                <c:pt idx="37">
                  <c:v>37000</c:v>
                </c:pt>
                <c:pt idx="38" formatCode="General">
                  <c:v>38000</c:v>
                </c:pt>
                <c:pt idx="39">
                  <c:v>39000</c:v>
                </c:pt>
                <c:pt idx="40" formatCode="General">
                  <c:v>40000</c:v>
                </c:pt>
                <c:pt idx="41">
                  <c:v>41000</c:v>
                </c:pt>
                <c:pt idx="42" formatCode="General">
                  <c:v>42000</c:v>
                </c:pt>
                <c:pt idx="43">
                  <c:v>43000</c:v>
                </c:pt>
                <c:pt idx="44" formatCode="General">
                  <c:v>44000</c:v>
                </c:pt>
                <c:pt idx="45">
                  <c:v>45000</c:v>
                </c:pt>
                <c:pt idx="46" formatCode="General">
                  <c:v>46000</c:v>
                </c:pt>
                <c:pt idx="47">
                  <c:v>47000</c:v>
                </c:pt>
                <c:pt idx="48" formatCode="General">
                  <c:v>48000</c:v>
                </c:pt>
                <c:pt idx="49">
                  <c:v>49000</c:v>
                </c:pt>
                <c:pt idx="50" formatCode="General">
                  <c:v>50000</c:v>
                </c:pt>
                <c:pt idx="51">
                  <c:v>51000</c:v>
                </c:pt>
                <c:pt idx="52" formatCode="General">
                  <c:v>52000</c:v>
                </c:pt>
                <c:pt idx="53">
                  <c:v>53000</c:v>
                </c:pt>
                <c:pt idx="54" formatCode="General">
                  <c:v>54000</c:v>
                </c:pt>
                <c:pt idx="55">
                  <c:v>55000</c:v>
                </c:pt>
                <c:pt idx="56" formatCode="General">
                  <c:v>56000</c:v>
                </c:pt>
                <c:pt idx="57">
                  <c:v>57000</c:v>
                </c:pt>
                <c:pt idx="58" formatCode="General">
                  <c:v>58000</c:v>
                </c:pt>
                <c:pt idx="59">
                  <c:v>59000</c:v>
                </c:pt>
                <c:pt idx="60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57B-474F-8361-F1A3FE9F7B7D}"/>
            </c:ext>
          </c:extLst>
        </c:ser>
        <c:ser>
          <c:idx val="7"/>
          <c:order val="7"/>
          <c:tx>
            <c:strRef>
              <c:f>'1 - ICET Data'!$I$63</c:f>
              <c:strCache>
                <c:ptCount val="1"/>
                <c:pt idx="0">
                  <c:v>40000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'1 - ICET Data'!$I$64:$I$124</c:f>
              <c:numCache>
                <c:formatCode>General</c:formatCode>
                <c:ptCount val="61"/>
                <c:pt idx="0">
                  <c:v>1.4370048839993323</c:v>
                </c:pt>
                <c:pt idx="1">
                  <c:v>1.4238316920601732</c:v>
                </c:pt>
                <c:pt idx="2">
                  <c:v>1.4103492137770337</c:v>
                </c:pt>
                <c:pt idx="3">
                  <c:v>1.3965445296735708</c:v>
                </c:pt>
                <c:pt idx="4">
                  <c:v>1.3824038716423304</c:v>
                </c:pt>
                <c:pt idx="5">
                  <c:v>1.367912542885974</c:v>
                </c:pt>
                <c:pt idx="6">
                  <c:v>1.3530548277532846</c:v>
                </c:pt>
                <c:pt idx="7">
                  <c:v>1.3378138898494807</c:v>
                </c:pt>
                <c:pt idx="8">
                  <c:v>1.3221716564819974</c:v>
                </c:pt>
                <c:pt idx="9">
                  <c:v>1.3061086871097818</c:v>
                </c:pt>
                <c:pt idx="10">
                  <c:v>1.2896040229757877</c:v>
                </c:pt>
                <c:pt idx="11">
                  <c:v>1.272635014491557</c:v>
                </c:pt>
                <c:pt idx="12">
                  <c:v>1.2551771221735579</c:v>
                </c:pt>
                <c:pt idx="13">
                  <c:v>1.2372036859549171</c:v>
                </c:pt>
                <c:pt idx="14">
                  <c:v>1.2186856564478441</c:v>
                </c:pt>
                <c:pt idx="15">
                  <c:v>1.1995912801217652</c:v>
                </c:pt>
                <c:pt idx="16">
                  <c:v>1.1798857282660602</c:v>
                </c:pt>
                <c:pt idx="17">
                  <c:v>1.1595306568507595</c:v>
                </c:pt>
                <c:pt idx="18">
                  <c:v>1.1384836807378811</c:v>
                </c:pt>
                <c:pt idx="19">
                  <c:v>1.1166977407770793</c:v>
                </c:pt>
                <c:pt idx="20">
                  <c:v>1.094120335627268</c:v>
                </c:pt>
                <c:pt idx="21">
                  <c:v>1.0706925809186325</c:v>
                </c:pt>
                <c:pt idx="22">
                  <c:v>1.0463480454583909</c:v>
                </c:pt>
                <c:pt idx="23">
                  <c:v>1.0210112958252033</c:v>
                </c:pt>
                <c:pt idx="24">
                  <c:v>0.99459605412613961</c:v>
                </c:pt>
                <c:pt idx="25">
                  <c:v>0.96700283447093549</c:v>
                </c:pt>
                <c:pt idx="26">
                  <c:v>0.9381158645516593</c:v>
                </c:pt>
                <c:pt idx="27">
                  <c:v>0.90779900724426932</c:v>
                </c:pt>
                <c:pt idx="28">
                  <c:v>0.87589025177047031</c:v>
                </c:pt>
                <c:pt idx="29">
                  <c:v>0.84219410552088692</c:v>
                </c:pt>
                <c:pt idx="30">
                  <c:v>0.8064708121741887</c:v>
                </c:pt>
                <c:pt idx="31">
                  <c:v>0.76842060264029577</c:v>
                </c:pt>
                <c:pt idx="32">
                  <c:v>0.72765984522762028</c:v>
                </c:pt>
                <c:pt idx="33">
                  <c:v>0.68368331127270232</c:v>
                </c:pt>
                <c:pt idx="34">
                  <c:v>0.63580113723869502</c:v>
                </c:pt>
                <c:pt idx="35">
                  <c:v>0.58302593878345566</c:v>
                </c:pt>
                <c:pt idx="36">
                  <c:v>0.52385111332777667</c:v>
                </c:pt>
                <c:pt idx="37">
                  <c:v>0.45384515637179557</c:v>
                </c:pt>
                <c:pt idx="38">
                  <c:v>0.37056301844818029</c:v>
                </c:pt>
                <c:pt idx="39">
                  <c:v>0.26202762320166401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xVal>
          <c:yVal>
            <c:numRef>
              <c:f>'1 - ICET Data'!$N$64:$N$124</c:f>
              <c:numCache>
                <c:formatCode>#,##0</c:formatCode>
                <c:ptCount val="61"/>
                <c:pt idx="0" formatCode="General">
                  <c:v>0</c:v>
                </c:pt>
                <c:pt idx="1">
                  <c:v>1000</c:v>
                </c:pt>
                <c:pt idx="2" formatCode="General">
                  <c:v>2000</c:v>
                </c:pt>
                <c:pt idx="3">
                  <c:v>3000</c:v>
                </c:pt>
                <c:pt idx="4" formatCode="General">
                  <c:v>4000</c:v>
                </c:pt>
                <c:pt idx="5">
                  <c:v>5000</c:v>
                </c:pt>
                <c:pt idx="6" formatCode="General">
                  <c:v>6000</c:v>
                </c:pt>
                <c:pt idx="7">
                  <c:v>7000</c:v>
                </c:pt>
                <c:pt idx="8" formatCode="General">
                  <c:v>8000</c:v>
                </c:pt>
                <c:pt idx="9">
                  <c:v>9000</c:v>
                </c:pt>
                <c:pt idx="10" formatCode="General">
                  <c:v>10000</c:v>
                </c:pt>
                <c:pt idx="11">
                  <c:v>11000</c:v>
                </c:pt>
                <c:pt idx="12" formatCode="General">
                  <c:v>12000</c:v>
                </c:pt>
                <c:pt idx="13">
                  <c:v>13000</c:v>
                </c:pt>
                <c:pt idx="14" formatCode="General">
                  <c:v>14000</c:v>
                </c:pt>
                <c:pt idx="15">
                  <c:v>15000</c:v>
                </c:pt>
                <c:pt idx="16" formatCode="General">
                  <c:v>16000</c:v>
                </c:pt>
                <c:pt idx="17">
                  <c:v>17000</c:v>
                </c:pt>
                <c:pt idx="18" formatCode="General">
                  <c:v>18000</c:v>
                </c:pt>
                <c:pt idx="19">
                  <c:v>19000</c:v>
                </c:pt>
                <c:pt idx="20" formatCode="General">
                  <c:v>20000</c:v>
                </c:pt>
                <c:pt idx="21">
                  <c:v>21000</c:v>
                </c:pt>
                <c:pt idx="22" formatCode="General">
                  <c:v>22000</c:v>
                </c:pt>
                <c:pt idx="23">
                  <c:v>23000</c:v>
                </c:pt>
                <c:pt idx="24" formatCode="General">
                  <c:v>24000</c:v>
                </c:pt>
                <c:pt idx="25">
                  <c:v>25000</c:v>
                </c:pt>
                <c:pt idx="26" formatCode="General">
                  <c:v>26000</c:v>
                </c:pt>
                <c:pt idx="27">
                  <c:v>27000</c:v>
                </c:pt>
                <c:pt idx="28" formatCode="General">
                  <c:v>28000</c:v>
                </c:pt>
                <c:pt idx="29">
                  <c:v>29000</c:v>
                </c:pt>
                <c:pt idx="30" formatCode="General">
                  <c:v>30000</c:v>
                </c:pt>
                <c:pt idx="31">
                  <c:v>31000</c:v>
                </c:pt>
                <c:pt idx="32" formatCode="General">
                  <c:v>32000</c:v>
                </c:pt>
                <c:pt idx="33">
                  <c:v>33000</c:v>
                </c:pt>
                <c:pt idx="34" formatCode="General">
                  <c:v>34000</c:v>
                </c:pt>
                <c:pt idx="35">
                  <c:v>35000</c:v>
                </c:pt>
                <c:pt idx="36" formatCode="General">
                  <c:v>36000</c:v>
                </c:pt>
                <c:pt idx="37">
                  <c:v>37000</c:v>
                </c:pt>
                <c:pt idx="38" formatCode="General">
                  <c:v>38000</c:v>
                </c:pt>
                <c:pt idx="39">
                  <c:v>39000</c:v>
                </c:pt>
                <c:pt idx="40" formatCode="General">
                  <c:v>40000</c:v>
                </c:pt>
                <c:pt idx="41">
                  <c:v>41000</c:v>
                </c:pt>
                <c:pt idx="42" formatCode="General">
                  <c:v>42000</c:v>
                </c:pt>
                <c:pt idx="43">
                  <c:v>43000</c:v>
                </c:pt>
                <c:pt idx="44" formatCode="General">
                  <c:v>44000</c:v>
                </c:pt>
                <c:pt idx="45">
                  <c:v>45000</c:v>
                </c:pt>
                <c:pt idx="46" formatCode="General">
                  <c:v>46000</c:v>
                </c:pt>
                <c:pt idx="47">
                  <c:v>47000</c:v>
                </c:pt>
                <c:pt idx="48" formatCode="General">
                  <c:v>48000</c:v>
                </c:pt>
                <c:pt idx="49">
                  <c:v>49000</c:v>
                </c:pt>
                <c:pt idx="50" formatCode="General">
                  <c:v>50000</c:v>
                </c:pt>
                <c:pt idx="51">
                  <c:v>51000</c:v>
                </c:pt>
                <c:pt idx="52" formatCode="General">
                  <c:v>52000</c:v>
                </c:pt>
                <c:pt idx="53">
                  <c:v>53000</c:v>
                </c:pt>
                <c:pt idx="54" formatCode="General">
                  <c:v>54000</c:v>
                </c:pt>
                <c:pt idx="55">
                  <c:v>55000</c:v>
                </c:pt>
                <c:pt idx="56" formatCode="General">
                  <c:v>56000</c:v>
                </c:pt>
                <c:pt idx="57">
                  <c:v>57000</c:v>
                </c:pt>
                <c:pt idx="58" formatCode="General">
                  <c:v>58000</c:v>
                </c:pt>
                <c:pt idx="59">
                  <c:v>59000</c:v>
                </c:pt>
                <c:pt idx="60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57B-474F-8361-F1A3FE9F7B7D}"/>
            </c:ext>
          </c:extLst>
        </c:ser>
        <c:ser>
          <c:idx val="8"/>
          <c:order val="8"/>
          <c:tx>
            <c:strRef>
              <c:f>'1 - ICET Data'!$J$63</c:f>
              <c:strCache>
                <c:ptCount val="1"/>
                <c:pt idx="0">
                  <c:v>45000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'1 - ICET Data'!$J$64:$J$124</c:f>
              <c:numCache>
                <c:formatCode>General</c:formatCode>
                <c:ptCount val="61"/>
                <c:pt idx="0">
                  <c:v>1.5241738471111741</c:v>
                </c:pt>
                <c:pt idx="1">
                  <c:v>1.512351321294751</c:v>
                </c:pt>
                <c:pt idx="2">
                  <c:v>1.5002688435082872</c:v>
                </c:pt>
                <c:pt idx="3">
                  <c:v>1.4879165388280655</c:v>
                </c:pt>
                <c:pt idx="4">
                  <c:v>1.4752839560723356</c:v>
                </c:pt>
                <c:pt idx="5">
                  <c:v>1.4623600201571516</c:v>
                </c:pt>
                <c:pt idx="6">
                  <c:v>1.4491329792160343</c:v>
                </c:pt>
                <c:pt idx="7">
                  <c:v>1.4355903457549561</c:v>
                </c:pt>
                <c:pt idx="8">
                  <c:v>1.4217188309903364</c:v>
                </c:pt>
                <c:pt idx="9">
                  <c:v>1.4075042713688808</c:v>
                </c:pt>
                <c:pt idx="10">
                  <c:v>1.3929315460882821</c:v>
                </c:pt>
                <c:pt idx="11">
                  <c:v>1.3779844842194588</c:v>
                </c:pt>
                <c:pt idx="12">
                  <c:v>1.3626457597645487</c:v>
                </c:pt>
                <c:pt idx="13">
                  <c:v>1.3468967726578267</c:v>
                </c:pt>
                <c:pt idx="14">
                  <c:v>1.3307175133129538</c:v>
                </c:pt>
                <c:pt idx="15">
                  <c:v>1.3140864078183789</c:v>
                </c:pt>
                <c:pt idx="16">
                  <c:v>1.2969801402554963</c:v>
                </c:pt>
                <c:pt idx="17">
                  <c:v>1.2793734478242809</c:v>
                </c:pt>
                <c:pt idx="18">
                  <c:v>1.2612388834589798</c:v>
                </c:pt>
                <c:pt idx="19">
                  <c:v>1.2425465393348347</c:v>
                </c:pt>
                <c:pt idx="20">
                  <c:v>1.2232637230137282</c:v>
                </c:pt>
                <c:pt idx="21">
                  <c:v>1.2033545758250113</c:v>
                </c:pt>
                <c:pt idx="22">
                  <c:v>1.1827796202494945</c:v>
                </c:pt>
                <c:pt idx="23">
                  <c:v>1.1614952193175658</c:v>
                </c:pt>
                <c:pt idx="24">
                  <c:v>1.1394529259843575</c:v>
                </c:pt>
                <c:pt idx="25">
                  <c:v>1.1165986935778514</c:v>
                </c:pt>
                <c:pt idx="26">
                  <c:v>1.0928719089479868</c:v>
                </c:pt>
                <c:pt idx="27">
                  <c:v>1.0682041966981586</c:v>
                </c:pt>
                <c:pt idx="28">
                  <c:v>1.0425179240461986</c:v>
                </c:pt>
                <c:pt idx="29">
                  <c:v>1.0157243086042782</c:v>
                </c:pt>
                <c:pt idx="30">
                  <c:v>0.98772099113734724</c:v>
                </c:pt>
                <c:pt idx="31">
                  <c:v>0.95838887467278211</c:v>
                </c:pt>
                <c:pt idx="32">
                  <c:v>0.92758793751838531</c:v>
                </c:pt>
                <c:pt idx="33">
                  <c:v>0.89515157865291817</c:v>
                </c:pt>
                <c:pt idx="34">
                  <c:v>0.8608788094397295</c:v>
                </c:pt>
                <c:pt idx="35">
                  <c:v>0.82452318984286876</c:v>
                </c:pt>
                <c:pt idx="36">
                  <c:v>0.78577666999166507</c:v>
                </c:pt>
                <c:pt idx="37">
                  <c:v>0.74112603689636058</c:v>
                </c:pt>
                <c:pt idx="38">
                  <c:v>0.69325992762094102</c:v>
                </c:pt>
                <c:pt idx="39">
                  <c:v>0.64183397535833142</c:v>
                </c:pt>
                <c:pt idx="40">
                  <c:v>0.5859115774616217</c:v>
                </c:pt>
                <c:pt idx="41">
                  <c:v>0.52405524640332801</c:v>
                </c:pt>
                <c:pt idx="42">
                  <c:v>0.45384515637179557</c:v>
                </c:pt>
                <c:pt idx="43">
                  <c:v>0.37056301844818029</c:v>
                </c:pt>
                <c:pt idx="44">
                  <c:v>0.26202762320166401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xVal>
          <c:yVal>
            <c:numRef>
              <c:f>'1 - ICET Data'!$N$64:$N$124</c:f>
              <c:numCache>
                <c:formatCode>#,##0</c:formatCode>
                <c:ptCount val="61"/>
                <c:pt idx="0" formatCode="General">
                  <c:v>0</c:v>
                </c:pt>
                <c:pt idx="1">
                  <c:v>1000</c:v>
                </c:pt>
                <c:pt idx="2" formatCode="General">
                  <c:v>2000</c:v>
                </c:pt>
                <c:pt idx="3">
                  <c:v>3000</c:v>
                </c:pt>
                <c:pt idx="4" formatCode="General">
                  <c:v>4000</c:v>
                </c:pt>
                <c:pt idx="5">
                  <c:v>5000</c:v>
                </c:pt>
                <c:pt idx="6" formatCode="General">
                  <c:v>6000</c:v>
                </c:pt>
                <c:pt idx="7">
                  <c:v>7000</c:v>
                </c:pt>
                <c:pt idx="8" formatCode="General">
                  <c:v>8000</c:v>
                </c:pt>
                <c:pt idx="9">
                  <c:v>9000</c:v>
                </c:pt>
                <c:pt idx="10" formatCode="General">
                  <c:v>10000</c:v>
                </c:pt>
                <c:pt idx="11">
                  <c:v>11000</c:v>
                </c:pt>
                <c:pt idx="12" formatCode="General">
                  <c:v>12000</c:v>
                </c:pt>
                <c:pt idx="13">
                  <c:v>13000</c:v>
                </c:pt>
                <c:pt idx="14" formatCode="General">
                  <c:v>14000</c:v>
                </c:pt>
                <c:pt idx="15">
                  <c:v>15000</c:v>
                </c:pt>
                <c:pt idx="16" formatCode="General">
                  <c:v>16000</c:v>
                </c:pt>
                <c:pt idx="17">
                  <c:v>17000</c:v>
                </c:pt>
                <c:pt idx="18" formatCode="General">
                  <c:v>18000</c:v>
                </c:pt>
                <c:pt idx="19">
                  <c:v>19000</c:v>
                </c:pt>
                <c:pt idx="20" formatCode="General">
                  <c:v>20000</c:v>
                </c:pt>
                <c:pt idx="21">
                  <c:v>21000</c:v>
                </c:pt>
                <c:pt idx="22" formatCode="General">
                  <c:v>22000</c:v>
                </c:pt>
                <c:pt idx="23">
                  <c:v>23000</c:v>
                </c:pt>
                <c:pt idx="24" formatCode="General">
                  <c:v>24000</c:v>
                </c:pt>
                <c:pt idx="25">
                  <c:v>25000</c:v>
                </c:pt>
                <c:pt idx="26" formatCode="General">
                  <c:v>26000</c:v>
                </c:pt>
                <c:pt idx="27">
                  <c:v>27000</c:v>
                </c:pt>
                <c:pt idx="28" formatCode="General">
                  <c:v>28000</c:v>
                </c:pt>
                <c:pt idx="29">
                  <c:v>29000</c:v>
                </c:pt>
                <c:pt idx="30" formatCode="General">
                  <c:v>30000</c:v>
                </c:pt>
                <c:pt idx="31">
                  <c:v>31000</c:v>
                </c:pt>
                <c:pt idx="32" formatCode="General">
                  <c:v>32000</c:v>
                </c:pt>
                <c:pt idx="33">
                  <c:v>33000</c:v>
                </c:pt>
                <c:pt idx="34" formatCode="General">
                  <c:v>34000</c:v>
                </c:pt>
                <c:pt idx="35">
                  <c:v>35000</c:v>
                </c:pt>
                <c:pt idx="36" formatCode="General">
                  <c:v>36000</c:v>
                </c:pt>
                <c:pt idx="37">
                  <c:v>37000</c:v>
                </c:pt>
                <c:pt idx="38" formatCode="General">
                  <c:v>38000</c:v>
                </c:pt>
                <c:pt idx="39">
                  <c:v>39000</c:v>
                </c:pt>
                <c:pt idx="40" formatCode="General">
                  <c:v>40000</c:v>
                </c:pt>
                <c:pt idx="41">
                  <c:v>41000</c:v>
                </c:pt>
                <c:pt idx="42" formatCode="General">
                  <c:v>42000</c:v>
                </c:pt>
                <c:pt idx="43">
                  <c:v>43000</c:v>
                </c:pt>
                <c:pt idx="44" formatCode="General">
                  <c:v>44000</c:v>
                </c:pt>
                <c:pt idx="45">
                  <c:v>45000</c:v>
                </c:pt>
                <c:pt idx="46" formatCode="General">
                  <c:v>46000</c:v>
                </c:pt>
                <c:pt idx="47">
                  <c:v>47000</c:v>
                </c:pt>
                <c:pt idx="48" formatCode="General">
                  <c:v>48000</c:v>
                </c:pt>
                <c:pt idx="49">
                  <c:v>49000</c:v>
                </c:pt>
                <c:pt idx="50" formatCode="General">
                  <c:v>50000</c:v>
                </c:pt>
                <c:pt idx="51">
                  <c:v>51000</c:v>
                </c:pt>
                <c:pt idx="52" formatCode="General">
                  <c:v>52000</c:v>
                </c:pt>
                <c:pt idx="53">
                  <c:v>53000</c:v>
                </c:pt>
                <c:pt idx="54" formatCode="General">
                  <c:v>54000</c:v>
                </c:pt>
                <c:pt idx="55">
                  <c:v>55000</c:v>
                </c:pt>
                <c:pt idx="56" formatCode="General">
                  <c:v>56000</c:v>
                </c:pt>
                <c:pt idx="57">
                  <c:v>57000</c:v>
                </c:pt>
                <c:pt idx="58" formatCode="General">
                  <c:v>58000</c:v>
                </c:pt>
                <c:pt idx="59">
                  <c:v>59000</c:v>
                </c:pt>
                <c:pt idx="60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57B-474F-8361-F1A3FE9F7B7D}"/>
            </c:ext>
          </c:extLst>
        </c:ser>
        <c:ser>
          <c:idx val="9"/>
          <c:order val="9"/>
          <c:tx>
            <c:strRef>
              <c:f>'1 - ICET Data'!$K$63</c:f>
              <c:strCache>
                <c:ptCount val="1"/>
                <c:pt idx="0">
                  <c:v>50000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'1 - ICET Data'!$K$64:$K$124</c:f>
              <c:numCache>
                <c:formatCode>General</c:formatCode>
                <c:ptCount val="61"/>
                <c:pt idx="0">
                  <c:v>1.6066203023108536</c:v>
                </c:pt>
                <c:pt idx="1">
                  <c:v>1.5959687812513821</c:v>
                </c:pt>
                <c:pt idx="2">
                  <c:v>1.5850956755987604</c:v>
                </c:pt>
                <c:pt idx="3">
                  <c:v>1.5739932114450195</c:v>
                </c:pt>
                <c:pt idx="4">
                  <c:v>1.5626532045713719</c:v>
                </c:pt>
                <c:pt idx="5">
                  <c:v>1.5510670301838274</c:v>
                </c:pt>
                <c:pt idx="6">
                  <c:v>1.5392255897030198</c:v>
                </c:pt>
                <c:pt idx="7">
                  <c:v>1.5271192742466027</c:v>
                </c:pt>
                <c:pt idx="8">
                  <c:v>1.5147379243884758</c:v>
                </c:pt>
                <c:pt idx="9">
                  <c:v>1.5020707857153903</c:v>
                </c:pt>
                <c:pt idx="10">
                  <c:v>1.4891064596261907</c:v>
                </c:pt>
                <c:pt idx="11">
                  <c:v>1.4758328487295609</c:v>
                </c:pt>
                <c:pt idx="12">
                  <c:v>1.4622370960896574</c:v>
                </c:pt>
                <c:pt idx="13">
                  <c:v>1.448305517441574</c:v>
                </c:pt>
                <c:pt idx="14">
                  <c:v>1.4340235253453517</c:v>
                </c:pt>
                <c:pt idx="15">
                  <c:v>1.4193755440621929</c:v>
                </c:pt>
                <c:pt idx="16">
                  <c:v>1.4043449137118711</c:v>
                </c:pt>
                <c:pt idx="17">
                  <c:v>1.3889137819961399</c:v>
                </c:pt>
                <c:pt idx="18">
                  <c:v>1.3730629814364796</c:v>
                </c:pt>
                <c:pt idx="19">
                  <c:v>1.3567718896591701</c:v>
                </c:pt>
                <c:pt idx="20">
                  <c:v>1.3400182697447405</c:v>
                </c:pt>
                <c:pt idx="21">
                  <c:v>1.32277808701376</c:v>
                </c:pt>
                <c:pt idx="22">
                  <c:v>1.3050252978086216</c:v>
                </c:pt>
                <c:pt idx="23">
                  <c:v>1.2867316048004964</c:v>
                </c:pt>
                <c:pt idx="24">
                  <c:v>1.2678661720328928</c:v>
                </c:pt>
                <c:pt idx="25">
                  <c:v>1.2483952912137668</c:v>
                </c:pt>
                <c:pt idx="26">
                  <c:v>1.2282819885562626</c:v>
                </c:pt>
                <c:pt idx="27">
                  <c:v>1.2074855585610271</c:v>
                </c:pt>
                <c:pt idx="28">
                  <c:v>1.1859610072715934</c:v>
                </c:pt>
                <c:pt idx="29">
                  <c:v>1.1636583823464475</c:v>
                </c:pt>
                <c:pt idx="30">
                  <c:v>1.1405219602347827</c:v>
                </c:pt>
                <c:pt idx="31">
                  <c:v>1.1164892510145576</c:v>
                </c:pt>
                <c:pt idx="32">
                  <c:v>1.0914897678414304</c:v>
                </c:pt>
                <c:pt idx="33">
                  <c:v>1.065443488607827</c:v>
                </c:pt>
                <c:pt idx="34">
                  <c:v>1.0382589094107089</c:v>
                </c:pt>
                <c:pt idx="35">
                  <c:v>1.0098305481034873</c:v>
                </c:pt>
                <c:pt idx="36">
                  <c:v>0.98003569387631428</c:v>
                </c:pt>
                <c:pt idx="37">
                  <c:v>0.94475403104155709</c:v>
                </c:pt>
                <c:pt idx="38">
                  <c:v>0.90769031274359113</c:v>
                </c:pt>
                <c:pt idx="39">
                  <c:v>0.86904731086854259</c:v>
                </c:pt>
                <c:pt idx="40">
                  <c:v>0.82860409919763967</c:v>
                </c:pt>
                <c:pt idx="41">
                  <c:v>0.78608286960499196</c:v>
                </c:pt>
                <c:pt idx="42">
                  <c:v>0.74112603689636058</c:v>
                </c:pt>
                <c:pt idx="43">
                  <c:v>0.69325992762094102</c:v>
                </c:pt>
                <c:pt idx="44">
                  <c:v>0.64183397535833142</c:v>
                </c:pt>
                <c:pt idx="45">
                  <c:v>0.5859115774616217</c:v>
                </c:pt>
                <c:pt idx="46">
                  <c:v>0.52405524640332801</c:v>
                </c:pt>
                <c:pt idx="47">
                  <c:v>0.45384515637179557</c:v>
                </c:pt>
                <c:pt idx="48">
                  <c:v>0.37056301844818029</c:v>
                </c:pt>
                <c:pt idx="49">
                  <c:v>0.26202762320166401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xVal>
          <c:yVal>
            <c:numRef>
              <c:f>'1 - ICET Data'!$N$64:$N$124</c:f>
              <c:numCache>
                <c:formatCode>#,##0</c:formatCode>
                <c:ptCount val="61"/>
                <c:pt idx="0" formatCode="General">
                  <c:v>0</c:v>
                </c:pt>
                <c:pt idx="1">
                  <c:v>1000</c:v>
                </c:pt>
                <c:pt idx="2" formatCode="General">
                  <c:v>2000</c:v>
                </c:pt>
                <c:pt idx="3">
                  <c:v>3000</c:v>
                </c:pt>
                <c:pt idx="4" formatCode="General">
                  <c:v>4000</c:v>
                </c:pt>
                <c:pt idx="5">
                  <c:v>5000</c:v>
                </c:pt>
                <c:pt idx="6" formatCode="General">
                  <c:v>6000</c:v>
                </c:pt>
                <c:pt idx="7">
                  <c:v>7000</c:v>
                </c:pt>
                <c:pt idx="8" formatCode="General">
                  <c:v>8000</c:v>
                </c:pt>
                <c:pt idx="9">
                  <c:v>9000</c:v>
                </c:pt>
                <c:pt idx="10" formatCode="General">
                  <c:v>10000</c:v>
                </c:pt>
                <c:pt idx="11">
                  <c:v>11000</c:v>
                </c:pt>
                <c:pt idx="12" formatCode="General">
                  <c:v>12000</c:v>
                </c:pt>
                <c:pt idx="13">
                  <c:v>13000</c:v>
                </c:pt>
                <c:pt idx="14" formatCode="General">
                  <c:v>14000</c:v>
                </c:pt>
                <c:pt idx="15">
                  <c:v>15000</c:v>
                </c:pt>
                <c:pt idx="16" formatCode="General">
                  <c:v>16000</c:v>
                </c:pt>
                <c:pt idx="17">
                  <c:v>17000</c:v>
                </c:pt>
                <c:pt idx="18" formatCode="General">
                  <c:v>18000</c:v>
                </c:pt>
                <c:pt idx="19">
                  <c:v>19000</c:v>
                </c:pt>
                <c:pt idx="20" formatCode="General">
                  <c:v>20000</c:v>
                </c:pt>
                <c:pt idx="21">
                  <c:v>21000</c:v>
                </c:pt>
                <c:pt idx="22" formatCode="General">
                  <c:v>22000</c:v>
                </c:pt>
                <c:pt idx="23">
                  <c:v>23000</c:v>
                </c:pt>
                <c:pt idx="24" formatCode="General">
                  <c:v>24000</c:v>
                </c:pt>
                <c:pt idx="25">
                  <c:v>25000</c:v>
                </c:pt>
                <c:pt idx="26" formatCode="General">
                  <c:v>26000</c:v>
                </c:pt>
                <c:pt idx="27">
                  <c:v>27000</c:v>
                </c:pt>
                <c:pt idx="28" formatCode="General">
                  <c:v>28000</c:v>
                </c:pt>
                <c:pt idx="29">
                  <c:v>29000</c:v>
                </c:pt>
                <c:pt idx="30" formatCode="General">
                  <c:v>30000</c:v>
                </c:pt>
                <c:pt idx="31">
                  <c:v>31000</c:v>
                </c:pt>
                <c:pt idx="32" formatCode="General">
                  <c:v>32000</c:v>
                </c:pt>
                <c:pt idx="33">
                  <c:v>33000</c:v>
                </c:pt>
                <c:pt idx="34" formatCode="General">
                  <c:v>34000</c:v>
                </c:pt>
                <c:pt idx="35">
                  <c:v>35000</c:v>
                </c:pt>
                <c:pt idx="36" formatCode="General">
                  <c:v>36000</c:v>
                </c:pt>
                <c:pt idx="37">
                  <c:v>37000</c:v>
                </c:pt>
                <c:pt idx="38" formatCode="General">
                  <c:v>38000</c:v>
                </c:pt>
                <c:pt idx="39">
                  <c:v>39000</c:v>
                </c:pt>
                <c:pt idx="40" formatCode="General">
                  <c:v>40000</c:v>
                </c:pt>
                <c:pt idx="41">
                  <c:v>41000</c:v>
                </c:pt>
                <c:pt idx="42" formatCode="General">
                  <c:v>42000</c:v>
                </c:pt>
                <c:pt idx="43">
                  <c:v>43000</c:v>
                </c:pt>
                <c:pt idx="44" formatCode="General">
                  <c:v>44000</c:v>
                </c:pt>
                <c:pt idx="45">
                  <c:v>45000</c:v>
                </c:pt>
                <c:pt idx="46" formatCode="General">
                  <c:v>46000</c:v>
                </c:pt>
                <c:pt idx="47">
                  <c:v>47000</c:v>
                </c:pt>
                <c:pt idx="48" formatCode="General">
                  <c:v>48000</c:v>
                </c:pt>
                <c:pt idx="49">
                  <c:v>49000</c:v>
                </c:pt>
                <c:pt idx="50" formatCode="General">
                  <c:v>50000</c:v>
                </c:pt>
                <c:pt idx="51">
                  <c:v>51000</c:v>
                </c:pt>
                <c:pt idx="52" formatCode="General">
                  <c:v>52000</c:v>
                </c:pt>
                <c:pt idx="53">
                  <c:v>53000</c:v>
                </c:pt>
                <c:pt idx="54" formatCode="General">
                  <c:v>54000</c:v>
                </c:pt>
                <c:pt idx="55">
                  <c:v>55000</c:v>
                </c:pt>
                <c:pt idx="56" formatCode="General">
                  <c:v>56000</c:v>
                </c:pt>
                <c:pt idx="57">
                  <c:v>57000</c:v>
                </c:pt>
                <c:pt idx="58" formatCode="General">
                  <c:v>58000</c:v>
                </c:pt>
                <c:pt idx="59">
                  <c:v>59000</c:v>
                </c:pt>
                <c:pt idx="60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57B-474F-8361-F1A3FE9F7B7D}"/>
            </c:ext>
          </c:extLst>
        </c:ser>
        <c:ser>
          <c:idx val="10"/>
          <c:order val="10"/>
          <c:tx>
            <c:strRef>
              <c:f>'1 - ICET Data'!$L$63</c:f>
              <c:strCache>
                <c:ptCount val="1"/>
                <c:pt idx="0">
                  <c:v>55000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'1 - ICET Data'!$L$64:$L$124</c:f>
              <c:numCache>
                <c:formatCode>General</c:formatCode>
                <c:ptCount val="61"/>
                <c:pt idx="0">
                  <c:v>1.685037588713427</c:v>
                </c:pt>
                <c:pt idx="1">
                  <c:v>1.675418211204613</c:v>
                </c:pt>
                <c:pt idx="2">
                  <c:v>1.6656079967393551</c:v>
                </c:pt>
                <c:pt idx="3">
                  <c:v>1.6556006864071786</c:v>
                </c:pt>
                <c:pt idx="4">
                  <c:v>1.6453897181123731</c:v>
                </c:pt>
                <c:pt idx="5">
                  <c:v>1.6349682063246769</c:v>
                </c:pt>
                <c:pt idx="6">
                  <c:v>1.624328920059505</c:v>
                </c:pt>
                <c:pt idx="7">
                  <c:v>1.6134642588933004</c:v>
                </c:pt>
                <c:pt idx="8">
                  <c:v>1.60236622679364</c:v>
                </c:pt>
                <c:pt idx="9">
                  <c:v>1.5910264035136739</c:v>
                </c:pt>
                <c:pt idx="10">
                  <c:v>1.5794359132655571</c:v>
                </c:pt>
                <c:pt idx="11">
                  <c:v>1.5675853903468395</c:v>
                </c:pt>
                <c:pt idx="12">
                  <c:v>1.5554649413461954</c:v>
                </c:pt>
                <c:pt idx="13">
                  <c:v>1.5430641034990544</c:v>
                </c:pt>
                <c:pt idx="14">
                  <c:v>1.5303717986979533</c:v>
                </c:pt>
                <c:pt idx="15">
                  <c:v>1.5173762825847386</c:v>
                </c:pt>
                <c:pt idx="16">
                  <c:v>1.504065088059569</c:v>
                </c:pt>
                <c:pt idx="17">
                  <c:v>1.4904249624318073</c:v>
                </c:pt>
                <c:pt idx="18">
                  <c:v>1.4764417973064887</c:v>
                </c:pt>
                <c:pt idx="19">
                  <c:v>1.4621005501420401</c:v>
                </c:pt>
                <c:pt idx="20">
                  <c:v>1.4473851562241371</c:v>
                </c:pt>
                <c:pt idx="21">
                  <c:v>1.4322784295689763</c:v>
                </c:pt>
                <c:pt idx="22">
                  <c:v>1.4167619509866236</c:v>
                </c:pt>
                <c:pt idx="23">
                  <c:v>1.4008159411883352</c:v>
                </c:pt>
                <c:pt idx="24">
                  <c:v>1.3844191163937198</c:v>
                </c:pt>
                <c:pt idx="25">
                  <c:v>1.3675485233620219</c:v>
                </c:pt>
                <c:pt idx="26">
                  <c:v>1.3501793501071762</c:v>
                </c:pt>
                <c:pt idx="27">
                  <c:v>1.3322847077195299</c:v>
                </c:pt>
                <c:pt idx="28">
                  <c:v>1.3138353776557055</c:v>
                </c:pt>
                <c:pt idx="29">
                  <c:v>1.2947995175009384</c:v>
                </c:pt>
                <c:pt idx="30">
                  <c:v>1.275142316458143</c:v>
                </c:pt>
                <c:pt idx="31">
                  <c:v>1.2548255895404485</c:v>
                </c:pt>
                <c:pt idx="32">
                  <c:v>1.2338072964508953</c:v>
                </c:pt>
                <c:pt idx="33">
                  <c:v>1.2120409671578023</c:v>
                </c:pt>
                <c:pt idx="34">
                  <c:v>1.1894750108342178</c:v>
                </c:pt>
                <c:pt idx="35">
                  <c:v>1.1660518775669113</c:v>
                </c:pt>
                <c:pt idx="36">
                  <c:v>1.1417070322285257</c:v>
                </c:pt>
                <c:pt idx="37">
                  <c:v>1.1116890553445407</c:v>
                </c:pt>
                <c:pt idx="38">
                  <c:v>1.0803675672900055</c:v>
                </c:pt>
                <c:pt idx="39">
                  <c:v>1.048110492806656</c:v>
                </c:pt>
                <c:pt idx="40">
                  <c:v>1.0148286209063568</c:v>
                </c:pt>
                <c:pt idx="41">
                  <c:v>0.98041759189132494</c:v>
                </c:pt>
                <c:pt idx="42">
                  <c:v>0.94475403104155709</c:v>
                </c:pt>
                <c:pt idx="43">
                  <c:v>0.90769031274359113</c:v>
                </c:pt>
                <c:pt idx="44">
                  <c:v>0.86904731086854259</c:v>
                </c:pt>
                <c:pt idx="45">
                  <c:v>0.82860409919763967</c:v>
                </c:pt>
                <c:pt idx="46">
                  <c:v>0.78608286960499196</c:v>
                </c:pt>
                <c:pt idx="47">
                  <c:v>0.74112603689636058</c:v>
                </c:pt>
                <c:pt idx="48">
                  <c:v>0.69325992762094102</c:v>
                </c:pt>
                <c:pt idx="49">
                  <c:v>0.64183397535833142</c:v>
                </c:pt>
                <c:pt idx="50">
                  <c:v>0.5859115774616217</c:v>
                </c:pt>
                <c:pt idx="51">
                  <c:v>0.52405524640332801</c:v>
                </c:pt>
                <c:pt idx="52">
                  <c:v>0.45384515637179557</c:v>
                </c:pt>
                <c:pt idx="53">
                  <c:v>0.37056301844818029</c:v>
                </c:pt>
                <c:pt idx="54">
                  <c:v>0.26202762320166401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xVal>
          <c:yVal>
            <c:numRef>
              <c:f>'1 - ICET Data'!$N$64:$N$124</c:f>
              <c:numCache>
                <c:formatCode>#,##0</c:formatCode>
                <c:ptCount val="61"/>
                <c:pt idx="0" formatCode="General">
                  <c:v>0</c:v>
                </c:pt>
                <c:pt idx="1">
                  <c:v>1000</c:v>
                </c:pt>
                <c:pt idx="2" formatCode="General">
                  <c:v>2000</c:v>
                </c:pt>
                <c:pt idx="3">
                  <c:v>3000</c:v>
                </c:pt>
                <c:pt idx="4" formatCode="General">
                  <c:v>4000</c:v>
                </c:pt>
                <c:pt idx="5">
                  <c:v>5000</c:v>
                </c:pt>
                <c:pt idx="6" formatCode="General">
                  <c:v>6000</c:v>
                </c:pt>
                <c:pt idx="7">
                  <c:v>7000</c:v>
                </c:pt>
                <c:pt idx="8" formatCode="General">
                  <c:v>8000</c:v>
                </c:pt>
                <c:pt idx="9">
                  <c:v>9000</c:v>
                </c:pt>
                <c:pt idx="10" formatCode="General">
                  <c:v>10000</c:v>
                </c:pt>
                <c:pt idx="11">
                  <c:v>11000</c:v>
                </c:pt>
                <c:pt idx="12" formatCode="General">
                  <c:v>12000</c:v>
                </c:pt>
                <c:pt idx="13">
                  <c:v>13000</c:v>
                </c:pt>
                <c:pt idx="14" formatCode="General">
                  <c:v>14000</c:v>
                </c:pt>
                <c:pt idx="15">
                  <c:v>15000</c:v>
                </c:pt>
                <c:pt idx="16" formatCode="General">
                  <c:v>16000</c:v>
                </c:pt>
                <c:pt idx="17">
                  <c:v>17000</c:v>
                </c:pt>
                <c:pt idx="18" formatCode="General">
                  <c:v>18000</c:v>
                </c:pt>
                <c:pt idx="19">
                  <c:v>19000</c:v>
                </c:pt>
                <c:pt idx="20" formatCode="General">
                  <c:v>20000</c:v>
                </c:pt>
                <c:pt idx="21">
                  <c:v>21000</c:v>
                </c:pt>
                <c:pt idx="22" formatCode="General">
                  <c:v>22000</c:v>
                </c:pt>
                <c:pt idx="23">
                  <c:v>23000</c:v>
                </c:pt>
                <c:pt idx="24" formatCode="General">
                  <c:v>24000</c:v>
                </c:pt>
                <c:pt idx="25">
                  <c:v>25000</c:v>
                </c:pt>
                <c:pt idx="26" formatCode="General">
                  <c:v>26000</c:v>
                </c:pt>
                <c:pt idx="27">
                  <c:v>27000</c:v>
                </c:pt>
                <c:pt idx="28" formatCode="General">
                  <c:v>28000</c:v>
                </c:pt>
                <c:pt idx="29">
                  <c:v>29000</c:v>
                </c:pt>
                <c:pt idx="30" formatCode="General">
                  <c:v>30000</c:v>
                </c:pt>
                <c:pt idx="31">
                  <c:v>31000</c:v>
                </c:pt>
                <c:pt idx="32" formatCode="General">
                  <c:v>32000</c:v>
                </c:pt>
                <c:pt idx="33">
                  <c:v>33000</c:v>
                </c:pt>
                <c:pt idx="34" formatCode="General">
                  <c:v>34000</c:v>
                </c:pt>
                <c:pt idx="35">
                  <c:v>35000</c:v>
                </c:pt>
                <c:pt idx="36" formatCode="General">
                  <c:v>36000</c:v>
                </c:pt>
                <c:pt idx="37">
                  <c:v>37000</c:v>
                </c:pt>
                <c:pt idx="38" formatCode="General">
                  <c:v>38000</c:v>
                </c:pt>
                <c:pt idx="39">
                  <c:v>39000</c:v>
                </c:pt>
                <c:pt idx="40" formatCode="General">
                  <c:v>40000</c:v>
                </c:pt>
                <c:pt idx="41">
                  <c:v>41000</c:v>
                </c:pt>
                <c:pt idx="42" formatCode="General">
                  <c:v>42000</c:v>
                </c:pt>
                <c:pt idx="43">
                  <c:v>43000</c:v>
                </c:pt>
                <c:pt idx="44" formatCode="General">
                  <c:v>44000</c:v>
                </c:pt>
                <c:pt idx="45">
                  <c:v>45000</c:v>
                </c:pt>
                <c:pt idx="46" formatCode="General">
                  <c:v>46000</c:v>
                </c:pt>
                <c:pt idx="47">
                  <c:v>47000</c:v>
                </c:pt>
                <c:pt idx="48" formatCode="General">
                  <c:v>48000</c:v>
                </c:pt>
                <c:pt idx="49">
                  <c:v>49000</c:v>
                </c:pt>
                <c:pt idx="50" formatCode="General">
                  <c:v>50000</c:v>
                </c:pt>
                <c:pt idx="51">
                  <c:v>51000</c:v>
                </c:pt>
                <c:pt idx="52" formatCode="General">
                  <c:v>52000</c:v>
                </c:pt>
                <c:pt idx="53">
                  <c:v>53000</c:v>
                </c:pt>
                <c:pt idx="54" formatCode="General">
                  <c:v>54000</c:v>
                </c:pt>
                <c:pt idx="55">
                  <c:v>55000</c:v>
                </c:pt>
                <c:pt idx="56" formatCode="General">
                  <c:v>56000</c:v>
                </c:pt>
                <c:pt idx="57">
                  <c:v>57000</c:v>
                </c:pt>
                <c:pt idx="58" formatCode="General">
                  <c:v>58000</c:v>
                </c:pt>
                <c:pt idx="59">
                  <c:v>59000</c:v>
                </c:pt>
                <c:pt idx="60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57B-474F-8361-F1A3FE9F7B7D}"/>
            </c:ext>
          </c:extLst>
        </c:ser>
        <c:ser>
          <c:idx val="11"/>
          <c:order val="11"/>
          <c:tx>
            <c:strRef>
              <c:f>'1 - ICET Data'!$M$63</c:f>
              <c:strCache>
                <c:ptCount val="1"/>
                <c:pt idx="0">
                  <c:v>60000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'1 - ICET Data'!$M$64:$M$124</c:f>
              <c:numCache>
                <c:formatCode>General</c:formatCode>
                <c:ptCount val="61"/>
                <c:pt idx="0">
                  <c:v>1.7599643618428478</c:v>
                </c:pt>
                <c:pt idx="1">
                  <c:v>1.7512669739771571</c:v>
                </c:pt>
                <c:pt idx="2">
                  <c:v>1.7424039993073606</c:v>
                </c:pt>
                <c:pt idx="3">
                  <c:v>1.7333703112690135</c:v>
                </c:pt>
                <c:pt idx="4">
                  <c:v>1.7241605526118069</c:v>
                </c:pt>
                <c:pt idx="5">
                  <c:v>1.7147691212702028</c:v>
                </c:pt>
                <c:pt idx="6">
                  <c:v>1.705190155110786</c:v>
                </c:pt>
                <c:pt idx="7">
                  <c:v>1.6954175154447189</c:v>
                </c:pt>
                <c:pt idx="8">
                  <c:v>1.6854447691802501</c:v>
                </c:pt>
                <c:pt idx="9">
                  <c:v>1.6752651694748693</c:v>
                </c:pt>
                <c:pt idx="10">
                  <c:v>1.6648716347291044</c:v>
                </c:pt>
                <c:pt idx="11">
                  <c:v>1.654256725743769</c:v>
                </c:pt>
                <c:pt idx="12">
                  <c:v>1.6434126208391895</c:v>
                </c:pt>
                <c:pt idx="13">
                  <c:v>1.6323310887081017</c:v>
                </c:pt>
                <c:pt idx="14">
                  <c:v>1.6210034587427959</c:v>
                </c:pt>
                <c:pt idx="15">
                  <c:v>1.6094205885409556</c:v>
                </c:pt>
                <c:pt idx="16">
                  <c:v>1.5975728282525572</c:v>
                </c:pt>
                <c:pt idx="17">
                  <c:v>1.5854499813809604</c:v>
                </c:pt>
                <c:pt idx="18">
                  <c:v>1.5730412615936031</c:v>
                </c:pt>
                <c:pt idx="19">
                  <c:v>1.5603352450297332</c:v>
                </c:pt>
                <c:pt idx="20">
                  <c:v>1.5473198175122851</c:v>
                </c:pt>
                <c:pt idx="21">
                  <c:v>1.5339821159757252</c:v>
                </c:pt>
                <c:pt idx="22">
                  <c:v>1.5203084633081432</c:v>
                </c:pt>
                <c:pt idx="23">
                  <c:v>1.5062842956700642</c:v>
                </c:pt>
                <c:pt idx="24">
                  <c:v>1.4918940811892094</c:v>
                </c:pt>
                <c:pt idx="25">
                  <c:v>1.4771212287333049</c:v>
                </c:pt>
                <c:pt idx="26">
                  <c:v>1.4619479852238062</c:v>
                </c:pt>
                <c:pt idx="27">
                  <c:v>1.4463553196615242</c:v>
                </c:pt>
                <c:pt idx="28">
                  <c:v>1.4303227916770282</c:v>
                </c:pt>
                <c:pt idx="29">
                  <c:v>1.4138284019767657</c:v>
                </c:pt>
                <c:pt idx="30">
                  <c:v>1.396848421507032</c:v>
                </c:pt>
                <c:pt idx="31">
                  <c:v>1.3793571954718691</c:v>
                </c:pt>
                <c:pt idx="32">
                  <c:v>1.3613269174773543</c:v>
                </c:pt>
                <c:pt idx="33">
                  <c:v>1.3427273679793774</c:v>
                </c:pt>
                <c:pt idx="34">
                  <c:v>1.3235256098116919</c:v>
                </c:pt>
                <c:pt idx="35">
                  <c:v>1.3036856317654379</c:v>
                </c:pt>
                <c:pt idx="36">
                  <c:v>1.2831679288419371</c:v>
                </c:pt>
                <c:pt idx="37">
                  <c:v>1.2566403353292475</c:v>
                </c:pt>
                <c:pt idx="38">
                  <c:v>1.2290184933741599</c:v>
                </c:pt>
                <c:pt idx="39">
                  <c:v>1.2007614174909924</c:v>
                </c:pt>
                <c:pt idx="40">
                  <c:v>1.1718231549232434</c:v>
                </c:pt>
                <c:pt idx="41">
                  <c:v>1.1421519299522067</c:v>
                </c:pt>
                <c:pt idx="42">
                  <c:v>1.1116890553445407</c:v>
                </c:pt>
                <c:pt idx="43">
                  <c:v>1.0803675672900055</c:v>
                </c:pt>
                <c:pt idx="44">
                  <c:v>1.048110492806656</c:v>
                </c:pt>
                <c:pt idx="45">
                  <c:v>1.0148286209063568</c:v>
                </c:pt>
                <c:pt idx="46">
                  <c:v>0.98041759189132494</c:v>
                </c:pt>
                <c:pt idx="47">
                  <c:v>0.94475403104155709</c:v>
                </c:pt>
                <c:pt idx="48">
                  <c:v>0.90769031274359113</c:v>
                </c:pt>
                <c:pt idx="49">
                  <c:v>0.86904731086854259</c:v>
                </c:pt>
                <c:pt idx="50">
                  <c:v>0.82860409919763967</c:v>
                </c:pt>
                <c:pt idx="51">
                  <c:v>0.78608286960499196</c:v>
                </c:pt>
                <c:pt idx="52">
                  <c:v>0.74112603689636058</c:v>
                </c:pt>
                <c:pt idx="53">
                  <c:v>0.69325992762094102</c:v>
                </c:pt>
                <c:pt idx="54">
                  <c:v>0.64183397535833142</c:v>
                </c:pt>
                <c:pt idx="55">
                  <c:v>0.5859115774616217</c:v>
                </c:pt>
                <c:pt idx="56">
                  <c:v>0.52405524640332801</c:v>
                </c:pt>
                <c:pt idx="57">
                  <c:v>0.45384515637179557</c:v>
                </c:pt>
                <c:pt idx="58">
                  <c:v>0.37056301844818029</c:v>
                </c:pt>
                <c:pt idx="59">
                  <c:v>0.26202762320166401</c:v>
                </c:pt>
                <c:pt idx="60">
                  <c:v>0</c:v>
                </c:pt>
              </c:numCache>
            </c:numRef>
          </c:xVal>
          <c:yVal>
            <c:numRef>
              <c:f>'1 - ICET Data'!$N$64:$N$124</c:f>
              <c:numCache>
                <c:formatCode>#,##0</c:formatCode>
                <c:ptCount val="61"/>
                <c:pt idx="0" formatCode="General">
                  <c:v>0</c:v>
                </c:pt>
                <c:pt idx="1">
                  <c:v>1000</c:v>
                </c:pt>
                <c:pt idx="2" formatCode="General">
                  <c:v>2000</c:v>
                </c:pt>
                <c:pt idx="3">
                  <c:v>3000</c:v>
                </c:pt>
                <c:pt idx="4" formatCode="General">
                  <c:v>4000</c:v>
                </c:pt>
                <c:pt idx="5">
                  <c:v>5000</c:v>
                </c:pt>
                <c:pt idx="6" formatCode="General">
                  <c:v>6000</c:v>
                </c:pt>
                <c:pt idx="7">
                  <c:v>7000</c:v>
                </c:pt>
                <c:pt idx="8" formatCode="General">
                  <c:v>8000</c:v>
                </c:pt>
                <c:pt idx="9">
                  <c:v>9000</c:v>
                </c:pt>
                <c:pt idx="10" formatCode="General">
                  <c:v>10000</c:v>
                </c:pt>
                <c:pt idx="11">
                  <c:v>11000</c:v>
                </c:pt>
                <c:pt idx="12" formatCode="General">
                  <c:v>12000</c:v>
                </c:pt>
                <c:pt idx="13">
                  <c:v>13000</c:v>
                </c:pt>
                <c:pt idx="14" formatCode="General">
                  <c:v>14000</c:v>
                </c:pt>
                <c:pt idx="15">
                  <c:v>15000</c:v>
                </c:pt>
                <c:pt idx="16" formatCode="General">
                  <c:v>16000</c:v>
                </c:pt>
                <c:pt idx="17">
                  <c:v>17000</c:v>
                </c:pt>
                <c:pt idx="18" formatCode="General">
                  <c:v>18000</c:v>
                </c:pt>
                <c:pt idx="19">
                  <c:v>19000</c:v>
                </c:pt>
                <c:pt idx="20" formatCode="General">
                  <c:v>20000</c:v>
                </c:pt>
                <c:pt idx="21">
                  <c:v>21000</c:v>
                </c:pt>
                <c:pt idx="22" formatCode="General">
                  <c:v>22000</c:v>
                </c:pt>
                <c:pt idx="23">
                  <c:v>23000</c:v>
                </c:pt>
                <c:pt idx="24" formatCode="General">
                  <c:v>24000</c:v>
                </c:pt>
                <c:pt idx="25">
                  <c:v>25000</c:v>
                </c:pt>
                <c:pt idx="26" formatCode="General">
                  <c:v>26000</c:v>
                </c:pt>
                <c:pt idx="27">
                  <c:v>27000</c:v>
                </c:pt>
                <c:pt idx="28" formatCode="General">
                  <c:v>28000</c:v>
                </c:pt>
                <c:pt idx="29">
                  <c:v>29000</c:v>
                </c:pt>
                <c:pt idx="30" formatCode="General">
                  <c:v>30000</c:v>
                </c:pt>
                <c:pt idx="31">
                  <c:v>31000</c:v>
                </c:pt>
                <c:pt idx="32" formatCode="General">
                  <c:v>32000</c:v>
                </c:pt>
                <c:pt idx="33">
                  <c:v>33000</c:v>
                </c:pt>
                <c:pt idx="34" formatCode="General">
                  <c:v>34000</c:v>
                </c:pt>
                <c:pt idx="35">
                  <c:v>35000</c:v>
                </c:pt>
                <c:pt idx="36" formatCode="General">
                  <c:v>36000</c:v>
                </c:pt>
                <c:pt idx="37">
                  <c:v>37000</c:v>
                </c:pt>
                <c:pt idx="38" formatCode="General">
                  <c:v>38000</c:v>
                </c:pt>
                <c:pt idx="39">
                  <c:v>39000</c:v>
                </c:pt>
                <c:pt idx="40" formatCode="General">
                  <c:v>40000</c:v>
                </c:pt>
                <c:pt idx="41">
                  <c:v>41000</c:v>
                </c:pt>
                <c:pt idx="42" formatCode="General">
                  <c:v>42000</c:v>
                </c:pt>
                <c:pt idx="43">
                  <c:v>43000</c:v>
                </c:pt>
                <c:pt idx="44" formatCode="General">
                  <c:v>44000</c:v>
                </c:pt>
                <c:pt idx="45">
                  <c:v>45000</c:v>
                </c:pt>
                <c:pt idx="46" formatCode="General">
                  <c:v>46000</c:v>
                </c:pt>
                <c:pt idx="47">
                  <c:v>47000</c:v>
                </c:pt>
                <c:pt idx="48" formatCode="General">
                  <c:v>48000</c:v>
                </c:pt>
                <c:pt idx="49">
                  <c:v>49000</c:v>
                </c:pt>
                <c:pt idx="50" formatCode="General">
                  <c:v>50000</c:v>
                </c:pt>
                <c:pt idx="51">
                  <c:v>51000</c:v>
                </c:pt>
                <c:pt idx="52" formatCode="General">
                  <c:v>52000</c:v>
                </c:pt>
                <c:pt idx="53">
                  <c:v>53000</c:v>
                </c:pt>
                <c:pt idx="54" formatCode="General">
                  <c:v>54000</c:v>
                </c:pt>
                <c:pt idx="55">
                  <c:v>55000</c:v>
                </c:pt>
                <c:pt idx="56" formatCode="General">
                  <c:v>56000</c:v>
                </c:pt>
                <c:pt idx="57">
                  <c:v>57000</c:v>
                </c:pt>
                <c:pt idx="58" formatCode="General">
                  <c:v>58000</c:v>
                </c:pt>
                <c:pt idx="59">
                  <c:v>59000</c:v>
                </c:pt>
                <c:pt idx="60" formatCode="General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57B-474F-8361-F1A3FE9F7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200431"/>
        <c:axId val="98203311"/>
      </c:scatterChart>
      <c:valAx>
        <c:axId val="98200431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03311"/>
        <c:crosses val="autoZero"/>
        <c:crossBetween val="midCat"/>
      </c:valAx>
      <c:valAx>
        <c:axId val="98203311"/>
        <c:scaling>
          <c:orientation val="minMax"/>
          <c:max val="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004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199999999999999"/>
          <c:y val="5.8654491105278504E-2"/>
          <c:w val="0.13800000000000001"/>
          <c:h val="0.781255468066491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T-38A Drag Polar</a:t>
            </a:r>
            <a:r>
              <a:rPr lang="en-US" baseline="0"/>
              <a:t> Curves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2707687142043287E-2"/>
          <c:y val="0.10374825174825175"/>
          <c:w val="0.7053697980167718"/>
          <c:h val="0.77204669346401633"/>
        </c:manualLayout>
      </c:layout>
      <c:scatterChart>
        <c:scatterStyle val="lineMarker"/>
        <c:varyColors val="0"/>
        <c:ser>
          <c:idx val="0"/>
          <c:order val="0"/>
          <c:tx>
            <c:v>M = 0.0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'Aircraft Data'!$C$21:$L$21</c:f>
              <c:numCache>
                <c:formatCode>0.0000</c:formatCode>
                <c:ptCount val="10"/>
                <c:pt idx="0">
                  <c:v>1.6199999999999999E-2</c:v>
                </c:pt>
                <c:pt idx="1">
                  <c:v>1.745E-2</c:v>
                </c:pt>
                <c:pt idx="2">
                  <c:v>2.12E-2</c:v>
                </c:pt>
                <c:pt idx="3">
                  <c:v>2.7449999999999999E-2</c:v>
                </c:pt>
                <c:pt idx="4">
                  <c:v>3.1512499999999999E-2</c:v>
                </c:pt>
                <c:pt idx="5">
                  <c:v>3.8600000000000002E-2</c:v>
                </c:pt>
                <c:pt idx="6">
                  <c:v>5.8700000000000002E-2</c:v>
                </c:pt>
                <c:pt idx="7">
                  <c:v>0.09</c:v>
                </c:pt>
                <c:pt idx="8">
                  <c:v>0.13379999999999997</c:v>
                </c:pt>
                <c:pt idx="9">
                  <c:v>0.19220000000000004</c:v>
                </c:pt>
              </c:numCache>
            </c:numRef>
          </c:xVal>
          <c:yVal>
            <c:numRef>
              <c:f>'Aircraft Data'!$C$20:$L$20</c:f>
              <c:numCache>
                <c:formatCode>0.00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5A-435D-87A9-0441D9584B99}"/>
            </c:ext>
          </c:extLst>
        </c:ser>
        <c:ser>
          <c:idx val="1"/>
          <c:order val="1"/>
          <c:tx>
            <c:v>M = 0.10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'Aircraft Data'!$C$22:$L$22</c:f>
              <c:numCache>
                <c:formatCode>0.0000</c:formatCode>
                <c:ptCount val="10"/>
                <c:pt idx="0">
                  <c:v>1.6E-2</c:v>
                </c:pt>
                <c:pt idx="1">
                  <c:v>1.7250000000000001E-2</c:v>
                </c:pt>
                <c:pt idx="2">
                  <c:v>2.1000000000000001E-2</c:v>
                </c:pt>
                <c:pt idx="3">
                  <c:v>2.725E-2</c:v>
                </c:pt>
                <c:pt idx="4">
                  <c:v>3.13125E-2</c:v>
                </c:pt>
                <c:pt idx="5">
                  <c:v>3.8400000000000004E-2</c:v>
                </c:pt>
                <c:pt idx="6">
                  <c:v>5.8500000000000003E-2</c:v>
                </c:pt>
                <c:pt idx="7">
                  <c:v>8.9799999999999991E-2</c:v>
                </c:pt>
                <c:pt idx="8">
                  <c:v>0.1336</c:v>
                </c:pt>
                <c:pt idx="9">
                  <c:v>0.19200000000000006</c:v>
                </c:pt>
              </c:numCache>
            </c:numRef>
          </c:xVal>
          <c:yVal>
            <c:numRef>
              <c:f>'Aircraft Data'!$C$20:$L$20</c:f>
              <c:numCache>
                <c:formatCode>0.00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5A-435D-87A9-0441D9584B99}"/>
            </c:ext>
          </c:extLst>
        </c:ser>
        <c:ser>
          <c:idx val="2"/>
          <c:order val="2"/>
          <c:tx>
            <c:v>M = 0.20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'Aircraft Data'!$C$23:$L$23</c:f>
              <c:numCache>
                <c:formatCode>0.0000</c:formatCode>
                <c:ptCount val="10"/>
                <c:pt idx="0">
                  <c:v>1.5800000000000002E-2</c:v>
                </c:pt>
                <c:pt idx="1">
                  <c:v>1.7050000000000003E-2</c:v>
                </c:pt>
                <c:pt idx="2">
                  <c:v>2.0800000000000003E-2</c:v>
                </c:pt>
                <c:pt idx="3">
                  <c:v>2.7050000000000001E-2</c:v>
                </c:pt>
                <c:pt idx="4">
                  <c:v>3.1112500000000001E-2</c:v>
                </c:pt>
                <c:pt idx="5">
                  <c:v>3.8200000000000005E-2</c:v>
                </c:pt>
                <c:pt idx="6">
                  <c:v>5.8300000000000005E-2</c:v>
                </c:pt>
                <c:pt idx="7">
                  <c:v>8.9599999999999985E-2</c:v>
                </c:pt>
                <c:pt idx="8">
                  <c:v>0.13339999999999999</c:v>
                </c:pt>
                <c:pt idx="9">
                  <c:v>0.19180000000000005</c:v>
                </c:pt>
              </c:numCache>
            </c:numRef>
          </c:xVal>
          <c:yVal>
            <c:numRef>
              <c:f>'Aircraft Data'!$C$20:$L$20</c:f>
              <c:numCache>
                <c:formatCode>0.00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5A-435D-87A9-0441D9584B99}"/>
            </c:ext>
          </c:extLst>
        </c:ser>
        <c:ser>
          <c:idx val="3"/>
          <c:order val="3"/>
          <c:tx>
            <c:v>M = 0.30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'Aircraft Data'!$C$24:$L$24</c:f>
              <c:numCache>
                <c:formatCode>0.0000</c:formatCode>
                <c:ptCount val="10"/>
                <c:pt idx="0">
                  <c:v>1.5599999999999999E-2</c:v>
                </c:pt>
                <c:pt idx="1">
                  <c:v>1.685E-2</c:v>
                </c:pt>
                <c:pt idx="2">
                  <c:v>2.06E-2</c:v>
                </c:pt>
                <c:pt idx="3">
                  <c:v>2.6849999999999999E-2</c:v>
                </c:pt>
                <c:pt idx="4">
                  <c:v>3.0912499999999996E-2</c:v>
                </c:pt>
                <c:pt idx="5">
                  <c:v>3.8000000000000006E-2</c:v>
                </c:pt>
                <c:pt idx="6">
                  <c:v>5.8099999999999999E-2</c:v>
                </c:pt>
                <c:pt idx="7">
                  <c:v>8.9399999999999993E-2</c:v>
                </c:pt>
                <c:pt idx="8">
                  <c:v>0.13319999999999999</c:v>
                </c:pt>
                <c:pt idx="9">
                  <c:v>0.19160000000000005</c:v>
                </c:pt>
              </c:numCache>
            </c:numRef>
          </c:xVal>
          <c:yVal>
            <c:numRef>
              <c:f>'Aircraft Data'!$C$20:$L$20</c:f>
              <c:numCache>
                <c:formatCode>0.00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65A-435D-87A9-0441D9584B99}"/>
            </c:ext>
          </c:extLst>
        </c:ser>
        <c:ser>
          <c:idx val="4"/>
          <c:order val="4"/>
          <c:tx>
            <c:v>M = 0.40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'Aircraft Data'!$C$25:$L$25</c:f>
              <c:numCache>
                <c:formatCode>0.0000</c:formatCode>
                <c:ptCount val="10"/>
                <c:pt idx="0">
                  <c:v>1.54E-2</c:v>
                </c:pt>
                <c:pt idx="1">
                  <c:v>1.6650000000000002E-2</c:v>
                </c:pt>
                <c:pt idx="2">
                  <c:v>2.0400000000000001E-2</c:v>
                </c:pt>
                <c:pt idx="3">
                  <c:v>2.665E-2</c:v>
                </c:pt>
                <c:pt idx="4">
                  <c:v>3.0712499999999997E-2</c:v>
                </c:pt>
                <c:pt idx="5">
                  <c:v>3.78E-2</c:v>
                </c:pt>
                <c:pt idx="6">
                  <c:v>5.7900000000000007E-2</c:v>
                </c:pt>
                <c:pt idx="7">
                  <c:v>8.9199999999999988E-2</c:v>
                </c:pt>
                <c:pt idx="8">
                  <c:v>0.13299999999999998</c:v>
                </c:pt>
                <c:pt idx="9">
                  <c:v>0.19140000000000004</c:v>
                </c:pt>
              </c:numCache>
            </c:numRef>
          </c:xVal>
          <c:yVal>
            <c:numRef>
              <c:f>'Aircraft Data'!$C$20:$L$20</c:f>
              <c:numCache>
                <c:formatCode>0.00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65A-435D-87A9-0441D9584B99}"/>
            </c:ext>
          </c:extLst>
        </c:ser>
        <c:ser>
          <c:idx val="5"/>
          <c:order val="5"/>
          <c:tx>
            <c:v>M = 0.50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'Aircraft Data'!$C$26:$L$26</c:f>
              <c:numCache>
                <c:formatCode>0.0000</c:formatCode>
                <c:ptCount val="10"/>
                <c:pt idx="0">
                  <c:v>1.52E-2</c:v>
                </c:pt>
                <c:pt idx="1">
                  <c:v>1.6449999999999999E-2</c:v>
                </c:pt>
                <c:pt idx="2">
                  <c:v>2.0200000000000003E-2</c:v>
                </c:pt>
                <c:pt idx="3">
                  <c:v>2.6450000000000001E-2</c:v>
                </c:pt>
                <c:pt idx="4">
                  <c:v>3.0512499999999998E-2</c:v>
                </c:pt>
                <c:pt idx="5">
                  <c:v>3.7600000000000001E-2</c:v>
                </c:pt>
                <c:pt idx="6">
                  <c:v>5.7700000000000001E-2</c:v>
                </c:pt>
                <c:pt idx="7">
                  <c:v>8.8999999999999996E-2</c:v>
                </c:pt>
                <c:pt idx="8">
                  <c:v>0.13279999999999997</c:v>
                </c:pt>
                <c:pt idx="9">
                  <c:v>0.19120000000000004</c:v>
                </c:pt>
              </c:numCache>
            </c:numRef>
          </c:xVal>
          <c:yVal>
            <c:numRef>
              <c:f>'Aircraft Data'!$C$20:$L$20</c:f>
              <c:numCache>
                <c:formatCode>0.00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65A-435D-87A9-0441D9584B99}"/>
            </c:ext>
          </c:extLst>
        </c:ser>
        <c:ser>
          <c:idx val="6"/>
          <c:order val="6"/>
          <c:tx>
            <c:v>M = 0.60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'Aircraft Data'!$C$27:$L$27</c:f>
              <c:numCache>
                <c:formatCode>0.0000</c:formatCode>
                <c:ptCount val="10"/>
                <c:pt idx="0">
                  <c:v>1.4999999999999999E-2</c:v>
                </c:pt>
                <c:pt idx="1">
                  <c:v>1.6250000000000001E-2</c:v>
                </c:pt>
                <c:pt idx="2">
                  <c:v>0.02</c:v>
                </c:pt>
                <c:pt idx="3">
                  <c:v>2.6249999999999999E-2</c:v>
                </c:pt>
                <c:pt idx="4">
                  <c:v>3.0312499999999999E-2</c:v>
                </c:pt>
                <c:pt idx="5">
                  <c:v>3.7400000000000003E-2</c:v>
                </c:pt>
                <c:pt idx="6">
                  <c:v>5.7500000000000002E-2</c:v>
                </c:pt>
                <c:pt idx="7">
                  <c:v>8.879999999999999E-2</c:v>
                </c:pt>
                <c:pt idx="8">
                  <c:v>0.1326</c:v>
                </c:pt>
                <c:pt idx="9">
                  <c:v>0.19100000000000006</c:v>
                </c:pt>
              </c:numCache>
            </c:numRef>
          </c:xVal>
          <c:yVal>
            <c:numRef>
              <c:f>'Aircraft Data'!$C$20:$L$20</c:f>
              <c:numCache>
                <c:formatCode>0.00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65A-435D-87A9-0441D9584B99}"/>
            </c:ext>
          </c:extLst>
        </c:ser>
        <c:ser>
          <c:idx val="7"/>
          <c:order val="7"/>
          <c:tx>
            <c:v>M = 0.70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'Aircraft Data'!$C$28:$L$28</c:f>
              <c:numCache>
                <c:formatCode>0.0000</c:formatCode>
                <c:ptCount val="10"/>
                <c:pt idx="0">
                  <c:v>1.4800000000000001E-2</c:v>
                </c:pt>
                <c:pt idx="1">
                  <c:v>1.6050000000000002E-2</c:v>
                </c:pt>
                <c:pt idx="2">
                  <c:v>1.9800000000000002E-2</c:v>
                </c:pt>
                <c:pt idx="3">
                  <c:v>2.605E-2</c:v>
                </c:pt>
                <c:pt idx="4">
                  <c:v>3.01125E-2</c:v>
                </c:pt>
                <c:pt idx="5">
                  <c:v>3.7200000000000004E-2</c:v>
                </c:pt>
                <c:pt idx="6">
                  <c:v>5.7300000000000004E-2</c:v>
                </c:pt>
                <c:pt idx="7">
                  <c:v>8.8599999999999984E-2</c:v>
                </c:pt>
                <c:pt idx="8">
                  <c:v>0.13239999999999999</c:v>
                </c:pt>
                <c:pt idx="9">
                  <c:v>0.19080000000000005</c:v>
                </c:pt>
              </c:numCache>
            </c:numRef>
          </c:xVal>
          <c:yVal>
            <c:numRef>
              <c:f>'Aircraft Data'!$C$20:$L$20</c:f>
              <c:numCache>
                <c:formatCode>0.00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65A-435D-87A9-0441D9584B99}"/>
            </c:ext>
          </c:extLst>
        </c:ser>
        <c:ser>
          <c:idx val="8"/>
          <c:order val="8"/>
          <c:tx>
            <c:v>M = 0.80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'Aircraft Data'!$C$29:$L$29</c:f>
              <c:numCache>
                <c:formatCode>0.0000</c:formatCode>
                <c:ptCount val="10"/>
                <c:pt idx="0">
                  <c:v>1.46E-2</c:v>
                </c:pt>
                <c:pt idx="1">
                  <c:v>1.585E-2</c:v>
                </c:pt>
                <c:pt idx="2">
                  <c:v>1.9599999999999999E-2</c:v>
                </c:pt>
                <c:pt idx="3">
                  <c:v>2.5849999999999998E-2</c:v>
                </c:pt>
                <c:pt idx="4">
                  <c:v>2.9912499999999998E-2</c:v>
                </c:pt>
                <c:pt idx="5">
                  <c:v>3.7000000000000005E-2</c:v>
                </c:pt>
                <c:pt idx="6">
                  <c:v>5.5850000000000004E-2</c:v>
                </c:pt>
                <c:pt idx="7">
                  <c:v>8.299999999999999E-2</c:v>
                </c:pt>
                <c:pt idx="8">
                  <c:v>0.12092999999999998</c:v>
                </c:pt>
                <c:pt idx="9">
                  <c:v>0.17076000000000002</c:v>
                </c:pt>
              </c:numCache>
            </c:numRef>
          </c:xVal>
          <c:yVal>
            <c:numRef>
              <c:f>'Aircraft Data'!$C$20:$L$20</c:f>
              <c:numCache>
                <c:formatCode>0.00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65A-435D-87A9-0441D9584B99}"/>
            </c:ext>
          </c:extLst>
        </c:ser>
        <c:ser>
          <c:idx val="9"/>
          <c:order val="9"/>
          <c:tx>
            <c:v>M = 0.90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'Aircraft Data'!$C$31:$L$31</c:f>
              <c:numCache>
                <c:formatCode>0.0000</c:formatCode>
                <c:ptCount val="10"/>
                <c:pt idx="0">
                  <c:v>1.6E-2</c:v>
                </c:pt>
                <c:pt idx="1">
                  <c:v>1.7260000000000001E-2</c:v>
                </c:pt>
                <c:pt idx="2">
                  <c:v>2.104E-2</c:v>
                </c:pt>
                <c:pt idx="3">
                  <c:v>2.734E-2</c:v>
                </c:pt>
                <c:pt idx="4">
                  <c:v>3.1434999999999998E-2</c:v>
                </c:pt>
                <c:pt idx="5">
                  <c:v>3.712E-2</c:v>
                </c:pt>
                <c:pt idx="6">
                  <c:v>5.3499999999999999E-2</c:v>
                </c:pt>
                <c:pt idx="7">
                  <c:v>7.7919999999999989E-2</c:v>
                </c:pt>
                <c:pt idx="8">
                  <c:v>0.10958999999999998</c:v>
                </c:pt>
                <c:pt idx="9">
                  <c:v>0.15040000000000003</c:v>
                </c:pt>
              </c:numCache>
            </c:numRef>
          </c:xVal>
          <c:yVal>
            <c:numRef>
              <c:f>'Aircraft Data'!$C$20:$L$20</c:f>
              <c:numCache>
                <c:formatCode>0.00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65A-435D-87A9-0441D9584B99}"/>
            </c:ext>
          </c:extLst>
        </c:ser>
        <c:ser>
          <c:idx val="10"/>
          <c:order val="10"/>
          <c:tx>
            <c:v>M = 0.92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'Aircraft Data'!$C$32:$L$32</c:f>
              <c:numCache>
                <c:formatCode>0.0000</c:formatCode>
                <c:ptCount val="10"/>
                <c:pt idx="0">
                  <c:v>1.6500000000000001E-2</c:v>
                </c:pt>
                <c:pt idx="1">
                  <c:v>1.7770000000000001E-2</c:v>
                </c:pt>
                <c:pt idx="2">
                  <c:v>2.1580000000000002E-2</c:v>
                </c:pt>
                <c:pt idx="3">
                  <c:v>2.7930000000000003E-2</c:v>
                </c:pt>
                <c:pt idx="4">
                  <c:v>3.2057500000000003E-2</c:v>
                </c:pt>
                <c:pt idx="5">
                  <c:v>3.7620000000000001E-2</c:v>
                </c:pt>
                <c:pt idx="6">
                  <c:v>5.3999999999999999E-2</c:v>
                </c:pt>
                <c:pt idx="7">
                  <c:v>7.7700000000000005E-2</c:v>
                </c:pt>
                <c:pt idx="8">
                  <c:v>0.10812999999999999</c:v>
                </c:pt>
                <c:pt idx="9">
                  <c:v>0.14706000000000002</c:v>
                </c:pt>
              </c:numCache>
            </c:numRef>
          </c:xVal>
          <c:yVal>
            <c:numRef>
              <c:f>'Aircraft Data'!$C$20:$L$20</c:f>
              <c:numCache>
                <c:formatCode>0.00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5A-435D-87A9-0441D9584B99}"/>
            </c:ext>
          </c:extLst>
        </c:ser>
        <c:ser>
          <c:idx val="11"/>
          <c:order val="11"/>
          <c:tx>
            <c:v>M = 0.94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'Aircraft Data'!$C$33:$L$33</c:f>
              <c:numCache>
                <c:formatCode>0.0000</c:formatCode>
                <c:ptCount val="10"/>
                <c:pt idx="0">
                  <c:v>1.7500000000000002E-2</c:v>
                </c:pt>
                <c:pt idx="1">
                  <c:v>1.8780000000000002E-2</c:v>
                </c:pt>
                <c:pt idx="2">
                  <c:v>2.2620000000000001E-2</c:v>
                </c:pt>
                <c:pt idx="3">
                  <c:v>2.9020000000000001E-2</c:v>
                </c:pt>
                <c:pt idx="4">
                  <c:v>3.3180000000000001E-2</c:v>
                </c:pt>
                <c:pt idx="5">
                  <c:v>3.8940000000000002E-2</c:v>
                </c:pt>
                <c:pt idx="6">
                  <c:v>5.5E-2</c:v>
                </c:pt>
                <c:pt idx="7">
                  <c:v>7.7979999999999994E-2</c:v>
                </c:pt>
                <c:pt idx="8">
                  <c:v>0.10765999999999999</c:v>
                </c:pt>
                <c:pt idx="9">
                  <c:v>0.14550000000000002</c:v>
                </c:pt>
              </c:numCache>
            </c:numRef>
          </c:xVal>
          <c:yVal>
            <c:numRef>
              <c:f>'Aircraft Data'!$C$20:$L$20</c:f>
              <c:numCache>
                <c:formatCode>0.00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5A-435D-87A9-0441D9584B99}"/>
            </c:ext>
          </c:extLst>
        </c:ser>
        <c:ser>
          <c:idx val="12"/>
          <c:order val="12"/>
          <c:tx>
            <c:v>M = 0.96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'Aircraft Data'!$C$34:$L$34</c:f>
              <c:numCache>
                <c:formatCode>0.0000</c:formatCode>
                <c:ptCount val="10"/>
                <c:pt idx="0">
                  <c:v>2.0500000000000001E-2</c:v>
                </c:pt>
                <c:pt idx="1">
                  <c:v>2.179E-2</c:v>
                </c:pt>
                <c:pt idx="2">
                  <c:v>2.5660000000000002E-2</c:v>
                </c:pt>
                <c:pt idx="3">
                  <c:v>3.211E-2</c:v>
                </c:pt>
                <c:pt idx="4">
                  <c:v>3.6302500000000001E-2</c:v>
                </c:pt>
                <c:pt idx="5">
                  <c:v>4.2260000000000006E-2</c:v>
                </c:pt>
                <c:pt idx="6">
                  <c:v>5.8499999999999996E-2</c:v>
                </c:pt>
                <c:pt idx="7">
                  <c:v>8.0619999999999997E-2</c:v>
                </c:pt>
                <c:pt idx="8">
                  <c:v>0.10918999999999998</c:v>
                </c:pt>
                <c:pt idx="9">
                  <c:v>0.14530000000000001</c:v>
                </c:pt>
              </c:numCache>
            </c:numRef>
          </c:xVal>
          <c:yVal>
            <c:numRef>
              <c:f>'Aircraft Data'!$C$20:$L$20</c:f>
              <c:numCache>
                <c:formatCode>0.00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65A-435D-87A9-0441D9584B99}"/>
            </c:ext>
          </c:extLst>
        </c:ser>
        <c:ser>
          <c:idx val="13"/>
          <c:order val="13"/>
          <c:tx>
            <c:v>M = 0.98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'Aircraft Data'!$C$35:$L$35</c:f>
              <c:numCache>
                <c:formatCode>0.0000</c:formatCode>
                <c:ptCount val="10"/>
                <c:pt idx="0">
                  <c:v>2.9000000000000001E-2</c:v>
                </c:pt>
                <c:pt idx="1">
                  <c:v>3.031E-2</c:v>
                </c:pt>
                <c:pt idx="2">
                  <c:v>3.424E-2</c:v>
                </c:pt>
                <c:pt idx="3">
                  <c:v>4.079E-2</c:v>
                </c:pt>
                <c:pt idx="4">
                  <c:v>4.5047500000000004E-2</c:v>
                </c:pt>
                <c:pt idx="5">
                  <c:v>5.108E-2</c:v>
                </c:pt>
                <c:pt idx="6">
                  <c:v>6.7500000000000004E-2</c:v>
                </c:pt>
                <c:pt idx="7">
                  <c:v>8.8760000000000006E-2</c:v>
                </c:pt>
                <c:pt idx="8">
                  <c:v>0.11670999999999999</c:v>
                </c:pt>
                <c:pt idx="9">
                  <c:v>0.15188000000000001</c:v>
                </c:pt>
              </c:numCache>
            </c:numRef>
          </c:xVal>
          <c:yVal>
            <c:numRef>
              <c:f>'Aircraft Data'!$C$20:$L$20</c:f>
              <c:numCache>
                <c:formatCode>0.00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65A-435D-87A9-0441D9584B99}"/>
            </c:ext>
          </c:extLst>
        </c:ser>
        <c:ser>
          <c:idx val="14"/>
          <c:order val="14"/>
          <c:tx>
            <c:v>M = 1.00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'Aircraft Data'!$C$36:$L$36</c:f>
              <c:numCache>
                <c:formatCode>0.0000</c:formatCode>
                <c:ptCount val="10"/>
                <c:pt idx="0">
                  <c:v>3.3000000000000002E-2</c:v>
                </c:pt>
                <c:pt idx="1">
                  <c:v>3.4340000000000002E-2</c:v>
                </c:pt>
                <c:pt idx="2">
                  <c:v>3.8360000000000005E-2</c:v>
                </c:pt>
                <c:pt idx="3">
                  <c:v>4.5060000000000003E-2</c:v>
                </c:pt>
                <c:pt idx="4">
                  <c:v>4.9415000000000001E-2</c:v>
                </c:pt>
                <c:pt idx="5">
                  <c:v>5.5400000000000005E-2</c:v>
                </c:pt>
                <c:pt idx="6">
                  <c:v>7.2000000000000008E-2</c:v>
                </c:pt>
                <c:pt idx="7">
                  <c:v>9.2760000000000009E-2</c:v>
                </c:pt>
                <c:pt idx="8">
                  <c:v>0.12021999999999999</c:v>
                </c:pt>
                <c:pt idx="9">
                  <c:v>0.15460000000000002</c:v>
                </c:pt>
              </c:numCache>
            </c:numRef>
          </c:xVal>
          <c:yVal>
            <c:numRef>
              <c:f>'Aircraft Data'!$C$20:$L$20</c:f>
              <c:numCache>
                <c:formatCode>0.00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65A-435D-87A9-0441D9584B99}"/>
            </c:ext>
          </c:extLst>
        </c:ser>
        <c:ser>
          <c:idx val="15"/>
          <c:order val="15"/>
          <c:tx>
            <c:v>M = 1.02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'Aircraft Data'!$C$37:$L$37</c:f>
              <c:numCache>
                <c:formatCode>0.0000</c:formatCode>
                <c:ptCount val="10"/>
                <c:pt idx="0">
                  <c:v>3.5000000000000003E-2</c:v>
                </c:pt>
                <c:pt idx="1">
                  <c:v>3.6380000000000003E-2</c:v>
                </c:pt>
                <c:pt idx="2">
                  <c:v>4.052E-2</c:v>
                </c:pt>
                <c:pt idx="3">
                  <c:v>4.7420000000000004E-2</c:v>
                </c:pt>
                <c:pt idx="4">
                  <c:v>5.1905000000000007E-2</c:v>
                </c:pt>
                <c:pt idx="5">
                  <c:v>5.7880000000000001E-2</c:v>
                </c:pt>
                <c:pt idx="6">
                  <c:v>7.4500000000000011E-2</c:v>
                </c:pt>
                <c:pt idx="7">
                  <c:v>9.5119999999999996E-2</c:v>
                </c:pt>
                <c:pt idx="8">
                  <c:v>0.12172999999999999</c:v>
                </c:pt>
                <c:pt idx="9">
                  <c:v>0.15532000000000001</c:v>
                </c:pt>
              </c:numCache>
            </c:numRef>
          </c:xVal>
          <c:yVal>
            <c:numRef>
              <c:f>'Aircraft Data'!$C$20:$L$20</c:f>
              <c:numCache>
                <c:formatCode>0.00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65A-435D-87A9-0441D9584B99}"/>
            </c:ext>
          </c:extLst>
        </c:ser>
        <c:ser>
          <c:idx val="16"/>
          <c:order val="16"/>
          <c:tx>
            <c:v>M = 1.04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'Aircraft Data'!$C$38:$L$38</c:f>
              <c:numCache>
                <c:formatCode>0.0000</c:formatCode>
                <c:ptCount val="10"/>
                <c:pt idx="0">
                  <c:v>3.6499999999999998E-2</c:v>
                </c:pt>
                <c:pt idx="1">
                  <c:v>3.7929999999999998E-2</c:v>
                </c:pt>
                <c:pt idx="2">
                  <c:v>4.2220000000000001E-2</c:v>
                </c:pt>
                <c:pt idx="3">
                  <c:v>4.9369999999999997E-2</c:v>
                </c:pt>
                <c:pt idx="4">
                  <c:v>5.4017499999999996E-2</c:v>
                </c:pt>
                <c:pt idx="5">
                  <c:v>5.9859999999999997E-2</c:v>
                </c:pt>
                <c:pt idx="6">
                  <c:v>7.6499999999999999E-2</c:v>
                </c:pt>
                <c:pt idx="7">
                  <c:v>9.6979999999999997E-2</c:v>
                </c:pt>
                <c:pt idx="8">
                  <c:v>0.12372</c:v>
                </c:pt>
                <c:pt idx="9">
                  <c:v>0.15618000000000001</c:v>
                </c:pt>
              </c:numCache>
            </c:numRef>
          </c:xVal>
          <c:yVal>
            <c:numRef>
              <c:f>'Aircraft Data'!$C$20:$L$20</c:f>
              <c:numCache>
                <c:formatCode>0.00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65A-435D-87A9-0441D9584B99}"/>
            </c:ext>
          </c:extLst>
        </c:ser>
        <c:ser>
          <c:idx val="17"/>
          <c:order val="17"/>
          <c:tx>
            <c:v>M = 1.06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'Aircraft Data'!$C$39:$L$39</c:f>
              <c:numCache>
                <c:formatCode>0.0000</c:formatCode>
                <c:ptCount val="10"/>
                <c:pt idx="0">
                  <c:v>3.7499999999999999E-2</c:v>
                </c:pt>
                <c:pt idx="1">
                  <c:v>3.9E-2</c:v>
                </c:pt>
                <c:pt idx="2">
                  <c:v>4.3499999999999997E-2</c:v>
                </c:pt>
                <c:pt idx="3">
                  <c:v>5.0999999999999997E-2</c:v>
                </c:pt>
                <c:pt idx="4">
                  <c:v>5.5874999999999994E-2</c:v>
                </c:pt>
                <c:pt idx="5">
                  <c:v>6.1499999999999999E-2</c:v>
                </c:pt>
                <c:pt idx="6">
                  <c:v>7.825E-2</c:v>
                </c:pt>
                <c:pt idx="7">
                  <c:v>9.870000000000001E-2</c:v>
                </c:pt>
                <c:pt idx="8">
                  <c:v>0.12520999999999999</c:v>
                </c:pt>
                <c:pt idx="9">
                  <c:v>0.15718000000000001</c:v>
                </c:pt>
              </c:numCache>
            </c:numRef>
          </c:xVal>
          <c:yVal>
            <c:numRef>
              <c:f>'Aircraft Data'!$C$20:$L$20</c:f>
              <c:numCache>
                <c:formatCode>0.00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65A-435D-87A9-0441D9584B99}"/>
            </c:ext>
          </c:extLst>
        </c:ser>
        <c:ser>
          <c:idx val="18"/>
          <c:order val="18"/>
          <c:tx>
            <c:v>M = 1.08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'Aircraft Data'!$C$40:$L$40</c:f>
              <c:numCache>
                <c:formatCode>0.0000</c:formatCode>
                <c:ptCount val="10"/>
                <c:pt idx="0">
                  <c:v>3.85E-2</c:v>
                </c:pt>
                <c:pt idx="1">
                  <c:v>4.0079999999999998E-2</c:v>
                </c:pt>
                <c:pt idx="2">
                  <c:v>4.4819999999999999E-2</c:v>
                </c:pt>
                <c:pt idx="3">
                  <c:v>5.2719999999999996E-2</c:v>
                </c:pt>
                <c:pt idx="4">
                  <c:v>5.7854999999999997E-2</c:v>
                </c:pt>
                <c:pt idx="5">
                  <c:v>6.3780000000000003E-2</c:v>
                </c:pt>
                <c:pt idx="6">
                  <c:v>8.0250000000000002E-2</c:v>
                </c:pt>
                <c:pt idx="7">
                  <c:v>0.10077999999999998</c:v>
                </c:pt>
                <c:pt idx="8">
                  <c:v>0.12718999999999997</c:v>
                </c:pt>
                <c:pt idx="9">
                  <c:v>0.15882000000000002</c:v>
                </c:pt>
              </c:numCache>
            </c:numRef>
          </c:xVal>
          <c:yVal>
            <c:numRef>
              <c:f>'Aircraft Data'!$C$20:$L$20</c:f>
              <c:numCache>
                <c:formatCode>0.00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65A-435D-87A9-0441D9584B99}"/>
            </c:ext>
          </c:extLst>
        </c:ser>
        <c:ser>
          <c:idx val="19"/>
          <c:order val="19"/>
          <c:tx>
            <c:v>M = 1.10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'Aircraft Data'!$C$41:$L$41</c:f>
              <c:numCache>
                <c:formatCode>0.0000</c:formatCode>
                <c:ptCount val="10"/>
                <c:pt idx="0">
                  <c:v>3.9300000000000002E-2</c:v>
                </c:pt>
                <c:pt idx="1">
                  <c:v>4.0960000000000003E-2</c:v>
                </c:pt>
                <c:pt idx="2">
                  <c:v>4.5940000000000002E-2</c:v>
                </c:pt>
                <c:pt idx="3">
                  <c:v>5.4240000000000003E-2</c:v>
                </c:pt>
                <c:pt idx="4">
                  <c:v>5.9635000000000001E-2</c:v>
                </c:pt>
                <c:pt idx="5">
                  <c:v>6.5860000000000002E-2</c:v>
                </c:pt>
                <c:pt idx="6">
                  <c:v>8.2299999999999998E-2</c:v>
                </c:pt>
                <c:pt idx="7">
                  <c:v>0.10301999999999999</c:v>
                </c:pt>
                <c:pt idx="8">
                  <c:v>0.12896999999999997</c:v>
                </c:pt>
                <c:pt idx="9">
                  <c:v>0.16026000000000001</c:v>
                </c:pt>
              </c:numCache>
            </c:numRef>
          </c:xVal>
          <c:yVal>
            <c:numRef>
              <c:f>'Aircraft Data'!$C$20:$L$20</c:f>
              <c:numCache>
                <c:formatCode>0.00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A65A-435D-87A9-0441D9584B99}"/>
            </c:ext>
          </c:extLst>
        </c:ser>
        <c:ser>
          <c:idx val="20"/>
          <c:order val="20"/>
          <c:tx>
            <c:v>M = 1.15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'Aircraft Data'!$C$42:$L$42</c:f>
              <c:numCache>
                <c:formatCode>0.0000</c:formatCode>
                <c:ptCount val="10"/>
                <c:pt idx="0">
                  <c:v>4.0800000000000003E-2</c:v>
                </c:pt>
                <c:pt idx="1">
                  <c:v>4.265E-2</c:v>
                </c:pt>
                <c:pt idx="2">
                  <c:v>4.8200000000000007E-2</c:v>
                </c:pt>
                <c:pt idx="3">
                  <c:v>5.7450000000000001E-2</c:v>
                </c:pt>
                <c:pt idx="4">
                  <c:v>6.3462500000000005E-2</c:v>
                </c:pt>
                <c:pt idx="5">
                  <c:v>7.0400000000000004E-2</c:v>
                </c:pt>
                <c:pt idx="6">
                  <c:v>8.7800000000000003E-2</c:v>
                </c:pt>
                <c:pt idx="7">
                  <c:v>0.10847999999999999</c:v>
                </c:pt>
                <c:pt idx="8">
                  <c:v>0.13389999999999996</c:v>
                </c:pt>
                <c:pt idx="9">
                  <c:v>0.16432000000000002</c:v>
                </c:pt>
              </c:numCache>
            </c:numRef>
          </c:xVal>
          <c:yVal>
            <c:numRef>
              <c:f>'Aircraft Data'!$C$20:$L$20</c:f>
              <c:numCache>
                <c:formatCode>0.00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A65A-435D-87A9-0441D9584B99}"/>
            </c:ext>
          </c:extLst>
        </c:ser>
        <c:ser>
          <c:idx val="21"/>
          <c:order val="21"/>
          <c:tx>
            <c:v>M = 1.20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'Aircraft Data'!$C$43:$L$43</c:f>
              <c:numCache>
                <c:formatCode>0.0000</c:formatCode>
                <c:ptCount val="10"/>
                <c:pt idx="0">
                  <c:v>4.2000000000000003E-2</c:v>
                </c:pt>
                <c:pt idx="1">
                  <c:v>4.4000000000000004E-2</c:v>
                </c:pt>
                <c:pt idx="2">
                  <c:v>0.05</c:v>
                </c:pt>
                <c:pt idx="3">
                  <c:v>0.06</c:v>
                </c:pt>
                <c:pt idx="4">
                  <c:v>6.6500000000000004E-2</c:v>
                </c:pt>
                <c:pt idx="5">
                  <c:v>7.400000000000001E-2</c:v>
                </c:pt>
                <c:pt idx="6">
                  <c:v>9.1999999999999998E-2</c:v>
                </c:pt>
                <c:pt idx="7">
                  <c:v>0.11399999999999999</c:v>
                </c:pt>
                <c:pt idx="8">
                  <c:v>0.13999999999999999</c:v>
                </c:pt>
                <c:pt idx="9">
                  <c:v>0.17000000000000004</c:v>
                </c:pt>
              </c:numCache>
            </c:numRef>
          </c:xVal>
          <c:yVal>
            <c:numRef>
              <c:f>'Aircraft Data'!$C$20:$L$20</c:f>
              <c:numCache>
                <c:formatCode>0.00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A65A-435D-87A9-0441D9584B99}"/>
            </c:ext>
          </c:extLst>
        </c:ser>
        <c:ser>
          <c:idx val="22"/>
          <c:order val="22"/>
          <c:tx>
            <c:v>M = 1.30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'Aircraft Data'!$C$44:$L$44</c:f>
              <c:numCache>
                <c:formatCode>0.0000</c:formatCode>
                <c:ptCount val="10"/>
                <c:pt idx="0">
                  <c:v>4.3299999999999998E-2</c:v>
                </c:pt>
                <c:pt idx="1">
                  <c:v>4.555E-2</c:v>
                </c:pt>
                <c:pt idx="2">
                  <c:v>5.2299999999999999E-2</c:v>
                </c:pt>
                <c:pt idx="3">
                  <c:v>6.3549999999999995E-2</c:v>
                </c:pt>
                <c:pt idx="4">
                  <c:v>7.0862499999999995E-2</c:v>
                </c:pt>
                <c:pt idx="5">
                  <c:v>7.9300000000000009E-2</c:v>
                </c:pt>
                <c:pt idx="6">
                  <c:v>9.955E-2</c:v>
                </c:pt>
                <c:pt idx="7">
                  <c:v>0.12429999999999999</c:v>
                </c:pt>
                <c:pt idx="8">
                  <c:v>0.15354999999999999</c:v>
                </c:pt>
                <c:pt idx="9">
                  <c:v>0.18730000000000002</c:v>
                </c:pt>
              </c:numCache>
            </c:numRef>
          </c:xVal>
          <c:yVal>
            <c:numRef>
              <c:f>'Aircraft Data'!$C$20:$L$20</c:f>
              <c:numCache>
                <c:formatCode>0.00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A65A-435D-87A9-0441D9584B99}"/>
            </c:ext>
          </c:extLst>
        </c:ser>
        <c:ser>
          <c:idx val="23"/>
          <c:order val="23"/>
          <c:tx>
            <c:v>M = 1.40</c:v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'Aircraft Data'!$C$45:$L$45</c:f>
              <c:numCache>
                <c:formatCode>0.0000</c:formatCode>
                <c:ptCount val="10"/>
                <c:pt idx="0">
                  <c:v>4.3999999999999997E-2</c:v>
                </c:pt>
                <c:pt idx="1">
                  <c:v>4.65E-2</c:v>
                </c:pt>
                <c:pt idx="2">
                  <c:v>5.3999999999999999E-2</c:v>
                </c:pt>
                <c:pt idx="3">
                  <c:v>6.6500000000000004E-2</c:v>
                </c:pt>
                <c:pt idx="4">
                  <c:v>7.4624999999999997E-2</c:v>
                </c:pt>
                <c:pt idx="5">
                  <c:v>8.4000000000000005E-2</c:v>
                </c:pt>
                <c:pt idx="6">
                  <c:v>0.1065</c:v>
                </c:pt>
                <c:pt idx="7">
                  <c:v>0.13400000000000001</c:v>
                </c:pt>
                <c:pt idx="8">
                  <c:v>0.16649999999999998</c:v>
                </c:pt>
                <c:pt idx="9">
                  <c:v>0.20400000000000001</c:v>
                </c:pt>
              </c:numCache>
            </c:numRef>
          </c:xVal>
          <c:yVal>
            <c:numRef>
              <c:f>'Aircraft Data'!$C$20:$L$20</c:f>
              <c:numCache>
                <c:formatCode>0.00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A65A-435D-87A9-0441D9584B99}"/>
            </c:ext>
          </c:extLst>
        </c:ser>
        <c:ser>
          <c:idx val="24"/>
          <c:order val="24"/>
          <c:tx>
            <c:v>M = 1.50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'Aircraft Data'!$C$46:$L$46</c:f>
              <c:numCache>
                <c:formatCode>0.0000</c:formatCode>
                <c:ptCount val="10"/>
                <c:pt idx="0">
                  <c:v>4.3999999999999997E-2</c:v>
                </c:pt>
                <c:pt idx="1">
                  <c:v>4.675E-2</c:v>
                </c:pt>
                <c:pt idx="2">
                  <c:v>5.5E-2</c:v>
                </c:pt>
                <c:pt idx="3">
                  <c:v>6.8750000000000006E-2</c:v>
                </c:pt>
                <c:pt idx="4">
                  <c:v>7.7687499999999993E-2</c:v>
                </c:pt>
                <c:pt idx="5">
                  <c:v>8.8000000000000009E-2</c:v>
                </c:pt>
                <c:pt idx="6">
                  <c:v>0.11275</c:v>
                </c:pt>
                <c:pt idx="7">
                  <c:v>0.14300000000000002</c:v>
                </c:pt>
                <c:pt idx="8">
                  <c:v>0.17874999999999996</c:v>
                </c:pt>
                <c:pt idx="9">
                  <c:v>0.22000000000000003</c:v>
                </c:pt>
              </c:numCache>
            </c:numRef>
          </c:xVal>
          <c:yVal>
            <c:numRef>
              <c:f>'Aircraft Data'!$C$20:$L$20</c:f>
              <c:numCache>
                <c:formatCode>0.00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A65A-435D-87A9-0441D9584B99}"/>
            </c:ext>
          </c:extLst>
        </c:ser>
        <c:ser>
          <c:idx val="25"/>
          <c:order val="25"/>
          <c:tx>
            <c:v>M = 1.60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'Aircraft Data'!$C$47:$L$47</c:f>
              <c:numCache>
                <c:formatCode>0.0000</c:formatCode>
                <c:ptCount val="10"/>
                <c:pt idx="0">
                  <c:v>4.3999999999999997E-2</c:v>
                </c:pt>
                <c:pt idx="1">
                  <c:v>4.7E-2</c:v>
                </c:pt>
                <c:pt idx="2">
                  <c:v>5.5999999999999994E-2</c:v>
                </c:pt>
                <c:pt idx="3">
                  <c:v>7.0999999999999994E-2</c:v>
                </c:pt>
                <c:pt idx="4">
                  <c:v>8.0749999999999988E-2</c:v>
                </c:pt>
                <c:pt idx="5">
                  <c:v>9.1999999999999998E-2</c:v>
                </c:pt>
                <c:pt idx="6">
                  <c:v>0.11899999999999999</c:v>
                </c:pt>
                <c:pt idx="7">
                  <c:v>0.152</c:v>
                </c:pt>
                <c:pt idx="8">
                  <c:v>0.191</c:v>
                </c:pt>
                <c:pt idx="9">
                  <c:v>0.23599999999999999</c:v>
                </c:pt>
              </c:numCache>
            </c:numRef>
          </c:xVal>
          <c:yVal>
            <c:numRef>
              <c:f>'Aircraft Data'!$C$20:$L$20</c:f>
              <c:numCache>
                <c:formatCode>0.00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A65A-435D-87A9-0441D9584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8588912"/>
        <c:axId val="1968587472"/>
      </c:scatterChart>
      <c:valAx>
        <c:axId val="196858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 Coefficient CD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587472"/>
        <c:crosses val="autoZero"/>
        <c:crossBetween val="midCat"/>
      </c:valAx>
      <c:valAx>
        <c:axId val="1968587472"/>
        <c:scaling>
          <c:orientation val="minMax"/>
          <c:max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Lift Coefficient CL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588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937068422196968"/>
          <c:y val="0.13526281592423325"/>
          <c:w val="0.17224064048966967"/>
          <c:h val="0.802453168878365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T-38A Military Power </a:t>
            </a:r>
          </a:p>
          <a:p>
            <a:pPr>
              <a:defRPr/>
            </a:pPr>
            <a:r>
              <a:rPr lang="en-US"/>
              <a:t>Thrust </a:t>
            </a:r>
            <a:r>
              <a:rPr lang="en-US" sz="1800" b="1" i="0" u="none" strike="noStrike" kern="1200" baseline="0">
                <a:solidFill>
                  <a:sysClr val="windowText" lastClr="000000"/>
                </a:solidFill>
              </a:rPr>
              <a:t>Per Engine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 = 0 ft</c:v>
          </c:tx>
          <c:marker>
            <c:symbol val="none"/>
          </c:marker>
          <c:xVal>
            <c:numRef>
              <c:f>'Aircraft Data'!$B$75:$B$85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'Aircraft Data'!$C$75:$C$85</c:f>
              <c:numCache>
                <c:formatCode>0</c:formatCode>
                <c:ptCount val="11"/>
                <c:pt idx="0">
                  <c:v>1900</c:v>
                </c:pt>
                <c:pt idx="1">
                  <c:v>1920</c:v>
                </c:pt>
                <c:pt idx="2">
                  <c:v>1940</c:v>
                </c:pt>
                <c:pt idx="3">
                  <c:v>1960</c:v>
                </c:pt>
                <c:pt idx="4">
                  <c:v>1980</c:v>
                </c:pt>
                <c:pt idx="5">
                  <c:v>2000</c:v>
                </c:pt>
                <c:pt idx="6">
                  <c:v>2020</c:v>
                </c:pt>
                <c:pt idx="7">
                  <c:v>2040</c:v>
                </c:pt>
                <c:pt idx="8">
                  <c:v>2060</c:v>
                </c:pt>
                <c:pt idx="9">
                  <c:v>2080</c:v>
                </c:pt>
                <c:pt idx="10">
                  <c:v>2100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DB-4573-A9C9-A529986117A2}"/>
            </c:ext>
          </c:extLst>
        </c:ser>
        <c:ser>
          <c:idx val="1"/>
          <c:order val="1"/>
          <c:tx>
            <c:v>h = 5000 ft</c:v>
          </c:tx>
          <c:marker>
            <c:symbol val="none"/>
          </c:marker>
          <c:xVal>
            <c:numRef>
              <c:f>'Aircraft Data'!$B$75:$B$85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'Aircraft Data'!$D$75:$D$85</c:f>
              <c:numCache>
                <c:formatCode>0</c:formatCode>
                <c:ptCount val="11"/>
                <c:pt idx="0">
                  <c:v>1637.1693015784861</c:v>
                </c:pt>
                <c:pt idx="1">
                  <c:v>1671.6360237169804</c:v>
                </c:pt>
                <c:pt idx="2">
                  <c:v>1706.102745855475</c:v>
                </c:pt>
                <c:pt idx="3">
                  <c:v>1740.5694679939693</c:v>
                </c:pt>
                <c:pt idx="4">
                  <c:v>1775.0361901324638</c:v>
                </c:pt>
                <c:pt idx="5">
                  <c:v>1809.5029122709582</c:v>
                </c:pt>
                <c:pt idx="6">
                  <c:v>1843.9696344094527</c:v>
                </c:pt>
                <c:pt idx="7">
                  <c:v>1878.4363565479471</c:v>
                </c:pt>
                <c:pt idx="8">
                  <c:v>1912.9030786864416</c:v>
                </c:pt>
                <c:pt idx="9">
                  <c:v>1947.369800824936</c:v>
                </c:pt>
                <c:pt idx="10">
                  <c:v>1981.8365229634305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DB-4573-A9C9-A529986117A2}"/>
            </c:ext>
          </c:extLst>
        </c:ser>
        <c:ser>
          <c:idx val="2"/>
          <c:order val="2"/>
          <c:tx>
            <c:v>h = 10000 ft</c:v>
          </c:tx>
          <c:marker>
            <c:symbol val="none"/>
          </c:marker>
          <c:xVal>
            <c:numRef>
              <c:f>'Aircraft Data'!$B$75:$B$85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'Aircraft Data'!$E$75:$E$85</c:f>
              <c:numCache>
                <c:formatCode>0</c:formatCode>
                <c:ptCount val="11"/>
                <c:pt idx="0">
                  <c:v>1403.1026779618248</c:v>
                </c:pt>
                <c:pt idx="1">
                  <c:v>1447.411183581672</c:v>
                </c:pt>
                <c:pt idx="2">
                  <c:v>1491.719689201519</c:v>
                </c:pt>
                <c:pt idx="3">
                  <c:v>1536.0281948213662</c:v>
                </c:pt>
                <c:pt idx="4">
                  <c:v>1580.3367004412132</c:v>
                </c:pt>
                <c:pt idx="5">
                  <c:v>1624.6452060610604</c:v>
                </c:pt>
                <c:pt idx="6">
                  <c:v>1668.9537116809074</c:v>
                </c:pt>
                <c:pt idx="7">
                  <c:v>1713.2622173007546</c:v>
                </c:pt>
                <c:pt idx="8">
                  <c:v>1757.5707229206016</c:v>
                </c:pt>
                <c:pt idx="9">
                  <c:v>1801.8792285404488</c:v>
                </c:pt>
                <c:pt idx="10">
                  <c:v>1846.1877341602958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DB-4573-A9C9-A529986117A2}"/>
            </c:ext>
          </c:extLst>
        </c:ser>
        <c:ser>
          <c:idx val="3"/>
          <c:order val="3"/>
          <c:tx>
            <c:v>h = 15000 ft</c:v>
          </c:tx>
          <c:marker>
            <c:symbol val="none"/>
          </c:marker>
          <c:xVal>
            <c:numRef>
              <c:f>'Aircraft Data'!$B$75:$B$85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'Aircraft Data'!$F$75:$F$85</c:f>
              <c:numCache>
                <c:formatCode>0</c:formatCode>
                <c:ptCount val="11"/>
                <c:pt idx="0">
                  <c:v>1195.5419097536144</c:v>
                </c:pt>
                <c:pt idx="1">
                  <c:v>1239.588190639274</c:v>
                </c:pt>
                <c:pt idx="2">
                  <c:v>1283.6344715249334</c:v>
                </c:pt>
                <c:pt idx="3">
                  <c:v>1327.680752410593</c:v>
                </c:pt>
                <c:pt idx="4">
                  <c:v>1371.7270332962523</c:v>
                </c:pt>
                <c:pt idx="5">
                  <c:v>1415.7733141819119</c:v>
                </c:pt>
                <c:pt idx="6">
                  <c:v>1459.8195950675713</c:v>
                </c:pt>
                <c:pt idx="7">
                  <c:v>1503.8658759532307</c:v>
                </c:pt>
                <c:pt idx="8">
                  <c:v>1547.9121568388903</c:v>
                </c:pt>
                <c:pt idx="9">
                  <c:v>1591.9584377245496</c:v>
                </c:pt>
                <c:pt idx="10">
                  <c:v>1636.0047186102092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DB-4573-A9C9-A529986117A2}"/>
            </c:ext>
          </c:extLst>
        </c:ser>
        <c:ser>
          <c:idx val="4"/>
          <c:order val="4"/>
          <c:tx>
            <c:v>h = 20000 ft</c:v>
          </c:tx>
          <c:marker>
            <c:symbol val="none"/>
          </c:marker>
          <c:xVal>
            <c:numRef>
              <c:f>'Aircraft Data'!$B$75:$B$85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'Aircraft Data'!$G$75:$G$85</c:f>
              <c:numCache>
                <c:formatCode>0</c:formatCode>
                <c:ptCount val="11"/>
                <c:pt idx="0">
                  <c:v>1012.3311032413682</c:v>
                </c:pt>
                <c:pt idx="1">
                  <c:v>1054.9555707462678</c:v>
                </c:pt>
                <c:pt idx="2">
                  <c:v>1097.5800382511675</c:v>
                </c:pt>
                <c:pt idx="3">
                  <c:v>1140.2045057560672</c:v>
                </c:pt>
                <c:pt idx="4">
                  <c:v>1182.8289732609669</c:v>
                </c:pt>
                <c:pt idx="5">
                  <c:v>1225.4534407658666</c:v>
                </c:pt>
                <c:pt idx="6">
                  <c:v>1268.0779082707663</c:v>
                </c:pt>
                <c:pt idx="7">
                  <c:v>1310.702375775666</c:v>
                </c:pt>
                <c:pt idx="8">
                  <c:v>1353.3268432805658</c:v>
                </c:pt>
                <c:pt idx="9">
                  <c:v>1395.9513107854655</c:v>
                </c:pt>
                <c:pt idx="10">
                  <c:v>1438.5757782903652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DB-4573-A9C9-A529986117A2}"/>
            </c:ext>
          </c:extLst>
        </c:ser>
        <c:ser>
          <c:idx val="5"/>
          <c:order val="5"/>
          <c:tx>
            <c:v>h = 25000 ft</c:v>
          </c:tx>
          <c:marker>
            <c:symbol val="none"/>
          </c:marker>
          <c:xVal>
            <c:numRef>
              <c:f>'Aircraft Data'!$B$75:$B$85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'Aircraft Data'!$H$75:$H$85</c:f>
              <c:numCache>
                <c:formatCode>0</c:formatCode>
                <c:ptCount val="11"/>
                <c:pt idx="0">
                  <c:v>851.41570891728065</c:v>
                </c:pt>
                <c:pt idx="1">
                  <c:v>891.7459267080992</c:v>
                </c:pt>
                <c:pt idx="2">
                  <c:v>932.07614449891776</c:v>
                </c:pt>
                <c:pt idx="3">
                  <c:v>972.40636228973631</c:v>
                </c:pt>
                <c:pt idx="4">
                  <c:v>1012.7365800805549</c:v>
                </c:pt>
                <c:pt idx="5">
                  <c:v>1053.0667978713734</c:v>
                </c:pt>
                <c:pt idx="6">
                  <c:v>1093.397015662192</c:v>
                </c:pt>
                <c:pt idx="7">
                  <c:v>1133.7272334530105</c:v>
                </c:pt>
                <c:pt idx="8">
                  <c:v>1174.0574512438291</c:v>
                </c:pt>
                <c:pt idx="9">
                  <c:v>1214.3876690346476</c:v>
                </c:pt>
                <c:pt idx="10">
                  <c:v>1254.7178868254662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DDB-4573-A9C9-A529986117A2}"/>
            </c:ext>
          </c:extLst>
        </c:ser>
        <c:ser>
          <c:idx val="6"/>
          <c:order val="6"/>
          <c:tx>
            <c:v>h = 30000 ft</c:v>
          </c:tx>
          <c:marker>
            <c:symbol val="none"/>
          </c:marker>
          <c:xVal>
            <c:numRef>
              <c:f>'Aircraft Data'!$B$75:$B$85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'Aircraft Data'!$I$75:$I$85</c:f>
              <c:numCache>
                <c:formatCode>0</c:formatCode>
                <c:ptCount val="11"/>
                <c:pt idx="0">
                  <c:v>710.84151157880899</c:v>
                </c:pt>
                <c:pt idx="1">
                  <c:v>748.25422271453579</c:v>
                </c:pt>
                <c:pt idx="2">
                  <c:v>785.66693385026258</c:v>
                </c:pt>
                <c:pt idx="3">
                  <c:v>823.07964498598938</c:v>
                </c:pt>
                <c:pt idx="4">
                  <c:v>860.49235612171617</c:v>
                </c:pt>
                <c:pt idx="5">
                  <c:v>897.90506725744297</c:v>
                </c:pt>
                <c:pt idx="6">
                  <c:v>935.31777839316976</c:v>
                </c:pt>
                <c:pt idx="7">
                  <c:v>972.73048952889656</c:v>
                </c:pt>
                <c:pt idx="8">
                  <c:v>1010.1432006646234</c:v>
                </c:pt>
                <c:pt idx="9">
                  <c:v>1047.55591180035</c:v>
                </c:pt>
                <c:pt idx="10">
                  <c:v>1084.9686229360768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DDB-4573-A9C9-A529986117A2}"/>
            </c:ext>
          </c:extLst>
        </c:ser>
        <c:ser>
          <c:idx val="7"/>
          <c:order val="7"/>
          <c:tx>
            <c:v>h = 35000 ft</c:v>
          </c:tx>
          <c:marker>
            <c:symbol val="none"/>
          </c:marker>
          <c:xVal>
            <c:numRef>
              <c:f>'Aircraft Data'!$B$75:$B$85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'Aircraft Data'!$J$75:$J$85</c:f>
              <c:numCache>
                <c:formatCode>0</c:formatCode>
                <c:ptCount val="11"/>
                <c:pt idx="0">
                  <c:v>588.75359000017136</c:v>
                </c:pt>
                <c:pt idx="1">
                  <c:v>622.83932415807601</c:v>
                </c:pt>
                <c:pt idx="2">
                  <c:v>656.92505831598066</c:v>
                </c:pt>
                <c:pt idx="3">
                  <c:v>691.01079247388532</c:v>
                </c:pt>
                <c:pt idx="4">
                  <c:v>725.09652663178997</c:v>
                </c:pt>
                <c:pt idx="5">
                  <c:v>759.18226078969462</c:v>
                </c:pt>
                <c:pt idx="6">
                  <c:v>793.26799494759928</c:v>
                </c:pt>
                <c:pt idx="7">
                  <c:v>827.35372910550393</c:v>
                </c:pt>
                <c:pt idx="8">
                  <c:v>861.43946326340858</c:v>
                </c:pt>
                <c:pt idx="9">
                  <c:v>895.52519742131324</c:v>
                </c:pt>
                <c:pt idx="10">
                  <c:v>929.61093157921789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DDB-4573-A9C9-A529986117A2}"/>
            </c:ext>
          </c:extLst>
        </c:ser>
        <c:ser>
          <c:idx val="8"/>
          <c:order val="8"/>
          <c:tx>
            <c:v>h = 40000 ft</c:v>
          </c:tx>
          <c:marker>
            <c:symbol val="none"/>
          </c:marker>
          <c:xVal>
            <c:numRef>
              <c:f>'Aircraft Data'!$B$75:$B$85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'Aircraft Data'!$K$75:$K$85</c:f>
              <c:numCache>
                <c:formatCode>0</c:formatCode>
                <c:ptCount val="11"/>
                <c:pt idx="0">
                  <c:v>467.72202570269661</c:v>
                </c:pt>
                <c:pt idx="1">
                  <c:v>497.26236416813009</c:v>
                </c:pt>
                <c:pt idx="2">
                  <c:v>526.80270263356351</c:v>
                </c:pt>
                <c:pt idx="3">
                  <c:v>556.34304109899699</c:v>
                </c:pt>
                <c:pt idx="4">
                  <c:v>585.88337956443047</c:v>
                </c:pt>
                <c:pt idx="5">
                  <c:v>615.42371802986395</c:v>
                </c:pt>
                <c:pt idx="6">
                  <c:v>644.96405649529743</c:v>
                </c:pt>
                <c:pt idx="7">
                  <c:v>674.50439496073091</c:v>
                </c:pt>
                <c:pt idx="8">
                  <c:v>704.04473342616438</c:v>
                </c:pt>
                <c:pt idx="9">
                  <c:v>733.58507189159786</c:v>
                </c:pt>
                <c:pt idx="10">
                  <c:v>763.12541035703134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DDB-4573-A9C9-A529986117A2}"/>
            </c:ext>
          </c:extLst>
        </c:ser>
        <c:ser>
          <c:idx val="9"/>
          <c:order val="9"/>
          <c:tx>
            <c:v>h = 45000 ft</c:v>
          </c:tx>
          <c:marker>
            <c:symbol val="none"/>
          </c:marker>
          <c:xVal>
            <c:numRef>
              <c:f>'Aircraft Data'!$B$75:$B$85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'Aircraft Data'!$L$75:$L$85</c:f>
              <c:numCache>
                <c:formatCode>0</c:formatCode>
                <c:ptCount val="11"/>
                <c:pt idx="0">
                  <c:v>367.80601177996044</c:v>
                </c:pt>
                <c:pt idx="1">
                  <c:v>387.16422292627419</c:v>
                </c:pt>
                <c:pt idx="2">
                  <c:v>406.52243407258788</c:v>
                </c:pt>
                <c:pt idx="3">
                  <c:v>425.88064521890158</c:v>
                </c:pt>
                <c:pt idx="4">
                  <c:v>445.23885636521527</c:v>
                </c:pt>
                <c:pt idx="5">
                  <c:v>464.59706751152902</c:v>
                </c:pt>
                <c:pt idx="6">
                  <c:v>483.95527865784271</c:v>
                </c:pt>
                <c:pt idx="7">
                  <c:v>503.3134898041564</c:v>
                </c:pt>
                <c:pt idx="8">
                  <c:v>522.67170095047015</c:v>
                </c:pt>
                <c:pt idx="9">
                  <c:v>542.02991209678385</c:v>
                </c:pt>
                <c:pt idx="10">
                  <c:v>561.38812324309754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DDB-4573-A9C9-A529986117A2}"/>
            </c:ext>
          </c:extLst>
        </c:ser>
        <c:ser>
          <c:idx val="10"/>
          <c:order val="10"/>
          <c:tx>
            <c:v>h = 50000 ft</c:v>
          </c:tx>
          <c:marker>
            <c:symbol val="none"/>
          </c:marker>
          <c:xVal>
            <c:numRef>
              <c:f>'Aircraft Data'!$B$75:$B$85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'Aircraft Data'!$M$75:$M$85</c:f>
              <c:numCache>
                <c:formatCode>0</c:formatCode>
                <c:ptCount val="11"/>
                <c:pt idx="0">
                  <c:v>289.23432053095297</c:v>
                </c:pt>
                <c:pt idx="1">
                  <c:v>301.41260771120363</c:v>
                </c:pt>
                <c:pt idx="2">
                  <c:v>313.59089489145424</c:v>
                </c:pt>
                <c:pt idx="3">
                  <c:v>325.7691820717049</c:v>
                </c:pt>
                <c:pt idx="4">
                  <c:v>337.94746925195557</c:v>
                </c:pt>
                <c:pt idx="5">
                  <c:v>350.12575643220623</c:v>
                </c:pt>
                <c:pt idx="6">
                  <c:v>362.30404361245684</c:v>
                </c:pt>
                <c:pt idx="7">
                  <c:v>374.4823307927075</c:v>
                </c:pt>
                <c:pt idx="8">
                  <c:v>386.66061797295816</c:v>
                </c:pt>
                <c:pt idx="9">
                  <c:v>398.83890515320883</c:v>
                </c:pt>
                <c:pt idx="10">
                  <c:v>411.01719233345949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DDB-4573-A9C9-A529986117A2}"/>
            </c:ext>
          </c:extLst>
        </c:ser>
        <c:ser>
          <c:idx val="11"/>
          <c:order val="11"/>
          <c:tx>
            <c:v>h = 55000 ft</c:v>
          </c:tx>
          <c:marker>
            <c:symbol val="none"/>
          </c:marker>
          <c:xVal>
            <c:numRef>
              <c:f>'Aircraft Data'!$B$75:$B$85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'Aircraft Data'!$N$75:$N$85</c:f>
              <c:numCache>
                <c:formatCode>0</c:formatCode>
                <c:ptCount val="11"/>
                <c:pt idx="0">
                  <c:v>227.4473213968277</c:v>
                </c:pt>
                <c:pt idx="1">
                  <c:v>234.62986838830648</c:v>
                </c:pt>
                <c:pt idx="2">
                  <c:v>241.81241537978525</c:v>
                </c:pt>
                <c:pt idx="3">
                  <c:v>248.99496237126402</c:v>
                </c:pt>
                <c:pt idx="4">
                  <c:v>256.1775093627428</c:v>
                </c:pt>
                <c:pt idx="5">
                  <c:v>263.36005635422157</c:v>
                </c:pt>
                <c:pt idx="6">
                  <c:v>270.54260334570034</c:v>
                </c:pt>
                <c:pt idx="7">
                  <c:v>277.72515033717912</c:v>
                </c:pt>
                <c:pt idx="8">
                  <c:v>284.90769732865789</c:v>
                </c:pt>
                <c:pt idx="9">
                  <c:v>292.09024432013666</c:v>
                </c:pt>
                <c:pt idx="10">
                  <c:v>299.27279131161544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DDB-4573-A9C9-A529986117A2}"/>
            </c:ext>
          </c:extLst>
        </c:ser>
        <c:ser>
          <c:idx val="12"/>
          <c:order val="12"/>
          <c:tx>
            <c:v>h = 60000 ft</c:v>
          </c:tx>
          <c:marker>
            <c:symbol val="none"/>
          </c:marker>
          <c:xVal>
            <c:numRef>
              <c:f>'Aircraft Data'!$B$75:$B$85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'Aircraft Data'!$O$75:$O$85</c:f>
              <c:numCache>
                <c:formatCode>0</c:formatCode>
                <c:ptCount val="11"/>
                <c:pt idx="0">
                  <c:v>178.85942413620165</c:v>
                </c:pt>
                <c:pt idx="1">
                  <c:v>182.62488569696379</c:v>
                </c:pt>
                <c:pt idx="2">
                  <c:v>186.39034725772592</c:v>
                </c:pt>
                <c:pt idx="3">
                  <c:v>190.15580881848808</c:v>
                </c:pt>
                <c:pt idx="4">
                  <c:v>193.92127037925022</c:v>
                </c:pt>
                <c:pt idx="5">
                  <c:v>197.68673194001235</c:v>
                </c:pt>
                <c:pt idx="6">
                  <c:v>201.45219350077448</c:v>
                </c:pt>
                <c:pt idx="7">
                  <c:v>205.21765506153662</c:v>
                </c:pt>
                <c:pt idx="8">
                  <c:v>208.98311662229878</c:v>
                </c:pt>
                <c:pt idx="9">
                  <c:v>212.74857818306091</c:v>
                </c:pt>
                <c:pt idx="10">
                  <c:v>216.51403974382305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DDB-4573-A9C9-A52998611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6860703"/>
        <c:axId val="1616862143"/>
      </c:scatterChart>
      <c:valAx>
        <c:axId val="1616860703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Mach Number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616862143"/>
        <c:crosses val="autoZero"/>
        <c:crossBetween val="midCat"/>
      </c:valAx>
      <c:valAx>
        <c:axId val="161686214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 (lbs)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61686070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T-38A Max A/B </a:t>
            </a:r>
          </a:p>
          <a:p>
            <a:pPr>
              <a:defRPr/>
            </a:pPr>
            <a:r>
              <a:rPr lang="en-US"/>
              <a:t>Fuel Flow </a:t>
            </a:r>
            <a:r>
              <a:rPr lang="en-US" sz="1800" b="1" i="0" u="none" strike="noStrike" kern="1200" baseline="0">
                <a:solidFill>
                  <a:sysClr val="windowText" lastClr="000000"/>
                </a:solidFill>
              </a:rPr>
              <a:t>Per Engine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 = 0 ft</c:v>
          </c:tx>
          <c:marker>
            <c:symbol val="none"/>
          </c:marker>
          <c:xVal>
            <c:numRef>
              <c:f>'Aircraft Data'!$R$53:$R$69</c:f>
              <c:numCache>
                <c:formatCode>0.0</c:formatCode>
                <c:ptCount val="1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 formatCode="General">
                  <c:v>1.5</c:v>
                </c:pt>
                <c:pt idx="16" formatCode="General">
                  <c:v>1.6</c:v>
                </c:pt>
              </c:numCache>
            </c:numRef>
          </c:xVal>
          <c:yVal>
            <c:numRef>
              <c:f>'Aircraft Data'!$S$53:$S$69</c:f>
              <c:numCache>
                <c:formatCode>0</c:formatCode>
                <c:ptCount val="17"/>
                <c:pt idx="0">
                  <c:v>7260</c:v>
                </c:pt>
                <c:pt idx="1">
                  <c:v>7576.8000000000011</c:v>
                </c:pt>
                <c:pt idx="2">
                  <c:v>7893.6</c:v>
                </c:pt>
                <c:pt idx="3">
                  <c:v>8210.4</c:v>
                </c:pt>
                <c:pt idx="4">
                  <c:v>8527.2000000000007</c:v>
                </c:pt>
                <c:pt idx="5">
                  <c:v>8844</c:v>
                </c:pt>
                <c:pt idx="6">
                  <c:v>9160.8000000000011</c:v>
                </c:pt>
                <c:pt idx="7">
                  <c:v>9477.6</c:v>
                </c:pt>
                <c:pt idx="8">
                  <c:v>9794.4</c:v>
                </c:pt>
                <c:pt idx="9">
                  <c:v>10111.200000000001</c:v>
                </c:pt>
                <c:pt idx="10">
                  <c:v>10428</c:v>
                </c:pt>
                <c:pt idx="11">
                  <c:v>10744.800000000001</c:v>
                </c:pt>
                <c:pt idx="12">
                  <c:v>11061.6</c:v>
                </c:pt>
                <c:pt idx="13">
                  <c:v>11378.4</c:v>
                </c:pt>
                <c:pt idx="14">
                  <c:v>11695.2</c:v>
                </c:pt>
                <c:pt idx="15">
                  <c:v>12012</c:v>
                </c:pt>
                <c:pt idx="16">
                  <c:v>12328.800000000001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AB-47C0-B5C2-976401A61BD2}"/>
            </c:ext>
          </c:extLst>
        </c:ser>
        <c:ser>
          <c:idx val="1"/>
          <c:order val="1"/>
          <c:tx>
            <c:v>h = 5000 ft</c:v>
          </c:tx>
          <c:marker>
            <c:symbol val="none"/>
          </c:marker>
          <c:xVal>
            <c:numRef>
              <c:f>'Aircraft Data'!$R$53:$R$69</c:f>
              <c:numCache>
                <c:formatCode>0.0</c:formatCode>
                <c:ptCount val="1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 formatCode="General">
                  <c:v>1.5</c:v>
                </c:pt>
                <c:pt idx="16" formatCode="General">
                  <c:v>1.6</c:v>
                </c:pt>
              </c:numCache>
            </c:numRef>
          </c:xVal>
          <c:yVal>
            <c:numRef>
              <c:f>'Aircraft Data'!$T$53:$T$69</c:f>
              <c:numCache>
                <c:formatCode>0</c:formatCode>
                <c:ptCount val="17"/>
                <c:pt idx="0">
                  <c:v>6147.2453640570075</c:v>
                </c:pt>
                <c:pt idx="1">
                  <c:v>6482.5496566419351</c:v>
                </c:pt>
                <c:pt idx="2">
                  <c:v>6817.8539492268619</c:v>
                </c:pt>
                <c:pt idx="3">
                  <c:v>7153.1582418117896</c:v>
                </c:pt>
                <c:pt idx="4">
                  <c:v>7488.4625343967173</c:v>
                </c:pt>
                <c:pt idx="5">
                  <c:v>7823.7668269816459</c:v>
                </c:pt>
                <c:pt idx="6">
                  <c:v>8159.0711195665735</c:v>
                </c:pt>
                <c:pt idx="7">
                  <c:v>8494.3754121514994</c:v>
                </c:pt>
                <c:pt idx="8">
                  <c:v>8829.6797047364271</c:v>
                </c:pt>
                <c:pt idx="9">
                  <c:v>9164.9839973213548</c:v>
                </c:pt>
                <c:pt idx="10">
                  <c:v>9500.2882899062824</c:v>
                </c:pt>
                <c:pt idx="11">
                  <c:v>9835.5925824912119</c:v>
                </c:pt>
                <c:pt idx="12">
                  <c:v>10170.89687507614</c:v>
                </c:pt>
                <c:pt idx="13">
                  <c:v>10506.201167661067</c:v>
                </c:pt>
                <c:pt idx="14">
                  <c:v>10841.505460245993</c:v>
                </c:pt>
                <c:pt idx="15">
                  <c:v>11176.809752830921</c:v>
                </c:pt>
                <c:pt idx="16">
                  <c:v>11512.11404541585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AB-47C0-B5C2-976401A61BD2}"/>
            </c:ext>
          </c:extLst>
        </c:ser>
        <c:ser>
          <c:idx val="2"/>
          <c:order val="2"/>
          <c:tx>
            <c:v>h = 10000 ft</c:v>
          </c:tx>
          <c:marker>
            <c:symbol val="none"/>
          </c:marker>
          <c:xVal>
            <c:numRef>
              <c:f>'Aircraft Data'!$R$53:$R$69</c:f>
              <c:numCache>
                <c:formatCode>0.0</c:formatCode>
                <c:ptCount val="1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 formatCode="General">
                  <c:v>1.5</c:v>
                </c:pt>
                <c:pt idx="16" formatCode="General">
                  <c:v>1.6</c:v>
                </c:pt>
              </c:numCache>
            </c:numRef>
          </c:xVal>
          <c:yVal>
            <c:numRef>
              <c:f>'Aircraft Data'!$U$53:$U$69</c:f>
              <c:numCache>
                <c:formatCode>0</c:formatCode>
                <c:ptCount val="17"/>
                <c:pt idx="0">
                  <c:v>5173.7443275089336</c:v>
                </c:pt>
                <c:pt idx="1">
                  <c:v>5512.3894107640635</c:v>
                </c:pt>
                <c:pt idx="2">
                  <c:v>5851.0344940191935</c:v>
                </c:pt>
                <c:pt idx="3">
                  <c:v>6189.6795772743235</c:v>
                </c:pt>
                <c:pt idx="4">
                  <c:v>6528.3246605294544</c:v>
                </c:pt>
                <c:pt idx="5">
                  <c:v>6866.9697437845844</c:v>
                </c:pt>
                <c:pt idx="6">
                  <c:v>7205.6148270397143</c:v>
                </c:pt>
                <c:pt idx="7">
                  <c:v>7544.2599102948434</c:v>
                </c:pt>
                <c:pt idx="8">
                  <c:v>7882.9049935499743</c:v>
                </c:pt>
                <c:pt idx="9">
                  <c:v>8221.5500768051061</c:v>
                </c:pt>
                <c:pt idx="10">
                  <c:v>8560.1951600602351</c:v>
                </c:pt>
                <c:pt idx="11">
                  <c:v>8898.840243315366</c:v>
                </c:pt>
                <c:pt idx="12">
                  <c:v>9237.4853265704951</c:v>
                </c:pt>
                <c:pt idx="13">
                  <c:v>9576.130409825626</c:v>
                </c:pt>
                <c:pt idx="14">
                  <c:v>9914.775493080755</c:v>
                </c:pt>
                <c:pt idx="15">
                  <c:v>10253.420576335886</c:v>
                </c:pt>
                <c:pt idx="16">
                  <c:v>10592.065659591015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AB-47C0-B5C2-976401A61BD2}"/>
            </c:ext>
          </c:extLst>
        </c:ser>
        <c:ser>
          <c:idx val="3"/>
          <c:order val="3"/>
          <c:tx>
            <c:v>h = 15000 ft</c:v>
          </c:tx>
          <c:marker>
            <c:symbol val="none"/>
          </c:marker>
          <c:xVal>
            <c:numRef>
              <c:f>'Aircraft Data'!$R$53:$R$69</c:f>
              <c:numCache>
                <c:formatCode>0.0</c:formatCode>
                <c:ptCount val="1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 formatCode="General">
                  <c:v>1.5</c:v>
                </c:pt>
                <c:pt idx="16" formatCode="General">
                  <c:v>1.6</c:v>
                </c:pt>
              </c:numCache>
            </c:numRef>
          </c:xVal>
          <c:yVal>
            <c:numRef>
              <c:f>'Aircraft Data'!$V$53:$V$69</c:f>
              <c:numCache>
                <c:formatCode>0</c:formatCode>
                <c:ptCount val="17"/>
                <c:pt idx="0">
                  <c:v>4326.2615025118394</c:v>
                </c:pt>
                <c:pt idx="1">
                  <c:v>4640.8987026945179</c:v>
                </c:pt>
                <c:pt idx="2">
                  <c:v>4955.5359028771973</c:v>
                </c:pt>
                <c:pt idx="3">
                  <c:v>5270.1731030598776</c:v>
                </c:pt>
                <c:pt idx="4">
                  <c:v>5584.8103032425561</c:v>
                </c:pt>
                <c:pt idx="5">
                  <c:v>5899.4475034252355</c:v>
                </c:pt>
                <c:pt idx="6">
                  <c:v>6214.084703607914</c:v>
                </c:pt>
                <c:pt idx="7">
                  <c:v>6528.7219037905943</c:v>
                </c:pt>
                <c:pt idx="8">
                  <c:v>6843.3591039732728</c:v>
                </c:pt>
                <c:pt idx="9">
                  <c:v>7157.9963041559531</c:v>
                </c:pt>
                <c:pt idx="10">
                  <c:v>7472.6335043386307</c:v>
                </c:pt>
                <c:pt idx="11">
                  <c:v>7787.270704521311</c:v>
                </c:pt>
                <c:pt idx="12">
                  <c:v>8101.9079047039904</c:v>
                </c:pt>
                <c:pt idx="13">
                  <c:v>8416.5451048866689</c:v>
                </c:pt>
                <c:pt idx="14">
                  <c:v>8731.1823050693492</c:v>
                </c:pt>
                <c:pt idx="15">
                  <c:v>9045.8195052520259</c:v>
                </c:pt>
                <c:pt idx="16">
                  <c:v>9360.4567054347081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6AB-47C0-B5C2-976401A61BD2}"/>
            </c:ext>
          </c:extLst>
        </c:ser>
        <c:ser>
          <c:idx val="4"/>
          <c:order val="4"/>
          <c:tx>
            <c:v>h = 20000 ft</c:v>
          </c:tx>
          <c:marker>
            <c:symbol val="none"/>
          </c:marker>
          <c:xVal>
            <c:numRef>
              <c:f>'Aircraft Data'!$R$53:$R$69</c:f>
              <c:numCache>
                <c:formatCode>0.0</c:formatCode>
                <c:ptCount val="1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 formatCode="General">
                  <c:v>1.5</c:v>
                </c:pt>
                <c:pt idx="16" formatCode="General">
                  <c:v>1.6</c:v>
                </c:pt>
              </c:numCache>
            </c:numRef>
          </c:xVal>
          <c:yVal>
            <c:numRef>
              <c:f>'Aircraft Data'!$W$53:$W$69</c:f>
              <c:numCache>
                <c:formatCode>0</c:formatCode>
                <c:ptCount val="17"/>
                <c:pt idx="0">
                  <c:v>3592.3921789746414</c:v>
                </c:pt>
                <c:pt idx="1">
                  <c:v>3879.7835532926133</c:v>
                </c:pt>
                <c:pt idx="2">
                  <c:v>4167.1749276105847</c:v>
                </c:pt>
                <c:pt idx="3">
                  <c:v>4454.5663019285557</c:v>
                </c:pt>
                <c:pt idx="4">
                  <c:v>4741.9576762465276</c:v>
                </c:pt>
                <c:pt idx="5">
                  <c:v>5029.3490505644977</c:v>
                </c:pt>
                <c:pt idx="6">
                  <c:v>5316.7404248824705</c:v>
                </c:pt>
                <c:pt idx="7">
                  <c:v>5604.1317992004424</c:v>
                </c:pt>
                <c:pt idx="8">
                  <c:v>5891.5231735184125</c:v>
                </c:pt>
                <c:pt idx="9">
                  <c:v>6178.9145478363844</c:v>
                </c:pt>
                <c:pt idx="10">
                  <c:v>6466.3059221543554</c:v>
                </c:pt>
                <c:pt idx="11">
                  <c:v>6753.6972964723273</c:v>
                </c:pt>
                <c:pt idx="12">
                  <c:v>7041.0886707902982</c:v>
                </c:pt>
                <c:pt idx="13">
                  <c:v>7328.4800451082683</c:v>
                </c:pt>
                <c:pt idx="14">
                  <c:v>7615.871419426242</c:v>
                </c:pt>
                <c:pt idx="15">
                  <c:v>7903.262793744213</c:v>
                </c:pt>
                <c:pt idx="16">
                  <c:v>8190.654168062184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6AB-47C0-B5C2-976401A61BD2}"/>
            </c:ext>
          </c:extLst>
        </c:ser>
        <c:ser>
          <c:idx val="5"/>
          <c:order val="5"/>
          <c:tx>
            <c:v>h = 25000 ft</c:v>
          </c:tx>
          <c:marker>
            <c:symbol val="none"/>
          </c:marker>
          <c:xVal>
            <c:numRef>
              <c:f>'Aircraft Data'!$R$53:$R$69</c:f>
              <c:numCache>
                <c:formatCode>0.0</c:formatCode>
                <c:ptCount val="1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 formatCode="General">
                  <c:v>1.5</c:v>
                </c:pt>
                <c:pt idx="16" formatCode="General">
                  <c:v>1.6</c:v>
                </c:pt>
              </c:numCache>
            </c:numRef>
          </c:xVal>
          <c:yVal>
            <c:numRef>
              <c:f>'Aircraft Data'!$X$53:$X$69</c:f>
              <c:numCache>
                <c:formatCode>0</c:formatCode>
                <c:ptCount val="17"/>
                <c:pt idx="0">
                  <c:v>2960.5390293262353</c:v>
                </c:pt>
                <c:pt idx="1">
                  <c:v>3218.913344612889</c:v>
                </c:pt>
                <c:pt idx="2">
                  <c:v>3477.2876598995413</c:v>
                </c:pt>
                <c:pt idx="3">
                  <c:v>3735.6619751861949</c:v>
                </c:pt>
                <c:pt idx="4">
                  <c:v>3994.0362904728486</c:v>
                </c:pt>
                <c:pt idx="5">
                  <c:v>4252.4106057595009</c:v>
                </c:pt>
                <c:pt idx="6">
                  <c:v>4510.7849210461554</c:v>
                </c:pt>
                <c:pt idx="7">
                  <c:v>4769.1592363328082</c:v>
                </c:pt>
                <c:pt idx="8">
                  <c:v>5027.5335516194609</c:v>
                </c:pt>
                <c:pt idx="9">
                  <c:v>5285.9078669061146</c:v>
                </c:pt>
                <c:pt idx="10">
                  <c:v>5544.2821821927673</c:v>
                </c:pt>
                <c:pt idx="11">
                  <c:v>5802.6564974794201</c:v>
                </c:pt>
                <c:pt idx="12">
                  <c:v>6061.0308127660737</c:v>
                </c:pt>
                <c:pt idx="13">
                  <c:v>6319.4051280527274</c:v>
                </c:pt>
                <c:pt idx="14">
                  <c:v>6577.779443339381</c:v>
                </c:pt>
                <c:pt idx="15">
                  <c:v>6836.1537586260347</c:v>
                </c:pt>
                <c:pt idx="16">
                  <c:v>7094.5280739126874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6AB-47C0-B5C2-976401A61BD2}"/>
            </c:ext>
          </c:extLst>
        </c:ser>
        <c:ser>
          <c:idx val="6"/>
          <c:order val="6"/>
          <c:tx>
            <c:v>h = 30000 ft</c:v>
          </c:tx>
          <c:marker>
            <c:symbol val="none"/>
          </c:marker>
          <c:xVal>
            <c:numRef>
              <c:f>'Aircraft Data'!$R$53:$R$69</c:f>
              <c:numCache>
                <c:formatCode>0.0</c:formatCode>
                <c:ptCount val="1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 formatCode="General">
                  <c:v>1.5</c:v>
                </c:pt>
                <c:pt idx="16" formatCode="General">
                  <c:v>1.6</c:v>
                </c:pt>
              </c:numCache>
            </c:numRef>
          </c:xVal>
          <c:yVal>
            <c:numRef>
              <c:f>'Aircraft Data'!$Y$53:$Y$69</c:f>
              <c:numCache>
                <c:formatCode>0</c:formatCode>
                <c:ptCount val="17"/>
                <c:pt idx="0">
                  <c:v>2419.8885943380046</c:v>
                </c:pt>
                <c:pt idx="1">
                  <c:v>2648.6780614390523</c:v>
                </c:pt>
                <c:pt idx="2">
                  <c:v>2877.4675285401004</c:v>
                </c:pt>
                <c:pt idx="3">
                  <c:v>3106.256995641148</c:v>
                </c:pt>
                <c:pt idx="4">
                  <c:v>3335.0464627421957</c:v>
                </c:pt>
                <c:pt idx="5">
                  <c:v>3563.8359298432438</c:v>
                </c:pt>
                <c:pt idx="6">
                  <c:v>3792.6253969442905</c:v>
                </c:pt>
                <c:pt idx="7">
                  <c:v>4021.4148640453386</c:v>
                </c:pt>
                <c:pt idx="8">
                  <c:v>4250.2043311463858</c:v>
                </c:pt>
                <c:pt idx="9">
                  <c:v>4478.9937982474339</c:v>
                </c:pt>
                <c:pt idx="10">
                  <c:v>4707.783265348482</c:v>
                </c:pt>
                <c:pt idx="11">
                  <c:v>4936.5727324495301</c:v>
                </c:pt>
                <c:pt idx="12">
                  <c:v>5165.3621995505773</c:v>
                </c:pt>
                <c:pt idx="13">
                  <c:v>5394.1516666516263</c:v>
                </c:pt>
                <c:pt idx="14">
                  <c:v>5622.9411337526726</c:v>
                </c:pt>
                <c:pt idx="15">
                  <c:v>5851.7306008537198</c:v>
                </c:pt>
                <c:pt idx="16">
                  <c:v>6080.5200679547679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6AB-47C0-B5C2-976401A61BD2}"/>
            </c:ext>
          </c:extLst>
        </c:ser>
        <c:ser>
          <c:idx val="7"/>
          <c:order val="7"/>
          <c:tx>
            <c:v>h = 35000 ft</c:v>
          </c:tx>
          <c:marker>
            <c:symbol val="none"/>
          </c:marker>
          <c:xVal>
            <c:numRef>
              <c:f>'Aircraft Data'!$R$53:$R$69</c:f>
              <c:numCache>
                <c:formatCode>0.0</c:formatCode>
                <c:ptCount val="1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 formatCode="General">
                  <c:v>1.5</c:v>
                </c:pt>
                <c:pt idx="16" formatCode="General">
                  <c:v>1.6</c:v>
                </c:pt>
              </c:numCache>
            </c:numRef>
          </c:xVal>
          <c:yVal>
            <c:numRef>
              <c:f>'Aircraft Data'!$Z$53:$Z$69</c:f>
              <c:numCache>
                <c:formatCode>0</c:formatCode>
                <c:ptCount val="17"/>
                <c:pt idx="0">
                  <c:v>1960.3875390758474</c:v>
                </c:pt>
                <c:pt idx="1">
                  <c:v>2159.99063396357</c:v>
                </c:pt>
                <c:pt idx="2">
                  <c:v>2359.5937288512928</c:v>
                </c:pt>
                <c:pt idx="3">
                  <c:v>2559.1968237390151</c:v>
                </c:pt>
                <c:pt idx="4">
                  <c:v>2758.799918626738</c:v>
                </c:pt>
                <c:pt idx="5">
                  <c:v>2958.4030135144608</c:v>
                </c:pt>
                <c:pt idx="6">
                  <c:v>3158.0061084021836</c:v>
                </c:pt>
                <c:pt idx="7">
                  <c:v>3357.609203289906</c:v>
                </c:pt>
                <c:pt idx="8">
                  <c:v>3557.2122981776288</c:v>
                </c:pt>
                <c:pt idx="9">
                  <c:v>3756.8153930653511</c:v>
                </c:pt>
                <c:pt idx="10">
                  <c:v>3956.418487953074</c:v>
                </c:pt>
                <c:pt idx="11">
                  <c:v>4156.0215828407963</c:v>
                </c:pt>
                <c:pt idx="12">
                  <c:v>4355.6246777285196</c:v>
                </c:pt>
                <c:pt idx="13">
                  <c:v>4555.2277726162411</c:v>
                </c:pt>
                <c:pt idx="14">
                  <c:v>4754.8308675039643</c:v>
                </c:pt>
                <c:pt idx="15">
                  <c:v>4954.4339623916867</c:v>
                </c:pt>
                <c:pt idx="16">
                  <c:v>5154.03705727941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6AB-47C0-B5C2-976401A61BD2}"/>
            </c:ext>
          </c:extLst>
        </c:ser>
        <c:ser>
          <c:idx val="8"/>
          <c:order val="8"/>
          <c:tx>
            <c:v>h = 40000 ft</c:v>
          </c:tx>
          <c:marker>
            <c:symbol val="none"/>
          </c:marker>
          <c:xVal>
            <c:numRef>
              <c:f>'Aircraft Data'!$R$53:$R$69</c:f>
              <c:numCache>
                <c:formatCode>0.0</c:formatCode>
                <c:ptCount val="1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 formatCode="General">
                  <c:v>1.5</c:v>
                </c:pt>
                <c:pt idx="16" formatCode="General">
                  <c:v>1.6</c:v>
                </c:pt>
              </c:numCache>
            </c:numRef>
          </c:xVal>
          <c:yVal>
            <c:numRef>
              <c:f>'Aircraft Data'!$AA$53:$AA$69</c:f>
              <c:numCache>
                <c:formatCode>0</c:formatCode>
                <c:ptCount val="17"/>
                <c:pt idx="0">
                  <c:v>1549.675531882463</c:v>
                </c:pt>
                <c:pt idx="1">
                  <c:v>1718.7310444514592</c:v>
                </c:pt>
                <c:pt idx="2">
                  <c:v>1887.7865570204551</c:v>
                </c:pt>
                <c:pt idx="3">
                  <c:v>2056.8420695894511</c:v>
                </c:pt>
                <c:pt idx="4">
                  <c:v>2225.8975821584472</c:v>
                </c:pt>
                <c:pt idx="5">
                  <c:v>2394.9530947274429</c:v>
                </c:pt>
                <c:pt idx="6">
                  <c:v>2564.0086072964391</c:v>
                </c:pt>
                <c:pt idx="7">
                  <c:v>2733.0641198654353</c:v>
                </c:pt>
                <c:pt idx="8">
                  <c:v>2902.1196324344314</c:v>
                </c:pt>
                <c:pt idx="9">
                  <c:v>3071.1751450034267</c:v>
                </c:pt>
                <c:pt idx="10">
                  <c:v>3240.2306575724228</c:v>
                </c:pt>
                <c:pt idx="11">
                  <c:v>3409.2861701414186</c:v>
                </c:pt>
                <c:pt idx="12">
                  <c:v>3578.3416827104147</c:v>
                </c:pt>
                <c:pt idx="13">
                  <c:v>3747.3971952794104</c:v>
                </c:pt>
                <c:pt idx="14">
                  <c:v>3916.4527078484066</c:v>
                </c:pt>
                <c:pt idx="15">
                  <c:v>4085.5082204174032</c:v>
                </c:pt>
                <c:pt idx="16">
                  <c:v>4254.5637329863976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6AB-47C0-B5C2-976401A61BD2}"/>
            </c:ext>
          </c:extLst>
        </c:ser>
        <c:ser>
          <c:idx val="9"/>
          <c:order val="9"/>
          <c:tx>
            <c:v>h = 45000 ft</c:v>
          </c:tx>
          <c:marker>
            <c:symbol val="none"/>
          </c:marker>
          <c:xVal>
            <c:numRef>
              <c:f>'Aircraft Data'!$R$53:$R$69</c:f>
              <c:numCache>
                <c:formatCode>0.0</c:formatCode>
                <c:ptCount val="1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 formatCode="General">
                  <c:v>1.5</c:v>
                </c:pt>
                <c:pt idx="16" formatCode="General">
                  <c:v>1.6</c:v>
                </c:pt>
              </c:numCache>
            </c:numRef>
          </c:xVal>
          <c:yVal>
            <c:numRef>
              <c:f>'Aircraft Data'!$AB$53:$AB$69</c:f>
              <c:numCache>
                <c:formatCode>0</c:formatCode>
                <c:ptCount val="17"/>
                <c:pt idx="0">
                  <c:v>1218.6297535985198</c:v>
                </c:pt>
                <c:pt idx="1">
                  <c:v>1342.7084194194599</c:v>
                </c:pt>
                <c:pt idx="2">
                  <c:v>1466.7870852404003</c:v>
                </c:pt>
                <c:pt idx="3">
                  <c:v>1590.8657510613402</c:v>
                </c:pt>
                <c:pt idx="4">
                  <c:v>1714.9444168822806</c:v>
                </c:pt>
                <c:pt idx="5">
                  <c:v>1839.0230827032206</c:v>
                </c:pt>
                <c:pt idx="6">
                  <c:v>1963.1017485241609</c:v>
                </c:pt>
                <c:pt idx="7">
                  <c:v>2087.1804143451013</c:v>
                </c:pt>
                <c:pt idx="8">
                  <c:v>2211.2590801660413</c:v>
                </c:pt>
                <c:pt idx="9">
                  <c:v>2335.3377459869816</c:v>
                </c:pt>
                <c:pt idx="10">
                  <c:v>2459.4164118079216</c:v>
                </c:pt>
                <c:pt idx="11">
                  <c:v>2583.495077628862</c:v>
                </c:pt>
                <c:pt idx="12">
                  <c:v>2707.5737434498024</c:v>
                </c:pt>
                <c:pt idx="13">
                  <c:v>2831.6524092707423</c:v>
                </c:pt>
                <c:pt idx="14">
                  <c:v>2955.7310750916827</c:v>
                </c:pt>
                <c:pt idx="15">
                  <c:v>3079.8097409126226</c:v>
                </c:pt>
                <c:pt idx="16">
                  <c:v>3203.888406733563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6AB-47C0-B5C2-976401A61BD2}"/>
            </c:ext>
          </c:extLst>
        </c:ser>
        <c:ser>
          <c:idx val="10"/>
          <c:order val="10"/>
          <c:tx>
            <c:v>h = 50000 ft</c:v>
          </c:tx>
          <c:marker>
            <c:symbol val="none"/>
          </c:marker>
          <c:xVal>
            <c:numRef>
              <c:f>'Aircraft Data'!$R$53:$R$69</c:f>
              <c:numCache>
                <c:formatCode>0.0</c:formatCode>
                <c:ptCount val="1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 formatCode="General">
                  <c:v>1.5</c:v>
                </c:pt>
                <c:pt idx="16" formatCode="General">
                  <c:v>1.6</c:v>
                </c:pt>
              </c:numCache>
            </c:numRef>
          </c:xVal>
          <c:yVal>
            <c:numRef>
              <c:f>'Aircraft Data'!$AC$53:$AC$69</c:f>
              <c:numCache>
                <c:formatCode>0</c:formatCode>
                <c:ptCount val="17"/>
                <c:pt idx="0">
                  <c:v>958.302848436678</c:v>
                </c:pt>
                <c:pt idx="1">
                  <c:v>1041.9365515729701</c:v>
                </c:pt>
                <c:pt idx="2">
                  <c:v>1125.5702547092617</c:v>
                </c:pt>
                <c:pt idx="3">
                  <c:v>1209.2039578455538</c:v>
                </c:pt>
                <c:pt idx="4">
                  <c:v>1292.8376609818456</c:v>
                </c:pt>
                <c:pt idx="5">
                  <c:v>1376.4713641181377</c:v>
                </c:pt>
                <c:pt idx="6">
                  <c:v>1460.1050672544295</c:v>
                </c:pt>
                <c:pt idx="7">
                  <c:v>1543.7387703907216</c:v>
                </c:pt>
                <c:pt idx="8">
                  <c:v>1627.3724735270134</c:v>
                </c:pt>
                <c:pt idx="9">
                  <c:v>1711.0061766633053</c:v>
                </c:pt>
                <c:pt idx="10">
                  <c:v>1794.6398797995969</c:v>
                </c:pt>
                <c:pt idx="11">
                  <c:v>1878.2735829358894</c:v>
                </c:pt>
                <c:pt idx="12">
                  <c:v>1961.9072860721808</c:v>
                </c:pt>
                <c:pt idx="13">
                  <c:v>2045.5409892084731</c:v>
                </c:pt>
                <c:pt idx="14">
                  <c:v>2129.1746923447649</c:v>
                </c:pt>
                <c:pt idx="15">
                  <c:v>2212.8083954810563</c:v>
                </c:pt>
                <c:pt idx="16">
                  <c:v>2296.4420986173486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6AB-47C0-B5C2-976401A61BD2}"/>
            </c:ext>
          </c:extLst>
        </c:ser>
        <c:ser>
          <c:idx val="11"/>
          <c:order val="11"/>
          <c:tx>
            <c:v>h = 55000 ft</c:v>
          </c:tx>
          <c:marker>
            <c:symbol val="none"/>
          </c:marker>
          <c:xVal>
            <c:numRef>
              <c:f>'Aircraft Data'!$R$53:$R$69</c:f>
              <c:numCache>
                <c:formatCode>0.0</c:formatCode>
                <c:ptCount val="1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 formatCode="General">
                  <c:v>1.5</c:v>
                </c:pt>
                <c:pt idx="16" formatCode="General">
                  <c:v>1.6</c:v>
                </c:pt>
              </c:numCache>
            </c:numRef>
          </c:xVal>
          <c:yVal>
            <c:numRef>
              <c:f>'Aircraft Data'!$AD$53:$AD$69</c:f>
              <c:numCache>
                <c:formatCode>0</c:formatCode>
                <c:ptCount val="17"/>
                <c:pt idx="0">
                  <c:v>753.58766402186654</c:v>
                </c:pt>
                <c:pt idx="1">
                  <c:v>808.39403958709318</c:v>
                </c:pt>
                <c:pt idx="2">
                  <c:v>863.20041515231958</c:v>
                </c:pt>
                <c:pt idx="3">
                  <c:v>918.00679071754632</c:v>
                </c:pt>
                <c:pt idx="4">
                  <c:v>972.81316628277307</c:v>
                </c:pt>
                <c:pt idx="5">
                  <c:v>1027.6195418479997</c:v>
                </c:pt>
                <c:pt idx="6">
                  <c:v>1082.4259174132264</c:v>
                </c:pt>
                <c:pt idx="7">
                  <c:v>1137.232292978453</c:v>
                </c:pt>
                <c:pt idx="8">
                  <c:v>1192.0386685436799</c:v>
                </c:pt>
                <c:pt idx="9">
                  <c:v>1246.8450441089064</c:v>
                </c:pt>
                <c:pt idx="10">
                  <c:v>1301.6514196741327</c:v>
                </c:pt>
                <c:pt idx="11">
                  <c:v>1356.4577952393593</c:v>
                </c:pt>
                <c:pt idx="12">
                  <c:v>1411.264170804586</c:v>
                </c:pt>
                <c:pt idx="13">
                  <c:v>1466.0705463698127</c:v>
                </c:pt>
                <c:pt idx="14">
                  <c:v>1520.8769219350393</c:v>
                </c:pt>
                <c:pt idx="15">
                  <c:v>1575.6832975002662</c:v>
                </c:pt>
                <c:pt idx="16">
                  <c:v>1630.489673065493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6AB-47C0-B5C2-976401A61BD2}"/>
            </c:ext>
          </c:extLst>
        </c:ser>
        <c:ser>
          <c:idx val="12"/>
          <c:order val="12"/>
          <c:tx>
            <c:v>h = 60000 ft</c:v>
          </c:tx>
          <c:marker>
            <c:symbol val="none"/>
          </c:marker>
          <c:xVal>
            <c:numRef>
              <c:f>'Aircraft Data'!$R$53:$R$69</c:f>
              <c:numCache>
                <c:formatCode>0.0</c:formatCode>
                <c:ptCount val="1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 formatCode="General">
                  <c:v>1.5</c:v>
                </c:pt>
                <c:pt idx="16" formatCode="General">
                  <c:v>1.6</c:v>
                </c:pt>
              </c:numCache>
            </c:numRef>
          </c:xVal>
          <c:yVal>
            <c:numRef>
              <c:f>'Aircraft Data'!$AE$53:$AE$69</c:f>
              <c:numCache>
                <c:formatCode>0</c:formatCode>
                <c:ptCount val="17"/>
                <c:pt idx="0">
                  <c:v>592.60427775245</c:v>
                </c:pt>
                <c:pt idx="1">
                  <c:v>627.08307209441068</c:v>
                </c:pt>
                <c:pt idx="2">
                  <c:v>661.56186643637136</c:v>
                </c:pt>
                <c:pt idx="3">
                  <c:v>696.04066077833204</c:v>
                </c:pt>
                <c:pt idx="4">
                  <c:v>730.51945512029283</c:v>
                </c:pt>
                <c:pt idx="5">
                  <c:v>764.99824946225351</c:v>
                </c:pt>
                <c:pt idx="6">
                  <c:v>799.4770438042143</c:v>
                </c:pt>
                <c:pt idx="7">
                  <c:v>833.95583814617498</c:v>
                </c:pt>
                <c:pt idx="8">
                  <c:v>868.43463248813566</c:v>
                </c:pt>
                <c:pt idx="9">
                  <c:v>902.91342683009657</c:v>
                </c:pt>
                <c:pt idx="10">
                  <c:v>937.39222117205702</c:v>
                </c:pt>
                <c:pt idx="11">
                  <c:v>971.87101551401793</c:v>
                </c:pt>
                <c:pt idx="12">
                  <c:v>1006.3498098559785</c:v>
                </c:pt>
                <c:pt idx="13">
                  <c:v>1040.8286041979395</c:v>
                </c:pt>
                <c:pt idx="14">
                  <c:v>1075.3073985399001</c:v>
                </c:pt>
                <c:pt idx="15">
                  <c:v>1109.7861928818606</c:v>
                </c:pt>
                <c:pt idx="16">
                  <c:v>1144.2649872238214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6AB-47C0-B5C2-976401A61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0920015"/>
        <c:axId val="1580916655"/>
      </c:scatterChart>
      <c:valAx>
        <c:axId val="1580920015"/>
        <c:scaling>
          <c:orientation val="minMax"/>
          <c:max val="1.6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Mach Number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spPr>
          <a:ln/>
        </c:spPr>
        <c:crossAx val="1580916655"/>
        <c:crosses val="autoZero"/>
        <c:crossBetween val="midCat"/>
        <c:majorUnit val="0.2"/>
      </c:valAx>
      <c:valAx>
        <c:axId val="158091665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Fuel Flow (lb/hr)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580920015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T-38A Military Power </a:t>
            </a:r>
          </a:p>
          <a:p>
            <a:pPr>
              <a:defRPr/>
            </a:pPr>
            <a:r>
              <a:rPr lang="en-US"/>
              <a:t>Fuel Flow </a:t>
            </a:r>
            <a:r>
              <a:rPr lang="en-US" sz="1800" b="1" i="0" u="none" strike="noStrike" kern="1200" baseline="0">
                <a:solidFill>
                  <a:sysClr val="windowText" lastClr="000000"/>
                </a:solidFill>
              </a:rPr>
              <a:t>Per Engine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 = 0 ft</c:v>
          </c:tx>
          <c:marker>
            <c:symbol val="none"/>
          </c:marker>
          <c:xVal>
            <c:numRef>
              <c:f>'Aircraft Data'!$R$75:$R$85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'Aircraft Data'!$S$75:$S$85</c:f>
              <c:numCache>
                <c:formatCode>0</c:formatCode>
                <c:ptCount val="11"/>
                <c:pt idx="0">
                  <c:v>2166</c:v>
                </c:pt>
                <c:pt idx="1">
                  <c:v>2188.7999999999997</c:v>
                </c:pt>
                <c:pt idx="2">
                  <c:v>2211.6</c:v>
                </c:pt>
                <c:pt idx="3">
                  <c:v>2234.3999999999996</c:v>
                </c:pt>
                <c:pt idx="4">
                  <c:v>2257.1999999999998</c:v>
                </c:pt>
                <c:pt idx="5">
                  <c:v>2280</c:v>
                </c:pt>
                <c:pt idx="6">
                  <c:v>2302.7999999999997</c:v>
                </c:pt>
                <c:pt idx="7">
                  <c:v>2325.6</c:v>
                </c:pt>
                <c:pt idx="8">
                  <c:v>2348.3999999999996</c:v>
                </c:pt>
                <c:pt idx="9">
                  <c:v>2371.1999999999998</c:v>
                </c:pt>
                <c:pt idx="10">
                  <c:v>2394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27-4856-B41B-87B17B12C8AE}"/>
            </c:ext>
          </c:extLst>
        </c:ser>
        <c:ser>
          <c:idx val="1"/>
          <c:order val="1"/>
          <c:tx>
            <c:v>h = 5000 ft</c:v>
          </c:tx>
          <c:marker>
            <c:symbol val="none"/>
          </c:marker>
          <c:xVal>
            <c:numRef>
              <c:f>'Aircraft Data'!$R$75:$R$85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'Aircraft Data'!$T$75:$T$85</c:f>
              <c:numCache>
                <c:formatCode>0</c:formatCode>
                <c:ptCount val="11"/>
                <c:pt idx="0">
                  <c:v>1834.0128730781648</c:v>
                </c:pt>
                <c:pt idx="1">
                  <c:v>1872.6236704061257</c:v>
                </c:pt>
                <c:pt idx="2">
                  <c:v>1911.2344677340875</c:v>
                </c:pt>
                <c:pt idx="3">
                  <c:v>1949.8452650620484</c:v>
                </c:pt>
                <c:pt idx="4">
                  <c:v>1988.4560623900099</c:v>
                </c:pt>
                <c:pt idx="5">
                  <c:v>2027.0668597179713</c:v>
                </c:pt>
                <c:pt idx="6">
                  <c:v>2065.6776570459328</c:v>
                </c:pt>
                <c:pt idx="7">
                  <c:v>2104.2884543738937</c:v>
                </c:pt>
                <c:pt idx="8">
                  <c:v>2142.8992517018555</c:v>
                </c:pt>
                <c:pt idx="9">
                  <c:v>2181.5100490298169</c:v>
                </c:pt>
                <c:pt idx="10">
                  <c:v>2220.1208463577782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27-4856-B41B-87B17B12C8AE}"/>
            </c:ext>
          </c:extLst>
        </c:ser>
        <c:ser>
          <c:idx val="2"/>
          <c:order val="2"/>
          <c:tx>
            <c:v>h = 10000 ft</c:v>
          </c:tx>
          <c:marker>
            <c:symbol val="none"/>
          </c:marker>
          <c:xVal>
            <c:numRef>
              <c:f>'Aircraft Data'!$R$75:$R$85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'Aircraft Data'!$U$75:$U$85</c:f>
              <c:numCache>
                <c:formatCode>0</c:formatCode>
                <c:ptCount val="11"/>
                <c:pt idx="0">
                  <c:v>1543.571654736136</c:v>
                </c:pt>
                <c:pt idx="1">
                  <c:v>1592.3160227804351</c:v>
                </c:pt>
                <c:pt idx="2">
                  <c:v>1641.060390824734</c:v>
                </c:pt>
                <c:pt idx="3">
                  <c:v>1689.8047588690333</c:v>
                </c:pt>
                <c:pt idx="4">
                  <c:v>1738.5491269133322</c:v>
                </c:pt>
                <c:pt idx="5">
                  <c:v>1787.2934949576313</c:v>
                </c:pt>
                <c:pt idx="6">
                  <c:v>1836.0378630019302</c:v>
                </c:pt>
                <c:pt idx="7">
                  <c:v>1884.7822310462295</c:v>
                </c:pt>
                <c:pt idx="8">
                  <c:v>1933.5265990905284</c:v>
                </c:pt>
                <c:pt idx="9">
                  <c:v>1982.2709671348277</c:v>
                </c:pt>
                <c:pt idx="10">
                  <c:v>2031.0153351791266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27-4856-B41B-87B17B12C8AE}"/>
            </c:ext>
          </c:extLst>
        </c:ser>
        <c:ser>
          <c:idx val="3"/>
          <c:order val="3"/>
          <c:tx>
            <c:v>h = 15000 ft</c:v>
          </c:tx>
          <c:marker>
            <c:symbol val="none"/>
          </c:marker>
          <c:xVal>
            <c:numRef>
              <c:f>'Aircraft Data'!$R$75:$R$85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'Aircraft Data'!$V$75:$V$85</c:f>
              <c:numCache>
                <c:formatCode>0</c:formatCode>
                <c:ptCount val="11"/>
                <c:pt idx="0">
                  <c:v>1290.7276052948544</c:v>
                </c:pt>
                <c:pt idx="1">
                  <c:v>1338.2807275951911</c:v>
                </c:pt>
                <c:pt idx="2">
                  <c:v>1385.8338498955279</c:v>
                </c:pt>
                <c:pt idx="3">
                  <c:v>1433.3869721958645</c:v>
                </c:pt>
                <c:pt idx="4">
                  <c:v>1480.9400944962015</c:v>
                </c:pt>
                <c:pt idx="5">
                  <c:v>1528.493216796538</c:v>
                </c:pt>
                <c:pt idx="6">
                  <c:v>1576.0463390968746</c:v>
                </c:pt>
                <c:pt idx="7">
                  <c:v>1623.5994613972114</c:v>
                </c:pt>
                <c:pt idx="8">
                  <c:v>1671.1525836975482</c:v>
                </c:pt>
                <c:pt idx="9">
                  <c:v>1718.7057059978849</c:v>
                </c:pt>
                <c:pt idx="10">
                  <c:v>1766.2588282982217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27-4856-B41B-87B17B12C8AE}"/>
            </c:ext>
          </c:extLst>
        </c:ser>
        <c:ser>
          <c:idx val="4"/>
          <c:order val="4"/>
          <c:tx>
            <c:v>h = 20000 ft</c:v>
          </c:tx>
          <c:marker>
            <c:symbol val="none"/>
          </c:marker>
          <c:xVal>
            <c:numRef>
              <c:f>'Aircraft Data'!$R$75:$R$85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'Aircraft Data'!$W$75:$W$85</c:f>
              <c:numCache>
                <c:formatCode>0</c:formatCode>
                <c:ptCount val="11"/>
                <c:pt idx="0">
                  <c:v>1071.7798153800377</c:v>
                </c:pt>
                <c:pt idx="1">
                  <c:v>1116.9073865539337</c:v>
                </c:pt>
                <c:pt idx="2">
                  <c:v>1162.03495772783</c:v>
                </c:pt>
                <c:pt idx="3">
                  <c:v>1207.1625289017265</c:v>
                </c:pt>
                <c:pt idx="4">
                  <c:v>1252.2901000756231</c:v>
                </c:pt>
                <c:pt idx="5">
                  <c:v>1297.4176712495191</c:v>
                </c:pt>
                <c:pt idx="6">
                  <c:v>1342.5452424234154</c:v>
                </c:pt>
                <c:pt idx="7">
                  <c:v>1387.6728135973117</c:v>
                </c:pt>
                <c:pt idx="8">
                  <c:v>1432.8003847712082</c:v>
                </c:pt>
                <c:pt idx="9">
                  <c:v>1477.9279559451045</c:v>
                </c:pt>
                <c:pt idx="10">
                  <c:v>1523.0555271190008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27-4856-B41B-87B17B12C8AE}"/>
            </c:ext>
          </c:extLst>
        </c:ser>
        <c:ser>
          <c:idx val="5"/>
          <c:order val="5"/>
          <c:tx>
            <c:v>h = 25000 ft</c:v>
          </c:tx>
          <c:marker>
            <c:symbol val="none"/>
          </c:marker>
          <c:xVal>
            <c:numRef>
              <c:f>'Aircraft Data'!$R$75:$R$85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'Aircraft Data'!$X$75:$X$85</c:f>
              <c:numCache>
                <c:formatCode>0</c:formatCode>
                <c:ptCount val="11"/>
                <c:pt idx="0">
                  <c:v>883.26825585683537</c:v>
                </c:pt>
                <c:pt idx="1">
                  <c:v>925.10727850268552</c:v>
                </c:pt>
                <c:pt idx="2">
                  <c:v>966.94630114853555</c:v>
                </c:pt>
                <c:pt idx="3">
                  <c:v>1008.7853237943856</c:v>
                </c:pt>
                <c:pt idx="4">
                  <c:v>1050.6243464402357</c:v>
                </c:pt>
                <c:pt idx="5">
                  <c:v>1092.4633690860858</c:v>
                </c:pt>
                <c:pt idx="6">
                  <c:v>1134.302391731936</c:v>
                </c:pt>
                <c:pt idx="7">
                  <c:v>1176.1414143777861</c:v>
                </c:pt>
                <c:pt idx="8">
                  <c:v>1217.9804370236361</c:v>
                </c:pt>
                <c:pt idx="9">
                  <c:v>1259.8194596694864</c:v>
                </c:pt>
                <c:pt idx="10">
                  <c:v>1301.6584823153362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727-4856-B41B-87B17B12C8AE}"/>
            </c:ext>
          </c:extLst>
        </c:ser>
        <c:ser>
          <c:idx val="6"/>
          <c:order val="6"/>
          <c:tx>
            <c:v>h = 30000 ft</c:v>
          </c:tx>
          <c:marker>
            <c:symbol val="none"/>
          </c:marker>
          <c:xVal>
            <c:numRef>
              <c:f>'Aircraft Data'!$R$75:$R$85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'Aircraft Data'!$Y$75:$Y$85</c:f>
              <c:numCache>
                <c:formatCode>0</c:formatCode>
                <c:ptCount val="11"/>
                <c:pt idx="0">
                  <c:v>721.96676244299135</c:v>
                </c:pt>
                <c:pt idx="1">
                  <c:v>759.96501309788562</c:v>
                </c:pt>
                <c:pt idx="2">
                  <c:v>797.96326375277988</c:v>
                </c:pt>
                <c:pt idx="3">
                  <c:v>835.96151440767414</c:v>
                </c:pt>
                <c:pt idx="4">
                  <c:v>873.95976506256852</c:v>
                </c:pt>
                <c:pt idx="5">
                  <c:v>911.95801571746279</c:v>
                </c:pt>
                <c:pt idx="6">
                  <c:v>949.95626637235716</c:v>
                </c:pt>
                <c:pt idx="7">
                  <c:v>987.95451702725143</c:v>
                </c:pt>
                <c:pt idx="8">
                  <c:v>1025.9527676821456</c:v>
                </c:pt>
                <c:pt idx="9">
                  <c:v>1063.9510183370398</c:v>
                </c:pt>
                <c:pt idx="10">
                  <c:v>1101.9492689919341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727-4856-B41B-87B17B12C8AE}"/>
            </c:ext>
          </c:extLst>
        </c:ser>
        <c:ser>
          <c:idx val="7"/>
          <c:order val="7"/>
          <c:tx>
            <c:v>h = 35000 ft</c:v>
          </c:tx>
          <c:marker>
            <c:symbol val="none"/>
          </c:marker>
          <c:xVal>
            <c:numRef>
              <c:f>'Aircraft Data'!$R$75:$R$85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'Aircraft Data'!$Z$75:$Z$85</c:f>
              <c:numCache>
                <c:formatCode>0</c:formatCode>
                <c:ptCount val="11"/>
                <c:pt idx="0">
                  <c:v>584.87595174081071</c:v>
                </c:pt>
                <c:pt idx="1">
                  <c:v>618.73719105212069</c:v>
                </c:pt>
                <c:pt idx="2">
                  <c:v>652.59843036343079</c:v>
                </c:pt>
                <c:pt idx="3">
                  <c:v>686.45966967474089</c:v>
                </c:pt>
                <c:pt idx="4">
                  <c:v>720.32090898605111</c:v>
                </c:pt>
                <c:pt idx="5">
                  <c:v>754.18214829736098</c:v>
                </c:pt>
                <c:pt idx="6">
                  <c:v>788.0433876086712</c:v>
                </c:pt>
                <c:pt idx="7">
                  <c:v>821.9046269199813</c:v>
                </c:pt>
                <c:pt idx="8">
                  <c:v>855.7658662312914</c:v>
                </c:pt>
                <c:pt idx="9">
                  <c:v>889.62710554260138</c:v>
                </c:pt>
                <c:pt idx="10">
                  <c:v>923.4883448539116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727-4856-B41B-87B17B12C8AE}"/>
            </c:ext>
          </c:extLst>
        </c:ser>
        <c:ser>
          <c:idx val="8"/>
          <c:order val="8"/>
          <c:tx>
            <c:v>h = 40000 ft</c:v>
          </c:tx>
          <c:marker>
            <c:symbol val="none"/>
          </c:marker>
          <c:xVal>
            <c:numRef>
              <c:f>'Aircraft Data'!$R$75:$R$85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'Aircraft Data'!$AA$75:$AA$85</c:f>
              <c:numCache>
                <c:formatCode>0</c:formatCode>
                <c:ptCount val="11"/>
                <c:pt idx="0">
                  <c:v>462.34121240460257</c:v>
                </c:pt>
                <c:pt idx="1">
                  <c:v>491.54171003015642</c:v>
                </c:pt>
                <c:pt idx="2">
                  <c:v>520.74220765571022</c:v>
                </c:pt>
                <c:pt idx="3">
                  <c:v>549.94270528126401</c:v>
                </c:pt>
                <c:pt idx="4">
                  <c:v>579.14320290681781</c:v>
                </c:pt>
                <c:pt idx="5">
                  <c:v>608.34370053237183</c:v>
                </c:pt>
                <c:pt idx="6">
                  <c:v>637.54419815792573</c:v>
                </c:pt>
                <c:pt idx="7">
                  <c:v>666.74469578347941</c:v>
                </c:pt>
                <c:pt idx="8">
                  <c:v>695.94519340903332</c:v>
                </c:pt>
                <c:pt idx="9">
                  <c:v>725.14569103458723</c:v>
                </c:pt>
                <c:pt idx="10">
                  <c:v>754.34618866014091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727-4856-B41B-87B17B12C8AE}"/>
            </c:ext>
          </c:extLst>
        </c:ser>
        <c:ser>
          <c:idx val="9"/>
          <c:order val="9"/>
          <c:tx>
            <c:v>h = 45000 ft</c:v>
          </c:tx>
          <c:marker>
            <c:symbol val="none"/>
          </c:marker>
          <c:xVal>
            <c:numRef>
              <c:f>'Aircraft Data'!$R$75:$R$85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'Aircraft Data'!$AB$75:$AB$85</c:f>
              <c:numCache>
                <c:formatCode>0</c:formatCode>
                <c:ptCount val="11"/>
                <c:pt idx="0">
                  <c:v>363.57466202402111</c:v>
                </c:pt>
                <c:pt idx="1">
                  <c:v>382.71017055160121</c:v>
                </c:pt>
                <c:pt idx="2">
                  <c:v>401.84567907918125</c:v>
                </c:pt>
                <c:pt idx="3">
                  <c:v>420.9811876067613</c:v>
                </c:pt>
                <c:pt idx="4">
                  <c:v>440.11669613434134</c:v>
                </c:pt>
                <c:pt idx="5">
                  <c:v>459.25220466192138</c:v>
                </c:pt>
                <c:pt idx="6">
                  <c:v>478.38771318950148</c:v>
                </c:pt>
                <c:pt idx="7">
                  <c:v>497.52322171708158</c:v>
                </c:pt>
                <c:pt idx="8">
                  <c:v>516.65873024466168</c:v>
                </c:pt>
                <c:pt idx="9">
                  <c:v>535.79423877224167</c:v>
                </c:pt>
                <c:pt idx="10">
                  <c:v>554.92974729982166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727-4856-B41B-87B17B12C8AE}"/>
            </c:ext>
          </c:extLst>
        </c:ser>
        <c:ser>
          <c:idx val="10"/>
          <c:order val="10"/>
          <c:tx>
            <c:v>h = 50000 ft</c:v>
          </c:tx>
          <c:marker>
            <c:symbol val="none"/>
          </c:marker>
          <c:xVal>
            <c:numRef>
              <c:f>'Aircraft Data'!$R$75:$R$85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'Aircraft Data'!$AC$75:$AC$85</c:f>
              <c:numCache>
                <c:formatCode>0</c:formatCode>
                <c:ptCount val="11"/>
                <c:pt idx="0">
                  <c:v>285.90688288069487</c:v>
                </c:pt>
                <c:pt idx="1">
                  <c:v>297.94506742303992</c:v>
                </c:pt>
                <c:pt idx="2">
                  <c:v>309.98325196538491</c:v>
                </c:pt>
                <c:pt idx="3">
                  <c:v>322.02143650772996</c:v>
                </c:pt>
                <c:pt idx="4">
                  <c:v>334.05962105007507</c:v>
                </c:pt>
                <c:pt idx="5">
                  <c:v>346.09780559242006</c:v>
                </c:pt>
                <c:pt idx="6">
                  <c:v>358.13599013476511</c:v>
                </c:pt>
                <c:pt idx="7">
                  <c:v>370.17417467711016</c:v>
                </c:pt>
                <c:pt idx="8">
                  <c:v>382.21235921945521</c:v>
                </c:pt>
                <c:pt idx="9">
                  <c:v>394.25054376180026</c:v>
                </c:pt>
                <c:pt idx="10">
                  <c:v>406.28872830414531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727-4856-B41B-87B17B12C8AE}"/>
            </c:ext>
          </c:extLst>
        </c:ser>
        <c:ser>
          <c:idx val="11"/>
          <c:order val="11"/>
          <c:tx>
            <c:v>h = 55000 ft</c:v>
          </c:tx>
          <c:marker>
            <c:symbol val="none"/>
          </c:marker>
          <c:xVal>
            <c:numRef>
              <c:f>'Aircraft Data'!$R$75:$R$85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'Aircraft Data'!$AD$75:$AD$85</c:f>
              <c:numCache>
                <c:formatCode>0</c:formatCode>
                <c:ptCount val="11"/>
                <c:pt idx="0">
                  <c:v>224.83069976189566</c:v>
                </c:pt>
                <c:pt idx="1">
                  <c:v>231.93061659648185</c:v>
                </c:pt>
                <c:pt idx="2">
                  <c:v>239.03053343106799</c:v>
                </c:pt>
                <c:pt idx="3">
                  <c:v>246.13045026565422</c:v>
                </c:pt>
                <c:pt idx="4">
                  <c:v>253.23036710024041</c:v>
                </c:pt>
                <c:pt idx="5">
                  <c:v>260.33028393482653</c:v>
                </c:pt>
                <c:pt idx="6">
                  <c:v>267.43020076941275</c:v>
                </c:pt>
                <c:pt idx="7">
                  <c:v>274.53011760399897</c:v>
                </c:pt>
                <c:pt idx="8">
                  <c:v>281.63003443858508</c:v>
                </c:pt>
                <c:pt idx="9">
                  <c:v>288.72995127317125</c:v>
                </c:pt>
                <c:pt idx="10">
                  <c:v>295.82986810775748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727-4856-B41B-87B17B12C8AE}"/>
            </c:ext>
          </c:extLst>
        </c:ser>
        <c:ser>
          <c:idx val="12"/>
          <c:order val="12"/>
          <c:tx>
            <c:v>h = 60000 ft</c:v>
          </c:tx>
          <c:marker>
            <c:symbol val="none"/>
          </c:marker>
          <c:xVal>
            <c:numRef>
              <c:f>'Aircraft Data'!$R$75:$R$85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'Aircraft Data'!$AE$75:$AE$85</c:f>
              <c:numCache>
                <c:formatCode>0</c:formatCode>
                <c:ptCount val="11"/>
                <c:pt idx="0">
                  <c:v>176.80177212283837</c:v>
                </c:pt>
                <c:pt idx="1">
                  <c:v>180.52391469384548</c:v>
                </c:pt>
                <c:pt idx="2">
                  <c:v>184.24605726485257</c:v>
                </c:pt>
                <c:pt idx="3">
                  <c:v>187.96819983585971</c:v>
                </c:pt>
                <c:pt idx="4">
                  <c:v>191.69034240686682</c:v>
                </c:pt>
                <c:pt idx="5">
                  <c:v>195.41248497787396</c:v>
                </c:pt>
                <c:pt idx="6">
                  <c:v>199.13462754888107</c:v>
                </c:pt>
                <c:pt idx="7">
                  <c:v>202.85677011988818</c:v>
                </c:pt>
                <c:pt idx="8">
                  <c:v>206.57891269089535</c:v>
                </c:pt>
                <c:pt idx="9">
                  <c:v>210.30105526190246</c:v>
                </c:pt>
                <c:pt idx="10">
                  <c:v>214.02319783290955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727-4856-B41B-87B17B12C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012175"/>
        <c:axId val="1607012655"/>
      </c:scatterChart>
      <c:valAx>
        <c:axId val="1607012175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Mach Number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607012655"/>
        <c:crosses val="autoZero"/>
        <c:crossBetween val="midCat"/>
      </c:valAx>
      <c:valAx>
        <c:axId val="160701265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Fuel Flow (lb/hr)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607012175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n-US">
                <a:solidFill>
                  <a:sysClr val="windowText" lastClr="000000"/>
                </a:solidFill>
              </a:rPr>
              <a:t>T-38A Max A/B Power </a:t>
            </a: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n-US">
                <a:solidFill>
                  <a:sysClr val="windowText" lastClr="000000"/>
                </a:solidFill>
              </a:rPr>
              <a:t>Thrust Per Engine 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 = 0 ft</c:v>
          </c:tx>
          <c:marker>
            <c:symbol val="none"/>
          </c:marker>
          <c:xVal>
            <c:numRef>
              <c:f>'Aircraft Data'!$B$53:$B$69</c:f>
              <c:numCache>
                <c:formatCode>0.0</c:formatCode>
                <c:ptCount val="1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 formatCode="General">
                  <c:v>1.5</c:v>
                </c:pt>
                <c:pt idx="16" formatCode="General">
                  <c:v>1.6</c:v>
                </c:pt>
              </c:numCache>
            </c:numRef>
          </c:xVal>
          <c:yVal>
            <c:numRef>
              <c:f>'Aircraft Data'!$C$53:$C$69</c:f>
              <c:numCache>
                <c:formatCode>0</c:formatCode>
                <c:ptCount val="17"/>
                <c:pt idx="0">
                  <c:v>2750</c:v>
                </c:pt>
                <c:pt idx="1">
                  <c:v>2870</c:v>
                </c:pt>
                <c:pt idx="2">
                  <c:v>2990</c:v>
                </c:pt>
                <c:pt idx="3">
                  <c:v>3110</c:v>
                </c:pt>
                <c:pt idx="4">
                  <c:v>3230</c:v>
                </c:pt>
                <c:pt idx="5">
                  <c:v>3350</c:v>
                </c:pt>
                <c:pt idx="6">
                  <c:v>3470</c:v>
                </c:pt>
                <c:pt idx="7">
                  <c:v>3590</c:v>
                </c:pt>
                <c:pt idx="8">
                  <c:v>3710</c:v>
                </c:pt>
                <c:pt idx="9">
                  <c:v>3830</c:v>
                </c:pt>
                <c:pt idx="10">
                  <c:v>3950</c:v>
                </c:pt>
                <c:pt idx="11">
                  <c:v>4070</c:v>
                </c:pt>
                <c:pt idx="12">
                  <c:v>4190</c:v>
                </c:pt>
                <c:pt idx="13">
                  <c:v>4310</c:v>
                </c:pt>
                <c:pt idx="14">
                  <c:v>4430</c:v>
                </c:pt>
                <c:pt idx="15">
                  <c:v>4550</c:v>
                </c:pt>
                <c:pt idx="16">
                  <c:v>4670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F6-4D15-B38C-D0FE5732CB9B}"/>
            </c:ext>
          </c:extLst>
        </c:ser>
        <c:ser>
          <c:idx val="1"/>
          <c:order val="1"/>
          <c:tx>
            <c:v>h = 5000 ft</c:v>
          </c:tx>
          <c:marker>
            <c:symbol val="none"/>
          </c:marker>
          <c:xVal>
            <c:numRef>
              <c:f>'Aircraft Data'!$B$53:$B$69</c:f>
              <c:numCache>
                <c:formatCode>0.0</c:formatCode>
                <c:ptCount val="1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 formatCode="General">
                  <c:v>1.5</c:v>
                </c:pt>
                <c:pt idx="16" formatCode="General">
                  <c:v>1.6</c:v>
                </c:pt>
              </c:numCache>
            </c:numRef>
          </c:xVal>
          <c:yVal>
            <c:numRef>
              <c:f>'Aircraft Data'!$D$53:$D$69</c:f>
              <c:numCache>
                <c:formatCode>0</c:formatCode>
                <c:ptCount val="17"/>
                <c:pt idx="0">
                  <c:v>2369.5871470214929</c:v>
                </c:pt>
                <c:pt idx="1">
                  <c:v>2498.8373550408473</c:v>
                </c:pt>
                <c:pt idx="2">
                  <c:v>2628.0875630602013</c:v>
                </c:pt>
                <c:pt idx="3">
                  <c:v>2757.3377710795553</c:v>
                </c:pt>
                <c:pt idx="4">
                  <c:v>2886.5879790989097</c:v>
                </c:pt>
                <c:pt idx="5">
                  <c:v>3015.8381871182637</c:v>
                </c:pt>
                <c:pt idx="6">
                  <c:v>3145.0883951376181</c:v>
                </c:pt>
                <c:pt idx="7">
                  <c:v>3274.3386031569721</c:v>
                </c:pt>
                <c:pt idx="8">
                  <c:v>3403.5888111763261</c:v>
                </c:pt>
                <c:pt idx="9">
                  <c:v>3532.8390191956805</c:v>
                </c:pt>
                <c:pt idx="10">
                  <c:v>3662.0892272150345</c:v>
                </c:pt>
                <c:pt idx="11">
                  <c:v>3791.3394352343889</c:v>
                </c:pt>
                <c:pt idx="12">
                  <c:v>3920.5896432537429</c:v>
                </c:pt>
                <c:pt idx="13">
                  <c:v>4049.8398512730969</c:v>
                </c:pt>
                <c:pt idx="14">
                  <c:v>4179.0900592924509</c:v>
                </c:pt>
                <c:pt idx="15">
                  <c:v>4308.3402673118053</c:v>
                </c:pt>
                <c:pt idx="16">
                  <c:v>4437.5904753311597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F6-4D15-B38C-D0FE5732CB9B}"/>
            </c:ext>
          </c:extLst>
        </c:ser>
        <c:ser>
          <c:idx val="2"/>
          <c:order val="2"/>
          <c:tx>
            <c:v>h = 10000 ft</c:v>
          </c:tx>
          <c:marker>
            <c:symbol val="none"/>
          </c:marker>
          <c:xVal>
            <c:numRef>
              <c:f>'Aircraft Data'!$B$53:$B$69</c:f>
              <c:numCache>
                <c:formatCode>0.0</c:formatCode>
                <c:ptCount val="1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 formatCode="General">
                  <c:v>1.5</c:v>
                </c:pt>
                <c:pt idx="16" formatCode="General">
                  <c:v>1.6</c:v>
                </c:pt>
              </c:numCache>
            </c:numRef>
          </c:xVal>
          <c:yVal>
            <c:numRef>
              <c:f>'Aircraft Data'!$E$53:$E$69</c:f>
              <c:numCache>
                <c:formatCode>0</c:formatCode>
                <c:ptCount val="17"/>
                <c:pt idx="0">
                  <c:v>2030.8065075763254</c:v>
                </c:pt>
                <c:pt idx="1">
                  <c:v>2163.7320244358666</c:v>
                </c:pt>
                <c:pt idx="2">
                  <c:v>2296.657541295408</c:v>
                </c:pt>
                <c:pt idx="3">
                  <c:v>2429.5830581549494</c:v>
                </c:pt>
                <c:pt idx="4">
                  <c:v>2562.5085750144908</c:v>
                </c:pt>
                <c:pt idx="5">
                  <c:v>2695.4340918740318</c:v>
                </c:pt>
                <c:pt idx="6">
                  <c:v>2828.3596087335732</c:v>
                </c:pt>
                <c:pt idx="7">
                  <c:v>2961.2851255931146</c:v>
                </c:pt>
                <c:pt idx="8">
                  <c:v>3094.210642452656</c:v>
                </c:pt>
                <c:pt idx="9">
                  <c:v>3227.1361593121974</c:v>
                </c:pt>
                <c:pt idx="10">
                  <c:v>3360.0616761717383</c:v>
                </c:pt>
                <c:pt idx="11">
                  <c:v>3492.9871930312797</c:v>
                </c:pt>
                <c:pt idx="12">
                  <c:v>3625.9127098908211</c:v>
                </c:pt>
                <c:pt idx="13">
                  <c:v>3758.8382267503625</c:v>
                </c:pt>
                <c:pt idx="14">
                  <c:v>3891.7637436099035</c:v>
                </c:pt>
                <c:pt idx="15">
                  <c:v>4024.6892604694449</c:v>
                </c:pt>
                <c:pt idx="16">
                  <c:v>4157.6147773289858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F6-4D15-B38C-D0FE5732CB9B}"/>
            </c:ext>
          </c:extLst>
        </c:ser>
        <c:ser>
          <c:idx val="3"/>
          <c:order val="3"/>
          <c:tx>
            <c:v>h = 15000 ft</c:v>
          </c:tx>
          <c:marker>
            <c:symbol val="none"/>
          </c:marker>
          <c:xVal>
            <c:numRef>
              <c:f>'Aircraft Data'!$B$53:$B$69</c:f>
              <c:numCache>
                <c:formatCode>0.0</c:formatCode>
                <c:ptCount val="1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 formatCode="General">
                  <c:v>1.5</c:v>
                </c:pt>
                <c:pt idx="16" formatCode="General">
                  <c:v>1.6</c:v>
                </c:pt>
              </c:numCache>
            </c:numRef>
          </c:xVal>
          <c:yVal>
            <c:numRef>
              <c:f>'Aircraft Data'!$F$53:$F$69</c:f>
              <c:numCache>
                <c:formatCode>0</c:formatCode>
                <c:ptCount val="17"/>
                <c:pt idx="0">
                  <c:v>1730.3896062223366</c:v>
                </c:pt>
                <c:pt idx="1">
                  <c:v>1856.2361230385065</c:v>
                </c:pt>
                <c:pt idx="2">
                  <c:v>1982.0826398546765</c:v>
                </c:pt>
                <c:pt idx="3">
                  <c:v>2107.9291566708466</c:v>
                </c:pt>
                <c:pt idx="4">
                  <c:v>2233.7756734870163</c:v>
                </c:pt>
                <c:pt idx="5">
                  <c:v>2359.6221903031865</c:v>
                </c:pt>
                <c:pt idx="6">
                  <c:v>2485.4687071193562</c:v>
                </c:pt>
                <c:pt idx="7">
                  <c:v>2611.3152239355263</c:v>
                </c:pt>
                <c:pt idx="8">
                  <c:v>2737.161740751696</c:v>
                </c:pt>
                <c:pt idx="9">
                  <c:v>2863.0082575678662</c:v>
                </c:pt>
                <c:pt idx="10">
                  <c:v>2988.8547743840359</c:v>
                </c:pt>
                <c:pt idx="11">
                  <c:v>3114.701291200206</c:v>
                </c:pt>
                <c:pt idx="12">
                  <c:v>3240.5478080163762</c:v>
                </c:pt>
                <c:pt idx="13">
                  <c:v>3366.3943248325459</c:v>
                </c:pt>
                <c:pt idx="14">
                  <c:v>3492.240841648716</c:v>
                </c:pt>
                <c:pt idx="15">
                  <c:v>3618.0873584648857</c:v>
                </c:pt>
                <c:pt idx="16">
                  <c:v>3743.9338752810559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CF6-4D15-B38C-D0FE5732CB9B}"/>
            </c:ext>
          </c:extLst>
        </c:ser>
        <c:ser>
          <c:idx val="4"/>
          <c:order val="4"/>
          <c:tx>
            <c:v>h = 20000 ft</c:v>
          </c:tx>
          <c:marker>
            <c:symbol val="none"/>
          </c:marker>
          <c:xVal>
            <c:numRef>
              <c:f>'Aircraft Data'!$B$53:$B$69</c:f>
              <c:numCache>
                <c:formatCode>0.0</c:formatCode>
                <c:ptCount val="1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 formatCode="General">
                  <c:v>1.5</c:v>
                </c:pt>
                <c:pt idx="16" formatCode="General">
                  <c:v>1.6</c:v>
                </c:pt>
              </c:numCache>
            </c:numRef>
          </c:xVal>
          <c:yVal>
            <c:numRef>
              <c:f>'Aircraft Data'!$G$53:$G$69</c:f>
              <c:numCache>
                <c:formatCode>0</c:formatCode>
                <c:ptCount val="17"/>
                <c:pt idx="0">
                  <c:v>1465.2160704809276</c:v>
                </c:pt>
                <c:pt idx="1">
                  <c:v>1582.4333561194019</c:v>
                </c:pt>
                <c:pt idx="2">
                  <c:v>1699.650641757876</c:v>
                </c:pt>
                <c:pt idx="3">
                  <c:v>1816.8679273963503</c:v>
                </c:pt>
                <c:pt idx="4">
                  <c:v>1934.0852130348244</c:v>
                </c:pt>
                <c:pt idx="5">
                  <c:v>2051.3024986732985</c:v>
                </c:pt>
                <c:pt idx="6">
                  <c:v>2168.519784311773</c:v>
                </c:pt>
                <c:pt idx="7">
                  <c:v>2285.7370699502471</c:v>
                </c:pt>
                <c:pt idx="8">
                  <c:v>2402.9543555887212</c:v>
                </c:pt>
                <c:pt idx="9">
                  <c:v>2520.1716412271953</c:v>
                </c:pt>
                <c:pt idx="10">
                  <c:v>2637.3889268656699</c:v>
                </c:pt>
                <c:pt idx="11">
                  <c:v>2754.606212504144</c:v>
                </c:pt>
                <c:pt idx="12">
                  <c:v>2871.8234981426181</c:v>
                </c:pt>
                <c:pt idx="13">
                  <c:v>2989.0407837810922</c:v>
                </c:pt>
                <c:pt idx="14">
                  <c:v>3106.2580694195667</c:v>
                </c:pt>
                <c:pt idx="15">
                  <c:v>3223.4753550580408</c:v>
                </c:pt>
                <c:pt idx="16">
                  <c:v>3340.6926406965149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F6-4D15-B38C-D0FE5732CB9B}"/>
            </c:ext>
          </c:extLst>
        </c:ser>
        <c:ser>
          <c:idx val="5"/>
          <c:order val="5"/>
          <c:tx>
            <c:v>h = 25000 ft</c:v>
          </c:tx>
          <c:marker>
            <c:symbol val="none"/>
          </c:marker>
          <c:xVal>
            <c:numRef>
              <c:f>'Aircraft Data'!$B$53:$B$69</c:f>
              <c:numCache>
                <c:formatCode>0.0</c:formatCode>
                <c:ptCount val="1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 formatCode="General">
                  <c:v>1.5</c:v>
                </c:pt>
                <c:pt idx="16" formatCode="General">
                  <c:v>1.6</c:v>
                </c:pt>
              </c:numCache>
            </c:numRef>
          </c:xVal>
          <c:yVal>
            <c:numRef>
              <c:f>'Aircraft Data'!$H$53:$H$69</c:f>
              <c:numCache>
                <c:formatCode>0</c:formatCode>
                <c:ptCount val="17"/>
                <c:pt idx="0">
                  <c:v>1232.3122102750115</c:v>
                </c:pt>
                <c:pt idx="1">
                  <c:v>1339.8594577171943</c:v>
                </c:pt>
                <c:pt idx="2">
                  <c:v>1447.406705159377</c:v>
                </c:pt>
                <c:pt idx="3">
                  <c:v>1554.9539526015599</c:v>
                </c:pt>
                <c:pt idx="4">
                  <c:v>1662.5012000437428</c:v>
                </c:pt>
                <c:pt idx="5">
                  <c:v>1770.0484474859254</c:v>
                </c:pt>
                <c:pt idx="6">
                  <c:v>1877.5956949281083</c:v>
                </c:pt>
                <c:pt idx="7">
                  <c:v>1985.1429423702912</c:v>
                </c:pt>
                <c:pt idx="8">
                  <c:v>2092.6901898124738</c:v>
                </c:pt>
                <c:pt idx="9">
                  <c:v>2200.2374372546569</c:v>
                </c:pt>
                <c:pt idx="10">
                  <c:v>2307.7846846968396</c:v>
                </c:pt>
                <c:pt idx="11">
                  <c:v>2415.3319321390222</c:v>
                </c:pt>
                <c:pt idx="12">
                  <c:v>2522.8791795812053</c:v>
                </c:pt>
                <c:pt idx="13">
                  <c:v>2630.426427023388</c:v>
                </c:pt>
                <c:pt idx="14">
                  <c:v>2737.9736744655706</c:v>
                </c:pt>
                <c:pt idx="15">
                  <c:v>2845.5209219077537</c:v>
                </c:pt>
                <c:pt idx="16">
                  <c:v>2953.0681693499364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CF6-4D15-B38C-D0FE5732CB9B}"/>
            </c:ext>
          </c:extLst>
        </c:ser>
        <c:ser>
          <c:idx val="6"/>
          <c:order val="6"/>
          <c:tx>
            <c:v>h = 30000 ft</c:v>
          </c:tx>
          <c:marker>
            <c:symbol val="none"/>
          </c:marker>
          <c:xVal>
            <c:numRef>
              <c:f>'Aircraft Data'!$B$53:$B$69</c:f>
              <c:numCache>
                <c:formatCode>0.0</c:formatCode>
                <c:ptCount val="1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 formatCode="General">
                  <c:v>1.5</c:v>
                </c:pt>
                <c:pt idx="16" formatCode="General">
                  <c:v>1.6</c:v>
                </c:pt>
              </c:numCache>
            </c:numRef>
          </c:xVal>
          <c:yVal>
            <c:numRef>
              <c:f>'Aircraft Data'!$I$53:$I$69</c:f>
              <c:numCache>
                <c:formatCode>0</c:formatCode>
                <c:ptCount val="17"/>
                <c:pt idx="0">
                  <c:v>1028.8495562324867</c:v>
                </c:pt>
                <c:pt idx="1">
                  <c:v>1126.1226051853764</c:v>
                </c:pt>
                <c:pt idx="2">
                  <c:v>1223.3956541382661</c:v>
                </c:pt>
                <c:pt idx="3">
                  <c:v>1320.6687030911557</c:v>
                </c:pt>
                <c:pt idx="4">
                  <c:v>1417.9417520440454</c:v>
                </c:pt>
                <c:pt idx="5">
                  <c:v>1515.2148009969351</c:v>
                </c:pt>
                <c:pt idx="6">
                  <c:v>1612.4878499498245</c:v>
                </c:pt>
                <c:pt idx="7">
                  <c:v>1709.7608989027142</c:v>
                </c:pt>
                <c:pt idx="8">
                  <c:v>1807.0339478556039</c:v>
                </c:pt>
                <c:pt idx="9">
                  <c:v>1904.3069968084935</c:v>
                </c:pt>
                <c:pt idx="10">
                  <c:v>2001.5800457613832</c:v>
                </c:pt>
                <c:pt idx="11">
                  <c:v>2098.8530947142731</c:v>
                </c:pt>
                <c:pt idx="12">
                  <c:v>2196.1261436671625</c:v>
                </c:pt>
                <c:pt idx="13">
                  <c:v>2293.3991926200524</c:v>
                </c:pt>
                <c:pt idx="14">
                  <c:v>2390.6722415729419</c:v>
                </c:pt>
                <c:pt idx="15">
                  <c:v>2487.9452905258313</c:v>
                </c:pt>
                <c:pt idx="16">
                  <c:v>2585.2183394787212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CF6-4D15-B38C-D0FE5732CB9B}"/>
            </c:ext>
          </c:extLst>
        </c:ser>
        <c:ser>
          <c:idx val="7"/>
          <c:order val="7"/>
          <c:tx>
            <c:v>h = 35000 ft</c:v>
          </c:tx>
          <c:marker>
            <c:symbol val="none"/>
          </c:marker>
          <c:xVal>
            <c:numRef>
              <c:f>'Aircraft Data'!$B$53:$B$69</c:f>
              <c:numCache>
                <c:formatCode>0.0</c:formatCode>
                <c:ptCount val="1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 formatCode="General">
                  <c:v>1.5</c:v>
                </c:pt>
                <c:pt idx="16" formatCode="General">
                  <c:v>1.6</c:v>
                </c:pt>
              </c:numCache>
            </c:numRef>
          </c:xVal>
          <c:yVal>
            <c:numRef>
              <c:f>'Aircraft Data'!$J$53:$J$69</c:f>
              <c:numCache>
                <c:formatCode>0</c:formatCode>
                <c:ptCount val="17"/>
                <c:pt idx="0">
                  <c:v>852.14335394761633</c:v>
                </c:pt>
                <c:pt idx="1">
                  <c:v>938.90704089501003</c:v>
                </c:pt>
                <c:pt idx="2">
                  <c:v>1025.6707278424037</c:v>
                </c:pt>
                <c:pt idx="3">
                  <c:v>1112.4344147897973</c:v>
                </c:pt>
                <c:pt idx="4">
                  <c:v>1199.1981017371911</c:v>
                </c:pt>
                <c:pt idx="5">
                  <c:v>1285.9617886845847</c:v>
                </c:pt>
                <c:pt idx="6">
                  <c:v>1372.7254756319785</c:v>
                </c:pt>
                <c:pt idx="7">
                  <c:v>1459.4891625793721</c:v>
                </c:pt>
                <c:pt idx="8">
                  <c:v>1546.2528495267657</c:v>
                </c:pt>
                <c:pt idx="9">
                  <c:v>1633.0165364741595</c:v>
                </c:pt>
                <c:pt idx="10">
                  <c:v>1719.780223421553</c:v>
                </c:pt>
                <c:pt idx="11">
                  <c:v>1806.5439103689466</c:v>
                </c:pt>
                <c:pt idx="12">
                  <c:v>1893.3075973163404</c:v>
                </c:pt>
                <c:pt idx="13">
                  <c:v>1980.071284263734</c:v>
                </c:pt>
                <c:pt idx="14">
                  <c:v>2066.8349712111276</c:v>
                </c:pt>
                <c:pt idx="15">
                  <c:v>2153.5986581585212</c:v>
                </c:pt>
                <c:pt idx="16">
                  <c:v>2240.3623451059152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CF6-4D15-B38C-D0FE5732CB9B}"/>
            </c:ext>
          </c:extLst>
        </c:ser>
        <c:ser>
          <c:idx val="8"/>
          <c:order val="8"/>
          <c:tx>
            <c:v>h = 40000 ft</c:v>
          </c:tx>
          <c:marker>
            <c:symbol val="none"/>
          </c:marker>
          <c:xVal>
            <c:numRef>
              <c:f>'Aircraft Data'!$B$53:$B$69</c:f>
              <c:numCache>
                <c:formatCode>0.0</c:formatCode>
                <c:ptCount val="1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 formatCode="General">
                  <c:v>1.5</c:v>
                </c:pt>
                <c:pt idx="16" formatCode="General">
                  <c:v>1.6</c:v>
                </c:pt>
              </c:numCache>
            </c:numRef>
          </c:xVal>
          <c:yVal>
            <c:numRef>
              <c:f>'Aircraft Data'!$K$53:$K$69</c:f>
              <c:numCache>
                <c:formatCode>0</c:formatCode>
                <c:ptCount val="17"/>
                <c:pt idx="0">
                  <c:v>676.96608983285034</c:v>
                </c:pt>
                <c:pt idx="1">
                  <c:v>750.81693599643404</c:v>
                </c:pt>
                <c:pt idx="2">
                  <c:v>824.66778216001774</c:v>
                </c:pt>
                <c:pt idx="3">
                  <c:v>898.51862832360143</c:v>
                </c:pt>
                <c:pt idx="4">
                  <c:v>972.36947448718513</c:v>
                </c:pt>
                <c:pt idx="5">
                  <c:v>1046.2203206507688</c:v>
                </c:pt>
                <c:pt idx="6">
                  <c:v>1120.0711668143524</c:v>
                </c:pt>
                <c:pt idx="7">
                  <c:v>1193.9220129779362</c:v>
                </c:pt>
                <c:pt idx="8">
                  <c:v>1267.7728591415198</c:v>
                </c:pt>
                <c:pt idx="9">
                  <c:v>1341.6237053051034</c:v>
                </c:pt>
                <c:pt idx="10">
                  <c:v>1415.4745514686872</c:v>
                </c:pt>
                <c:pt idx="11">
                  <c:v>1489.3253976322708</c:v>
                </c:pt>
                <c:pt idx="12">
                  <c:v>1563.1762437958546</c:v>
                </c:pt>
                <c:pt idx="13">
                  <c:v>1637.0270899594382</c:v>
                </c:pt>
                <c:pt idx="14">
                  <c:v>1710.8779361230218</c:v>
                </c:pt>
                <c:pt idx="15">
                  <c:v>1784.7287822866056</c:v>
                </c:pt>
                <c:pt idx="16">
                  <c:v>1858.5796284501891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CF6-4D15-B38C-D0FE5732CB9B}"/>
            </c:ext>
          </c:extLst>
        </c:ser>
        <c:ser>
          <c:idx val="9"/>
          <c:order val="9"/>
          <c:tx>
            <c:v>h = 45000 ft</c:v>
          </c:tx>
          <c:marker>
            <c:symbol val="none"/>
          </c:marker>
          <c:xVal>
            <c:numRef>
              <c:f>'Aircraft Data'!$B$53:$B$69</c:f>
              <c:numCache>
                <c:formatCode>0.0</c:formatCode>
                <c:ptCount val="1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 formatCode="General">
                  <c:v>1.5</c:v>
                </c:pt>
                <c:pt idx="16" formatCode="General">
                  <c:v>1.6</c:v>
                </c:pt>
              </c:numCache>
            </c:numRef>
          </c:xVal>
          <c:yVal>
            <c:numRef>
              <c:f>'Aircraft Data'!$L$53:$L$69</c:f>
              <c:numCache>
                <c:formatCode>0</c:formatCode>
                <c:ptCount val="17"/>
                <c:pt idx="0">
                  <c:v>532.35080652362694</c:v>
                </c:pt>
                <c:pt idx="1">
                  <c:v>586.55379773330537</c:v>
                </c:pt>
                <c:pt idx="2">
                  <c:v>640.7567889429838</c:v>
                </c:pt>
                <c:pt idx="3">
                  <c:v>694.95978015266212</c:v>
                </c:pt>
                <c:pt idx="4">
                  <c:v>749.16277136234055</c:v>
                </c:pt>
                <c:pt idx="5">
                  <c:v>803.36576257201887</c:v>
                </c:pt>
                <c:pt idx="6">
                  <c:v>857.5687537816973</c:v>
                </c:pt>
                <c:pt idx="7">
                  <c:v>911.77174499137573</c:v>
                </c:pt>
                <c:pt idx="8">
                  <c:v>965.97473620105404</c:v>
                </c:pt>
                <c:pt idx="9">
                  <c:v>1020.1777274107325</c:v>
                </c:pt>
                <c:pt idx="10">
                  <c:v>1074.3807186204108</c:v>
                </c:pt>
                <c:pt idx="11">
                  <c:v>1128.5837098300892</c:v>
                </c:pt>
                <c:pt idx="12">
                  <c:v>1182.7867010397676</c:v>
                </c:pt>
                <c:pt idx="13">
                  <c:v>1236.9896922494461</c:v>
                </c:pt>
                <c:pt idx="14">
                  <c:v>1291.1926834591243</c:v>
                </c:pt>
                <c:pt idx="15">
                  <c:v>1345.3956746688027</c:v>
                </c:pt>
                <c:pt idx="16">
                  <c:v>1399.5986658784811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CF6-4D15-B38C-D0FE5732CB9B}"/>
            </c:ext>
          </c:extLst>
        </c:ser>
        <c:ser>
          <c:idx val="10"/>
          <c:order val="10"/>
          <c:tx>
            <c:v>h = 50000 ft</c:v>
          </c:tx>
          <c:marker>
            <c:symbol val="none"/>
          </c:marker>
          <c:xVal>
            <c:numRef>
              <c:f>'Aircraft Data'!$B$53:$B$69</c:f>
              <c:numCache>
                <c:formatCode>0.0</c:formatCode>
                <c:ptCount val="1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 formatCode="General">
                  <c:v>1.5</c:v>
                </c:pt>
                <c:pt idx="16" formatCode="General">
                  <c:v>1.6</c:v>
                </c:pt>
              </c:numCache>
            </c:numRef>
          </c:xVal>
          <c:yVal>
            <c:numRef>
              <c:f>'Aircraft Data'!$M$53:$M$69</c:f>
              <c:numCache>
                <c:formatCode>0</c:formatCode>
                <c:ptCount val="17"/>
                <c:pt idx="0">
                  <c:v>418.6286218211161</c:v>
                </c:pt>
                <c:pt idx="1">
                  <c:v>455.16348336186809</c:v>
                </c:pt>
                <c:pt idx="2">
                  <c:v>491.69834490262002</c:v>
                </c:pt>
                <c:pt idx="3">
                  <c:v>528.23320644337196</c:v>
                </c:pt>
                <c:pt idx="4">
                  <c:v>564.76806798412395</c:v>
                </c:pt>
                <c:pt idx="5">
                  <c:v>601.30292952487594</c:v>
                </c:pt>
                <c:pt idx="6">
                  <c:v>637.83779106562781</c:v>
                </c:pt>
                <c:pt idx="7">
                  <c:v>674.3726526063798</c:v>
                </c:pt>
                <c:pt idx="8">
                  <c:v>710.90751414713179</c:v>
                </c:pt>
                <c:pt idx="9">
                  <c:v>747.44237568788367</c:v>
                </c:pt>
                <c:pt idx="10">
                  <c:v>783.97723722863566</c:v>
                </c:pt>
                <c:pt idx="11">
                  <c:v>820.51209876938765</c:v>
                </c:pt>
                <c:pt idx="12">
                  <c:v>857.04696031013953</c:v>
                </c:pt>
                <c:pt idx="13">
                  <c:v>893.58182185089152</c:v>
                </c:pt>
                <c:pt idx="14">
                  <c:v>930.11668339164351</c:v>
                </c:pt>
                <c:pt idx="15">
                  <c:v>966.65154493239538</c:v>
                </c:pt>
                <c:pt idx="16">
                  <c:v>1003.1864064731474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CF6-4D15-B38C-D0FE5732CB9B}"/>
            </c:ext>
          </c:extLst>
        </c:ser>
        <c:ser>
          <c:idx val="11"/>
          <c:order val="11"/>
          <c:tx>
            <c:v>h = 55000 ft</c:v>
          </c:tx>
          <c:marker>
            <c:symbol val="none"/>
          </c:marker>
          <c:xVal>
            <c:numRef>
              <c:f>'Aircraft Data'!$B$53:$B$69</c:f>
              <c:numCache>
                <c:formatCode>0.0</c:formatCode>
                <c:ptCount val="1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 formatCode="General">
                  <c:v>1.5</c:v>
                </c:pt>
                <c:pt idx="16" formatCode="General">
                  <c:v>1.6</c:v>
                </c:pt>
              </c:numCache>
            </c:numRef>
          </c:xVal>
          <c:yVal>
            <c:numRef>
              <c:f>'Aircraft Data'!$N$53:$N$69</c:f>
              <c:numCache>
                <c:formatCode>0</c:formatCode>
                <c:ptCount val="17"/>
                <c:pt idx="0">
                  <c:v>329.20007044277696</c:v>
                </c:pt>
                <c:pt idx="1">
                  <c:v>353.14189374770621</c:v>
                </c:pt>
                <c:pt idx="2">
                  <c:v>377.08371705263539</c:v>
                </c:pt>
                <c:pt idx="3">
                  <c:v>401.02554035756464</c:v>
                </c:pt>
                <c:pt idx="4">
                  <c:v>424.96736366249388</c:v>
                </c:pt>
                <c:pt idx="5">
                  <c:v>448.90918696742312</c:v>
                </c:pt>
                <c:pt idx="6">
                  <c:v>472.85101027235237</c:v>
                </c:pt>
                <c:pt idx="7">
                  <c:v>496.79283357728156</c:v>
                </c:pt>
                <c:pt idx="8">
                  <c:v>520.73465688221086</c:v>
                </c:pt>
                <c:pt idx="9">
                  <c:v>544.6764801871401</c:v>
                </c:pt>
                <c:pt idx="10">
                  <c:v>568.61830349206923</c:v>
                </c:pt>
                <c:pt idx="11">
                  <c:v>592.56012679699847</c:v>
                </c:pt>
                <c:pt idx="12">
                  <c:v>616.50195010192772</c:v>
                </c:pt>
                <c:pt idx="13">
                  <c:v>640.44377340685696</c:v>
                </c:pt>
                <c:pt idx="14">
                  <c:v>664.38559671178621</c:v>
                </c:pt>
                <c:pt idx="15">
                  <c:v>688.32742001671545</c:v>
                </c:pt>
                <c:pt idx="16">
                  <c:v>712.26924332164469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CF6-4D15-B38C-D0FE5732CB9B}"/>
            </c:ext>
          </c:extLst>
        </c:ser>
        <c:ser>
          <c:idx val="12"/>
          <c:order val="12"/>
          <c:tx>
            <c:v>h = 60000 ft</c:v>
          </c:tx>
          <c:marker>
            <c:symbol val="none"/>
          </c:marker>
          <c:xVal>
            <c:numRef>
              <c:f>'Aircraft Data'!$B$53:$B$69</c:f>
              <c:numCache>
                <c:formatCode>0.0</c:formatCode>
                <c:ptCount val="1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 formatCode="General">
                  <c:v>1.5</c:v>
                </c:pt>
                <c:pt idx="16" formatCode="General">
                  <c:v>1.6</c:v>
                </c:pt>
              </c:numCache>
            </c:numRef>
          </c:xVal>
          <c:yVal>
            <c:numRef>
              <c:f>'Aircraft Data'!$O$53:$O$69</c:f>
              <c:numCache>
                <c:formatCode>0</c:formatCode>
                <c:ptCount val="17"/>
                <c:pt idx="0">
                  <c:v>258.87548230239713</c:v>
                </c:pt>
                <c:pt idx="1">
                  <c:v>273.93732854544567</c:v>
                </c:pt>
                <c:pt idx="2">
                  <c:v>288.99917478849426</c:v>
                </c:pt>
                <c:pt idx="3">
                  <c:v>304.06102103154279</c:v>
                </c:pt>
                <c:pt idx="4">
                  <c:v>319.12286727459139</c:v>
                </c:pt>
                <c:pt idx="5">
                  <c:v>334.18471351763992</c:v>
                </c:pt>
                <c:pt idx="6">
                  <c:v>349.24655976068851</c:v>
                </c:pt>
                <c:pt idx="7">
                  <c:v>364.30840600373705</c:v>
                </c:pt>
                <c:pt idx="8">
                  <c:v>379.37025224678558</c:v>
                </c:pt>
                <c:pt idx="9">
                  <c:v>394.43209848983417</c:v>
                </c:pt>
                <c:pt idx="10">
                  <c:v>409.49394473288271</c:v>
                </c:pt>
                <c:pt idx="11">
                  <c:v>424.5557909759313</c:v>
                </c:pt>
                <c:pt idx="12">
                  <c:v>439.61763721897984</c:v>
                </c:pt>
                <c:pt idx="13">
                  <c:v>454.67948346202843</c:v>
                </c:pt>
                <c:pt idx="14">
                  <c:v>469.74132970507696</c:v>
                </c:pt>
                <c:pt idx="15">
                  <c:v>484.8031759481255</c:v>
                </c:pt>
                <c:pt idx="16">
                  <c:v>499.86502219117409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CF6-4D15-B38C-D0FE5732C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8534880"/>
        <c:axId val="1338540640"/>
      </c:scatterChart>
      <c:valAx>
        <c:axId val="1338534880"/>
        <c:scaling>
          <c:orientation val="minMax"/>
          <c:max val="1.6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Mach Number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38540640"/>
        <c:crosses val="autoZero"/>
        <c:crossBetween val="midCat"/>
        <c:majorUnit val="0.2"/>
      </c:valAx>
      <c:valAx>
        <c:axId val="13385406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 (lbs)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33853488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Find the Maximum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'6 - Numerical Methods'!$D$32</c:f>
              <c:numCache>
                <c:formatCode>0.0000</c:formatCode>
                <c:ptCount val="1"/>
                <c:pt idx="0">
                  <c:v>3.3000000000000003</c:v>
                </c:pt>
              </c:numCache>
            </c:numRef>
          </c:xVal>
          <c:yVal>
            <c:numRef>
              <c:f>'6 - Numerical Methods'!$D$33</c:f>
              <c:numCache>
                <c:formatCode>0.0000</c:formatCode>
                <c:ptCount val="1"/>
                <c:pt idx="0">
                  <c:v>14.816666666666666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DC-42CB-B7EC-00A3DFB3562B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'6 - Numerical Methods'!$B$19:$B$28</c:f>
              <c:numCache>
                <c:formatCode>General</c:formatCode>
                <c:ptCount val="10"/>
                <c:pt idx="0">
                  <c:v>-3</c:v>
                </c:pt>
                <c:pt idx="1">
                  <c:v>-2</c:v>
                </c:pt>
                <c:pt idx="2">
                  <c:v>-1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</c:numCache>
            </c:numRef>
          </c:xVal>
          <c:yVal>
            <c:numRef>
              <c:f>'6 - Numerical Methods'!$C$19:$C$28</c:f>
              <c:numCache>
                <c:formatCode>0.000</c:formatCode>
                <c:ptCount val="10"/>
                <c:pt idx="0">
                  <c:v>-51.333333333333336</c:v>
                </c:pt>
                <c:pt idx="1">
                  <c:v>-31.999999999999996</c:v>
                </c:pt>
                <c:pt idx="2">
                  <c:v>-16</c:v>
                </c:pt>
                <c:pt idx="3">
                  <c:v>-3.3333333333333335</c:v>
                </c:pt>
                <c:pt idx="4">
                  <c:v>6</c:v>
                </c:pt>
                <c:pt idx="5">
                  <c:v>12</c:v>
                </c:pt>
                <c:pt idx="6">
                  <c:v>14.666666666666666</c:v>
                </c:pt>
                <c:pt idx="7">
                  <c:v>14.000000000000002</c:v>
                </c:pt>
                <c:pt idx="8">
                  <c:v>10.000000000000009</c:v>
                </c:pt>
                <c:pt idx="9">
                  <c:v>2.6666666666666665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5E-42BE-86F2-52B0D09DE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1380128"/>
        <c:axId val="731384064"/>
      </c:scatterChart>
      <c:valAx>
        <c:axId val="731380128"/>
        <c:scaling>
          <c:orientation val="minMax"/>
          <c:max val="6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384064"/>
        <c:crossesAt val="-60"/>
        <c:crossBetween val="midCat"/>
        <c:majorUnit val="1"/>
      </c:valAx>
      <c:valAx>
        <c:axId val="7313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380128"/>
        <c:crossesAt val="-3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Find X at Y = 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'6 - Numerical Methods'!$I$34</c:f>
              <c:numCache>
                <c:formatCode>0.0000</c:formatCode>
                <c:ptCount val="1"/>
                <c:pt idx="0">
                  <c:v>0.8275954991828447</c:v>
                </c:pt>
              </c:numCache>
            </c:numRef>
          </c:xVal>
          <c:yVal>
            <c:numRef>
              <c:f>'6 - Numerical Methods'!$I$35</c:f>
              <c:numCache>
                <c:formatCode>0.0000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58-4FE8-BF4D-D4E6436113B4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'6 - Numerical Methods'!$G$19:$G$28</c:f>
              <c:numCache>
                <c:formatCode>General</c:formatCode>
                <c:ptCount val="10"/>
                <c:pt idx="0">
                  <c:v>0.76</c:v>
                </c:pt>
                <c:pt idx="1">
                  <c:v>0.77</c:v>
                </c:pt>
                <c:pt idx="2">
                  <c:v>0.78</c:v>
                </c:pt>
                <c:pt idx="3">
                  <c:v>0.79</c:v>
                </c:pt>
                <c:pt idx="4">
                  <c:v>0.8</c:v>
                </c:pt>
                <c:pt idx="5">
                  <c:v>0.81</c:v>
                </c:pt>
                <c:pt idx="6">
                  <c:v>0.82</c:v>
                </c:pt>
                <c:pt idx="7">
                  <c:v>0.83</c:v>
                </c:pt>
                <c:pt idx="8">
                  <c:v>0.84</c:v>
                </c:pt>
                <c:pt idx="9">
                  <c:v>0.85</c:v>
                </c:pt>
              </c:numCache>
            </c:numRef>
          </c:xVal>
          <c:yVal>
            <c:numRef>
              <c:f>'6 - Numerical Methods'!$H$19:$H$28</c:f>
              <c:numCache>
                <c:formatCode>0.0</c:formatCode>
                <c:ptCount val="10"/>
                <c:pt idx="0">
                  <c:v>123.50000000000728</c:v>
                </c:pt>
                <c:pt idx="1">
                  <c:v>125.10000000000582</c:v>
                </c:pt>
                <c:pt idx="2">
                  <c:v>119.80000000000655</c:v>
                </c:pt>
                <c:pt idx="3">
                  <c:v>107.59999999999854</c:v>
                </c:pt>
                <c:pt idx="4">
                  <c:v>88.5</c:v>
                </c:pt>
                <c:pt idx="5">
                  <c:v>62.5</c:v>
                </c:pt>
                <c:pt idx="6">
                  <c:v>29.600000000005821</c:v>
                </c:pt>
                <c:pt idx="7">
                  <c:v>-10.200000000000728</c:v>
                </c:pt>
                <c:pt idx="8">
                  <c:v>-56.899999999997817</c:v>
                </c:pt>
                <c:pt idx="9">
                  <c:v>-110.49999999999272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93-47CC-87A9-B9A6FC95C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1380128"/>
        <c:axId val="731384064"/>
      </c:scatterChart>
      <c:valAx>
        <c:axId val="731380128"/>
        <c:scaling>
          <c:orientation val="minMax"/>
          <c:max val="0.85000000000000009"/>
          <c:min val="0.760000000000000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384064"/>
        <c:crossesAt val="-120"/>
        <c:crossBetween val="midCat"/>
        <c:majorUnit val="1.0000000000000002E-2"/>
      </c:valAx>
      <c:valAx>
        <c:axId val="731384064"/>
        <c:scaling>
          <c:orientation val="minMax"/>
          <c:max val="140"/>
          <c:min val="-1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380128"/>
        <c:crossesAt val="-3"/>
        <c:crossBetween val="midCat"/>
        <c:majorUnit val="20"/>
        <c:minorUnit val="5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Data Fidelity with # of Increments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'6 - Numerical Methods'!$M$61:$M$64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20</c:v>
                </c:pt>
              </c:numCache>
            </c:numRef>
          </c:xVal>
          <c:yVal>
            <c:numRef>
              <c:f>'6 - Numerical Methods'!$N$61:$N$64</c:f>
              <c:numCache>
                <c:formatCode>0.00</c:formatCode>
                <c:ptCount val="4"/>
                <c:pt idx="0">
                  <c:v>103.88137504669763</c:v>
                </c:pt>
                <c:pt idx="1">
                  <c:v>106.81082165575609</c:v>
                </c:pt>
                <c:pt idx="2">
                  <c:v>111.00875607746994</c:v>
                </c:pt>
                <c:pt idx="3">
                  <c:v>112.87415561957978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F6-46AD-BE03-BBFCE0AC3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1380128"/>
        <c:axId val="731384064"/>
      </c:scatterChart>
      <c:valAx>
        <c:axId val="731380128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384064"/>
        <c:crossesAt val="-120"/>
        <c:crossBetween val="midCat"/>
        <c:majorUnit val="5"/>
      </c:valAx>
      <c:valAx>
        <c:axId val="731384064"/>
        <c:scaling>
          <c:orientation val="minMax"/>
          <c:max val="120"/>
          <c:min val="1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380128"/>
        <c:crossesAt val="-3"/>
        <c:crossBetween val="midCat"/>
        <c:majorUnit val="5"/>
        <c:minorUnit val="1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tx1"/>
                </a:solidFill>
              </a:rPr>
              <a:t>T-38A Flight</a:t>
            </a:r>
            <a:r>
              <a:rPr lang="en-US" sz="2000" b="1" baseline="0">
                <a:solidFill>
                  <a:schemeClr val="tx1"/>
                </a:solidFill>
              </a:rPr>
              <a:t> Envelope</a:t>
            </a:r>
            <a:endParaRPr lang="en-US" sz="20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'7 - Flight Envelope Calc'!$D$64:$D$65</c:f>
              <c:numCache>
                <c:formatCode>0.0000</c:formatCode>
                <c:ptCount val="2"/>
                <c:pt idx="0">
                  <c:v>0.65854138432107612</c:v>
                </c:pt>
                <c:pt idx="1">
                  <c:v>1.58</c:v>
                </c:pt>
              </c:numCache>
            </c:numRef>
          </c:xVal>
          <c:yVal>
            <c:numRef>
              <c:f>'7 - Flight Envelope Calc'!$C$64:$C$65</c:f>
              <c:numCache>
                <c:formatCode>_(* #,##0_);_(* \(#,##0\);_(* "-"??_);_(@_)</c:formatCode>
                <c:ptCount val="2"/>
                <c:pt idx="0">
                  <c:v>49900</c:v>
                </c:pt>
                <c:pt idx="1">
                  <c:v>49900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F9-4CF2-849B-D0CEFF3245A1}"/>
            </c:ext>
          </c:extLst>
        </c:ser>
        <c:ser>
          <c:idx val="20"/>
          <c:order val="1"/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'7 - Es Contours'!$U$4:$U$133</c:f>
              <c:numCache>
                <c:formatCode>#,##0.0000</c:formatCode>
                <c:ptCount val="130"/>
                <c:pt idx="0">
                  <c:v>2.1555073259989985</c:v>
                </c:pt>
                <c:pt idx="1">
                  <c:v>2.1532156411868799</c:v>
                </c:pt>
                <c:pt idx="2">
                  <c:v>2.150905624239559</c:v>
                </c:pt>
                <c:pt idx="3">
                  <c:v>2.1485770502634431</c:v>
                </c:pt>
                <c:pt idx="4">
                  <c:v>2.1462296905977851</c:v>
                </c:pt>
                <c:pt idx="5">
                  <c:v>2.143863312733802</c:v>
                </c:pt>
                <c:pt idx="6">
                  <c:v>2.1414776802316502</c:v>
                </c:pt>
                <c:pt idx="7">
                  <c:v>2.1390725526351999</c:v>
                </c:pt>
                <c:pt idx="8">
                  <c:v>2.1366476853845304</c:v>
                </c:pt>
                <c:pt idx="9">
                  <c:v>2.1342028297260738</c:v>
                </c:pt>
                <c:pt idx="10">
                  <c:v>2.1317377326203384</c:v>
                </c:pt>
                <c:pt idx="11">
                  <c:v>2.1292521366471249</c:v>
                </c:pt>
                <c:pt idx="12">
                  <c:v>2.1267457799081586</c:v>
                </c:pt>
                <c:pt idx="13">
                  <c:v>2.1242183959270537</c:v>
                </c:pt>
                <c:pt idx="14">
                  <c:v>2.1216697135465168</c:v>
                </c:pt>
                <c:pt idx="15">
                  <c:v>2.1190994568227093</c:v>
                </c:pt>
                <c:pt idx="16">
                  <c:v>2.1165073449166543</c:v>
                </c:pt>
                <c:pt idx="17">
                  <c:v>2.1138930919826144</c:v>
                </c:pt>
                <c:pt idx="18">
                  <c:v>2.1112564070533208</c:v>
                </c:pt>
                <c:pt idx="19">
                  <c:v>2.1085969939219504</c:v>
                </c:pt>
                <c:pt idx="20">
                  <c:v>2.1059145510207427</c:v>
                </c:pt>
                <c:pt idx="21">
                  <c:v>2.1032087712961465</c:v>
                </c:pt>
                <c:pt idx="22">
                  <c:v>2.1004793420803618</c:v>
                </c:pt>
                <c:pt idx="23">
                  <c:v>2.0977259449591728</c:v>
                </c:pt>
                <c:pt idx="24">
                  <c:v>2.0949482556359218</c:v>
                </c:pt>
                <c:pt idx="25">
                  <c:v>2.0921459437915062</c:v>
                </c:pt>
                <c:pt idx="26">
                  <c:v>2.0893186729402462</c:v>
                </c:pt>
                <c:pt idx="27">
                  <c:v>2.0864661002814882</c:v>
                </c:pt>
                <c:pt idx="28">
                  <c:v>2.0835878765467748</c:v>
                </c:pt>
                <c:pt idx="29">
                  <c:v>2.0806836458424471</c:v>
                </c:pt>
                <c:pt idx="30">
                  <c:v>2.0777530454874866</c:v>
                </c:pt>
                <c:pt idx="31">
                  <c:v>2.0747957058464475</c:v>
                </c:pt>
                <c:pt idx="32">
                  <c:v>2.0718112501572841</c:v>
                </c:pt>
                <c:pt idx="33">
                  <c:v>2.0687992943538935</c:v>
                </c:pt>
                <c:pt idx="34">
                  <c:v>2.065759446883177</c:v>
                </c:pt>
                <c:pt idx="35">
                  <c:v>2.0626913085164098</c:v>
                </c:pt>
                <c:pt idx="36">
                  <c:v>2.0595944721547195</c:v>
                </c:pt>
                <c:pt idx="37">
                  <c:v>2.0564685226284301</c:v>
                </c:pt>
                <c:pt idx="38">
                  <c:v>2.0533130364900636</c:v>
                </c:pt>
                <c:pt idx="39">
                  <c:v>2.0501275818007296</c:v>
                </c:pt>
                <c:pt idx="40">
                  <c:v>2.0469117179096759</c:v>
                </c:pt>
                <c:pt idx="41">
                  <c:v>2.0436649952267127</c:v>
                </c:pt>
                <c:pt idx="42">
                  <c:v>2.0403869549872407</c:v>
                </c:pt>
                <c:pt idx="43">
                  <c:v>2.0370771290096021</c:v>
                </c:pt>
                <c:pt idx="44">
                  <c:v>2.0337350394444274</c:v>
                </c:pt>
                <c:pt idx="45">
                  <c:v>2.0303601985156869</c:v>
                </c:pt>
                <c:pt idx="46">
                  <c:v>2.0269521082530941</c:v>
                </c:pt>
                <c:pt idx="47">
                  <c:v>2.0235102602155162</c:v>
                </c:pt>
                <c:pt idx="48">
                  <c:v>2.0200341352050364</c:v>
                </c:pt>
                <c:pt idx="49">
                  <c:v>2.0165232029712654</c:v>
                </c:pt>
                <c:pt idx="50">
                  <c:v>2.0129769219055231</c:v>
                </c:pt>
                <c:pt idx="51">
                  <c:v>2.0093947387244455</c:v>
                </c:pt>
                <c:pt idx="52">
                  <c:v>2.0057760881425937</c:v>
                </c:pt>
                <c:pt idx="53">
                  <c:v>2.0021203925335893</c:v>
                </c:pt>
                <c:pt idx="54">
                  <c:v>1.9984270615792945</c:v>
                </c:pt>
                <c:pt idx="55">
                  <c:v>1.9946954919065205</c:v>
                </c:pt>
                <c:pt idx="56">
                  <c:v>1.9909250667107268</c:v>
                </c:pt>
                <c:pt idx="57">
                  <c:v>1.9871151553661515</c:v>
                </c:pt>
                <c:pt idx="58">
                  <c:v>1.9832651130217687</c:v>
                </c:pt>
                <c:pt idx="59">
                  <c:v>1.9793742801824532</c:v>
                </c:pt>
                <c:pt idx="60">
                  <c:v>1.9754419822746945</c:v>
                </c:pt>
                <c:pt idx="61">
                  <c:v>1.9714675291961585</c:v>
                </c:pt>
                <c:pt idx="62">
                  <c:v>1.9674502148483806</c:v>
                </c:pt>
                <c:pt idx="63">
                  <c:v>1.9633893166518028</c:v>
                </c:pt>
                <c:pt idx="64">
                  <c:v>1.9592840950423602</c:v>
                </c:pt>
                <c:pt idx="65">
                  <c:v>1.9551337929487511</c:v>
                </c:pt>
                <c:pt idx="66">
                  <c:v>1.9509376352494856</c:v>
                </c:pt>
                <c:pt idx="67">
                  <c:v>1.9466948282087715</c:v>
                </c:pt>
                <c:pt idx="68">
                  <c:v>1.9424045588902172</c:v>
                </c:pt>
                <c:pt idx="69">
                  <c:v>1.9380659945472953</c:v>
                </c:pt>
                <c:pt idx="70">
                  <c:v>1.9336782819894387</c:v>
                </c:pt>
                <c:pt idx="71">
                  <c:v>1.9292405469225857</c:v>
                </c:pt>
                <c:pt idx="72">
                  <c:v>1.9247518932629057</c:v>
                </c:pt>
                <c:pt idx="73">
                  <c:v>1.9165668341224513</c:v>
                </c:pt>
                <c:pt idx="74">
                  <c:v>1.9075898909351034</c:v>
                </c:pt>
                <c:pt idx="75">
                  <c:v>1.8985705028619406</c:v>
                </c:pt>
                <c:pt idx="76">
                  <c:v>1.8895080620831142</c:v>
                </c:pt>
                <c:pt idx="77">
                  <c:v>1.8804019461319246</c:v>
                </c:pt>
                <c:pt idx="78">
                  <c:v>1.8712515173958773</c:v>
                </c:pt>
                <c:pt idx="79">
                  <c:v>1.8620561225956687</c:v>
                </c:pt>
                <c:pt idx="80">
                  <c:v>1.8528150922409015</c:v>
                </c:pt>
                <c:pt idx="81">
                  <c:v>1.8435277400612402</c:v>
                </c:pt>
                <c:pt idx="82">
                  <c:v>1.834193362411648</c:v>
                </c:pt>
                <c:pt idx="83">
                  <c:v>1.824811237650237</c:v>
                </c:pt>
                <c:pt idx="84">
                  <c:v>1.8153806254871823</c:v>
                </c:pt>
                <c:pt idx="85">
                  <c:v>1.8059007663030315</c:v>
                </c:pt>
                <c:pt idx="86">
                  <c:v>1.796370880434639</c:v>
                </c:pt>
                <c:pt idx="87">
                  <c:v>1.7867901674268201</c:v>
                </c:pt>
                <c:pt idx="88">
                  <c:v>1.7771578052476957</c:v>
                </c:pt>
                <c:pt idx="89">
                  <c:v>1.7674729494655499</c:v>
                </c:pt>
                <c:pt idx="90">
                  <c:v>1.7577347323848653</c:v>
                </c:pt>
                <c:pt idx="91">
                  <c:v>1.7479422621390379</c:v>
                </c:pt>
                <c:pt idx="92">
                  <c:v>1.7380946217370852</c:v>
                </c:pt>
                <c:pt idx="93">
                  <c:v>1.7281908680614604</c:v>
                </c:pt>
                <c:pt idx="94">
                  <c:v>1.71823003081388</c:v>
                </c:pt>
                <c:pt idx="95">
                  <c:v>1.7082111114058212</c:v>
                </c:pt>
                <c:pt idx="96">
                  <c:v>1.6981330817901035</c:v>
                </c:pt>
                <c:pt idx="97">
                  <c:v>1.6879948832296849</c:v>
                </c:pt>
                <c:pt idx="98">
                  <c:v>1.6777954249994964</c:v>
                </c:pt>
                <c:pt idx="99">
                  <c:v>1.6675335830168112</c:v>
                </c:pt>
                <c:pt idx="100">
                  <c:v>1.6572081983952793</c:v>
                </c:pt>
                <c:pt idx="101">
                  <c:v>1.6468180759173647</c:v>
                </c:pt>
                <c:pt idx="102">
                  <c:v>1.6363619824194813</c:v>
                </c:pt>
                <c:pt idx="103">
                  <c:v>1.6258386450836559</c:v>
                </c:pt>
                <c:pt idx="104">
                  <c:v>1.6152467496290162</c:v>
                </c:pt>
                <c:pt idx="105">
                  <c:v>1.6045849383958286</c:v>
                </c:pt>
                <c:pt idx="106">
                  <c:v>1.5938518083141822</c:v>
                </c:pt>
                <c:pt idx="107">
                  <c:v>1.5830459087487108</c:v>
                </c:pt>
                <c:pt idx="108">
                  <c:v>1.5721657392099839</c:v>
                </c:pt>
                <c:pt idx="109">
                  <c:v>1.5612097469223405</c:v>
                </c:pt>
                <c:pt idx="110">
                  <c:v>1.5501763242370084</c:v>
                </c:pt>
                <c:pt idx="111">
                  <c:v>1.5390638058783024</c:v>
                </c:pt>
                <c:pt idx="112">
                  <c:v>1.527870466009553</c:v>
                </c:pt>
                <c:pt idx="113">
                  <c:v>1.5165945151041171</c:v>
                </c:pt>
                <c:pt idx="114">
                  <c:v>1.5052340966054201</c:v>
                </c:pt>
                <c:pt idx="115">
                  <c:v>1.4937872833583699</c:v>
                </c:pt>
                <c:pt idx="116">
                  <c:v>1.4822520737927212</c:v>
                </c:pt>
                <c:pt idx="117">
                  <c:v>1.4706263878369874</c:v>
                </c:pt>
                <c:pt idx="118">
                  <c:v>1.4589080625392776</c:v>
                </c:pt>
                <c:pt idx="119">
                  <c:v>1.4470948473689458</c:v>
                </c:pt>
                <c:pt idx="120">
                  <c:v>1.4351843991701541</c:v>
                </c:pt>
                <c:pt idx="121">
                  <c:v>1.4231742767352982</c:v>
                </c:pt>
                <c:pt idx="122">
                  <c:v>1.4110619349627012</c:v>
                </c:pt>
                <c:pt idx="123">
                  <c:v>1.3988447185589707</c:v>
                </c:pt>
                <c:pt idx="124">
                  <c:v>1.386519855241882</c:v>
                </c:pt>
                <c:pt idx="125">
                  <c:v>1.3740844483944983</c:v>
                </c:pt>
                <c:pt idx="126">
                  <c:v>1.3615354691153867</c:v>
                </c:pt>
                <c:pt idx="127">
                  <c:v>1.3488697476031182</c:v>
                </c:pt>
                <c:pt idx="128">
                  <c:v>1.3360839638056221</c:v>
                </c:pt>
                <c:pt idx="129">
                  <c:v>1.3231746372562414</c:v>
                </c:pt>
              </c:numCache>
            </c:numRef>
          </c:xVal>
          <c:yVal>
            <c:numRef>
              <c:f>'7 - Es Contours'!$X$4:$X$133</c:f>
              <c:numCache>
                <c:formatCode>#,##0</c:formatCode>
                <c:ptCount val="13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  <c:pt idx="26">
                  <c:v>13000</c:v>
                </c:pt>
                <c:pt idx="27">
                  <c:v>13500</c:v>
                </c:pt>
                <c:pt idx="28">
                  <c:v>14000</c:v>
                </c:pt>
                <c:pt idx="29">
                  <c:v>14500</c:v>
                </c:pt>
                <c:pt idx="30">
                  <c:v>15000</c:v>
                </c:pt>
                <c:pt idx="31">
                  <c:v>15500</c:v>
                </c:pt>
                <c:pt idx="32">
                  <c:v>16000</c:v>
                </c:pt>
                <c:pt idx="33">
                  <c:v>16500</c:v>
                </c:pt>
                <c:pt idx="34">
                  <c:v>17000</c:v>
                </c:pt>
                <c:pt idx="35">
                  <c:v>17500</c:v>
                </c:pt>
                <c:pt idx="36">
                  <c:v>18000</c:v>
                </c:pt>
                <c:pt idx="37">
                  <c:v>18500</c:v>
                </c:pt>
                <c:pt idx="38">
                  <c:v>19000</c:v>
                </c:pt>
                <c:pt idx="39">
                  <c:v>19500</c:v>
                </c:pt>
                <c:pt idx="40">
                  <c:v>20000</c:v>
                </c:pt>
                <c:pt idx="41">
                  <c:v>20500</c:v>
                </c:pt>
                <c:pt idx="42">
                  <c:v>21000</c:v>
                </c:pt>
                <c:pt idx="43">
                  <c:v>21500</c:v>
                </c:pt>
                <c:pt idx="44">
                  <c:v>22000</c:v>
                </c:pt>
                <c:pt idx="45">
                  <c:v>22500</c:v>
                </c:pt>
                <c:pt idx="46">
                  <c:v>23000</c:v>
                </c:pt>
                <c:pt idx="47">
                  <c:v>23500</c:v>
                </c:pt>
                <c:pt idx="48">
                  <c:v>24000</c:v>
                </c:pt>
                <c:pt idx="49">
                  <c:v>24500</c:v>
                </c:pt>
                <c:pt idx="50">
                  <c:v>25000</c:v>
                </c:pt>
                <c:pt idx="51">
                  <c:v>25500</c:v>
                </c:pt>
                <c:pt idx="52">
                  <c:v>26000</c:v>
                </c:pt>
                <c:pt idx="53">
                  <c:v>26500</c:v>
                </c:pt>
                <c:pt idx="54">
                  <c:v>27000</c:v>
                </c:pt>
                <c:pt idx="55">
                  <c:v>27500</c:v>
                </c:pt>
                <c:pt idx="56">
                  <c:v>28000</c:v>
                </c:pt>
                <c:pt idx="57">
                  <c:v>28500</c:v>
                </c:pt>
                <c:pt idx="58">
                  <c:v>29000</c:v>
                </c:pt>
                <c:pt idx="59">
                  <c:v>29500</c:v>
                </c:pt>
                <c:pt idx="60">
                  <c:v>30000</c:v>
                </c:pt>
                <c:pt idx="61">
                  <c:v>30500</c:v>
                </c:pt>
                <c:pt idx="62">
                  <c:v>31000</c:v>
                </c:pt>
                <c:pt idx="63">
                  <c:v>31500</c:v>
                </c:pt>
                <c:pt idx="64">
                  <c:v>32000</c:v>
                </c:pt>
                <c:pt idx="65">
                  <c:v>32500</c:v>
                </c:pt>
                <c:pt idx="66">
                  <c:v>33000</c:v>
                </c:pt>
                <c:pt idx="67">
                  <c:v>33500</c:v>
                </c:pt>
                <c:pt idx="68">
                  <c:v>34000</c:v>
                </c:pt>
                <c:pt idx="69">
                  <c:v>34500</c:v>
                </c:pt>
                <c:pt idx="70">
                  <c:v>35000</c:v>
                </c:pt>
                <c:pt idx="71">
                  <c:v>35500</c:v>
                </c:pt>
                <c:pt idx="72">
                  <c:v>36000</c:v>
                </c:pt>
                <c:pt idx="73">
                  <c:v>36500</c:v>
                </c:pt>
                <c:pt idx="74">
                  <c:v>37000</c:v>
                </c:pt>
                <c:pt idx="75">
                  <c:v>37500</c:v>
                </c:pt>
                <c:pt idx="76">
                  <c:v>38000</c:v>
                </c:pt>
                <c:pt idx="77">
                  <c:v>38500</c:v>
                </c:pt>
                <c:pt idx="78">
                  <c:v>39000</c:v>
                </c:pt>
                <c:pt idx="79">
                  <c:v>39500</c:v>
                </c:pt>
                <c:pt idx="80">
                  <c:v>40000</c:v>
                </c:pt>
                <c:pt idx="81">
                  <c:v>40500</c:v>
                </c:pt>
                <c:pt idx="82">
                  <c:v>41000</c:v>
                </c:pt>
                <c:pt idx="83">
                  <c:v>41500</c:v>
                </c:pt>
                <c:pt idx="84">
                  <c:v>42000</c:v>
                </c:pt>
                <c:pt idx="85">
                  <c:v>42500</c:v>
                </c:pt>
                <c:pt idx="86">
                  <c:v>43000</c:v>
                </c:pt>
                <c:pt idx="87">
                  <c:v>43500</c:v>
                </c:pt>
                <c:pt idx="88">
                  <c:v>44000</c:v>
                </c:pt>
                <c:pt idx="89">
                  <c:v>44500</c:v>
                </c:pt>
                <c:pt idx="90">
                  <c:v>45000</c:v>
                </c:pt>
                <c:pt idx="91">
                  <c:v>45500</c:v>
                </c:pt>
                <c:pt idx="92">
                  <c:v>46000</c:v>
                </c:pt>
                <c:pt idx="93">
                  <c:v>46500</c:v>
                </c:pt>
                <c:pt idx="94">
                  <c:v>47000</c:v>
                </c:pt>
                <c:pt idx="95">
                  <c:v>47500</c:v>
                </c:pt>
                <c:pt idx="96">
                  <c:v>48000</c:v>
                </c:pt>
                <c:pt idx="97">
                  <c:v>48500</c:v>
                </c:pt>
                <c:pt idx="98">
                  <c:v>49000</c:v>
                </c:pt>
                <c:pt idx="99">
                  <c:v>49500</c:v>
                </c:pt>
                <c:pt idx="100">
                  <c:v>50000</c:v>
                </c:pt>
                <c:pt idx="101">
                  <c:v>50500</c:v>
                </c:pt>
                <c:pt idx="102">
                  <c:v>51000</c:v>
                </c:pt>
                <c:pt idx="103">
                  <c:v>51500</c:v>
                </c:pt>
                <c:pt idx="104">
                  <c:v>52000</c:v>
                </c:pt>
                <c:pt idx="105">
                  <c:v>52500</c:v>
                </c:pt>
                <c:pt idx="106">
                  <c:v>53000</c:v>
                </c:pt>
                <c:pt idx="107">
                  <c:v>53500</c:v>
                </c:pt>
                <c:pt idx="108">
                  <c:v>54000</c:v>
                </c:pt>
                <c:pt idx="109">
                  <c:v>54500</c:v>
                </c:pt>
                <c:pt idx="110">
                  <c:v>55000</c:v>
                </c:pt>
                <c:pt idx="111">
                  <c:v>55500</c:v>
                </c:pt>
                <c:pt idx="112">
                  <c:v>56000</c:v>
                </c:pt>
                <c:pt idx="113">
                  <c:v>56500</c:v>
                </c:pt>
                <c:pt idx="114">
                  <c:v>57000</c:v>
                </c:pt>
                <c:pt idx="115">
                  <c:v>57500</c:v>
                </c:pt>
                <c:pt idx="116">
                  <c:v>58000</c:v>
                </c:pt>
                <c:pt idx="117">
                  <c:v>58500</c:v>
                </c:pt>
                <c:pt idx="118">
                  <c:v>59000</c:v>
                </c:pt>
                <c:pt idx="119">
                  <c:v>59500</c:v>
                </c:pt>
                <c:pt idx="120">
                  <c:v>60000</c:v>
                </c:pt>
                <c:pt idx="121">
                  <c:v>60500</c:v>
                </c:pt>
                <c:pt idx="122">
                  <c:v>61000</c:v>
                </c:pt>
                <c:pt idx="123">
                  <c:v>61500</c:v>
                </c:pt>
                <c:pt idx="124">
                  <c:v>62000</c:v>
                </c:pt>
                <c:pt idx="125">
                  <c:v>62500</c:v>
                </c:pt>
                <c:pt idx="126">
                  <c:v>63000</c:v>
                </c:pt>
                <c:pt idx="127">
                  <c:v>63500</c:v>
                </c:pt>
                <c:pt idx="128">
                  <c:v>64000</c:v>
                </c:pt>
                <c:pt idx="129">
                  <c:v>64500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465-402A-9380-2A6061E7CF57}"/>
            </c:ext>
          </c:extLst>
        </c:ser>
        <c:ser>
          <c:idx val="19"/>
          <c:order val="2"/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'7 - Es Contours'!$T$4:$T$133</c:f>
              <c:numCache>
                <c:formatCode>#,##0.0000</c:formatCode>
                <c:ptCount val="130"/>
                <c:pt idx="0">
                  <c:v>2.0947765878144646</c:v>
                </c:pt>
                <c:pt idx="1">
                  <c:v>2.0922056122310653</c:v>
                </c:pt>
                <c:pt idx="2">
                  <c:v>2.0896136419631079</c:v>
                </c:pt>
                <c:pt idx="3">
                  <c:v>2.0870004127425932</c:v>
                </c:pt>
                <c:pt idx="4">
                  <c:v>2.0843656557339618</c:v>
                </c:pt>
                <c:pt idx="5">
                  <c:v>2.081709097432316</c:v>
                </c:pt>
                <c:pt idx="6">
                  <c:v>2.0790304595588336</c:v>
                </c:pt>
                <c:pt idx="7">
                  <c:v>2.0763294589532748</c:v>
                </c:pt>
                <c:pt idx="8">
                  <c:v>2.0736058074634953</c:v>
                </c:pt>
                <c:pt idx="9">
                  <c:v>2.0708592118318578</c:v>
                </c:pt>
                <c:pt idx="10">
                  <c:v>2.0680893735784363</c:v>
                </c:pt>
                <c:pt idx="11">
                  <c:v>2.0652959888809082</c:v>
                </c:pt>
                <c:pt idx="12">
                  <c:v>2.0624787484510216</c:v>
                </c:pt>
                <c:pt idx="13">
                  <c:v>2.0596373374075143</c:v>
                </c:pt>
                <c:pt idx="14">
                  <c:v>2.056771435145365</c:v>
                </c:pt>
                <c:pt idx="15">
                  <c:v>2.0538807152012546</c:v>
                </c:pt>
                <c:pt idx="16">
                  <c:v>2.0509648451150899</c:v>
                </c:pt>
                <c:pt idx="17">
                  <c:v>2.0480234862874691</c:v>
                </c:pt>
                <c:pt idx="18">
                  <c:v>2.0450562938329333</c:v>
                </c:pt>
                <c:pt idx="19">
                  <c:v>2.0420629164288524</c:v>
                </c:pt>
                <c:pt idx="20">
                  <c:v>2.0390429961598011</c:v>
                </c:pt>
                <c:pt idx="21">
                  <c:v>2.0359961683572507</c:v>
                </c:pt>
                <c:pt idx="22">
                  <c:v>2.0329220614344043</c:v>
                </c:pt>
                <c:pt idx="23">
                  <c:v>2.0298202967160117</c:v>
                </c:pt>
                <c:pt idx="24">
                  <c:v>2.0266904882629668</c:v>
                </c:pt>
                <c:pt idx="25">
                  <c:v>2.0235322426914957</c:v>
                </c:pt>
                <c:pt idx="26">
                  <c:v>2.0203451589867401</c:v>
                </c:pt>
                <c:pt idx="27">
                  <c:v>2.0171288283105189</c:v>
                </c:pt>
                <c:pt idx="28">
                  <c:v>2.0138828338030494</c:v>
                </c:pt>
                <c:pt idx="29">
                  <c:v>2.0106067503784022</c:v>
                </c:pt>
                <c:pt idx="30">
                  <c:v>2.0073001445134437</c:v>
                </c:pt>
                <c:pt idx="31">
                  <c:v>2.0039625740300213</c:v>
                </c:pt>
                <c:pt idx="32">
                  <c:v>2.0005935878701231</c:v>
                </c:pt>
                <c:pt idx="33">
                  <c:v>1.9971927258637396</c:v>
                </c:pt>
                <c:pt idx="34">
                  <c:v>1.9937595184891421</c:v>
                </c:pt>
                <c:pt idx="35">
                  <c:v>1.9902934866252746</c:v>
                </c:pt>
                <c:pt idx="36">
                  <c:v>1.9867941412959464</c:v>
                </c:pt>
                <c:pt idx="37">
                  <c:v>1.9832609834054904</c:v>
                </c:pt>
                <c:pt idx="38">
                  <c:v>1.9796935034655501</c:v>
                </c:pt>
                <c:pt idx="39">
                  <c:v>1.9760911813126225</c:v>
                </c:pt>
                <c:pt idx="40">
                  <c:v>1.9724534858159921</c:v>
                </c:pt>
                <c:pt idx="41">
                  <c:v>1.9687798745756377</c:v>
                </c:pt>
                <c:pt idx="42">
                  <c:v>1.9650697936097115</c:v>
                </c:pt>
                <c:pt idx="43">
                  <c:v>1.9613226770311483</c:v>
                </c:pt>
                <c:pt idx="44">
                  <c:v>1.9575379467129321</c:v>
                </c:pt>
                <c:pt idx="45">
                  <c:v>1.9537150119415563</c:v>
                </c:pt>
                <c:pt idx="46">
                  <c:v>1.949853269058152</c:v>
                </c:pt>
                <c:pt idx="47">
                  <c:v>1.9459521010867589</c:v>
                </c:pt>
                <c:pt idx="48">
                  <c:v>1.9420108773491798</c:v>
                </c:pt>
                <c:pt idx="49">
                  <c:v>1.9380289530658146</c:v>
                </c:pt>
                <c:pt idx="50">
                  <c:v>1.934005668941871</c:v>
                </c:pt>
                <c:pt idx="51">
                  <c:v>1.9299403507382775</c:v>
                </c:pt>
                <c:pt idx="52">
                  <c:v>1.9258323088266267</c:v>
                </c:pt>
                <c:pt idx="53">
                  <c:v>1.9216808377274068</c:v>
                </c:pt>
                <c:pt idx="54">
                  <c:v>1.9174852156307689</c:v>
                </c:pt>
                <c:pt idx="55">
                  <c:v>1.9132447038990126</c:v>
                </c:pt>
                <c:pt idx="56">
                  <c:v>1.9089585465499388</c:v>
                </c:pt>
                <c:pt idx="57">
                  <c:v>1.9046259697201766</c:v>
                </c:pt>
                <c:pt idx="58">
                  <c:v>1.9002461811075257</c:v>
                </c:pt>
                <c:pt idx="59">
                  <c:v>1.8958183693913138</c:v>
                </c:pt>
                <c:pt idx="60">
                  <c:v>1.8913417036297078</c:v>
                </c:pt>
                <c:pt idx="61">
                  <c:v>1.8868153326328563</c:v>
                </c:pt>
                <c:pt idx="62">
                  <c:v>1.8822383843106727</c:v>
                </c:pt>
                <c:pt idx="63">
                  <c:v>1.877609964994005</c:v>
                </c:pt>
                <c:pt idx="64">
                  <c:v>1.8729291587278558</c:v>
                </c:pt>
                <c:pt idx="65">
                  <c:v>1.8681950265352449</c:v>
                </c:pt>
                <c:pt idx="66">
                  <c:v>1.8634066056502134</c:v>
                </c:pt>
                <c:pt idx="67">
                  <c:v>1.8585629087183828</c:v>
                </c:pt>
                <c:pt idx="68">
                  <c:v>1.8536629229633828</c:v>
                </c:pt>
                <c:pt idx="69">
                  <c:v>1.8487056093173524</c:v>
                </c:pt>
                <c:pt idx="70">
                  <c:v>1.8436899015136188</c:v>
                </c:pt>
                <c:pt idx="71">
                  <c:v>1.8386147051395192</c:v>
                </c:pt>
                <c:pt idx="72">
                  <c:v>1.8334788966472184</c:v>
                </c:pt>
                <c:pt idx="73">
                  <c:v>1.824811237650237</c:v>
                </c:pt>
                <c:pt idx="74">
                  <c:v>1.8153806254871823</c:v>
                </c:pt>
                <c:pt idx="75">
                  <c:v>1.8059007663030315</c:v>
                </c:pt>
                <c:pt idx="76">
                  <c:v>1.796370880434639</c:v>
                </c:pt>
                <c:pt idx="77">
                  <c:v>1.7867901674268201</c:v>
                </c:pt>
                <c:pt idx="78">
                  <c:v>1.7771578052476957</c:v>
                </c:pt>
                <c:pt idx="79">
                  <c:v>1.7674729494655499</c:v>
                </c:pt>
                <c:pt idx="80">
                  <c:v>1.7577347323848653</c:v>
                </c:pt>
                <c:pt idx="81">
                  <c:v>1.7479422621390379</c:v>
                </c:pt>
                <c:pt idx="82">
                  <c:v>1.7380946217370852</c:v>
                </c:pt>
                <c:pt idx="83">
                  <c:v>1.7281908680614604</c:v>
                </c:pt>
                <c:pt idx="84">
                  <c:v>1.71823003081388</c:v>
                </c:pt>
                <c:pt idx="85">
                  <c:v>1.7082111114058212</c:v>
                </c:pt>
                <c:pt idx="86">
                  <c:v>1.6981330817901035</c:v>
                </c:pt>
                <c:pt idx="87">
                  <c:v>1.6879948832296849</c:v>
                </c:pt>
                <c:pt idx="88">
                  <c:v>1.6777954249994964</c:v>
                </c:pt>
                <c:pt idx="89">
                  <c:v>1.6675335830168112</c:v>
                </c:pt>
                <c:pt idx="90">
                  <c:v>1.6572081983952793</c:v>
                </c:pt>
                <c:pt idx="91">
                  <c:v>1.6468180759173647</c:v>
                </c:pt>
                <c:pt idx="92">
                  <c:v>1.6363619824194813</c:v>
                </c:pt>
                <c:pt idx="93">
                  <c:v>1.6258386450836559</c:v>
                </c:pt>
                <c:pt idx="94">
                  <c:v>1.6152467496290162</c:v>
                </c:pt>
                <c:pt idx="95">
                  <c:v>1.6045849383958286</c:v>
                </c:pt>
                <c:pt idx="96">
                  <c:v>1.5938518083141822</c:v>
                </c:pt>
                <c:pt idx="97">
                  <c:v>1.5830459087487108</c:v>
                </c:pt>
                <c:pt idx="98">
                  <c:v>1.5721657392099839</c:v>
                </c:pt>
                <c:pt idx="99">
                  <c:v>1.5612097469223405</c:v>
                </c:pt>
                <c:pt idx="100">
                  <c:v>1.5501763242370084</c:v>
                </c:pt>
                <c:pt idx="101">
                  <c:v>1.5390638058783024</c:v>
                </c:pt>
                <c:pt idx="102">
                  <c:v>1.527870466009553</c:v>
                </c:pt>
                <c:pt idx="103">
                  <c:v>1.5165945151041171</c:v>
                </c:pt>
                <c:pt idx="104">
                  <c:v>1.5052340966054201</c:v>
                </c:pt>
                <c:pt idx="105">
                  <c:v>1.4937872833583699</c:v>
                </c:pt>
                <c:pt idx="106">
                  <c:v>1.4822520737927212</c:v>
                </c:pt>
                <c:pt idx="107">
                  <c:v>1.4706263878369874</c:v>
                </c:pt>
                <c:pt idx="108">
                  <c:v>1.4589080625392776</c:v>
                </c:pt>
                <c:pt idx="109">
                  <c:v>1.4470948473689458</c:v>
                </c:pt>
                <c:pt idx="110">
                  <c:v>1.4351843991701541</c:v>
                </c:pt>
                <c:pt idx="111">
                  <c:v>1.4231742767352982</c:v>
                </c:pt>
                <c:pt idx="112">
                  <c:v>1.4110619349627012</c:v>
                </c:pt>
                <c:pt idx="113">
                  <c:v>1.3988447185589707</c:v>
                </c:pt>
                <c:pt idx="114">
                  <c:v>1.386519855241882</c:v>
                </c:pt>
                <c:pt idx="115">
                  <c:v>1.3740844483944983</c:v>
                </c:pt>
                <c:pt idx="116">
                  <c:v>1.3615354691153867</c:v>
                </c:pt>
                <c:pt idx="117">
                  <c:v>1.3488697476031182</c:v>
                </c:pt>
                <c:pt idx="118">
                  <c:v>1.3360839638056221</c:v>
                </c:pt>
                <c:pt idx="119">
                  <c:v>1.3231746372562414</c:v>
                </c:pt>
                <c:pt idx="120">
                  <c:v>1.3101381160083199</c:v>
                </c:pt>
                <c:pt idx="121">
                  <c:v>1.2969705645686309</c:v>
                </c:pt>
                <c:pt idx="122">
                  <c:v>1.2836679507166628</c:v>
                </c:pt>
                <c:pt idx="123">
                  <c:v>1.270226031081382</c:v>
                </c:pt>
                <c:pt idx="124">
                  <c:v>1.2566403353292475</c:v>
                </c:pt>
                <c:pt idx="125">
                  <c:v>1.2429061487964597</c:v>
                </c:pt>
                <c:pt idx="126">
                  <c:v>1.2290184933741599</c:v>
                </c:pt>
                <c:pt idx="127">
                  <c:v>1.214972106426865</c:v>
                </c:pt>
                <c:pt idx="128">
                  <c:v>1.2007614174909924</c:v>
                </c:pt>
                <c:pt idx="129">
                  <c:v>1.1863805224609096</c:v>
                </c:pt>
              </c:numCache>
            </c:numRef>
          </c:xVal>
          <c:yVal>
            <c:numRef>
              <c:f>'7 - Es Contours'!$X$4:$X$133</c:f>
              <c:numCache>
                <c:formatCode>#,##0</c:formatCode>
                <c:ptCount val="13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  <c:pt idx="26">
                  <c:v>13000</c:v>
                </c:pt>
                <c:pt idx="27">
                  <c:v>13500</c:v>
                </c:pt>
                <c:pt idx="28">
                  <c:v>14000</c:v>
                </c:pt>
                <c:pt idx="29">
                  <c:v>14500</c:v>
                </c:pt>
                <c:pt idx="30">
                  <c:v>15000</c:v>
                </c:pt>
                <c:pt idx="31">
                  <c:v>15500</c:v>
                </c:pt>
                <c:pt idx="32">
                  <c:v>16000</c:v>
                </c:pt>
                <c:pt idx="33">
                  <c:v>16500</c:v>
                </c:pt>
                <c:pt idx="34">
                  <c:v>17000</c:v>
                </c:pt>
                <c:pt idx="35">
                  <c:v>17500</c:v>
                </c:pt>
                <c:pt idx="36">
                  <c:v>18000</c:v>
                </c:pt>
                <c:pt idx="37">
                  <c:v>18500</c:v>
                </c:pt>
                <c:pt idx="38">
                  <c:v>19000</c:v>
                </c:pt>
                <c:pt idx="39">
                  <c:v>19500</c:v>
                </c:pt>
                <c:pt idx="40">
                  <c:v>20000</c:v>
                </c:pt>
                <c:pt idx="41">
                  <c:v>20500</c:v>
                </c:pt>
                <c:pt idx="42">
                  <c:v>21000</c:v>
                </c:pt>
                <c:pt idx="43">
                  <c:v>21500</c:v>
                </c:pt>
                <c:pt idx="44">
                  <c:v>22000</c:v>
                </c:pt>
                <c:pt idx="45">
                  <c:v>22500</c:v>
                </c:pt>
                <c:pt idx="46">
                  <c:v>23000</c:v>
                </c:pt>
                <c:pt idx="47">
                  <c:v>23500</c:v>
                </c:pt>
                <c:pt idx="48">
                  <c:v>24000</c:v>
                </c:pt>
                <c:pt idx="49">
                  <c:v>24500</c:v>
                </c:pt>
                <c:pt idx="50">
                  <c:v>25000</c:v>
                </c:pt>
                <c:pt idx="51">
                  <c:v>25500</c:v>
                </c:pt>
                <c:pt idx="52">
                  <c:v>26000</c:v>
                </c:pt>
                <c:pt idx="53">
                  <c:v>26500</c:v>
                </c:pt>
                <c:pt idx="54">
                  <c:v>27000</c:v>
                </c:pt>
                <c:pt idx="55">
                  <c:v>27500</c:v>
                </c:pt>
                <c:pt idx="56">
                  <c:v>28000</c:v>
                </c:pt>
                <c:pt idx="57">
                  <c:v>28500</c:v>
                </c:pt>
                <c:pt idx="58">
                  <c:v>29000</c:v>
                </c:pt>
                <c:pt idx="59">
                  <c:v>29500</c:v>
                </c:pt>
                <c:pt idx="60">
                  <c:v>30000</c:v>
                </c:pt>
                <c:pt idx="61">
                  <c:v>30500</c:v>
                </c:pt>
                <c:pt idx="62">
                  <c:v>31000</c:v>
                </c:pt>
                <c:pt idx="63">
                  <c:v>31500</c:v>
                </c:pt>
                <c:pt idx="64">
                  <c:v>32000</c:v>
                </c:pt>
                <c:pt idx="65">
                  <c:v>32500</c:v>
                </c:pt>
                <c:pt idx="66">
                  <c:v>33000</c:v>
                </c:pt>
                <c:pt idx="67">
                  <c:v>33500</c:v>
                </c:pt>
                <c:pt idx="68">
                  <c:v>34000</c:v>
                </c:pt>
                <c:pt idx="69">
                  <c:v>34500</c:v>
                </c:pt>
                <c:pt idx="70">
                  <c:v>35000</c:v>
                </c:pt>
                <c:pt idx="71">
                  <c:v>35500</c:v>
                </c:pt>
                <c:pt idx="72">
                  <c:v>36000</c:v>
                </c:pt>
                <c:pt idx="73">
                  <c:v>36500</c:v>
                </c:pt>
                <c:pt idx="74">
                  <c:v>37000</c:v>
                </c:pt>
                <c:pt idx="75">
                  <c:v>37500</c:v>
                </c:pt>
                <c:pt idx="76">
                  <c:v>38000</c:v>
                </c:pt>
                <c:pt idx="77">
                  <c:v>38500</c:v>
                </c:pt>
                <c:pt idx="78">
                  <c:v>39000</c:v>
                </c:pt>
                <c:pt idx="79">
                  <c:v>39500</c:v>
                </c:pt>
                <c:pt idx="80">
                  <c:v>40000</c:v>
                </c:pt>
                <c:pt idx="81">
                  <c:v>40500</c:v>
                </c:pt>
                <c:pt idx="82">
                  <c:v>41000</c:v>
                </c:pt>
                <c:pt idx="83">
                  <c:v>41500</c:v>
                </c:pt>
                <c:pt idx="84">
                  <c:v>42000</c:v>
                </c:pt>
                <c:pt idx="85">
                  <c:v>42500</c:v>
                </c:pt>
                <c:pt idx="86">
                  <c:v>43000</c:v>
                </c:pt>
                <c:pt idx="87">
                  <c:v>43500</c:v>
                </c:pt>
                <c:pt idx="88">
                  <c:v>44000</c:v>
                </c:pt>
                <c:pt idx="89">
                  <c:v>44500</c:v>
                </c:pt>
                <c:pt idx="90">
                  <c:v>45000</c:v>
                </c:pt>
                <c:pt idx="91">
                  <c:v>45500</c:v>
                </c:pt>
                <c:pt idx="92">
                  <c:v>46000</c:v>
                </c:pt>
                <c:pt idx="93">
                  <c:v>46500</c:v>
                </c:pt>
                <c:pt idx="94">
                  <c:v>47000</c:v>
                </c:pt>
                <c:pt idx="95">
                  <c:v>47500</c:v>
                </c:pt>
                <c:pt idx="96">
                  <c:v>48000</c:v>
                </c:pt>
                <c:pt idx="97">
                  <c:v>48500</c:v>
                </c:pt>
                <c:pt idx="98">
                  <c:v>49000</c:v>
                </c:pt>
                <c:pt idx="99">
                  <c:v>49500</c:v>
                </c:pt>
                <c:pt idx="100">
                  <c:v>50000</c:v>
                </c:pt>
                <c:pt idx="101">
                  <c:v>50500</c:v>
                </c:pt>
                <c:pt idx="102">
                  <c:v>51000</c:v>
                </c:pt>
                <c:pt idx="103">
                  <c:v>51500</c:v>
                </c:pt>
                <c:pt idx="104">
                  <c:v>52000</c:v>
                </c:pt>
                <c:pt idx="105">
                  <c:v>52500</c:v>
                </c:pt>
                <c:pt idx="106">
                  <c:v>53000</c:v>
                </c:pt>
                <c:pt idx="107">
                  <c:v>53500</c:v>
                </c:pt>
                <c:pt idx="108">
                  <c:v>54000</c:v>
                </c:pt>
                <c:pt idx="109">
                  <c:v>54500</c:v>
                </c:pt>
                <c:pt idx="110">
                  <c:v>55000</c:v>
                </c:pt>
                <c:pt idx="111">
                  <c:v>55500</c:v>
                </c:pt>
                <c:pt idx="112">
                  <c:v>56000</c:v>
                </c:pt>
                <c:pt idx="113">
                  <c:v>56500</c:v>
                </c:pt>
                <c:pt idx="114">
                  <c:v>57000</c:v>
                </c:pt>
                <c:pt idx="115">
                  <c:v>57500</c:v>
                </c:pt>
                <c:pt idx="116">
                  <c:v>58000</c:v>
                </c:pt>
                <c:pt idx="117">
                  <c:v>58500</c:v>
                </c:pt>
                <c:pt idx="118">
                  <c:v>59000</c:v>
                </c:pt>
                <c:pt idx="119">
                  <c:v>59500</c:v>
                </c:pt>
                <c:pt idx="120">
                  <c:v>60000</c:v>
                </c:pt>
                <c:pt idx="121">
                  <c:v>60500</c:v>
                </c:pt>
                <c:pt idx="122">
                  <c:v>61000</c:v>
                </c:pt>
                <c:pt idx="123">
                  <c:v>61500</c:v>
                </c:pt>
                <c:pt idx="124">
                  <c:v>62000</c:v>
                </c:pt>
                <c:pt idx="125">
                  <c:v>62500</c:v>
                </c:pt>
                <c:pt idx="126">
                  <c:v>63000</c:v>
                </c:pt>
                <c:pt idx="127">
                  <c:v>63500</c:v>
                </c:pt>
                <c:pt idx="128">
                  <c:v>64000</c:v>
                </c:pt>
                <c:pt idx="129">
                  <c:v>64500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465-402A-9380-2A6061E7CF57}"/>
            </c:ext>
          </c:extLst>
        </c:ser>
        <c:ser>
          <c:idx val="18"/>
          <c:order val="3"/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'7 - Es Contours'!$S$4:$S$133</c:f>
              <c:numCache>
                <c:formatCode>#,##0.0000</c:formatCode>
                <c:ptCount val="130"/>
                <c:pt idx="0">
                  <c:v>2.0322317961482321</c:v>
                </c:pt>
                <c:pt idx="1">
                  <c:v>2.02936222746224</c:v>
                </c:pt>
                <c:pt idx="2">
                  <c:v>2.0264686873897859</c:v>
                </c:pt>
                <c:pt idx="3">
                  <c:v>2.02355086534951</c:v>
                </c:pt>
                <c:pt idx="4">
                  <c:v>2.0206084451974045</c:v>
                </c:pt>
                <c:pt idx="5">
                  <c:v>2.0176411050974812</c:v>
                </c:pt>
                <c:pt idx="6">
                  <c:v>2.0146485173887032</c:v>
                </c:pt>
                <c:pt idx="7">
                  <c:v>2.0116303484480254</c:v>
                </c:pt>
                <c:pt idx="8">
                  <c:v>2.0085862585494301</c:v>
                </c:pt>
                <c:pt idx="9">
                  <c:v>2.0055159017187938</c:v>
                </c:pt>
                <c:pt idx="10">
                  <c:v>2.0024189255844531</c:v>
                </c:pt>
                <c:pt idx="11">
                  <c:v>1.9992949712233035</c:v>
                </c:pt>
                <c:pt idx="12">
                  <c:v>1.9961436730022777</c:v>
                </c:pt>
                <c:pt idx="13">
                  <c:v>1.9929646584150265</c:v>
                </c:pt>
                <c:pt idx="14">
                  <c:v>1.9897575479136367</c:v>
                </c:pt>
                <c:pt idx="15">
                  <c:v>1.9865219547351929</c:v>
                </c:pt>
                <c:pt idx="16">
                  <c:v>1.9832574847229958</c:v>
                </c:pt>
                <c:pt idx="17">
                  <c:v>1.9799637361422411</c:v>
                </c:pt>
                <c:pt idx="18">
                  <c:v>1.9766402994899419</c:v>
                </c:pt>
                <c:pt idx="19">
                  <c:v>1.9732867572988817</c:v>
                </c:pt>
                <c:pt idx="20">
                  <c:v>1.9699026839353726</c:v>
                </c:pt>
                <c:pt idx="21">
                  <c:v>1.9664876453905755</c:v>
                </c:pt>
                <c:pt idx="22">
                  <c:v>1.9630411990651304</c:v>
                </c:pt>
                <c:pt idx="23">
                  <c:v>1.9595628935468496</c:v>
                </c:pt>
                <c:pt idx="24">
                  <c:v>1.9560522683811834</c:v>
                </c:pt>
                <c:pt idx="25">
                  <c:v>1.9525088538341886</c:v>
                </c:pt>
                <c:pt idx="26">
                  <c:v>1.9489321706476908</c:v>
                </c:pt>
                <c:pt idx="27">
                  <c:v>1.9453217297863341</c:v>
                </c:pt>
                <c:pt idx="28">
                  <c:v>1.9416770321761812</c:v>
                </c:pt>
                <c:pt idx="29">
                  <c:v>1.9379975684345363</c:v>
                </c:pt>
                <c:pt idx="30">
                  <c:v>1.9342828185906156</c:v>
                </c:pt>
                <c:pt idx="31">
                  <c:v>1.9305322517966903</c:v>
                </c:pt>
                <c:pt idx="32">
                  <c:v>1.9267453260293166</c:v>
                </c:pt>
                <c:pt idx="33">
                  <c:v>1.9229214877802212</c:v>
                </c:pt>
                <c:pt idx="34">
                  <c:v>1.9190601717364209</c:v>
                </c:pt>
                <c:pt idx="35">
                  <c:v>1.9151608004491016</c:v>
                </c:pt>
                <c:pt idx="36">
                  <c:v>1.9112227839907927</c:v>
                </c:pt>
                <c:pt idx="37">
                  <c:v>1.9072455196003126</c:v>
                </c:pt>
                <c:pt idx="38">
                  <c:v>1.9032283913149683</c:v>
                </c:pt>
                <c:pt idx="39">
                  <c:v>1.8991707695894353</c:v>
                </c:pt>
                <c:pt idx="40">
                  <c:v>1.8950720109007406</c:v>
                </c:pt>
                <c:pt idx="41">
                  <c:v>1.8909314573387181</c:v>
                </c:pt>
                <c:pt idx="42">
                  <c:v>1.886748436181285</c:v>
                </c:pt>
                <c:pt idx="43">
                  <c:v>1.8825222594538578</c:v>
                </c:pt>
                <c:pt idx="44">
                  <c:v>1.878252223472167</c:v>
                </c:pt>
                <c:pt idx="45">
                  <c:v>1.8739376083677206</c:v>
                </c:pt>
                <c:pt idx="46">
                  <c:v>1.8695776775950932</c:v>
                </c:pt>
                <c:pt idx="47">
                  <c:v>1.8651716774201987</c:v>
                </c:pt>
                <c:pt idx="48">
                  <c:v>1.8607188363886424</c:v>
                </c:pt>
                <c:pt idx="49">
                  <c:v>1.8562183647731922</c:v>
                </c:pt>
                <c:pt idx="50">
                  <c:v>1.8516694539993774</c:v>
                </c:pt>
                <c:pt idx="51">
                  <c:v>1.847071276048136</c:v>
                </c:pt>
                <c:pt idx="52">
                  <c:v>1.8424229828343939</c:v>
                </c:pt>
                <c:pt idx="53">
                  <c:v>1.8377237055603766</c:v>
                </c:pt>
                <c:pt idx="54">
                  <c:v>1.8329725540423947</c:v>
                </c:pt>
                <c:pt idx="55">
                  <c:v>1.8281686160097608</c:v>
                </c:pt>
                <c:pt idx="56">
                  <c:v>1.8233109563744185</c:v>
                </c:pt>
                <c:pt idx="57">
                  <c:v>1.8183986164697779</c:v>
                </c:pt>
                <c:pt idx="58">
                  <c:v>1.8134306132571558</c:v>
                </c:pt>
                <c:pt idx="59">
                  <c:v>1.8084059384981224</c:v>
                </c:pt>
                <c:pt idx="60">
                  <c:v>1.803323557890951</c:v>
                </c:pt>
                <c:pt idx="61">
                  <c:v>1.7981824101692425</c:v>
                </c:pt>
                <c:pt idx="62">
                  <c:v>1.7929814061606901</c:v>
                </c:pt>
                <c:pt idx="63">
                  <c:v>1.7877194278037998</c:v>
                </c:pt>
                <c:pt idx="64">
                  <c:v>1.7823953271202508</c:v>
                </c:pt>
                <c:pt idx="65">
                  <c:v>1.7770079251404254</c:v>
                </c:pt>
                <c:pt idx="66">
                  <c:v>1.7715560107794632</c:v>
                </c:pt>
                <c:pt idx="67">
                  <c:v>1.7660383396610317</c:v>
                </c:pt>
                <c:pt idx="68">
                  <c:v>1.7604536328857978</c:v>
                </c:pt>
                <c:pt idx="69">
                  <c:v>1.7548005757413834</c:v>
                </c:pt>
                <c:pt idx="70">
                  <c:v>1.7490778163503669</c:v>
                </c:pt>
                <c:pt idx="71">
                  <c:v>1.7432839642526414</c:v>
                </c:pt>
                <c:pt idx="72">
                  <c:v>1.7374175889181802</c:v>
                </c:pt>
                <c:pt idx="73">
                  <c:v>1.7281908680614604</c:v>
                </c:pt>
                <c:pt idx="74">
                  <c:v>1.71823003081388</c:v>
                </c:pt>
                <c:pt idx="75">
                  <c:v>1.7082111114058212</c:v>
                </c:pt>
                <c:pt idx="76">
                  <c:v>1.6981330817901035</c:v>
                </c:pt>
                <c:pt idx="77">
                  <c:v>1.6879948832296849</c:v>
                </c:pt>
                <c:pt idx="78">
                  <c:v>1.6777954249994964</c:v>
                </c:pt>
                <c:pt idx="79">
                  <c:v>1.6675335830168112</c:v>
                </c:pt>
                <c:pt idx="80">
                  <c:v>1.6572081983952793</c:v>
                </c:pt>
                <c:pt idx="81">
                  <c:v>1.6468180759173647</c:v>
                </c:pt>
                <c:pt idx="82">
                  <c:v>1.6363619824194813</c:v>
                </c:pt>
                <c:pt idx="83">
                  <c:v>1.6258386450836559</c:v>
                </c:pt>
                <c:pt idx="84">
                  <c:v>1.6152467496290162</c:v>
                </c:pt>
                <c:pt idx="85">
                  <c:v>1.6045849383958286</c:v>
                </c:pt>
                <c:pt idx="86">
                  <c:v>1.5938518083141822</c:v>
                </c:pt>
                <c:pt idx="87">
                  <c:v>1.5830459087487108</c:v>
                </c:pt>
                <c:pt idx="88">
                  <c:v>1.5721657392099839</c:v>
                </c:pt>
                <c:pt idx="89">
                  <c:v>1.5612097469223405</c:v>
                </c:pt>
                <c:pt idx="90">
                  <c:v>1.5501763242370084</c:v>
                </c:pt>
                <c:pt idx="91">
                  <c:v>1.5390638058783024</c:v>
                </c:pt>
                <c:pt idx="92">
                  <c:v>1.527870466009553</c:v>
                </c:pt>
                <c:pt idx="93">
                  <c:v>1.5165945151041171</c:v>
                </c:pt>
                <c:pt idx="94">
                  <c:v>1.5052340966054201</c:v>
                </c:pt>
                <c:pt idx="95">
                  <c:v>1.4937872833583699</c:v>
                </c:pt>
                <c:pt idx="96">
                  <c:v>1.4822520737927212</c:v>
                </c:pt>
                <c:pt idx="97">
                  <c:v>1.4706263878369874</c:v>
                </c:pt>
                <c:pt idx="98">
                  <c:v>1.4589080625392776</c:v>
                </c:pt>
                <c:pt idx="99">
                  <c:v>1.4470948473689458</c:v>
                </c:pt>
                <c:pt idx="100">
                  <c:v>1.4351843991701541</c:v>
                </c:pt>
                <c:pt idx="101">
                  <c:v>1.4231742767352982</c:v>
                </c:pt>
                <c:pt idx="102">
                  <c:v>1.4110619349627012</c:v>
                </c:pt>
                <c:pt idx="103">
                  <c:v>1.3988447185589707</c:v>
                </c:pt>
                <c:pt idx="104">
                  <c:v>1.386519855241882</c:v>
                </c:pt>
                <c:pt idx="105">
                  <c:v>1.3740844483944983</c:v>
                </c:pt>
                <c:pt idx="106">
                  <c:v>1.3615354691153867</c:v>
                </c:pt>
                <c:pt idx="107">
                  <c:v>1.3488697476031182</c:v>
                </c:pt>
                <c:pt idx="108">
                  <c:v>1.3360839638056221</c:v>
                </c:pt>
                <c:pt idx="109">
                  <c:v>1.3231746372562414</c:v>
                </c:pt>
                <c:pt idx="110">
                  <c:v>1.3101381160083199</c:v>
                </c:pt>
                <c:pt idx="111">
                  <c:v>1.2969705645686309</c:v>
                </c:pt>
                <c:pt idx="112">
                  <c:v>1.2836679507166628</c:v>
                </c:pt>
                <c:pt idx="113">
                  <c:v>1.270226031081382</c:v>
                </c:pt>
                <c:pt idx="114">
                  <c:v>1.2566403353292475</c:v>
                </c:pt>
                <c:pt idx="115">
                  <c:v>1.2429061487964597</c:v>
                </c:pt>
                <c:pt idx="116">
                  <c:v>1.2290184933741599</c:v>
                </c:pt>
                <c:pt idx="117">
                  <c:v>1.214972106426865</c:v>
                </c:pt>
                <c:pt idx="118">
                  <c:v>1.2007614174909924</c:v>
                </c:pt>
                <c:pt idx="119">
                  <c:v>1.1863805224609096</c:v>
                </c:pt>
                <c:pt idx="120">
                  <c:v>1.1718231549232434</c:v>
                </c:pt>
                <c:pt idx="121">
                  <c:v>1.1570826542446773</c:v>
                </c:pt>
                <c:pt idx="122">
                  <c:v>1.1421519299522067</c:v>
                </c:pt>
                <c:pt idx="123">
                  <c:v>1.1270234218653994</c:v>
                </c:pt>
                <c:pt idx="124">
                  <c:v>1.1116890553445407</c:v>
                </c:pt>
                <c:pt idx="125">
                  <c:v>1.0961401909028248</c:v>
                </c:pt>
                <c:pt idx="126">
                  <c:v>1.0803675672900055</c:v>
                </c:pt>
                <c:pt idx="127">
                  <c:v>1.0643612369828994</c:v>
                </c:pt>
                <c:pt idx="128">
                  <c:v>1.048110492806656</c:v>
                </c:pt>
                <c:pt idx="129">
                  <c:v>1.0316037841492511</c:v>
                </c:pt>
              </c:numCache>
            </c:numRef>
          </c:xVal>
          <c:yVal>
            <c:numRef>
              <c:f>'7 - Es Contours'!$X$4:$X$133</c:f>
              <c:numCache>
                <c:formatCode>#,##0</c:formatCode>
                <c:ptCount val="13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  <c:pt idx="26">
                  <c:v>13000</c:v>
                </c:pt>
                <c:pt idx="27">
                  <c:v>13500</c:v>
                </c:pt>
                <c:pt idx="28">
                  <c:v>14000</c:v>
                </c:pt>
                <c:pt idx="29">
                  <c:v>14500</c:v>
                </c:pt>
                <c:pt idx="30">
                  <c:v>15000</c:v>
                </c:pt>
                <c:pt idx="31">
                  <c:v>15500</c:v>
                </c:pt>
                <c:pt idx="32">
                  <c:v>16000</c:v>
                </c:pt>
                <c:pt idx="33">
                  <c:v>16500</c:v>
                </c:pt>
                <c:pt idx="34">
                  <c:v>17000</c:v>
                </c:pt>
                <c:pt idx="35">
                  <c:v>17500</c:v>
                </c:pt>
                <c:pt idx="36">
                  <c:v>18000</c:v>
                </c:pt>
                <c:pt idx="37">
                  <c:v>18500</c:v>
                </c:pt>
                <c:pt idx="38">
                  <c:v>19000</c:v>
                </c:pt>
                <c:pt idx="39">
                  <c:v>19500</c:v>
                </c:pt>
                <c:pt idx="40">
                  <c:v>20000</c:v>
                </c:pt>
                <c:pt idx="41">
                  <c:v>20500</c:v>
                </c:pt>
                <c:pt idx="42">
                  <c:v>21000</c:v>
                </c:pt>
                <c:pt idx="43">
                  <c:v>21500</c:v>
                </c:pt>
                <c:pt idx="44">
                  <c:v>22000</c:v>
                </c:pt>
                <c:pt idx="45">
                  <c:v>22500</c:v>
                </c:pt>
                <c:pt idx="46">
                  <c:v>23000</c:v>
                </c:pt>
                <c:pt idx="47">
                  <c:v>23500</c:v>
                </c:pt>
                <c:pt idx="48">
                  <c:v>24000</c:v>
                </c:pt>
                <c:pt idx="49">
                  <c:v>24500</c:v>
                </c:pt>
                <c:pt idx="50">
                  <c:v>25000</c:v>
                </c:pt>
                <c:pt idx="51">
                  <c:v>25500</c:v>
                </c:pt>
                <c:pt idx="52">
                  <c:v>26000</c:v>
                </c:pt>
                <c:pt idx="53">
                  <c:v>26500</c:v>
                </c:pt>
                <c:pt idx="54">
                  <c:v>27000</c:v>
                </c:pt>
                <c:pt idx="55">
                  <c:v>27500</c:v>
                </c:pt>
                <c:pt idx="56">
                  <c:v>28000</c:v>
                </c:pt>
                <c:pt idx="57">
                  <c:v>28500</c:v>
                </c:pt>
                <c:pt idx="58">
                  <c:v>29000</c:v>
                </c:pt>
                <c:pt idx="59">
                  <c:v>29500</c:v>
                </c:pt>
                <c:pt idx="60">
                  <c:v>30000</c:v>
                </c:pt>
                <c:pt idx="61">
                  <c:v>30500</c:v>
                </c:pt>
                <c:pt idx="62">
                  <c:v>31000</c:v>
                </c:pt>
                <c:pt idx="63">
                  <c:v>31500</c:v>
                </c:pt>
                <c:pt idx="64">
                  <c:v>32000</c:v>
                </c:pt>
                <c:pt idx="65">
                  <c:v>32500</c:v>
                </c:pt>
                <c:pt idx="66">
                  <c:v>33000</c:v>
                </c:pt>
                <c:pt idx="67">
                  <c:v>33500</c:v>
                </c:pt>
                <c:pt idx="68">
                  <c:v>34000</c:v>
                </c:pt>
                <c:pt idx="69">
                  <c:v>34500</c:v>
                </c:pt>
                <c:pt idx="70">
                  <c:v>35000</c:v>
                </c:pt>
                <c:pt idx="71">
                  <c:v>35500</c:v>
                </c:pt>
                <c:pt idx="72">
                  <c:v>36000</c:v>
                </c:pt>
                <c:pt idx="73">
                  <c:v>36500</c:v>
                </c:pt>
                <c:pt idx="74">
                  <c:v>37000</c:v>
                </c:pt>
                <c:pt idx="75">
                  <c:v>37500</c:v>
                </c:pt>
                <c:pt idx="76">
                  <c:v>38000</c:v>
                </c:pt>
                <c:pt idx="77">
                  <c:v>38500</c:v>
                </c:pt>
                <c:pt idx="78">
                  <c:v>39000</c:v>
                </c:pt>
                <c:pt idx="79">
                  <c:v>39500</c:v>
                </c:pt>
                <c:pt idx="80">
                  <c:v>40000</c:v>
                </c:pt>
                <c:pt idx="81">
                  <c:v>40500</c:v>
                </c:pt>
                <c:pt idx="82">
                  <c:v>41000</c:v>
                </c:pt>
                <c:pt idx="83">
                  <c:v>41500</c:v>
                </c:pt>
                <c:pt idx="84">
                  <c:v>42000</c:v>
                </c:pt>
                <c:pt idx="85">
                  <c:v>42500</c:v>
                </c:pt>
                <c:pt idx="86">
                  <c:v>43000</c:v>
                </c:pt>
                <c:pt idx="87">
                  <c:v>43500</c:v>
                </c:pt>
                <c:pt idx="88">
                  <c:v>44000</c:v>
                </c:pt>
                <c:pt idx="89">
                  <c:v>44500</c:v>
                </c:pt>
                <c:pt idx="90">
                  <c:v>45000</c:v>
                </c:pt>
                <c:pt idx="91">
                  <c:v>45500</c:v>
                </c:pt>
                <c:pt idx="92">
                  <c:v>46000</c:v>
                </c:pt>
                <c:pt idx="93">
                  <c:v>46500</c:v>
                </c:pt>
                <c:pt idx="94">
                  <c:v>47000</c:v>
                </c:pt>
                <c:pt idx="95">
                  <c:v>47500</c:v>
                </c:pt>
                <c:pt idx="96">
                  <c:v>48000</c:v>
                </c:pt>
                <c:pt idx="97">
                  <c:v>48500</c:v>
                </c:pt>
                <c:pt idx="98">
                  <c:v>49000</c:v>
                </c:pt>
                <c:pt idx="99">
                  <c:v>49500</c:v>
                </c:pt>
                <c:pt idx="100">
                  <c:v>50000</c:v>
                </c:pt>
                <c:pt idx="101">
                  <c:v>50500</c:v>
                </c:pt>
                <c:pt idx="102">
                  <c:v>51000</c:v>
                </c:pt>
                <c:pt idx="103">
                  <c:v>51500</c:v>
                </c:pt>
                <c:pt idx="104">
                  <c:v>52000</c:v>
                </c:pt>
                <c:pt idx="105">
                  <c:v>52500</c:v>
                </c:pt>
                <c:pt idx="106">
                  <c:v>53000</c:v>
                </c:pt>
                <c:pt idx="107">
                  <c:v>53500</c:v>
                </c:pt>
                <c:pt idx="108">
                  <c:v>54000</c:v>
                </c:pt>
                <c:pt idx="109">
                  <c:v>54500</c:v>
                </c:pt>
                <c:pt idx="110">
                  <c:v>55000</c:v>
                </c:pt>
                <c:pt idx="111">
                  <c:v>55500</c:v>
                </c:pt>
                <c:pt idx="112">
                  <c:v>56000</c:v>
                </c:pt>
                <c:pt idx="113">
                  <c:v>56500</c:v>
                </c:pt>
                <c:pt idx="114">
                  <c:v>57000</c:v>
                </c:pt>
                <c:pt idx="115">
                  <c:v>57500</c:v>
                </c:pt>
                <c:pt idx="116">
                  <c:v>58000</c:v>
                </c:pt>
                <c:pt idx="117">
                  <c:v>58500</c:v>
                </c:pt>
                <c:pt idx="118">
                  <c:v>59000</c:v>
                </c:pt>
                <c:pt idx="119">
                  <c:v>59500</c:v>
                </c:pt>
                <c:pt idx="120">
                  <c:v>60000</c:v>
                </c:pt>
                <c:pt idx="121">
                  <c:v>60500</c:v>
                </c:pt>
                <c:pt idx="122">
                  <c:v>61000</c:v>
                </c:pt>
                <c:pt idx="123">
                  <c:v>61500</c:v>
                </c:pt>
                <c:pt idx="124">
                  <c:v>62000</c:v>
                </c:pt>
                <c:pt idx="125">
                  <c:v>62500</c:v>
                </c:pt>
                <c:pt idx="126">
                  <c:v>63000</c:v>
                </c:pt>
                <c:pt idx="127">
                  <c:v>63500</c:v>
                </c:pt>
                <c:pt idx="128">
                  <c:v>64000</c:v>
                </c:pt>
                <c:pt idx="129">
                  <c:v>64500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465-402A-9380-2A6061E7CF57}"/>
            </c:ext>
          </c:extLst>
        </c:ser>
        <c:ser>
          <c:idx val="17"/>
          <c:order val="4"/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'7 - Es Contours'!$R$4:$R$133</c:f>
              <c:numCache>
                <c:formatCode>#,##0.0000</c:formatCode>
                <c:ptCount val="130"/>
                <c:pt idx="0">
                  <c:v>1.9676999755288223</c:v>
                </c:pt>
                <c:pt idx="1">
                  <c:v>1.9645095511729751</c:v>
                </c:pt>
                <c:pt idx="2">
                  <c:v>1.961291796052856</c:v>
                </c:pt>
                <c:pt idx="3">
                  <c:v>1.9580463443253195</c:v>
                </c:pt>
                <c:pt idx="4">
                  <c:v>1.9547728233231798</c:v>
                </c:pt>
                <c:pt idx="5">
                  <c:v>1.9514708533886698</c:v>
                </c:pt>
                <c:pt idx="6">
                  <c:v>1.9481400477018029</c:v>
                </c:pt>
                <c:pt idx="7">
                  <c:v>1.9447800121034384</c:v>
                </c:pt>
                <c:pt idx="8">
                  <c:v>1.9413903449128571</c:v>
                </c:pt>
                <c:pt idx="9">
                  <c:v>1.9379706367396361</c:v>
                </c:pt>
                <c:pt idx="10">
                  <c:v>1.9345204702896124</c:v>
                </c:pt>
                <c:pt idx="11">
                  <c:v>1.9310394201646979</c:v>
                </c:pt>
                <c:pt idx="12">
                  <c:v>1.9275270526563186</c:v>
                </c:pt>
                <c:pt idx="13">
                  <c:v>1.9239829255322234</c:v>
                </c:pt>
                <c:pt idx="14">
                  <c:v>1.9204065878164063</c:v>
                </c:pt>
                <c:pt idx="15">
                  <c:v>1.916797579561871</c:v>
                </c:pt>
                <c:pt idx="16">
                  <c:v>1.9131554316159483</c:v>
                </c:pt>
                <c:pt idx="17">
                  <c:v>1.9094796653778763</c:v>
                </c:pt>
                <c:pt idx="18">
                  <c:v>1.9057697925483239</c:v>
                </c:pt>
                <c:pt idx="19">
                  <c:v>1.9020253148705353</c:v>
                </c:pt>
                <c:pt idx="20">
                  <c:v>1.8982457238627533</c:v>
                </c:pt>
                <c:pt idx="21">
                  <c:v>1.8944305005415563</c:v>
                </c:pt>
                <c:pt idx="22">
                  <c:v>1.8905791151357361</c:v>
                </c:pt>
                <c:pt idx="23">
                  <c:v>1.8866910267903232</c:v>
                </c:pt>
                <c:pt idx="24">
                  <c:v>1.8827656832603366</c:v>
                </c:pt>
                <c:pt idx="25">
                  <c:v>1.8788025205938272</c:v>
                </c:pt>
                <c:pt idx="26">
                  <c:v>1.8748009628037543</c:v>
                </c:pt>
                <c:pt idx="27">
                  <c:v>1.8707604215282143</c:v>
                </c:pt>
                <c:pt idx="28">
                  <c:v>1.8666802956785085</c:v>
                </c:pt>
                <c:pt idx="29">
                  <c:v>1.8625599710745304</c:v>
                </c:pt>
                <c:pt idx="30">
                  <c:v>1.8583988200668933</c:v>
                </c:pt>
                <c:pt idx="31">
                  <c:v>1.8541962011452213</c:v>
                </c:pt>
                <c:pt idx="32">
                  <c:v>1.849951458531975</c:v>
                </c:pt>
                <c:pt idx="33">
                  <c:v>1.8456639217611548</c:v>
                </c:pt>
                <c:pt idx="34">
                  <c:v>1.8413329052411973</c:v>
                </c:pt>
                <c:pt idx="35">
                  <c:v>1.8369577078013248</c:v>
                </c:pt>
                <c:pt idx="36">
                  <c:v>1.8325376122205885</c:v>
                </c:pt>
                <c:pt idx="37">
                  <c:v>1.8280718847387869</c:v>
                </c:pt>
                <c:pt idx="38">
                  <c:v>1.8235597745484025</c:v>
                </c:pt>
                <c:pt idx="39">
                  <c:v>1.8190005132666507</c:v>
                </c:pt>
                <c:pt idx="40">
                  <c:v>1.8143933143866835</c:v>
                </c:pt>
                <c:pt idx="41">
                  <c:v>1.8097373727069332</c:v>
                </c:pt>
                <c:pt idx="42">
                  <c:v>1.8050318637375167</c:v>
                </c:pt>
                <c:pt idx="43">
                  <c:v>1.8002759430825834</c:v>
                </c:pt>
                <c:pt idx="44">
                  <c:v>1.7954687457973744</c:v>
                </c:pt>
                <c:pt idx="45">
                  <c:v>1.7906093857187468</c:v>
                </c:pt>
                <c:pt idx="46">
                  <c:v>1.7856969547677908</c:v>
                </c:pt>
                <c:pt idx="47">
                  <c:v>1.7807305222231082</c:v>
                </c:pt>
                <c:pt idx="48">
                  <c:v>1.7757091339632392</c:v>
                </c:pt>
                <c:pt idx="49">
                  <c:v>1.7706318116765973</c:v>
                </c:pt>
                <c:pt idx="50">
                  <c:v>1.7654975520372187</c:v>
                </c:pt>
                <c:pt idx="51">
                  <c:v>1.7603053258444665</c:v>
                </c:pt>
                <c:pt idx="52">
                  <c:v>1.7550540771247694</c:v>
                </c:pt>
                <c:pt idx="53">
                  <c:v>1.7497427221932988</c:v>
                </c:pt>
                <c:pt idx="54">
                  <c:v>1.7443701486733891</c:v>
                </c:pt>
                <c:pt idx="55">
                  <c:v>1.7389352144713353</c:v>
                </c:pt>
                <c:pt idx="56">
                  <c:v>1.7334367467040555</c:v>
                </c:pt>
                <c:pt idx="57">
                  <c:v>1.7278735405769376</c:v>
                </c:pt>
                <c:pt idx="58">
                  <c:v>1.7222443582089946</c:v>
                </c:pt>
                <c:pt idx="59">
                  <c:v>1.7165479274022646</c:v>
                </c:pt>
                <c:pt idx="60">
                  <c:v>1.7107829403521742</c:v>
                </c:pt>
                <c:pt idx="61">
                  <c:v>1.7049480522953466</c:v>
                </c:pt>
                <c:pt idx="62">
                  <c:v>1.699041880091094</c:v>
                </c:pt>
                <c:pt idx="63">
                  <c:v>1.6930630007325485</c:v>
                </c:pt>
                <c:pt idx="64">
                  <c:v>1.6870099497831001</c:v>
                </c:pt>
                <c:pt idx="65">
                  <c:v>1.6808812197334868</c:v>
                </c:pt>
                <c:pt idx="66">
                  <c:v>1.674675258274523</c:v>
                </c:pt>
                <c:pt idx="67">
                  <c:v>1.6683904664800897</c:v>
                </c:pt>
                <c:pt idx="68">
                  <c:v>1.6620251968945765</c:v>
                </c:pt>
                <c:pt idx="69">
                  <c:v>1.6555777515185259</c:v>
                </c:pt>
                <c:pt idx="70">
                  <c:v>1.6490463796857375</c:v>
                </c:pt>
                <c:pt idx="71">
                  <c:v>1.6424292758245413</c:v>
                </c:pt>
                <c:pt idx="72">
                  <c:v>1.635724577095369</c:v>
                </c:pt>
                <c:pt idx="73">
                  <c:v>1.6258386450836559</c:v>
                </c:pt>
                <c:pt idx="74">
                  <c:v>1.6152467496290162</c:v>
                </c:pt>
                <c:pt idx="75">
                  <c:v>1.6045849383958286</c:v>
                </c:pt>
                <c:pt idx="76">
                  <c:v>1.5938518083141822</c:v>
                </c:pt>
                <c:pt idx="77">
                  <c:v>1.5830459087487108</c:v>
                </c:pt>
                <c:pt idx="78">
                  <c:v>1.5721657392099839</c:v>
                </c:pt>
                <c:pt idx="79">
                  <c:v>1.5612097469223405</c:v>
                </c:pt>
                <c:pt idx="80">
                  <c:v>1.5501763242370084</c:v>
                </c:pt>
                <c:pt idx="81">
                  <c:v>1.5390638058783024</c:v>
                </c:pt>
                <c:pt idx="82">
                  <c:v>1.527870466009553</c:v>
                </c:pt>
                <c:pt idx="83">
                  <c:v>1.5165945151041171</c:v>
                </c:pt>
                <c:pt idx="84">
                  <c:v>1.5052340966054201</c:v>
                </c:pt>
                <c:pt idx="85">
                  <c:v>1.4937872833583699</c:v>
                </c:pt>
                <c:pt idx="86">
                  <c:v>1.4822520737927212</c:v>
                </c:pt>
                <c:pt idx="87">
                  <c:v>1.4706263878369874</c:v>
                </c:pt>
                <c:pt idx="88">
                  <c:v>1.4589080625392776</c:v>
                </c:pt>
                <c:pt idx="89">
                  <c:v>1.4470948473689458</c:v>
                </c:pt>
                <c:pt idx="90">
                  <c:v>1.4351843991701541</c:v>
                </c:pt>
                <c:pt idx="91">
                  <c:v>1.4231742767352982</c:v>
                </c:pt>
                <c:pt idx="92">
                  <c:v>1.4110619349627012</c:v>
                </c:pt>
                <c:pt idx="93">
                  <c:v>1.3988447185589707</c:v>
                </c:pt>
                <c:pt idx="94">
                  <c:v>1.386519855241882</c:v>
                </c:pt>
                <c:pt idx="95">
                  <c:v>1.3740844483944983</c:v>
                </c:pt>
                <c:pt idx="96">
                  <c:v>1.3615354691153867</c:v>
                </c:pt>
                <c:pt idx="97">
                  <c:v>1.3488697476031182</c:v>
                </c:pt>
                <c:pt idx="98">
                  <c:v>1.3360839638056221</c:v>
                </c:pt>
                <c:pt idx="99">
                  <c:v>1.3231746372562414</c:v>
                </c:pt>
                <c:pt idx="100">
                  <c:v>1.3101381160083199</c:v>
                </c:pt>
                <c:pt idx="101">
                  <c:v>1.2969705645686309</c:v>
                </c:pt>
                <c:pt idx="102">
                  <c:v>1.2836679507166628</c:v>
                </c:pt>
                <c:pt idx="103">
                  <c:v>1.270226031081382</c:v>
                </c:pt>
                <c:pt idx="104">
                  <c:v>1.2566403353292475</c:v>
                </c:pt>
                <c:pt idx="105">
                  <c:v>1.2429061487964597</c:v>
                </c:pt>
                <c:pt idx="106">
                  <c:v>1.2290184933741599</c:v>
                </c:pt>
                <c:pt idx="107">
                  <c:v>1.214972106426865</c:v>
                </c:pt>
                <c:pt idx="108">
                  <c:v>1.2007614174909924</c:v>
                </c:pt>
                <c:pt idx="109">
                  <c:v>1.1863805224609096</c:v>
                </c:pt>
                <c:pt idx="110">
                  <c:v>1.1718231549232434</c:v>
                </c:pt>
                <c:pt idx="111">
                  <c:v>1.1570826542446773</c:v>
                </c:pt>
                <c:pt idx="112">
                  <c:v>1.1421519299522067</c:v>
                </c:pt>
                <c:pt idx="113">
                  <c:v>1.1270234218653994</c:v>
                </c:pt>
                <c:pt idx="114">
                  <c:v>1.1116890553445407</c:v>
                </c:pt>
                <c:pt idx="115">
                  <c:v>1.0961401909028248</c:v>
                </c:pt>
                <c:pt idx="116">
                  <c:v>1.0803675672900055</c:v>
                </c:pt>
                <c:pt idx="117">
                  <c:v>1.0643612369828994</c:v>
                </c:pt>
                <c:pt idx="118">
                  <c:v>1.048110492806656</c:v>
                </c:pt>
                <c:pt idx="119">
                  <c:v>1.0316037841492511</c:v>
                </c:pt>
                <c:pt idx="120">
                  <c:v>1.0148286209063568</c:v>
                </c:pt>
                <c:pt idx="121">
                  <c:v>0.99777146288633711</c:v>
                </c:pt>
                <c:pt idx="122">
                  <c:v>0.98041759189132494</c:v>
                </c:pt>
                <c:pt idx="123">
                  <c:v>0.96275096303749708</c:v>
                </c:pt>
                <c:pt idx="124">
                  <c:v>0.94475403104155709</c:v>
                </c:pt>
                <c:pt idx="125">
                  <c:v>0.92640754612045073</c:v>
                </c:pt>
                <c:pt idx="126">
                  <c:v>0.90769031274359113</c:v>
                </c:pt>
                <c:pt idx="127">
                  <c:v>0.88857890262384787</c:v>
                </c:pt>
                <c:pt idx="128">
                  <c:v>0.86904731086854259</c:v>
                </c:pt>
                <c:pt idx="129">
                  <c:v>0.84906654089505174</c:v>
                </c:pt>
              </c:numCache>
            </c:numRef>
          </c:xVal>
          <c:yVal>
            <c:numRef>
              <c:f>'7 - Es Contours'!$X$4:$X$133</c:f>
              <c:numCache>
                <c:formatCode>#,##0</c:formatCode>
                <c:ptCount val="13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  <c:pt idx="26">
                  <c:v>13000</c:v>
                </c:pt>
                <c:pt idx="27">
                  <c:v>13500</c:v>
                </c:pt>
                <c:pt idx="28">
                  <c:v>14000</c:v>
                </c:pt>
                <c:pt idx="29">
                  <c:v>14500</c:v>
                </c:pt>
                <c:pt idx="30">
                  <c:v>15000</c:v>
                </c:pt>
                <c:pt idx="31">
                  <c:v>15500</c:v>
                </c:pt>
                <c:pt idx="32">
                  <c:v>16000</c:v>
                </c:pt>
                <c:pt idx="33">
                  <c:v>16500</c:v>
                </c:pt>
                <c:pt idx="34">
                  <c:v>17000</c:v>
                </c:pt>
                <c:pt idx="35">
                  <c:v>17500</c:v>
                </c:pt>
                <c:pt idx="36">
                  <c:v>18000</c:v>
                </c:pt>
                <c:pt idx="37">
                  <c:v>18500</c:v>
                </c:pt>
                <c:pt idx="38">
                  <c:v>19000</c:v>
                </c:pt>
                <c:pt idx="39">
                  <c:v>19500</c:v>
                </c:pt>
                <c:pt idx="40">
                  <c:v>20000</c:v>
                </c:pt>
                <c:pt idx="41">
                  <c:v>20500</c:v>
                </c:pt>
                <c:pt idx="42">
                  <c:v>21000</c:v>
                </c:pt>
                <c:pt idx="43">
                  <c:v>21500</c:v>
                </c:pt>
                <c:pt idx="44">
                  <c:v>22000</c:v>
                </c:pt>
                <c:pt idx="45">
                  <c:v>22500</c:v>
                </c:pt>
                <c:pt idx="46">
                  <c:v>23000</c:v>
                </c:pt>
                <c:pt idx="47">
                  <c:v>23500</c:v>
                </c:pt>
                <c:pt idx="48">
                  <c:v>24000</c:v>
                </c:pt>
                <c:pt idx="49">
                  <c:v>24500</c:v>
                </c:pt>
                <c:pt idx="50">
                  <c:v>25000</c:v>
                </c:pt>
                <c:pt idx="51">
                  <c:v>25500</c:v>
                </c:pt>
                <c:pt idx="52">
                  <c:v>26000</c:v>
                </c:pt>
                <c:pt idx="53">
                  <c:v>26500</c:v>
                </c:pt>
                <c:pt idx="54">
                  <c:v>27000</c:v>
                </c:pt>
                <c:pt idx="55">
                  <c:v>27500</c:v>
                </c:pt>
                <c:pt idx="56">
                  <c:v>28000</c:v>
                </c:pt>
                <c:pt idx="57">
                  <c:v>28500</c:v>
                </c:pt>
                <c:pt idx="58">
                  <c:v>29000</c:v>
                </c:pt>
                <c:pt idx="59">
                  <c:v>29500</c:v>
                </c:pt>
                <c:pt idx="60">
                  <c:v>30000</c:v>
                </c:pt>
                <c:pt idx="61">
                  <c:v>30500</c:v>
                </c:pt>
                <c:pt idx="62">
                  <c:v>31000</c:v>
                </c:pt>
                <c:pt idx="63">
                  <c:v>31500</c:v>
                </c:pt>
                <c:pt idx="64">
                  <c:v>32000</c:v>
                </c:pt>
                <c:pt idx="65">
                  <c:v>32500</c:v>
                </c:pt>
                <c:pt idx="66">
                  <c:v>33000</c:v>
                </c:pt>
                <c:pt idx="67">
                  <c:v>33500</c:v>
                </c:pt>
                <c:pt idx="68">
                  <c:v>34000</c:v>
                </c:pt>
                <c:pt idx="69">
                  <c:v>34500</c:v>
                </c:pt>
                <c:pt idx="70">
                  <c:v>35000</c:v>
                </c:pt>
                <c:pt idx="71">
                  <c:v>35500</c:v>
                </c:pt>
                <c:pt idx="72">
                  <c:v>36000</c:v>
                </c:pt>
                <c:pt idx="73">
                  <c:v>36500</c:v>
                </c:pt>
                <c:pt idx="74">
                  <c:v>37000</c:v>
                </c:pt>
                <c:pt idx="75">
                  <c:v>37500</c:v>
                </c:pt>
                <c:pt idx="76">
                  <c:v>38000</c:v>
                </c:pt>
                <c:pt idx="77">
                  <c:v>38500</c:v>
                </c:pt>
                <c:pt idx="78">
                  <c:v>39000</c:v>
                </c:pt>
                <c:pt idx="79">
                  <c:v>39500</c:v>
                </c:pt>
                <c:pt idx="80">
                  <c:v>40000</c:v>
                </c:pt>
                <c:pt idx="81">
                  <c:v>40500</c:v>
                </c:pt>
                <c:pt idx="82">
                  <c:v>41000</c:v>
                </c:pt>
                <c:pt idx="83">
                  <c:v>41500</c:v>
                </c:pt>
                <c:pt idx="84">
                  <c:v>42000</c:v>
                </c:pt>
                <c:pt idx="85">
                  <c:v>42500</c:v>
                </c:pt>
                <c:pt idx="86">
                  <c:v>43000</c:v>
                </c:pt>
                <c:pt idx="87">
                  <c:v>43500</c:v>
                </c:pt>
                <c:pt idx="88">
                  <c:v>44000</c:v>
                </c:pt>
                <c:pt idx="89">
                  <c:v>44500</c:v>
                </c:pt>
                <c:pt idx="90">
                  <c:v>45000</c:v>
                </c:pt>
                <c:pt idx="91">
                  <c:v>45500</c:v>
                </c:pt>
                <c:pt idx="92">
                  <c:v>46000</c:v>
                </c:pt>
                <c:pt idx="93">
                  <c:v>46500</c:v>
                </c:pt>
                <c:pt idx="94">
                  <c:v>47000</c:v>
                </c:pt>
                <c:pt idx="95">
                  <c:v>47500</c:v>
                </c:pt>
                <c:pt idx="96">
                  <c:v>48000</c:v>
                </c:pt>
                <c:pt idx="97">
                  <c:v>48500</c:v>
                </c:pt>
                <c:pt idx="98">
                  <c:v>49000</c:v>
                </c:pt>
                <c:pt idx="99">
                  <c:v>49500</c:v>
                </c:pt>
                <c:pt idx="100">
                  <c:v>50000</c:v>
                </c:pt>
                <c:pt idx="101">
                  <c:v>50500</c:v>
                </c:pt>
                <c:pt idx="102">
                  <c:v>51000</c:v>
                </c:pt>
                <c:pt idx="103">
                  <c:v>51500</c:v>
                </c:pt>
                <c:pt idx="104">
                  <c:v>52000</c:v>
                </c:pt>
                <c:pt idx="105">
                  <c:v>52500</c:v>
                </c:pt>
                <c:pt idx="106">
                  <c:v>53000</c:v>
                </c:pt>
                <c:pt idx="107">
                  <c:v>53500</c:v>
                </c:pt>
                <c:pt idx="108">
                  <c:v>54000</c:v>
                </c:pt>
                <c:pt idx="109">
                  <c:v>54500</c:v>
                </c:pt>
                <c:pt idx="110">
                  <c:v>55000</c:v>
                </c:pt>
                <c:pt idx="111">
                  <c:v>55500</c:v>
                </c:pt>
                <c:pt idx="112">
                  <c:v>56000</c:v>
                </c:pt>
                <c:pt idx="113">
                  <c:v>56500</c:v>
                </c:pt>
                <c:pt idx="114">
                  <c:v>57000</c:v>
                </c:pt>
                <c:pt idx="115">
                  <c:v>57500</c:v>
                </c:pt>
                <c:pt idx="116">
                  <c:v>58000</c:v>
                </c:pt>
                <c:pt idx="117">
                  <c:v>58500</c:v>
                </c:pt>
                <c:pt idx="118">
                  <c:v>59000</c:v>
                </c:pt>
                <c:pt idx="119">
                  <c:v>59500</c:v>
                </c:pt>
                <c:pt idx="120">
                  <c:v>60000</c:v>
                </c:pt>
                <c:pt idx="121">
                  <c:v>60500</c:v>
                </c:pt>
                <c:pt idx="122">
                  <c:v>61000</c:v>
                </c:pt>
                <c:pt idx="123">
                  <c:v>61500</c:v>
                </c:pt>
                <c:pt idx="124">
                  <c:v>62000</c:v>
                </c:pt>
                <c:pt idx="125">
                  <c:v>62500</c:v>
                </c:pt>
                <c:pt idx="126">
                  <c:v>63000</c:v>
                </c:pt>
                <c:pt idx="127">
                  <c:v>63500</c:v>
                </c:pt>
                <c:pt idx="128">
                  <c:v>64000</c:v>
                </c:pt>
                <c:pt idx="129">
                  <c:v>64500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465-402A-9380-2A6061E7CF57}"/>
            </c:ext>
          </c:extLst>
        </c:ser>
        <c:ser>
          <c:idx val="16"/>
          <c:order val="5"/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'7 - Es Contours'!$Q$4:$Q$133</c:f>
              <c:numCache>
                <c:formatCode>#,##0.0000</c:formatCode>
                <c:ptCount val="130"/>
                <c:pt idx="0">
                  <c:v>1.9009787779237268</c:v>
                </c:pt>
                <c:pt idx="1">
                  <c:v>1.8974415677562204</c:v>
                </c:pt>
                <c:pt idx="2">
                  <c:v>1.8938731946878582</c:v>
                </c:pt>
                <c:pt idx="3">
                  <c:v>1.8902732258577715</c:v>
                </c:pt>
                <c:pt idx="4">
                  <c:v>1.8866412199468872</c:v>
                </c:pt>
                <c:pt idx="5">
                  <c:v>1.8829767269597413</c:v>
                </c:pt>
                <c:pt idx="6">
                  <c:v>1.8792792879991702</c:v>
                </c:pt>
                <c:pt idx="7">
                  <c:v>1.8755484350335978</c:v>
                </c:pt>
                <c:pt idx="8">
                  <c:v>1.8717836906566223</c:v>
                </c:pt>
                <c:pt idx="9">
                  <c:v>1.8679845678385869</c:v>
                </c:pt>
                <c:pt idx="10">
                  <c:v>1.8641505696698135</c:v>
                </c:pt>
                <c:pt idx="11">
                  <c:v>1.8602811890951418</c:v>
                </c:pt>
                <c:pt idx="12">
                  <c:v>1.8563759086394342</c:v>
                </c:pt>
                <c:pt idx="13">
                  <c:v>1.8524342001236485</c:v>
                </c:pt>
                <c:pt idx="14">
                  <c:v>1.8484555243710936</c:v>
                </c:pt>
                <c:pt idx="15">
                  <c:v>1.8444393309034488</c:v>
                </c:pt>
                <c:pt idx="16">
                  <c:v>1.8403850576261007</c:v>
                </c:pt>
                <c:pt idx="17">
                  <c:v>1.8362921305023525</c:v>
                </c:pt>
                <c:pt idx="18">
                  <c:v>1.8321599632160055</c:v>
                </c:pt>
                <c:pt idx="19">
                  <c:v>1.8279879568218123</c:v>
                </c:pt>
                <c:pt idx="20">
                  <c:v>1.8237754993832636</c:v>
                </c:pt>
                <c:pt idx="21">
                  <c:v>1.8195219655971435</c:v>
                </c:pt>
                <c:pt idx="22">
                  <c:v>1.8152267164042568</c:v>
                </c:pt>
                <c:pt idx="23">
                  <c:v>1.8108890985857051</c:v>
                </c:pt>
                <c:pt idx="24">
                  <c:v>1.806508444344048</c:v>
                </c:pt>
                <c:pt idx="25">
                  <c:v>1.8020840708686545</c:v>
                </c:pt>
                <c:pt idx="26">
                  <c:v>1.7976152798845053</c:v>
                </c:pt>
                <c:pt idx="27">
                  <c:v>1.793101357183678</c:v>
                </c:pt>
                <c:pt idx="28">
                  <c:v>1.788541572138681</c:v>
                </c:pt>
                <c:pt idx="29">
                  <c:v>1.7839351771967877</c:v>
                </c:pt>
                <c:pt idx="30">
                  <c:v>1.779281407354437</c:v>
                </c:pt>
                <c:pt idx="31">
                  <c:v>1.7745794796107444</c:v>
                </c:pt>
                <c:pt idx="32">
                  <c:v>1.7698285923990902</c:v>
                </c:pt>
                <c:pt idx="33">
                  <c:v>1.7650279249957017</c:v>
                </c:pt>
                <c:pt idx="34">
                  <c:v>1.7601766369040792</c:v>
                </c:pt>
                <c:pt idx="35">
                  <c:v>1.7552738672140451</c:v>
                </c:pt>
                <c:pt idx="36">
                  <c:v>1.7503187339341242</c:v>
                </c:pt>
                <c:pt idx="37">
                  <c:v>1.7453103332958795</c:v>
                </c:pt>
                <c:pt idx="38">
                  <c:v>1.740247739028751</c:v>
                </c:pt>
                <c:pt idx="39">
                  <c:v>1.7351300016038422</c:v>
                </c:pt>
                <c:pt idx="40">
                  <c:v>1.7299561474450196</c:v>
                </c:pt>
                <c:pt idx="41">
                  <c:v>1.7247251781055608</c:v>
                </c:pt>
                <c:pt idx="42">
                  <c:v>1.7194360694084976</c:v>
                </c:pt>
                <c:pt idx="43">
                  <c:v>1.7140877705486708</c:v>
                </c:pt>
                <c:pt idx="44">
                  <c:v>1.7086792031543703</c:v>
                </c:pt>
                <c:pt idx="45">
                  <c:v>1.7032092603063209</c:v>
                </c:pt>
                <c:pt idx="46">
                  <c:v>1.6976768055115974</c:v>
                </c:pt>
                <c:pt idx="47">
                  <c:v>1.6920806716298991</c:v>
                </c:pt>
                <c:pt idx="48">
                  <c:v>1.6864196597494496</c:v>
                </c:pt>
                <c:pt idx="49">
                  <c:v>1.6806925380095659</c:v>
                </c:pt>
                <c:pt idx="50">
                  <c:v>1.6748980403667773</c:v>
                </c:pt>
                <c:pt idx="51">
                  <c:v>1.6690348653011107</c:v>
                </c:pt>
                <c:pt idx="52">
                  <c:v>1.6631016744589509</c:v>
                </c:pt>
                <c:pt idx="53">
                  <c:v>1.6570970912285949</c:v>
                </c:pt>
                <c:pt idx="54">
                  <c:v>1.6510196992443622</c:v>
                </c:pt>
                <c:pt idx="55">
                  <c:v>1.6448680408147922</c:v>
                </c:pt>
                <c:pt idx="56">
                  <c:v>1.6386406152701336</c:v>
                </c:pt>
                <c:pt idx="57">
                  <c:v>1.6323358772239742</c:v>
                </c:pt>
                <c:pt idx="58">
                  <c:v>1.6259522347434441</c:v>
                </c:pt>
                <c:pt idx="59">
                  <c:v>1.6194880474220072</c:v>
                </c:pt>
                <c:pt idx="60">
                  <c:v>1.6129416243483774</c:v>
                </c:pt>
                <c:pt idx="61">
                  <c:v>1.6063112219645748</c:v>
                </c:pt>
                <c:pt idx="62">
                  <c:v>1.5995950418055795</c:v>
                </c:pt>
                <c:pt idx="63">
                  <c:v>1.5927912281124157</c:v>
                </c:pt>
                <c:pt idx="64">
                  <c:v>1.5858978653098221</c:v>
                </c:pt>
                <c:pt idx="65">
                  <c:v>1.5789129753389162</c:v>
                </c:pt>
                <c:pt idx="66">
                  <c:v>1.5718345148344453</c:v>
                </c:pt>
                <c:pt idx="67">
                  <c:v>1.5646603721353107</c:v>
                </c:pt>
                <c:pt idx="68">
                  <c:v>1.5573883641160631</c:v>
                </c:pt>
                <c:pt idx="69">
                  <c:v>1.5500162328259615</c:v>
                </c:pt>
                <c:pt idx="70">
                  <c:v>1.5425416419209916</c:v>
                </c:pt>
                <c:pt idx="71">
                  <c:v>1.5349621728728857</c:v>
                </c:pt>
                <c:pt idx="72">
                  <c:v>1.5272753209377099</c:v>
                </c:pt>
                <c:pt idx="73">
                  <c:v>1.5165945151041171</c:v>
                </c:pt>
                <c:pt idx="74">
                  <c:v>1.5052340966054201</c:v>
                </c:pt>
                <c:pt idx="75">
                  <c:v>1.4937872833583699</c:v>
                </c:pt>
                <c:pt idx="76">
                  <c:v>1.4822520737927212</c:v>
                </c:pt>
                <c:pt idx="77">
                  <c:v>1.4706263878369874</c:v>
                </c:pt>
                <c:pt idx="78">
                  <c:v>1.4589080625392776</c:v>
                </c:pt>
                <c:pt idx="79">
                  <c:v>1.4470948473689458</c:v>
                </c:pt>
                <c:pt idx="80">
                  <c:v>1.4351843991701541</c:v>
                </c:pt>
                <c:pt idx="81">
                  <c:v>1.4231742767352982</c:v>
                </c:pt>
                <c:pt idx="82">
                  <c:v>1.4110619349627012</c:v>
                </c:pt>
                <c:pt idx="83">
                  <c:v>1.3988447185589707</c:v>
                </c:pt>
                <c:pt idx="84">
                  <c:v>1.386519855241882</c:v>
                </c:pt>
                <c:pt idx="85">
                  <c:v>1.3740844483944983</c:v>
                </c:pt>
                <c:pt idx="86">
                  <c:v>1.3615354691153867</c:v>
                </c:pt>
                <c:pt idx="87">
                  <c:v>1.3488697476031182</c:v>
                </c:pt>
                <c:pt idx="88">
                  <c:v>1.3360839638056221</c:v>
                </c:pt>
                <c:pt idx="89">
                  <c:v>1.3231746372562414</c:v>
                </c:pt>
                <c:pt idx="90">
                  <c:v>1.3101381160083199</c:v>
                </c:pt>
                <c:pt idx="91">
                  <c:v>1.2969705645686309</c:v>
                </c:pt>
                <c:pt idx="92">
                  <c:v>1.2836679507166628</c:v>
                </c:pt>
                <c:pt idx="93">
                  <c:v>1.270226031081382</c:v>
                </c:pt>
                <c:pt idx="94">
                  <c:v>1.2566403353292475</c:v>
                </c:pt>
                <c:pt idx="95">
                  <c:v>1.2429061487964597</c:v>
                </c:pt>
                <c:pt idx="96">
                  <c:v>1.2290184933741599</c:v>
                </c:pt>
                <c:pt idx="97">
                  <c:v>1.214972106426865</c:v>
                </c:pt>
                <c:pt idx="98">
                  <c:v>1.2007614174909924</c:v>
                </c:pt>
                <c:pt idx="99">
                  <c:v>1.1863805224609096</c:v>
                </c:pt>
                <c:pt idx="100">
                  <c:v>1.1718231549232434</c:v>
                </c:pt>
                <c:pt idx="101">
                  <c:v>1.1570826542446773</c:v>
                </c:pt>
                <c:pt idx="102">
                  <c:v>1.1421519299522067</c:v>
                </c:pt>
                <c:pt idx="103">
                  <c:v>1.1270234218653994</c:v>
                </c:pt>
                <c:pt idx="104">
                  <c:v>1.1116890553445407</c:v>
                </c:pt>
                <c:pt idx="105">
                  <c:v>1.0961401909028248</c:v>
                </c:pt>
                <c:pt idx="106">
                  <c:v>1.0803675672900055</c:v>
                </c:pt>
                <c:pt idx="107">
                  <c:v>1.0643612369828994</c:v>
                </c:pt>
                <c:pt idx="108">
                  <c:v>1.048110492806656</c:v>
                </c:pt>
                <c:pt idx="109">
                  <c:v>1.0316037841492511</c:v>
                </c:pt>
                <c:pt idx="110">
                  <c:v>1.0148286209063568</c:v>
                </c:pt>
                <c:pt idx="111">
                  <c:v>0.99777146288633711</c:v>
                </c:pt>
                <c:pt idx="112">
                  <c:v>0.98041759189132494</c:v>
                </c:pt>
                <c:pt idx="113">
                  <c:v>0.96275096303749708</c:v>
                </c:pt>
                <c:pt idx="114">
                  <c:v>0.94475403104155709</c:v>
                </c:pt>
                <c:pt idx="115">
                  <c:v>0.92640754612045073</c:v>
                </c:pt>
                <c:pt idx="116">
                  <c:v>0.90769031274359113</c:v>
                </c:pt>
                <c:pt idx="117">
                  <c:v>0.88857890262384787</c:v>
                </c:pt>
                <c:pt idx="118">
                  <c:v>0.86904731086854259</c:v>
                </c:pt>
                <c:pt idx="119">
                  <c:v>0.84906654089505174</c:v>
                </c:pt>
                <c:pt idx="120">
                  <c:v>0.82860409919763967</c:v>
                </c:pt>
                <c:pt idx="121">
                  <c:v>0.80762337481450808</c:v>
                </c:pt>
                <c:pt idx="122">
                  <c:v>0.78608286960499196</c:v>
                </c:pt>
                <c:pt idx="123">
                  <c:v>0.7639352330047765</c:v>
                </c:pt>
                <c:pt idx="124">
                  <c:v>0.74112603689636058</c:v>
                </c:pt>
                <c:pt idx="125">
                  <c:v>0.71759219958507703</c:v>
                </c:pt>
                <c:pt idx="126">
                  <c:v>0.69325992762094102</c:v>
                </c:pt>
                <c:pt idx="127">
                  <c:v>0.66804198190281106</c:v>
                </c:pt>
                <c:pt idx="128">
                  <c:v>0.64183397535833142</c:v>
                </c:pt>
                <c:pt idx="129">
                  <c:v>0.61450924668707996</c:v>
                </c:pt>
              </c:numCache>
            </c:numRef>
          </c:xVal>
          <c:yVal>
            <c:numRef>
              <c:f>'7 - Es Contours'!$X$4:$X$133</c:f>
              <c:numCache>
                <c:formatCode>#,##0</c:formatCode>
                <c:ptCount val="13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  <c:pt idx="26">
                  <c:v>13000</c:v>
                </c:pt>
                <c:pt idx="27">
                  <c:v>13500</c:v>
                </c:pt>
                <c:pt idx="28">
                  <c:v>14000</c:v>
                </c:pt>
                <c:pt idx="29">
                  <c:v>14500</c:v>
                </c:pt>
                <c:pt idx="30">
                  <c:v>15000</c:v>
                </c:pt>
                <c:pt idx="31">
                  <c:v>15500</c:v>
                </c:pt>
                <c:pt idx="32">
                  <c:v>16000</c:v>
                </c:pt>
                <c:pt idx="33">
                  <c:v>16500</c:v>
                </c:pt>
                <c:pt idx="34">
                  <c:v>17000</c:v>
                </c:pt>
                <c:pt idx="35">
                  <c:v>17500</c:v>
                </c:pt>
                <c:pt idx="36">
                  <c:v>18000</c:v>
                </c:pt>
                <c:pt idx="37">
                  <c:v>18500</c:v>
                </c:pt>
                <c:pt idx="38">
                  <c:v>19000</c:v>
                </c:pt>
                <c:pt idx="39">
                  <c:v>19500</c:v>
                </c:pt>
                <c:pt idx="40">
                  <c:v>20000</c:v>
                </c:pt>
                <c:pt idx="41">
                  <c:v>20500</c:v>
                </c:pt>
                <c:pt idx="42">
                  <c:v>21000</c:v>
                </c:pt>
                <c:pt idx="43">
                  <c:v>21500</c:v>
                </c:pt>
                <c:pt idx="44">
                  <c:v>22000</c:v>
                </c:pt>
                <c:pt idx="45">
                  <c:v>22500</c:v>
                </c:pt>
                <c:pt idx="46">
                  <c:v>23000</c:v>
                </c:pt>
                <c:pt idx="47">
                  <c:v>23500</c:v>
                </c:pt>
                <c:pt idx="48">
                  <c:v>24000</c:v>
                </c:pt>
                <c:pt idx="49">
                  <c:v>24500</c:v>
                </c:pt>
                <c:pt idx="50">
                  <c:v>25000</c:v>
                </c:pt>
                <c:pt idx="51">
                  <c:v>25500</c:v>
                </c:pt>
                <c:pt idx="52">
                  <c:v>26000</c:v>
                </c:pt>
                <c:pt idx="53">
                  <c:v>26500</c:v>
                </c:pt>
                <c:pt idx="54">
                  <c:v>27000</c:v>
                </c:pt>
                <c:pt idx="55">
                  <c:v>27500</c:v>
                </c:pt>
                <c:pt idx="56">
                  <c:v>28000</c:v>
                </c:pt>
                <c:pt idx="57">
                  <c:v>28500</c:v>
                </c:pt>
                <c:pt idx="58">
                  <c:v>29000</c:v>
                </c:pt>
                <c:pt idx="59">
                  <c:v>29500</c:v>
                </c:pt>
                <c:pt idx="60">
                  <c:v>30000</c:v>
                </c:pt>
                <c:pt idx="61">
                  <c:v>30500</c:v>
                </c:pt>
                <c:pt idx="62">
                  <c:v>31000</c:v>
                </c:pt>
                <c:pt idx="63">
                  <c:v>31500</c:v>
                </c:pt>
                <c:pt idx="64">
                  <c:v>32000</c:v>
                </c:pt>
                <c:pt idx="65">
                  <c:v>32500</c:v>
                </c:pt>
                <c:pt idx="66">
                  <c:v>33000</c:v>
                </c:pt>
                <c:pt idx="67">
                  <c:v>33500</c:v>
                </c:pt>
                <c:pt idx="68">
                  <c:v>34000</c:v>
                </c:pt>
                <c:pt idx="69">
                  <c:v>34500</c:v>
                </c:pt>
                <c:pt idx="70">
                  <c:v>35000</c:v>
                </c:pt>
                <c:pt idx="71">
                  <c:v>35500</c:v>
                </c:pt>
                <c:pt idx="72">
                  <c:v>36000</c:v>
                </c:pt>
                <c:pt idx="73">
                  <c:v>36500</c:v>
                </c:pt>
                <c:pt idx="74">
                  <c:v>37000</c:v>
                </c:pt>
                <c:pt idx="75">
                  <c:v>37500</c:v>
                </c:pt>
                <c:pt idx="76">
                  <c:v>38000</c:v>
                </c:pt>
                <c:pt idx="77">
                  <c:v>38500</c:v>
                </c:pt>
                <c:pt idx="78">
                  <c:v>39000</c:v>
                </c:pt>
                <c:pt idx="79">
                  <c:v>39500</c:v>
                </c:pt>
                <c:pt idx="80">
                  <c:v>40000</c:v>
                </c:pt>
                <c:pt idx="81">
                  <c:v>40500</c:v>
                </c:pt>
                <c:pt idx="82">
                  <c:v>41000</c:v>
                </c:pt>
                <c:pt idx="83">
                  <c:v>41500</c:v>
                </c:pt>
                <c:pt idx="84">
                  <c:v>42000</c:v>
                </c:pt>
                <c:pt idx="85">
                  <c:v>42500</c:v>
                </c:pt>
                <c:pt idx="86">
                  <c:v>43000</c:v>
                </c:pt>
                <c:pt idx="87">
                  <c:v>43500</c:v>
                </c:pt>
                <c:pt idx="88">
                  <c:v>44000</c:v>
                </c:pt>
                <c:pt idx="89">
                  <c:v>44500</c:v>
                </c:pt>
                <c:pt idx="90">
                  <c:v>45000</c:v>
                </c:pt>
                <c:pt idx="91">
                  <c:v>45500</c:v>
                </c:pt>
                <c:pt idx="92">
                  <c:v>46000</c:v>
                </c:pt>
                <c:pt idx="93">
                  <c:v>46500</c:v>
                </c:pt>
                <c:pt idx="94">
                  <c:v>47000</c:v>
                </c:pt>
                <c:pt idx="95">
                  <c:v>47500</c:v>
                </c:pt>
                <c:pt idx="96">
                  <c:v>48000</c:v>
                </c:pt>
                <c:pt idx="97">
                  <c:v>48500</c:v>
                </c:pt>
                <c:pt idx="98">
                  <c:v>49000</c:v>
                </c:pt>
                <c:pt idx="99">
                  <c:v>49500</c:v>
                </c:pt>
                <c:pt idx="100">
                  <c:v>50000</c:v>
                </c:pt>
                <c:pt idx="101">
                  <c:v>50500</c:v>
                </c:pt>
                <c:pt idx="102">
                  <c:v>51000</c:v>
                </c:pt>
                <c:pt idx="103">
                  <c:v>51500</c:v>
                </c:pt>
                <c:pt idx="104">
                  <c:v>52000</c:v>
                </c:pt>
                <c:pt idx="105">
                  <c:v>52500</c:v>
                </c:pt>
                <c:pt idx="106">
                  <c:v>53000</c:v>
                </c:pt>
                <c:pt idx="107">
                  <c:v>53500</c:v>
                </c:pt>
                <c:pt idx="108">
                  <c:v>54000</c:v>
                </c:pt>
                <c:pt idx="109">
                  <c:v>54500</c:v>
                </c:pt>
                <c:pt idx="110">
                  <c:v>55000</c:v>
                </c:pt>
                <c:pt idx="111">
                  <c:v>55500</c:v>
                </c:pt>
                <c:pt idx="112">
                  <c:v>56000</c:v>
                </c:pt>
                <c:pt idx="113">
                  <c:v>56500</c:v>
                </c:pt>
                <c:pt idx="114">
                  <c:v>57000</c:v>
                </c:pt>
                <c:pt idx="115">
                  <c:v>57500</c:v>
                </c:pt>
                <c:pt idx="116">
                  <c:v>58000</c:v>
                </c:pt>
                <c:pt idx="117">
                  <c:v>58500</c:v>
                </c:pt>
                <c:pt idx="118">
                  <c:v>59000</c:v>
                </c:pt>
                <c:pt idx="119">
                  <c:v>59500</c:v>
                </c:pt>
                <c:pt idx="120">
                  <c:v>60000</c:v>
                </c:pt>
                <c:pt idx="121">
                  <c:v>60500</c:v>
                </c:pt>
                <c:pt idx="122">
                  <c:v>61000</c:v>
                </c:pt>
                <c:pt idx="123">
                  <c:v>61500</c:v>
                </c:pt>
                <c:pt idx="124">
                  <c:v>62000</c:v>
                </c:pt>
                <c:pt idx="125">
                  <c:v>62500</c:v>
                </c:pt>
                <c:pt idx="126">
                  <c:v>63000</c:v>
                </c:pt>
                <c:pt idx="127">
                  <c:v>63500</c:v>
                </c:pt>
                <c:pt idx="128">
                  <c:v>64000</c:v>
                </c:pt>
                <c:pt idx="129">
                  <c:v>64500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465-402A-9380-2A6061E7CF57}"/>
            </c:ext>
          </c:extLst>
        </c:ser>
        <c:ser>
          <c:idx val="15"/>
          <c:order val="6"/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'7 - Es Contours'!$P$4:$P$133</c:f>
              <c:numCache>
                <c:formatCode>#,##0.0000</c:formatCode>
                <c:ptCount val="130"/>
                <c:pt idx="0">
                  <c:v>1.8318289861601831</c:v>
                </c:pt>
                <c:pt idx="1">
                  <c:v>1.8279144480660257</c:v>
                </c:pt>
                <c:pt idx="2">
                  <c:v>1.8239643214301511</c:v>
                </c:pt>
                <c:pt idx="3">
                  <c:v>1.8199780905999228</c:v>
                </c:pt>
                <c:pt idx="4">
                  <c:v>1.8159552292946215</c:v>
                </c:pt>
                <c:pt idx="5">
                  <c:v>1.8118952003133448</c:v>
                </c:pt>
                <c:pt idx="6">
                  <c:v>1.8077974552326797</c:v>
                </c:pt>
                <c:pt idx="7">
                  <c:v>1.8036614340936894</c:v>
                </c:pt>
                <c:pt idx="8">
                  <c:v>1.7994865650777692</c:v>
                </c:pt>
                <c:pt idx="9">
                  <c:v>1.7952722641708685</c:v>
                </c:pt>
                <c:pt idx="10">
                  <c:v>1.7910179348155721</c:v>
                </c:pt>
                <c:pt idx="11">
                  <c:v>1.7867229675504976</c:v>
                </c:pt>
                <c:pt idx="12">
                  <c:v>1.7823867396364395</c:v>
                </c:pt>
                <c:pt idx="13">
                  <c:v>1.7780086146686553</c:v>
                </c:pt>
                <c:pt idx="14">
                  <c:v>1.7735879421746696</c:v>
                </c:pt>
                <c:pt idx="15">
                  <c:v>1.769124057196916</c:v>
                </c:pt>
                <c:pt idx="16">
                  <c:v>1.7646162798595184</c:v>
                </c:pt>
                <c:pt idx="17">
                  <c:v>1.76006391491847</c:v>
                </c:pt>
                <c:pt idx="18">
                  <c:v>1.7554662512944155</c:v>
                </c:pt>
                <c:pt idx="19">
                  <c:v>1.7508225615872124</c:v>
                </c:pt>
                <c:pt idx="20">
                  <c:v>1.7461321015713891</c:v>
                </c:pt>
                <c:pt idx="21">
                  <c:v>1.7413941096715744</c:v>
                </c:pt>
                <c:pt idx="22">
                  <c:v>1.7366078064169059</c:v>
                </c:pt>
                <c:pt idx="23">
                  <c:v>1.7317723938733898</c:v>
                </c:pt>
                <c:pt idx="24">
                  <c:v>1.7268870550530926</c:v>
                </c:pt>
                <c:pt idx="25">
                  <c:v>1.7219509532990085</c:v>
                </c:pt>
                <c:pt idx="26">
                  <c:v>1.7169632316443506</c:v>
                </c:pt>
                <c:pt idx="27">
                  <c:v>1.7119230121449605</c:v>
                </c:pt>
                <c:pt idx="28">
                  <c:v>1.7068293951834219</c:v>
                </c:pt>
                <c:pt idx="29">
                  <c:v>1.7016814587434137</c:v>
                </c:pt>
                <c:pt idx="30">
                  <c:v>1.6964782576527031</c:v>
                </c:pt>
                <c:pt idx="31">
                  <c:v>1.6912188227931095</c:v>
                </c:pt>
                <c:pt idx="32">
                  <c:v>1.6859021602756519</c:v>
                </c:pt>
                <c:pt idx="33">
                  <c:v>1.6805272505789659</c:v>
                </c:pt>
                <c:pt idx="34">
                  <c:v>1.675093047648972</c:v>
                </c:pt>
                <c:pt idx="35">
                  <c:v>1.6695984779576201</c:v>
                </c:pt>
                <c:pt idx="36">
                  <c:v>1.6640424395184084</c:v>
                </c:pt>
                <c:pt idx="37">
                  <c:v>1.6584238008562009</c:v>
                </c:pt>
                <c:pt idx="38">
                  <c:v>1.6527413999287179</c:v>
                </c:pt>
                <c:pt idx="39">
                  <c:v>1.6469940429968655</c:v>
                </c:pt>
                <c:pt idx="40">
                  <c:v>1.6411805034409019</c:v>
                </c:pt>
                <c:pt idx="41">
                  <c:v>1.6352995205191994</c:v>
                </c:pt>
                <c:pt idx="42">
                  <c:v>1.6293497980661347</c:v>
                </c:pt>
                <c:pt idx="43">
                  <c:v>1.623330003125409</c:v>
                </c:pt>
                <c:pt idx="44">
                  <c:v>1.6172387645147857</c:v>
                </c:pt>
                <c:pt idx="45">
                  <c:v>1.6110746713179811</c:v>
                </c:pt>
                <c:pt idx="46">
                  <c:v>1.6048362712990885</c:v>
                </c:pt>
                <c:pt idx="47">
                  <c:v>1.5985220692345781</c:v>
                </c:pt>
                <c:pt idx="48">
                  <c:v>1.5921305251575395</c:v>
                </c:pt>
                <c:pt idx="49">
                  <c:v>1.5856600525083937</c:v>
                </c:pt>
                <c:pt idx="50">
                  <c:v>1.5791090161858772</c:v>
                </c:pt>
                <c:pt idx="51">
                  <c:v>1.5724757304915711</c:v>
                </c:pt>
                <c:pt idx="52">
                  <c:v>1.5657584569607332</c:v>
                </c:pt>
                <c:pt idx="53">
                  <c:v>1.5589554020715679</c:v>
                </c:pt>
                <c:pt idx="54">
                  <c:v>1.5520647148244391</c:v>
                </c:pt>
                <c:pt idx="55">
                  <c:v>1.545084484181793</c:v>
                </c:pt>
                <c:pt idx="56">
                  <c:v>1.538012736358781</c:v>
                </c:pt>
                <c:pt idx="57">
                  <c:v>1.5308474319537009</c:v>
                </c:pt>
                <c:pt idx="58">
                  <c:v>1.5235864629064173</c:v>
                </c:pt>
                <c:pt idx="59">
                  <c:v>1.5162276492718634</c:v>
                </c:pt>
                <c:pt idx="60">
                  <c:v>1.5087687357945667</c:v>
                </c:pt>
                <c:pt idx="61">
                  <c:v>1.501207388268841</c:v>
                </c:pt>
                <c:pt idx="62">
                  <c:v>1.4935411896678668</c:v>
                </c:pt>
                <c:pt idx="63">
                  <c:v>1.4857676360232825</c:v>
                </c:pt>
                <c:pt idx="64">
                  <c:v>1.4778841320351614</c:v>
                </c:pt>
                <c:pt idx="65">
                  <c:v>1.4698879863902703</c:v>
                </c:pt>
                <c:pt idx="66">
                  <c:v>1.4617764067643282</c:v>
                </c:pt>
                <c:pt idx="67">
                  <c:v>1.4535464944815375</c:v>
                </c:pt>
                <c:pt idx="68">
                  <c:v>1.4451952388019269</c:v>
                </c:pt>
                <c:pt idx="69">
                  <c:v>1.4367195108039816</c:v>
                </c:pt>
                <c:pt idx="70">
                  <c:v>1.4281160568266076</c:v>
                </c:pt>
                <c:pt idx="71">
                  <c:v>1.4193814914306067</c:v>
                </c:pt>
                <c:pt idx="72">
                  <c:v>1.4105122898354858</c:v>
                </c:pt>
                <c:pt idx="73">
                  <c:v>1.3988447185589707</c:v>
                </c:pt>
                <c:pt idx="74">
                  <c:v>1.386519855241882</c:v>
                </c:pt>
                <c:pt idx="75">
                  <c:v>1.3740844483944983</c:v>
                </c:pt>
                <c:pt idx="76">
                  <c:v>1.3615354691153867</c:v>
                </c:pt>
                <c:pt idx="77">
                  <c:v>1.3488697476031182</c:v>
                </c:pt>
                <c:pt idx="78">
                  <c:v>1.3360839638056221</c:v>
                </c:pt>
                <c:pt idx="79">
                  <c:v>1.3231746372562414</c:v>
                </c:pt>
                <c:pt idx="80">
                  <c:v>1.3101381160083199</c:v>
                </c:pt>
                <c:pt idx="81">
                  <c:v>1.2969705645686309</c:v>
                </c:pt>
                <c:pt idx="82">
                  <c:v>1.2836679507166628</c:v>
                </c:pt>
                <c:pt idx="83">
                  <c:v>1.270226031081382</c:v>
                </c:pt>
                <c:pt idx="84">
                  <c:v>1.2566403353292475</c:v>
                </c:pt>
                <c:pt idx="85">
                  <c:v>1.2429061487964597</c:v>
                </c:pt>
                <c:pt idx="86">
                  <c:v>1.2290184933741599</c:v>
                </c:pt>
                <c:pt idx="87">
                  <c:v>1.214972106426865</c:v>
                </c:pt>
                <c:pt idx="88">
                  <c:v>1.2007614174909924</c:v>
                </c:pt>
                <c:pt idx="89">
                  <c:v>1.1863805224609096</c:v>
                </c:pt>
                <c:pt idx="90">
                  <c:v>1.1718231549232434</c:v>
                </c:pt>
                <c:pt idx="91">
                  <c:v>1.1570826542446773</c:v>
                </c:pt>
                <c:pt idx="92">
                  <c:v>1.1421519299522067</c:v>
                </c:pt>
                <c:pt idx="93">
                  <c:v>1.1270234218653994</c:v>
                </c:pt>
                <c:pt idx="94">
                  <c:v>1.1116890553445407</c:v>
                </c:pt>
                <c:pt idx="95">
                  <c:v>1.0961401909028248</c:v>
                </c:pt>
                <c:pt idx="96">
                  <c:v>1.0803675672900055</c:v>
                </c:pt>
                <c:pt idx="97">
                  <c:v>1.0643612369828994</c:v>
                </c:pt>
                <c:pt idx="98">
                  <c:v>1.048110492806656</c:v>
                </c:pt>
                <c:pt idx="99">
                  <c:v>1.0316037841492511</c:v>
                </c:pt>
                <c:pt idx="100">
                  <c:v>1.0148286209063568</c:v>
                </c:pt>
                <c:pt idx="101">
                  <c:v>0.99777146288633711</c:v>
                </c:pt>
                <c:pt idx="102">
                  <c:v>0.98041759189132494</c:v>
                </c:pt>
                <c:pt idx="103">
                  <c:v>0.96275096303749708</c:v>
                </c:pt>
                <c:pt idx="104">
                  <c:v>0.94475403104155709</c:v>
                </c:pt>
                <c:pt idx="105">
                  <c:v>0.92640754612045073</c:v>
                </c:pt>
                <c:pt idx="106">
                  <c:v>0.90769031274359113</c:v>
                </c:pt>
                <c:pt idx="107">
                  <c:v>0.88857890262384787</c:v>
                </c:pt>
                <c:pt idx="108">
                  <c:v>0.86904731086854259</c:v>
                </c:pt>
                <c:pt idx="109">
                  <c:v>0.84906654089505174</c:v>
                </c:pt>
                <c:pt idx="110">
                  <c:v>0.82860409919763967</c:v>
                </c:pt>
                <c:pt idx="111">
                  <c:v>0.80762337481450808</c:v>
                </c:pt>
                <c:pt idx="112">
                  <c:v>0.78608286960499196</c:v>
                </c:pt>
                <c:pt idx="113">
                  <c:v>0.7639352330047765</c:v>
                </c:pt>
                <c:pt idx="114">
                  <c:v>0.74112603689636058</c:v>
                </c:pt>
                <c:pt idx="115">
                  <c:v>0.71759219958507703</c:v>
                </c:pt>
                <c:pt idx="116">
                  <c:v>0.69325992762094102</c:v>
                </c:pt>
                <c:pt idx="117">
                  <c:v>0.66804198190281106</c:v>
                </c:pt>
                <c:pt idx="118">
                  <c:v>0.64183397535833142</c:v>
                </c:pt>
                <c:pt idx="119">
                  <c:v>0.61450924668707996</c:v>
                </c:pt>
                <c:pt idx="120">
                  <c:v>0.5859115774616217</c:v>
                </c:pt>
                <c:pt idx="121">
                  <c:v>0.55584452767227033</c:v>
                </c:pt>
                <c:pt idx="122">
                  <c:v>0.52405524640332801</c:v>
                </c:pt>
                <c:pt idx="123">
                  <c:v>0.49020879594566247</c:v>
                </c:pt>
                <c:pt idx="124">
                  <c:v>0.45384515637179557</c:v>
                </c:pt>
                <c:pt idx="125">
                  <c:v>0.41430204959881983</c:v>
                </c:pt>
                <c:pt idx="126">
                  <c:v>0.37056301844818029</c:v>
                </c:pt>
                <c:pt idx="127">
                  <c:v>0.32091698767916571</c:v>
                </c:pt>
                <c:pt idx="128">
                  <c:v>0.26202762320166401</c:v>
                </c:pt>
                <c:pt idx="129">
                  <c:v>0.18528150922409015</c:v>
                </c:pt>
              </c:numCache>
            </c:numRef>
          </c:xVal>
          <c:yVal>
            <c:numRef>
              <c:f>'7 - Es Contours'!$X$4:$X$133</c:f>
              <c:numCache>
                <c:formatCode>#,##0</c:formatCode>
                <c:ptCount val="13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  <c:pt idx="26">
                  <c:v>13000</c:v>
                </c:pt>
                <c:pt idx="27">
                  <c:v>13500</c:v>
                </c:pt>
                <c:pt idx="28">
                  <c:v>14000</c:v>
                </c:pt>
                <c:pt idx="29">
                  <c:v>14500</c:v>
                </c:pt>
                <c:pt idx="30">
                  <c:v>15000</c:v>
                </c:pt>
                <c:pt idx="31">
                  <c:v>15500</c:v>
                </c:pt>
                <c:pt idx="32">
                  <c:v>16000</c:v>
                </c:pt>
                <c:pt idx="33">
                  <c:v>16500</c:v>
                </c:pt>
                <c:pt idx="34">
                  <c:v>17000</c:v>
                </c:pt>
                <c:pt idx="35">
                  <c:v>17500</c:v>
                </c:pt>
                <c:pt idx="36">
                  <c:v>18000</c:v>
                </c:pt>
                <c:pt idx="37">
                  <c:v>18500</c:v>
                </c:pt>
                <c:pt idx="38">
                  <c:v>19000</c:v>
                </c:pt>
                <c:pt idx="39">
                  <c:v>19500</c:v>
                </c:pt>
                <c:pt idx="40">
                  <c:v>20000</c:v>
                </c:pt>
                <c:pt idx="41">
                  <c:v>20500</c:v>
                </c:pt>
                <c:pt idx="42">
                  <c:v>21000</c:v>
                </c:pt>
                <c:pt idx="43">
                  <c:v>21500</c:v>
                </c:pt>
                <c:pt idx="44">
                  <c:v>22000</c:v>
                </c:pt>
                <c:pt idx="45">
                  <c:v>22500</c:v>
                </c:pt>
                <c:pt idx="46">
                  <c:v>23000</c:v>
                </c:pt>
                <c:pt idx="47">
                  <c:v>23500</c:v>
                </c:pt>
                <c:pt idx="48">
                  <c:v>24000</c:v>
                </c:pt>
                <c:pt idx="49">
                  <c:v>24500</c:v>
                </c:pt>
                <c:pt idx="50">
                  <c:v>25000</c:v>
                </c:pt>
                <c:pt idx="51">
                  <c:v>25500</c:v>
                </c:pt>
                <c:pt idx="52">
                  <c:v>26000</c:v>
                </c:pt>
                <c:pt idx="53">
                  <c:v>26500</c:v>
                </c:pt>
                <c:pt idx="54">
                  <c:v>27000</c:v>
                </c:pt>
                <c:pt idx="55">
                  <c:v>27500</c:v>
                </c:pt>
                <c:pt idx="56">
                  <c:v>28000</c:v>
                </c:pt>
                <c:pt idx="57">
                  <c:v>28500</c:v>
                </c:pt>
                <c:pt idx="58">
                  <c:v>29000</c:v>
                </c:pt>
                <c:pt idx="59">
                  <c:v>29500</c:v>
                </c:pt>
                <c:pt idx="60">
                  <c:v>30000</c:v>
                </c:pt>
                <c:pt idx="61">
                  <c:v>30500</c:v>
                </c:pt>
                <c:pt idx="62">
                  <c:v>31000</c:v>
                </c:pt>
                <c:pt idx="63">
                  <c:v>31500</c:v>
                </c:pt>
                <c:pt idx="64">
                  <c:v>32000</c:v>
                </c:pt>
                <c:pt idx="65">
                  <c:v>32500</c:v>
                </c:pt>
                <c:pt idx="66">
                  <c:v>33000</c:v>
                </c:pt>
                <c:pt idx="67">
                  <c:v>33500</c:v>
                </c:pt>
                <c:pt idx="68">
                  <c:v>34000</c:v>
                </c:pt>
                <c:pt idx="69">
                  <c:v>34500</c:v>
                </c:pt>
                <c:pt idx="70">
                  <c:v>35000</c:v>
                </c:pt>
                <c:pt idx="71">
                  <c:v>35500</c:v>
                </c:pt>
                <c:pt idx="72">
                  <c:v>36000</c:v>
                </c:pt>
                <c:pt idx="73">
                  <c:v>36500</c:v>
                </c:pt>
                <c:pt idx="74">
                  <c:v>37000</c:v>
                </c:pt>
                <c:pt idx="75">
                  <c:v>37500</c:v>
                </c:pt>
                <c:pt idx="76">
                  <c:v>38000</c:v>
                </c:pt>
                <c:pt idx="77">
                  <c:v>38500</c:v>
                </c:pt>
                <c:pt idx="78">
                  <c:v>39000</c:v>
                </c:pt>
                <c:pt idx="79">
                  <c:v>39500</c:v>
                </c:pt>
                <c:pt idx="80">
                  <c:v>40000</c:v>
                </c:pt>
                <c:pt idx="81">
                  <c:v>40500</c:v>
                </c:pt>
                <c:pt idx="82">
                  <c:v>41000</c:v>
                </c:pt>
                <c:pt idx="83">
                  <c:v>41500</c:v>
                </c:pt>
                <c:pt idx="84">
                  <c:v>42000</c:v>
                </c:pt>
                <c:pt idx="85">
                  <c:v>42500</c:v>
                </c:pt>
                <c:pt idx="86">
                  <c:v>43000</c:v>
                </c:pt>
                <c:pt idx="87">
                  <c:v>43500</c:v>
                </c:pt>
                <c:pt idx="88">
                  <c:v>44000</c:v>
                </c:pt>
                <c:pt idx="89">
                  <c:v>44500</c:v>
                </c:pt>
                <c:pt idx="90">
                  <c:v>45000</c:v>
                </c:pt>
                <c:pt idx="91">
                  <c:v>45500</c:v>
                </c:pt>
                <c:pt idx="92">
                  <c:v>46000</c:v>
                </c:pt>
                <c:pt idx="93">
                  <c:v>46500</c:v>
                </c:pt>
                <c:pt idx="94">
                  <c:v>47000</c:v>
                </c:pt>
                <c:pt idx="95">
                  <c:v>47500</c:v>
                </c:pt>
                <c:pt idx="96">
                  <c:v>48000</c:v>
                </c:pt>
                <c:pt idx="97">
                  <c:v>48500</c:v>
                </c:pt>
                <c:pt idx="98">
                  <c:v>49000</c:v>
                </c:pt>
                <c:pt idx="99">
                  <c:v>49500</c:v>
                </c:pt>
                <c:pt idx="100">
                  <c:v>50000</c:v>
                </c:pt>
                <c:pt idx="101">
                  <c:v>50500</c:v>
                </c:pt>
                <c:pt idx="102">
                  <c:v>51000</c:v>
                </c:pt>
                <c:pt idx="103">
                  <c:v>51500</c:v>
                </c:pt>
                <c:pt idx="104">
                  <c:v>52000</c:v>
                </c:pt>
                <c:pt idx="105">
                  <c:v>52500</c:v>
                </c:pt>
                <c:pt idx="106">
                  <c:v>53000</c:v>
                </c:pt>
                <c:pt idx="107">
                  <c:v>53500</c:v>
                </c:pt>
                <c:pt idx="108">
                  <c:v>54000</c:v>
                </c:pt>
                <c:pt idx="109">
                  <c:v>54500</c:v>
                </c:pt>
                <c:pt idx="110">
                  <c:v>55000</c:v>
                </c:pt>
                <c:pt idx="111">
                  <c:v>55500</c:v>
                </c:pt>
                <c:pt idx="112">
                  <c:v>56000</c:v>
                </c:pt>
                <c:pt idx="113">
                  <c:v>56500</c:v>
                </c:pt>
                <c:pt idx="114">
                  <c:v>57000</c:v>
                </c:pt>
                <c:pt idx="115">
                  <c:v>57500</c:v>
                </c:pt>
                <c:pt idx="116">
                  <c:v>58000</c:v>
                </c:pt>
                <c:pt idx="117">
                  <c:v>58500</c:v>
                </c:pt>
                <c:pt idx="118">
                  <c:v>59000</c:v>
                </c:pt>
                <c:pt idx="119">
                  <c:v>59500</c:v>
                </c:pt>
                <c:pt idx="120">
                  <c:v>60000</c:v>
                </c:pt>
                <c:pt idx="121">
                  <c:v>60500</c:v>
                </c:pt>
                <c:pt idx="122">
                  <c:v>61000</c:v>
                </c:pt>
                <c:pt idx="123">
                  <c:v>61500</c:v>
                </c:pt>
                <c:pt idx="124">
                  <c:v>62000</c:v>
                </c:pt>
                <c:pt idx="125">
                  <c:v>62500</c:v>
                </c:pt>
                <c:pt idx="126">
                  <c:v>63000</c:v>
                </c:pt>
                <c:pt idx="127">
                  <c:v>63500</c:v>
                </c:pt>
                <c:pt idx="128">
                  <c:v>64000</c:v>
                </c:pt>
                <c:pt idx="129">
                  <c:v>64500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465-402A-9380-2A6061E7CF57}"/>
            </c:ext>
          </c:extLst>
        </c:ser>
        <c:ser>
          <c:idx val="14"/>
          <c:order val="7"/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'7 - Es Contours'!$O$4:$O$133</c:f>
              <c:numCache>
                <c:formatCode>#,##0.0000</c:formatCode>
                <c:ptCount val="130"/>
                <c:pt idx="0">
                  <c:v>1.7599643618428478</c:v>
                </c:pt>
                <c:pt idx="1">
                  <c:v>1.75563605449645</c:v>
                </c:pt>
                <c:pt idx="2">
                  <c:v>1.7512669739771571</c:v>
                </c:pt>
                <c:pt idx="3">
                  <c:v>1.7468565001547032</c:v>
                </c:pt>
                <c:pt idx="4">
                  <c:v>1.7424039993073606</c:v>
                </c:pt>
                <c:pt idx="5">
                  <c:v>1.737908823720351</c:v>
                </c:pt>
                <c:pt idx="6">
                  <c:v>1.7333703112690135</c:v>
                </c:pt>
                <c:pt idx="7">
                  <c:v>1.7287877849860087</c:v>
                </c:pt>
                <c:pt idx="8">
                  <c:v>1.7241605526118069</c:v>
                </c:pt>
                <c:pt idx="9">
                  <c:v>1.7194879061276584</c:v>
                </c:pt>
                <c:pt idx="10">
                  <c:v>1.7147691212702028</c:v>
                </c:pt>
                <c:pt idx="11">
                  <c:v>1.710003457026821</c:v>
                </c:pt>
                <c:pt idx="12">
                  <c:v>1.705190155110786</c:v>
                </c:pt>
                <c:pt idx="13">
                  <c:v>1.7003284394152092</c:v>
                </c:pt>
                <c:pt idx="14">
                  <c:v>1.6954175154447189</c:v>
                </c:pt>
                <c:pt idx="15">
                  <c:v>1.6904565697237512</c:v>
                </c:pt>
                <c:pt idx="16">
                  <c:v>1.6854447691802501</c:v>
                </c:pt>
                <c:pt idx="17">
                  <c:v>1.6803812605035187</c:v>
                </c:pt>
                <c:pt idx="18">
                  <c:v>1.6752651694748693</c:v>
                </c:pt>
                <c:pt idx="19">
                  <c:v>1.670095600269647</c:v>
                </c:pt>
                <c:pt idx="20">
                  <c:v>1.6648716347291044</c:v>
                </c:pt>
                <c:pt idx="21">
                  <c:v>1.6595923316005099</c:v>
                </c:pt>
                <c:pt idx="22">
                  <c:v>1.654256725743769</c:v>
                </c:pt>
                <c:pt idx="23">
                  <c:v>1.6488638273027261</c:v>
                </c:pt>
                <c:pt idx="24">
                  <c:v>1.6434126208391895</c:v>
                </c:pt>
                <c:pt idx="25">
                  <c:v>1.6379020644275977</c:v>
                </c:pt>
                <c:pt idx="26">
                  <c:v>1.6323310887081017</c:v>
                </c:pt>
                <c:pt idx="27">
                  <c:v>1.6266985958956877</c:v>
                </c:pt>
                <c:pt idx="28">
                  <c:v>1.6210034587427959</c:v>
                </c:pt>
                <c:pt idx="29">
                  <c:v>1.6152445194527334</c:v>
                </c:pt>
                <c:pt idx="30">
                  <c:v>1.6094205885409556</c:v>
                </c:pt>
                <c:pt idx="31">
                  <c:v>1.6035304436411184</c:v>
                </c:pt>
                <c:pt idx="32">
                  <c:v>1.5975728282525572</c:v>
                </c:pt>
                <c:pt idx="33">
                  <c:v>1.591546450425612</c:v>
                </c:pt>
                <c:pt idx="34">
                  <c:v>1.5854499813809604</c:v>
                </c:pt>
                <c:pt idx="35">
                  <c:v>1.5792820540588226</c:v>
                </c:pt>
                <c:pt idx="36">
                  <c:v>1.5730412615936031</c:v>
                </c:pt>
                <c:pt idx="37">
                  <c:v>1.5667261557091852</c:v>
                </c:pt>
                <c:pt idx="38">
                  <c:v>1.5603352450297332</c:v>
                </c:pt>
                <c:pt idx="39">
                  <c:v>1.553866993300447</c:v>
                </c:pt>
                <c:pt idx="40">
                  <c:v>1.5473198175122851</c:v>
                </c:pt>
                <c:pt idx="41">
                  <c:v>1.5406920859241757</c:v>
                </c:pt>
                <c:pt idx="42">
                  <c:v>1.5339821159757252</c:v>
                </c:pt>
                <c:pt idx="43">
                  <c:v>1.5271881720828537</c:v>
                </c:pt>
                <c:pt idx="44">
                  <c:v>1.5203084633081432</c:v>
                </c:pt>
                <c:pt idx="45">
                  <c:v>1.5133411408970145</c:v>
                </c:pt>
                <c:pt idx="46">
                  <c:v>1.5062842956700642</c:v>
                </c:pt>
                <c:pt idx="47">
                  <c:v>1.4991359552610641</c:v>
                </c:pt>
                <c:pt idx="48">
                  <c:v>1.4918940811892094</c:v>
                </c:pt>
                <c:pt idx="49">
                  <c:v>1.4845565657531572</c:v>
                </c:pt>
                <c:pt idx="50">
                  <c:v>1.4771212287333049</c:v>
                </c:pt>
                <c:pt idx="51">
                  <c:v>1.4695858138874722</c:v>
                </c:pt>
                <c:pt idx="52">
                  <c:v>1.4619479852238062</c:v>
                </c:pt>
                <c:pt idx="53">
                  <c:v>1.4542053230331602</c:v>
                </c:pt>
                <c:pt idx="54">
                  <c:v>1.4463553196615242</c:v>
                </c:pt>
                <c:pt idx="55">
                  <c:v>1.4383953750011649</c:v>
                </c:pt>
                <c:pt idx="56">
                  <c:v>1.4303227916770282</c:v>
                </c:pt>
                <c:pt idx="57">
                  <c:v>1.4221347699025995</c:v>
                </c:pt>
                <c:pt idx="58">
                  <c:v>1.4138284019767657</c:v>
                </c:pt>
                <c:pt idx="59">
                  <c:v>1.4054006663902703</c:v>
                </c:pt>
                <c:pt idx="60">
                  <c:v>1.396848421507032</c:v>
                </c:pt>
                <c:pt idx="61">
                  <c:v>1.3881683987818569</c:v>
                </c:pt>
                <c:pt idx="62">
                  <c:v>1.3793571954718691</c:v>
                </c:pt>
                <c:pt idx="63">
                  <c:v>1.3704112667942314</c:v>
                </c:pt>
                <c:pt idx="64">
                  <c:v>1.3613269174773543</c:v>
                </c:pt>
                <c:pt idx="65">
                  <c:v>1.3521002926467025</c:v>
                </c:pt>
                <c:pt idx="66">
                  <c:v>1.3427273679793774</c:v>
                </c:pt>
                <c:pt idx="67">
                  <c:v>1.3332039390537835</c:v>
                </c:pt>
                <c:pt idx="68">
                  <c:v>1.3235256098116919</c:v>
                </c:pt>
                <c:pt idx="69">
                  <c:v>1.3136877800397169</c:v>
                </c:pt>
                <c:pt idx="70">
                  <c:v>1.3036856317654379</c:v>
                </c:pt>
                <c:pt idx="71">
                  <c:v>1.2935141144498179</c:v>
                </c:pt>
                <c:pt idx="72">
                  <c:v>1.2831679288419371</c:v>
                </c:pt>
                <c:pt idx="73">
                  <c:v>1.270226031081382</c:v>
                </c:pt>
                <c:pt idx="74">
                  <c:v>1.2566403353292475</c:v>
                </c:pt>
                <c:pt idx="75">
                  <c:v>1.2429061487964597</c:v>
                </c:pt>
                <c:pt idx="76">
                  <c:v>1.2290184933741599</c:v>
                </c:pt>
                <c:pt idx="77">
                  <c:v>1.214972106426865</c:v>
                </c:pt>
                <c:pt idx="78">
                  <c:v>1.2007614174909924</c:v>
                </c:pt>
                <c:pt idx="79">
                  <c:v>1.1863805224609096</c:v>
                </c:pt>
                <c:pt idx="80">
                  <c:v>1.1718231549232434</c:v>
                </c:pt>
                <c:pt idx="81">
                  <c:v>1.1570826542446773</c:v>
                </c:pt>
                <c:pt idx="82">
                  <c:v>1.1421519299522067</c:v>
                </c:pt>
                <c:pt idx="83">
                  <c:v>1.1270234218653994</c:v>
                </c:pt>
                <c:pt idx="84">
                  <c:v>1.1116890553445407</c:v>
                </c:pt>
                <c:pt idx="85">
                  <c:v>1.0961401909028248</c:v>
                </c:pt>
                <c:pt idx="86">
                  <c:v>1.0803675672900055</c:v>
                </c:pt>
                <c:pt idx="87">
                  <c:v>1.0643612369828994</c:v>
                </c:pt>
                <c:pt idx="88">
                  <c:v>1.048110492806656</c:v>
                </c:pt>
                <c:pt idx="89">
                  <c:v>1.0316037841492511</c:v>
                </c:pt>
                <c:pt idx="90">
                  <c:v>1.0148286209063568</c:v>
                </c:pt>
                <c:pt idx="91">
                  <c:v>0.99777146288633711</c:v>
                </c:pt>
                <c:pt idx="92">
                  <c:v>0.98041759189132494</c:v>
                </c:pt>
                <c:pt idx="93">
                  <c:v>0.96275096303749708</c:v>
                </c:pt>
                <c:pt idx="94">
                  <c:v>0.94475403104155709</c:v>
                </c:pt>
                <c:pt idx="95">
                  <c:v>0.92640754612045073</c:v>
                </c:pt>
                <c:pt idx="96">
                  <c:v>0.90769031274359113</c:v>
                </c:pt>
                <c:pt idx="97">
                  <c:v>0.88857890262384787</c:v>
                </c:pt>
                <c:pt idx="98">
                  <c:v>0.86904731086854259</c:v>
                </c:pt>
                <c:pt idx="99">
                  <c:v>0.84906654089505174</c:v>
                </c:pt>
                <c:pt idx="100">
                  <c:v>0.82860409919763967</c:v>
                </c:pt>
                <c:pt idx="101">
                  <c:v>0.80762337481450808</c:v>
                </c:pt>
                <c:pt idx="102">
                  <c:v>0.78608286960499196</c:v>
                </c:pt>
                <c:pt idx="103">
                  <c:v>0.7639352330047765</c:v>
                </c:pt>
                <c:pt idx="104">
                  <c:v>0.74112603689636058</c:v>
                </c:pt>
                <c:pt idx="105">
                  <c:v>0.71759219958507703</c:v>
                </c:pt>
                <c:pt idx="106">
                  <c:v>0.69325992762094102</c:v>
                </c:pt>
                <c:pt idx="107">
                  <c:v>0.66804198190281106</c:v>
                </c:pt>
                <c:pt idx="108">
                  <c:v>0.64183397535833142</c:v>
                </c:pt>
                <c:pt idx="109">
                  <c:v>0.61450924668707996</c:v>
                </c:pt>
                <c:pt idx="110">
                  <c:v>0.5859115774616217</c:v>
                </c:pt>
                <c:pt idx="111">
                  <c:v>0.55584452767227033</c:v>
                </c:pt>
                <c:pt idx="112">
                  <c:v>0.52405524640332801</c:v>
                </c:pt>
                <c:pt idx="113">
                  <c:v>0.49020879594566247</c:v>
                </c:pt>
                <c:pt idx="114">
                  <c:v>0.45384515637179557</c:v>
                </c:pt>
                <c:pt idx="115">
                  <c:v>0.41430204959881983</c:v>
                </c:pt>
                <c:pt idx="116">
                  <c:v>0.37056301844818029</c:v>
                </c:pt>
                <c:pt idx="117">
                  <c:v>0.32091698767916571</c:v>
                </c:pt>
                <c:pt idx="118">
                  <c:v>0.26202762320166401</c:v>
                </c:pt>
                <c:pt idx="119">
                  <c:v>0.18528150922409015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xVal>
          <c:yVal>
            <c:numRef>
              <c:f>'7 - Es Contours'!$X$4:$X$133</c:f>
              <c:numCache>
                <c:formatCode>#,##0</c:formatCode>
                <c:ptCount val="13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  <c:pt idx="26">
                  <c:v>13000</c:v>
                </c:pt>
                <c:pt idx="27">
                  <c:v>13500</c:v>
                </c:pt>
                <c:pt idx="28">
                  <c:v>14000</c:v>
                </c:pt>
                <c:pt idx="29">
                  <c:v>14500</c:v>
                </c:pt>
                <c:pt idx="30">
                  <c:v>15000</c:v>
                </c:pt>
                <c:pt idx="31">
                  <c:v>15500</c:v>
                </c:pt>
                <c:pt idx="32">
                  <c:v>16000</c:v>
                </c:pt>
                <c:pt idx="33">
                  <c:v>16500</c:v>
                </c:pt>
                <c:pt idx="34">
                  <c:v>17000</c:v>
                </c:pt>
                <c:pt idx="35">
                  <c:v>17500</c:v>
                </c:pt>
                <c:pt idx="36">
                  <c:v>18000</c:v>
                </c:pt>
                <c:pt idx="37">
                  <c:v>18500</c:v>
                </c:pt>
                <c:pt idx="38">
                  <c:v>19000</c:v>
                </c:pt>
                <c:pt idx="39">
                  <c:v>19500</c:v>
                </c:pt>
                <c:pt idx="40">
                  <c:v>20000</c:v>
                </c:pt>
                <c:pt idx="41">
                  <c:v>20500</c:v>
                </c:pt>
                <c:pt idx="42">
                  <c:v>21000</c:v>
                </c:pt>
                <c:pt idx="43">
                  <c:v>21500</c:v>
                </c:pt>
                <c:pt idx="44">
                  <c:v>22000</c:v>
                </c:pt>
                <c:pt idx="45">
                  <c:v>22500</c:v>
                </c:pt>
                <c:pt idx="46">
                  <c:v>23000</c:v>
                </c:pt>
                <c:pt idx="47">
                  <c:v>23500</c:v>
                </c:pt>
                <c:pt idx="48">
                  <c:v>24000</c:v>
                </c:pt>
                <c:pt idx="49">
                  <c:v>24500</c:v>
                </c:pt>
                <c:pt idx="50">
                  <c:v>25000</c:v>
                </c:pt>
                <c:pt idx="51">
                  <c:v>25500</c:v>
                </c:pt>
                <c:pt idx="52">
                  <c:v>26000</c:v>
                </c:pt>
                <c:pt idx="53">
                  <c:v>26500</c:v>
                </c:pt>
                <c:pt idx="54">
                  <c:v>27000</c:v>
                </c:pt>
                <c:pt idx="55">
                  <c:v>27500</c:v>
                </c:pt>
                <c:pt idx="56">
                  <c:v>28000</c:v>
                </c:pt>
                <c:pt idx="57">
                  <c:v>28500</c:v>
                </c:pt>
                <c:pt idx="58">
                  <c:v>29000</c:v>
                </c:pt>
                <c:pt idx="59">
                  <c:v>29500</c:v>
                </c:pt>
                <c:pt idx="60">
                  <c:v>30000</c:v>
                </c:pt>
                <c:pt idx="61">
                  <c:v>30500</c:v>
                </c:pt>
                <c:pt idx="62">
                  <c:v>31000</c:v>
                </c:pt>
                <c:pt idx="63">
                  <c:v>31500</c:v>
                </c:pt>
                <c:pt idx="64">
                  <c:v>32000</c:v>
                </c:pt>
                <c:pt idx="65">
                  <c:v>32500</c:v>
                </c:pt>
                <c:pt idx="66">
                  <c:v>33000</c:v>
                </c:pt>
                <c:pt idx="67">
                  <c:v>33500</c:v>
                </c:pt>
                <c:pt idx="68">
                  <c:v>34000</c:v>
                </c:pt>
                <c:pt idx="69">
                  <c:v>34500</c:v>
                </c:pt>
                <c:pt idx="70">
                  <c:v>35000</c:v>
                </c:pt>
                <c:pt idx="71">
                  <c:v>35500</c:v>
                </c:pt>
                <c:pt idx="72">
                  <c:v>36000</c:v>
                </c:pt>
                <c:pt idx="73">
                  <c:v>36500</c:v>
                </c:pt>
                <c:pt idx="74">
                  <c:v>37000</c:v>
                </c:pt>
                <c:pt idx="75">
                  <c:v>37500</c:v>
                </c:pt>
                <c:pt idx="76">
                  <c:v>38000</c:v>
                </c:pt>
                <c:pt idx="77">
                  <c:v>38500</c:v>
                </c:pt>
                <c:pt idx="78">
                  <c:v>39000</c:v>
                </c:pt>
                <c:pt idx="79">
                  <c:v>39500</c:v>
                </c:pt>
                <c:pt idx="80">
                  <c:v>40000</c:v>
                </c:pt>
                <c:pt idx="81">
                  <c:v>40500</c:v>
                </c:pt>
                <c:pt idx="82">
                  <c:v>41000</c:v>
                </c:pt>
                <c:pt idx="83">
                  <c:v>41500</c:v>
                </c:pt>
                <c:pt idx="84">
                  <c:v>42000</c:v>
                </c:pt>
                <c:pt idx="85">
                  <c:v>42500</c:v>
                </c:pt>
                <c:pt idx="86">
                  <c:v>43000</c:v>
                </c:pt>
                <c:pt idx="87">
                  <c:v>43500</c:v>
                </c:pt>
                <c:pt idx="88">
                  <c:v>44000</c:v>
                </c:pt>
                <c:pt idx="89">
                  <c:v>44500</c:v>
                </c:pt>
                <c:pt idx="90">
                  <c:v>45000</c:v>
                </c:pt>
                <c:pt idx="91">
                  <c:v>45500</c:v>
                </c:pt>
                <c:pt idx="92">
                  <c:v>46000</c:v>
                </c:pt>
                <c:pt idx="93">
                  <c:v>46500</c:v>
                </c:pt>
                <c:pt idx="94">
                  <c:v>47000</c:v>
                </c:pt>
                <c:pt idx="95">
                  <c:v>47500</c:v>
                </c:pt>
                <c:pt idx="96">
                  <c:v>48000</c:v>
                </c:pt>
                <c:pt idx="97">
                  <c:v>48500</c:v>
                </c:pt>
                <c:pt idx="98">
                  <c:v>49000</c:v>
                </c:pt>
                <c:pt idx="99">
                  <c:v>49500</c:v>
                </c:pt>
                <c:pt idx="100">
                  <c:v>50000</c:v>
                </c:pt>
                <c:pt idx="101">
                  <c:v>50500</c:v>
                </c:pt>
                <c:pt idx="102">
                  <c:v>51000</c:v>
                </c:pt>
                <c:pt idx="103">
                  <c:v>51500</c:v>
                </c:pt>
                <c:pt idx="104">
                  <c:v>52000</c:v>
                </c:pt>
                <c:pt idx="105">
                  <c:v>52500</c:v>
                </c:pt>
                <c:pt idx="106">
                  <c:v>53000</c:v>
                </c:pt>
                <c:pt idx="107">
                  <c:v>53500</c:v>
                </c:pt>
                <c:pt idx="108">
                  <c:v>54000</c:v>
                </c:pt>
                <c:pt idx="109">
                  <c:v>54500</c:v>
                </c:pt>
                <c:pt idx="110">
                  <c:v>55000</c:v>
                </c:pt>
                <c:pt idx="111">
                  <c:v>55500</c:v>
                </c:pt>
                <c:pt idx="112">
                  <c:v>56000</c:v>
                </c:pt>
                <c:pt idx="113">
                  <c:v>56500</c:v>
                </c:pt>
                <c:pt idx="114">
                  <c:v>57000</c:v>
                </c:pt>
                <c:pt idx="115">
                  <c:v>57500</c:v>
                </c:pt>
                <c:pt idx="116">
                  <c:v>58000</c:v>
                </c:pt>
                <c:pt idx="117">
                  <c:v>58500</c:v>
                </c:pt>
                <c:pt idx="118">
                  <c:v>59000</c:v>
                </c:pt>
                <c:pt idx="119">
                  <c:v>59500</c:v>
                </c:pt>
                <c:pt idx="120">
                  <c:v>60000</c:v>
                </c:pt>
                <c:pt idx="121">
                  <c:v>60500</c:v>
                </c:pt>
                <c:pt idx="122">
                  <c:v>61000</c:v>
                </c:pt>
                <c:pt idx="123">
                  <c:v>61500</c:v>
                </c:pt>
                <c:pt idx="124">
                  <c:v>62000</c:v>
                </c:pt>
                <c:pt idx="125">
                  <c:v>62500</c:v>
                </c:pt>
                <c:pt idx="126">
                  <c:v>63000</c:v>
                </c:pt>
                <c:pt idx="127">
                  <c:v>63500</c:v>
                </c:pt>
                <c:pt idx="128">
                  <c:v>64000</c:v>
                </c:pt>
                <c:pt idx="129">
                  <c:v>64500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465-402A-9380-2A6061E7CF57}"/>
            </c:ext>
          </c:extLst>
        </c:ser>
        <c:ser>
          <c:idx val="13"/>
          <c:order val="8"/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'7 - Es Contours'!$N$4:$N$133</c:f>
              <c:numCache>
                <c:formatCode>#,##0.0000</c:formatCode>
                <c:ptCount val="130"/>
                <c:pt idx="0">
                  <c:v>1.685037588713427</c:v>
                </c:pt>
                <c:pt idx="1">
                  <c:v>1.6802513747196284</c:v>
                </c:pt>
                <c:pt idx="2">
                  <c:v>1.675418211204613</c:v>
                </c:pt>
                <c:pt idx="3">
                  <c:v>1.6705373428935177</c:v>
                </c:pt>
                <c:pt idx="4">
                  <c:v>1.6656079967393551</c:v>
                </c:pt>
                <c:pt idx="5">
                  <c:v>1.6606293813526154</c:v>
                </c:pt>
                <c:pt idx="6">
                  <c:v>1.6556006864071786</c:v>
                </c:pt>
                <c:pt idx="7">
                  <c:v>1.6505210820212981</c:v>
                </c:pt>
                <c:pt idx="8">
                  <c:v>1.6453897181123731</c:v>
                </c:pt>
                <c:pt idx="9">
                  <c:v>1.6402057237241192</c:v>
                </c:pt>
                <c:pt idx="10">
                  <c:v>1.6349682063246769</c:v>
                </c:pt>
                <c:pt idx="11">
                  <c:v>1.6296762510740901</c:v>
                </c:pt>
                <c:pt idx="12">
                  <c:v>1.624328920059505</c:v>
                </c:pt>
                <c:pt idx="13">
                  <c:v>1.6189252514963035</c:v>
                </c:pt>
                <c:pt idx="14">
                  <c:v>1.6134642588933004</c:v>
                </c:pt>
                <c:pt idx="15">
                  <c:v>1.607944930179982</c:v>
                </c:pt>
                <c:pt idx="16">
                  <c:v>1.60236622679364</c:v>
                </c:pt>
                <c:pt idx="17">
                  <c:v>1.5967270827241131</c:v>
                </c:pt>
                <c:pt idx="18">
                  <c:v>1.5910264035136739</c:v>
                </c:pt>
                <c:pt idx="19">
                  <c:v>1.5852630652094488</c:v>
                </c:pt>
                <c:pt idx="20">
                  <c:v>1.5794359132655571</c:v>
                </c:pt>
                <c:pt idx="21">
                  <c:v>1.5735437613919667</c:v>
                </c:pt>
                <c:pt idx="22">
                  <c:v>1.5675853903468395</c:v>
                </c:pt>
                <c:pt idx="23">
                  <c:v>1.5615595466689118</c:v>
                </c:pt>
                <c:pt idx="24">
                  <c:v>1.5554649413461954</c:v>
                </c:pt>
                <c:pt idx="25">
                  <c:v>1.54930024841701</c:v>
                </c:pt>
                <c:pt idx="26">
                  <c:v>1.5430641034990544</c:v>
                </c:pt>
                <c:pt idx="27">
                  <c:v>1.536755102241905</c:v>
                </c:pt>
                <c:pt idx="28">
                  <c:v>1.5303717986979533</c:v>
                </c:pt>
                <c:pt idx="29">
                  <c:v>1.5239127036064339</c:v>
                </c:pt>
                <c:pt idx="30">
                  <c:v>1.5173762825847386</c:v>
                </c:pt>
                <c:pt idx="31">
                  <c:v>1.5107609542207703</c:v>
                </c:pt>
                <c:pt idx="32">
                  <c:v>1.504065088059569</c:v>
                </c:pt>
                <c:pt idx="33">
                  <c:v>1.4972870024768901</c:v>
                </c:pt>
                <c:pt idx="34">
                  <c:v>1.4904249624318073</c:v>
                </c:pt>
                <c:pt idx="35">
                  <c:v>1.4834771770897275</c:v>
                </c:pt>
                <c:pt idx="36">
                  <c:v>1.4764417973064887</c:v>
                </c:pt>
                <c:pt idx="37">
                  <c:v>1.4693169129633796</c:v>
                </c:pt>
                <c:pt idx="38">
                  <c:v>1.4621005501420401</c:v>
                </c:pt>
                <c:pt idx="39">
                  <c:v>1.4547906681271991</c:v>
                </c:pt>
                <c:pt idx="40">
                  <c:v>1.4473851562241371</c:v>
                </c:pt>
                <c:pt idx="41">
                  <c:v>1.4398818303765253</c:v>
                </c:pt>
                <c:pt idx="42">
                  <c:v>1.4322784295689763</c:v>
                </c:pt>
                <c:pt idx="43">
                  <c:v>1.4245726119971545</c:v>
                </c:pt>
                <c:pt idx="44">
                  <c:v>1.4167619509866236</c:v>
                </c:pt>
                <c:pt idx="45">
                  <c:v>1.4088439306398042</c:v>
                </c:pt>
                <c:pt idx="46">
                  <c:v>1.4008159411883352</c:v>
                </c:pt>
                <c:pt idx="47">
                  <c:v>1.3926752740258619</c:v>
                </c:pt>
                <c:pt idx="48">
                  <c:v>1.3844191163937198</c:v>
                </c:pt>
                <c:pt idx="49">
                  <c:v>1.3760445456890902</c:v>
                </c:pt>
                <c:pt idx="50">
                  <c:v>1.3675485233620219</c:v>
                </c:pt>
                <c:pt idx="51">
                  <c:v>1.3589278883640616</c:v>
                </c:pt>
                <c:pt idx="52">
                  <c:v>1.3501793501071762</c:v>
                </c:pt>
                <c:pt idx="53">
                  <c:v>1.341299480887036</c:v>
                </c:pt>
                <c:pt idx="54">
                  <c:v>1.3322847077195299</c:v>
                </c:pt>
                <c:pt idx="55">
                  <c:v>1.3231313035334649</c:v>
                </c:pt>
                <c:pt idx="56">
                  <c:v>1.3138353776557055</c:v>
                </c:pt>
                <c:pt idx="57">
                  <c:v>1.3043928655173638</c:v>
                </c:pt>
                <c:pt idx="58">
                  <c:v>1.2947995175009384</c:v>
                </c:pt>
                <c:pt idx="59">
                  <c:v>1.2850508868383193</c:v>
                </c:pt>
                <c:pt idx="60">
                  <c:v>1.275142316458143</c:v>
                </c:pt>
                <c:pt idx="61">
                  <c:v>1.2650689246678279</c:v>
                </c:pt>
                <c:pt idx="62">
                  <c:v>1.2548255895404485</c:v>
                </c:pt>
                <c:pt idx="63">
                  <c:v>1.2444069318590787</c:v>
                </c:pt>
                <c:pt idx="64">
                  <c:v>1.2338072964508953</c:v>
                </c:pt>
                <c:pt idx="65">
                  <c:v>1.2230207317196848</c:v>
                </c:pt>
                <c:pt idx="66">
                  <c:v>1.2120409671578023</c:v>
                </c:pt>
                <c:pt idx="67">
                  <c:v>1.2008613885863273</c:v>
                </c:pt>
                <c:pt idx="68">
                  <c:v>1.1894750108342178</c:v>
                </c:pt>
                <c:pt idx="69">
                  <c:v>1.1778744475225391</c:v>
                </c:pt>
                <c:pt idx="70">
                  <c:v>1.1660518775669113</c:v>
                </c:pt>
                <c:pt idx="71">
                  <c:v>1.1539990079484557</c:v>
                </c:pt>
                <c:pt idx="72">
                  <c:v>1.1417070322285257</c:v>
                </c:pt>
                <c:pt idx="73">
                  <c:v>1.1270234218653994</c:v>
                </c:pt>
                <c:pt idx="74">
                  <c:v>1.1116890553445407</c:v>
                </c:pt>
                <c:pt idx="75">
                  <c:v>1.0961401909028248</c:v>
                </c:pt>
                <c:pt idx="76">
                  <c:v>1.0803675672900055</c:v>
                </c:pt>
                <c:pt idx="77">
                  <c:v>1.0643612369828994</c:v>
                </c:pt>
                <c:pt idx="78">
                  <c:v>1.048110492806656</c:v>
                </c:pt>
                <c:pt idx="79">
                  <c:v>1.0316037841492511</c:v>
                </c:pt>
                <c:pt idx="80">
                  <c:v>1.0148286209063568</c:v>
                </c:pt>
                <c:pt idx="81">
                  <c:v>0.99777146288633711</c:v>
                </c:pt>
                <c:pt idx="82">
                  <c:v>0.98041759189132494</c:v>
                </c:pt>
                <c:pt idx="83">
                  <c:v>0.96275096303749708</c:v>
                </c:pt>
                <c:pt idx="84">
                  <c:v>0.94475403104155709</c:v>
                </c:pt>
                <c:pt idx="85">
                  <c:v>0.92640754612045073</c:v>
                </c:pt>
                <c:pt idx="86">
                  <c:v>0.90769031274359113</c:v>
                </c:pt>
                <c:pt idx="87">
                  <c:v>0.88857890262384787</c:v>
                </c:pt>
                <c:pt idx="88">
                  <c:v>0.86904731086854259</c:v>
                </c:pt>
                <c:pt idx="89">
                  <c:v>0.84906654089505174</c:v>
                </c:pt>
                <c:pt idx="90">
                  <c:v>0.82860409919763967</c:v>
                </c:pt>
                <c:pt idx="91">
                  <c:v>0.80762337481450808</c:v>
                </c:pt>
                <c:pt idx="92">
                  <c:v>0.78608286960499196</c:v>
                </c:pt>
                <c:pt idx="93">
                  <c:v>0.7639352330047765</c:v>
                </c:pt>
                <c:pt idx="94">
                  <c:v>0.74112603689636058</c:v>
                </c:pt>
                <c:pt idx="95">
                  <c:v>0.71759219958507703</c:v>
                </c:pt>
                <c:pt idx="96">
                  <c:v>0.69325992762094102</c:v>
                </c:pt>
                <c:pt idx="97">
                  <c:v>0.66804198190281106</c:v>
                </c:pt>
                <c:pt idx="98">
                  <c:v>0.64183397535833142</c:v>
                </c:pt>
                <c:pt idx="99">
                  <c:v>0.61450924668707996</c:v>
                </c:pt>
                <c:pt idx="100">
                  <c:v>0.5859115774616217</c:v>
                </c:pt>
                <c:pt idx="101">
                  <c:v>0.55584452767227033</c:v>
                </c:pt>
                <c:pt idx="102">
                  <c:v>0.52405524640332801</c:v>
                </c:pt>
                <c:pt idx="103">
                  <c:v>0.49020879594566247</c:v>
                </c:pt>
                <c:pt idx="104">
                  <c:v>0.45384515637179557</c:v>
                </c:pt>
                <c:pt idx="105">
                  <c:v>0.41430204959881983</c:v>
                </c:pt>
                <c:pt idx="106">
                  <c:v>0.37056301844818029</c:v>
                </c:pt>
                <c:pt idx="107">
                  <c:v>0.32091698767916571</c:v>
                </c:pt>
                <c:pt idx="108">
                  <c:v>0.26202762320166401</c:v>
                </c:pt>
                <c:pt idx="109">
                  <c:v>0.18528150922409015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xVal>
          <c:yVal>
            <c:numRef>
              <c:f>'7 - Es Contours'!$X$4:$X$133</c:f>
              <c:numCache>
                <c:formatCode>#,##0</c:formatCode>
                <c:ptCount val="13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  <c:pt idx="26">
                  <c:v>13000</c:v>
                </c:pt>
                <c:pt idx="27">
                  <c:v>13500</c:v>
                </c:pt>
                <c:pt idx="28">
                  <c:v>14000</c:v>
                </c:pt>
                <c:pt idx="29">
                  <c:v>14500</c:v>
                </c:pt>
                <c:pt idx="30">
                  <c:v>15000</c:v>
                </c:pt>
                <c:pt idx="31">
                  <c:v>15500</c:v>
                </c:pt>
                <c:pt idx="32">
                  <c:v>16000</c:v>
                </c:pt>
                <c:pt idx="33">
                  <c:v>16500</c:v>
                </c:pt>
                <c:pt idx="34">
                  <c:v>17000</c:v>
                </c:pt>
                <c:pt idx="35">
                  <c:v>17500</c:v>
                </c:pt>
                <c:pt idx="36">
                  <c:v>18000</c:v>
                </c:pt>
                <c:pt idx="37">
                  <c:v>18500</c:v>
                </c:pt>
                <c:pt idx="38">
                  <c:v>19000</c:v>
                </c:pt>
                <c:pt idx="39">
                  <c:v>19500</c:v>
                </c:pt>
                <c:pt idx="40">
                  <c:v>20000</c:v>
                </c:pt>
                <c:pt idx="41">
                  <c:v>20500</c:v>
                </c:pt>
                <c:pt idx="42">
                  <c:v>21000</c:v>
                </c:pt>
                <c:pt idx="43">
                  <c:v>21500</c:v>
                </c:pt>
                <c:pt idx="44">
                  <c:v>22000</c:v>
                </c:pt>
                <c:pt idx="45">
                  <c:v>22500</c:v>
                </c:pt>
                <c:pt idx="46">
                  <c:v>23000</c:v>
                </c:pt>
                <c:pt idx="47">
                  <c:v>23500</c:v>
                </c:pt>
                <c:pt idx="48">
                  <c:v>24000</c:v>
                </c:pt>
                <c:pt idx="49">
                  <c:v>24500</c:v>
                </c:pt>
                <c:pt idx="50">
                  <c:v>25000</c:v>
                </c:pt>
                <c:pt idx="51">
                  <c:v>25500</c:v>
                </c:pt>
                <c:pt idx="52">
                  <c:v>26000</c:v>
                </c:pt>
                <c:pt idx="53">
                  <c:v>26500</c:v>
                </c:pt>
                <c:pt idx="54">
                  <c:v>27000</c:v>
                </c:pt>
                <c:pt idx="55">
                  <c:v>27500</c:v>
                </c:pt>
                <c:pt idx="56">
                  <c:v>28000</c:v>
                </c:pt>
                <c:pt idx="57">
                  <c:v>28500</c:v>
                </c:pt>
                <c:pt idx="58">
                  <c:v>29000</c:v>
                </c:pt>
                <c:pt idx="59">
                  <c:v>29500</c:v>
                </c:pt>
                <c:pt idx="60">
                  <c:v>30000</c:v>
                </c:pt>
                <c:pt idx="61">
                  <c:v>30500</c:v>
                </c:pt>
                <c:pt idx="62">
                  <c:v>31000</c:v>
                </c:pt>
                <c:pt idx="63">
                  <c:v>31500</c:v>
                </c:pt>
                <c:pt idx="64">
                  <c:v>32000</c:v>
                </c:pt>
                <c:pt idx="65">
                  <c:v>32500</c:v>
                </c:pt>
                <c:pt idx="66">
                  <c:v>33000</c:v>
                </c:pt>
                <c:pt idx="67">
                  <c:v>33500</c:v>
                </c:pt>
                <c:pt idx="68">
                  <c:v>34000</c:v>
                </c:pt>
                <c:pt idx="69">
                  <c:v>34500</c:v>
                </c:pt>
                <c:pt idx="70">
                  <c:v>35000</c:v>
                </c:pt>
                <c:pt idx="71">
                  <c:v>35500</c:v>
                </c:pt>
                <c:pt idx="72">
                  <c:v>36000</c:v>
                </c:pt>
                <c:pt idx="73">
                  <c:v>36500</c:v>
                </c:pt>
                <c:pt idx="74">
                  <c:v>37000</c:v>
                </c:pt>
                <c:pt idx="75">
                  <c:v>37500</c:v>
                </c:pt>
                <c:pt idx="76">
                  <c:v>38000</c:v>
                </c:pt>
                <c:pt idx="77">
                  <c:v>38500</c:v>
                </c:pt>
                <c:pt idx="78">
                  <c:v>39000</c:v>
                </c:pt>
                <c:pt idx="79">
                  <c:v>39500</c:v>
                </c:pt>
                <c:pt idx="80">
                  <c:v>40000</c:v>
                </c:pt>
                <c:pt idx="81">
                  <c:v>40500</c:v>
                </c:pt>
                <c:pt idx="82">
                  <c:v>41000</c:v>
                </c:pt>
                <c:pt idx="83">
                  <c:v>41500</c:v>
                </c:pt>
                <c:pt idx="84">
                  <c:v>42000</c:v>
                </c:pt>
                <c:pt idx="85">
                  <c:v>42500</c:v>
                </c:pt>
                <c:pt idx="86">
                  <c:v>43000</c:v>
                </c:pt>
                <c:pt idx="87">
                  <c:v>43500</c:v>
                </c:pt>
                <c:pt idx="88">
                  <c:v>44000</c:v>
                </c:pt>
                <c:pt idx="89">
                  <c:v>44500</c:v>
                </c:pt>
                <c:pt idx="90">
                  <c:v>45000</c:v>
                </c:pt>
                <c:pt idx="91">
                  <c:v>45500</c:v>
                </c:pt>
                <c:pt idx="92">
                  <c:v>46000</c:v>
                </c:pt>
                <c:pt idx="93">
                  <c:v>46500</c:v>
                </c:pt>
                <c:pt idx="94">
                  <c:v>47000</c:v>
                </c:pt>
                <c:pt idx="95">
                  <c:v>47500</c:v>
                </c:pt>
                <c:pt idx="96">
                  <c:v>48000</c:v>
                </c:pt>
                <c:pt idx="97">
                  <c:v>48500</c:v>
                </c:pt>
                <c:pt idx="98">
                  <c:v>49000</c:v>
                </c:pt>
                <c:pt idx="99">
                  <c:v>49500</c:v>
                </c:pt>
                <c:pt idx="100">
                  <c:v>50000</c:v>
                </c:pt>
                <c:pt idx="101">
                  <c:v>50500</c:v>
                </c:pt>
                <c:pt idx="102">
                  <c:v>51000</c:v>
                </c:pt>
                <c:pt idx="103">
                  <c:v>51500</c:v>
                </c:pt>
                <c:pt idx="104">
                  <c:v>52000</c:v>
                </c:pt>
                <c:pt idx="105">
                  <c:v>52500</c:v>
                </c:pt>
                <c:pt idx="106">
                  <c:v>53000</c:v>
                </c:pt>
                <c:pt idx="107">
                  <c:v>53500</c:v>
                </c:pt>
                <c:pt idx="108">
                  <c:v>54000</c:v>
                </c:pt>
                <c:pt idx="109">
                  <c:v>54500</c:v>
                </c:pt>
                <c:pt idx="110">
                  <c:v>55000</c:v>
                </c:pt>
                <c:pt idx="111">
                  <c:v>55500</c:v>
                </c:pt>
                <c:pt idx="112">
                  <c:v>56000</c:v>
                </c:pt>
                <c:pt idx="113">
                  <c:v>56500</c:v>
                </c:pt>
                <c:pt idx="114">
                  <c:v>57000</c:v>
                </c:pt>
                <c:pt idx="115">
                  <c:v>57500</c:v>
                </c:pt>
                <c:pt idx="116">
                  <c:v>58000</c:v>
                </c:pt>
                <c:pt idx="117">
                  <c:v>58500</c:v>
                </c:pt>
                <c:pt idx="118">
                  <c:v>59000</c:v>
                </c:pt>
                <c:pt idx="119">
                  <c:v>59500</c:v>
                </c:pt>
                <c:pt idx="120">
                  <c:v>60000</c:v>
                </c:pt>
                <c:pt idx="121">
                  <c:v>60500</c:v>
                </c:pt>
                <c:pt idx="122">
                  <c:v>61000</c:v>
                </c:pt>
                <c:pt idx="123">
                  <c:v>61500</c:v>
                </c:pt>
                <c:pt idx="124">
                  <c:v>62000</c:v>
                </c:pt>
                <c:pt idx="125">
                  <c:v>62500</c:v>
                </c:pt>
                <c:pt idx="126">
                  <c:v>63000</c:v>
                </c:pt>
                <c:pt idx="127">
                  <c:v>63500</c:v>
                </c:pt>
                <c:pt idx="128">
                  <c:v>64000</c:v>
                </c:pt>
                <c:pt idx="129">
                  <c:v>64500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465-402A-9380-2A6061E7CF57}"/>
            </c:ext>
          </c:extLst>
        </c:ser>
        <c:ser>
          <c:idx val="12"/>
          <c:order val="9"/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'7 - Es Contours'!$M$4:$M$133</c:f>
              <c:numCache>
                <c:formatCode>#,##0.0000</c:formatCode>
                <c:ptCount val="130"/>
                <c:pt idx="0">
                  <c:v>1.6066203023108536</c:v>
                </c:pt>
                <c:pt idx="1">
                  <c:v>1.6013217692414417</c:v>
                </c:pt>
                <c:pt idx="2">
                  <c:v>1.5959687812513821</c:v>
                </c:pt>
                <c:pt idx="3">
                  <c:v>1.5905604030877707</c:v>
                </c:pt>
                <c:pt idx="4">
                  <c:v>1.5850956755987604</c:v>
                </c:pt>
                <c:pt idx="5">
                  <c:v>1.5795736148904513</c:v>
                </c:pt>
                <c:pt idx="6">
                  <c:v>1.5739932114450195</c:v>
                </c:pt>
                <c:pt idx="7">
                  <c:v>1.5683534291978589</c:v>
                </c:pt>
                <c:pt idx="8">
                  <c:v>1.5626532045713719</c:v>
                </c:pt>
                <c:pt idx="9">
                  <c:v>1.5568914454628635</c:v>
                </c:pt>
                <c:pt idx="10">
                  <c:v>1.5510670301838274</c:v>
                </c:pt>
                <c:pt idx="11">
                  <c:v>1.5451788063477065</c:v>
                </c:pt>
                <c:pt idx="12">
                  <c:v>1.5392255897030198</c:v>
                </c:pt>
                <c:pt idx="13">
                  <c:v>1.5332061629084912</c:v>
                </c:pt>
                <c:pt idx="14">
                  <c:v>1.5271192742466027</c:v>
                </c:pt>
                <c:pt idx="15">
                  <c:v>1.5209636362716967</c:v>
                </c:pt>
                <c:pt idx="16">
                  <c:v>1.5147379243884758</c:v>
                </c:pt>
                <c:pt idx="17">
                  <c:v>1.5084407753564339</c:v>
                </c:pt>
                <c:pt idx="18">
                  <c:v>1.5020707857153903</c:v>
                </c:pt>
                <c:pt idx="19">
                  <c:v>1.4956265101269373</c:v>
                </c:pt>
                <c:pt idx="20">
                  <c:v>1.4891064596261907</c:v>
                </c:pt>
                <c:pt idx="21">
                  <c:v>1.4825090997777857</c:v>
                </c:pt>
                <c:pt idx="22">
                  <c:v>1.4758328487295609</c:v>
                </c:pt>
                <c:pt idx="23">
                  <c:v>1.4690760751568452</c:v>
                </c:pt>
                <c:pt idx="24">
                  <c:v>1.4622370960896574</c:v>
                </c:pt>
                <c:pt idx="25">
                  <c:v>1.4553141746144822</c:v>
                </c:pt>
                <c:pt idx="26">
                  <c:v>1.448305517441574</c:v>
                </c:pt>
                <c:pt idx="27">
                  <c:v>1.4412092723279486</c:v>
                </c:pt>
                <c:pt idx="28">
                  <c:v>1.4340235253453517</c:v>
                </c:pt>
                <c:pt idx="29">
                  <c:v>1.4267462979815471</c:v>
                </c:pt>
                <c:pt idx="30">
                  <c:v>1.4193755440621929</c:v>
                </c:pt>
                <c:pt idx="31">
                  <c:v>1.4119091464794125</c:v>
                </c:pt>
                <c:pt idx="32">
                  <c:v>1.4043449137118711</c:v>
                </c:pt>
                <c:pt idx="33">
                  <c:v>1.3966805761197143</c:v>
                </c:pt>
                <c:pt idx="34">
                  <c:v>1.3889137819961399</c:v>
                </c:pt>
                <c:pt idx="35">
                  <c:v>1.3810420933555787</c:v>
                </c:pt>
                <c:pt idx="36">
                  <c:v>1.3730629814364796</c:v>
                </c:pt>
                <c:pt idx="37">
                  <c:v>1.3649738218944676</c:v>
                </c:pt>
                <c:pt idx="38">
                  <c:v>1.3567718896591701</c:v>
                </c:pt>
                <c:pt idx="39">
                  <c:v>1.3484543534252071</c:v>
                </c:pt>
                <c:pt idx="40">
                  <c:v>1.3400182697447405</c:v>
                </c:pt>
                <c:pt idx="41">
                  <c:v>1.3314605766854375</c:v>
                </c:pt>
                <c:pt idx="42">
                  <c:v>1.32277808701376</c:v>
                </c:pt>
                <c:pt idx="43">
                  <c:v>1.3139674808590291</c:v>
                </c:pt>
                <c:pt idx="44">
                  <c:v>1.3050252978086216</c:v>
                </c:pt>
                <c:pt idx="45">
                  <c:v>1.2959479283789723</c:v>
                </c:pt>
                <c:pt idx="46">
                  <c:v>1.2867316048004964</c:v>
                </c:pt>
                <c:pt idx="47">
                  <c:v>1.2773723910471513</c:v>
                </c:pt>
                <c:pt idx="48">
                  <c:v>1.2678661720328928</c:v>
                </c:pt>
                <c:pt idx="49">
                  <c:v>1.2582086418875766</c:v>
                </c:pt>
                <c:pt idx="50">
                  <c:v>1.2483952912137668</c:v>
                </c:pt>
                <c:pt idx="51">
                  <c:v>1.2384213932131145</c:v>
                </c:pt>
                <c:pt idx="52">
                  <c:v>1.2282819885562626</c:v>
                </c:pt>
                <c:pt idx="53">
                  <c:v>1.2179718688531709</c:v>
                </c:pt>
                <c:pt idx="54">
                  <c:v>1.2074855585610271</c:v>
                </c:pt>
                <c:pt idx="55">
                  <c:v>1.1968172951439124</c:v>
                </c:pt>
                <c:pt idx="56">
                  <c:v>1.1859610072715934</c:v>
                </c:pt>
                <c:pt idx="57">
                  <c:v>1.1749102908134215</c:v>
                </c:pt>
                <c:pt idx="58">
                  <c:v>1.1636583823464475</c:v>
                </c:pt>
                <c:pt idx="59">
                  <c:v>1.1521981298534059</c:v>
                </c:pt>
                <c:pt idx="60">
                  <c:v>1.1405219602347827</c:v>
                </c:pt>
                <c:pt idx="61">
                  <c:v>1.1286218431980857</c:v>
                </c:pt>
                <c:pt idx="62">
                  <c:v>1.1164892510145576</c:v>
                </c:pt>
                <c:pt idx="63">
                  <c:v>1.1041151135462652</c:v>
                </c:pt>
                <c:pt idx="64">
                  <c:v>1.0914897678414304</c:v>
                </c:pt>
                <c:pt idx="65">
                  <c:v>1.0786029014688439</c:v>
                </c:pt>
                <c:pt idx="66">
                  <c:v>1.065443488607827</c:v>
                </c:pt>
                <c:pt idx="67">
                  <c:v>1.051999717721654</c:v>
                </c:pt>
                <c:pt idx="68">
                  <c:v>1.0382589094107089</c:v>
                </c:pt>
                <c:pt idx="69">
                  <c:v>1.0242074227554563</c:v>
                </c:pt>
                <c:pt idx="70">
                  <c:v>1.0098305481034873</c:v>
                </c:pt>
                <c:pt idx="71">
                  <c:v>0.99511238380955891</c:v>
                </c:pt>
                <c:pt idx="72">
                  <c:v>0.98003569387631428</c:v>
                </c:pt>
                <c:pt idx="73">
                  <c:v>0.96275096303749708</c:v>
                </c:pt>
                <c:pt idx="74">
                  <c:v>0.94475403104155709</c:v>
                </c:pt>
                <c:pt idx="75">
                  <c:v>0.92640754612045073</c:v>
                </c:pt>
                <c:pt idx="76">
                  <c:v>0.90769031274359113</c:v>
                </c:pt>
                <c:pt idx="77">
                  <c:v>0.88857890262384787</c:v>
                </c:pt>
                <c:pt idx="78">
                  <c:v>0.86904731086854259</c:v>
                </c:pt>
                <c:pt idx="79">
                  <c:v>0.84906654089505174</c:v>
                </c:pt>
                <c:pt idx="80">
                  <c:v>0.82860409919763967</c:v>
                </c:pt>
                <c:pt idx="81">
                  <c:v>0.80762337481450808</c:v>
                </c:pt>
                <c:pt idx="82">
                  <c:v>0.78608286960499196</c:v>
                </c:pt>
                <c:pt idx="83">
                  <c:v>0.7639352330047765</c:v>
                </c:pt>
                <c:pt idx="84">
                  <c:v>0.74112603689636058</c:v>
                </c:pt>
                <c:pt idx="85">
                  <c:v>0.71759219958507703</c:v>
                </c:pt>
                <c:pt idx="86">
                  <c:v>0.69325992762094102</c:v>
                </c:pt>
                <c:pt idx="87">
                  <c:v>0.66804198190281106</c:v>
                </c:pt>
                <c:pt idx="88">
                  <c:v>0.64183397535833142</c:v>
                </c:pt>
                <c:pt idx="89">
                  <c:v>0.61450924668707996</c:v>
                </c:pt>
                <c:pt idx="90">
                  <c:v>0.5859115774616217</c:v>
                </c:pt>
                <c:pt idx="91">
                  <c:v>0.55584452767227033</c:v>
                </c:pt>
                <c:pt idx="92">
                  <c:v>0.52405524640332801</c:v>
                </c:pt>
                <c:pt idx="93">
                  <c:v>0.49020879594566247</c:v>
                </c:pt>
                <c:pt idx="94">
                  <c:v>0.45384515637179557</c:v>
                </c:pt>
                <c:pt idx="95">
                  <c:v>0.41430204959881983</c:v>
                </c:pt>
                <c:pt idx="96">
                  <c:v>0.37056301844818029</c:v>
                </c:pt>
                <c:pt idx="97">
                  <c:v>0.32091698767916571</c:v>
                </c:pt>
                <c:pt idx="98">
                  <c:v>0.26202762320166401</c:v>
                </c:pt>
                <c:pt idx="99">
                  <c:v>0.18528150922409015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xVal>
          <c:yVal>
            <c:numRef>
              <c:f>'7 - Es Contours'!$X$4:$X$133</c:f>
              <c:numCache>
                <c:formatCode>#,##0</c:formatCode>
                <c:ptCount val="13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  <c:pt idx="26">
                  <c:v>13000</c:v>
                </c:pt>
                <c:pt idx="27">
                  <c:v>13500</c:v>
                </c:pt>
                <c:pt idx="28">
                  <c:v>14000</c:v>
                </c:pt>
                <c:pt idx="29">
                  <c:v>14500</c:v>
                </c:pt>
                <c:pt idx="30">
                  <c:v>15000</c:v>
                </c:pt>
                <c:pt idx="31">
                  <c:v>15500</c:v>
                </c:pt>
                <c:pt idx="32">
                  <c:v>16000</c:v>
                </c:pt>
                <c:pt idx="33">
                  <c:v>16500</c:v>
                </c:pt>
                <c:pt idx="34">
                  <c:v>17000</c:v>
                </c:pt>
                <c:pt idx="35">
                  <c:v>17500</c:v>
                </c:pt>
                <c:pt idx="36">
                  <c:v>18000</c:v>
                </c:pt>
                <c:pt idx="37">
                  <c:v>18500</c:v>
                </c:pt>
                <c:pt idx="38">
                  <c:v>19000</c:v>
                </c:pt>
                <c:pt idx="39">
                  <c:v>19500</c:v>
                </c:pt>
                <c:pt idx="40">
                  <c:v>20000</c:v>
                </c:pt>
                <c:pt idx="41">
                  <c:v>20500</c:v>
                </c:pt>
                <c:pt idx="42">
                  <c:v>21000</c:v>
                </c:pt>
                <c:pt idx="43">
                  <c:v>21500</c:v>
                </c:pt>
                <c:pt idx="44">
                  <c:v>22000</c:v>
                </c:pt>
                <c:pt idx="45">
                  <c:v>22500</c:v>
                </c:pt>
                <c:pt idx="46">
                  <c:v>23000</c:v>
                </c:pt>
                <c:pt idx="47">
                  <c:v>23500</c:v>
                </c:pt>
                <c:pt idx="48">
                  <c:v>24000</c:v>
                </c:pt>
                <c:pt idx="49">
                  <c:v>24500</c:v>
                </c:pt>
                <c:pt idx="50">
                  <c:v>25000</c:v>
                </c:pt>
                <c:pt idx="51">
                  <c:v>25500</c:v>
                </c:pt>
                <c:pt idx="52">
                  <c:v>26000</c:v>
                </c:pt>
                <c:pt idx="53">
                  <c:v>26500</c:v>
                </c:pt>
                <c:pt idx="54">
                  <c:v>27000</c:v>
                </c:pt>
                <c:pt idx="55">
                  <c:v>27500</c:v>
                </c:pt>
                <c:pt idx="56">
                  <c:v>28000</c:v>
                </c:pt>
                <c:pt idx="57">
                  <c:v>28500</c:v>
                </c:pt>
                <c:pt idx="58">
                  <c:v>29000</c:v>
                </c:pt>
                <c:pt idx="59">
                  <c:v>29500</c:v>
                </c:pt>
                <c:pt idx="60">
                  <c:v>30000</c:v>
                </c:pt>
                <c:pt idx="61">
                  <c:v>30500</c:v>
                </c:pt>
                <c:pt idx="62">
                  <c:v>31000</c:v>
                </c:pt>
                <c:pt idx="63">
                  <c:v>31500</c:v>
                </c:pt>
                <c:pt idx="64">
                  <c:v>32000</c:v>
                </c:pt>
                <c:pt idx="65">
                  <c:v>32500</c:v>
                </c:pt>
                <c:pt idx="66">
                  <c:v>33000</c:v>
                </c:pt>
                <c:pt idx="67">
                  <c:v>33500</c:v>
                </c:pt>
                <c:pt idx="68">
                  <c:v>34000</c:v>
                </c:pt>
                <c:pt idx="69">
                  <c:v>34500</c:v>
                </c:pt>
                <c:pt idx="70">
                  <c:v>35000</c:v>
                </c:pt>
                <c:pt idx="71">
                  <c:v>35500</c:v>
                </c:pt>
                <c:pt idx="72">
                  <c:v>36000</c:v>
                </c:pt>
                <c:pt idx="73">
                  <c:v>36500</c:v>
                </c:pt>
                <c:pt idx="74">
                  <c:v>37000</c:v>
                </c:pt>
                <c:pt idx="75">
                  <c:v>37500</c:v>
                </c:pt>
                <c:pt idx="76">
                  <c:v>38000</c:v>
                </c:pt>
                <c:pt idx="77">
                  <c:v>38500</c:v>
                </c:pt>
                <c:pt idx="78">
                  <c:v>39000</c:v>
                </c:pt>
                <c:pt idx="79">
                  <c:v>39500</c:v>
                </c:pt>
                <c:pt idx="80">
                  <c:v>40000</c:v>
                </c:pt>
                <c:pt idx="81">
                  <c:v>40500</c:v>
                </c:pt>
                <c:pt idx="82">
                  <c:v>41000</c:v>
                </c:pt>
                <c:pt idx="83">
                  <c:v>41500</c:v>
                </c:pt>
                <c:pt idx="84">
                  <c:v>42000</c:v>
                </c:pt>
                <c:pt idx="85">
                  <c:v>42500</c:v>
                </c:pt>
                <c:pt idx="86">
                  <c:v>43000</c:v>
                </c:pt>
                <c:pt idx="87">
                  <c:v>43500</c:v>
                </c:pt>
                <c:pt idx="88">
                  <c:v>44000</c:v>
                </c:pt>
                <c:pt idx="89">
                  <c:v>44500</c:v>
                </c:pt>
                <c:pt idx="90">
                  <c:v>45000</c:v>
                </c:pt>
                <c:pt idx="91">
                  <c:v>45500</c:v>
                </c:pt>
                <c:pt idx="92">
                  <c:v>46000</c:v>
                </c:pt>
                <c:pt idx="93">
                  <c:v>46500</c:v>
                </c:pt>
                <c:pt idx="94">
                  <c:v>47000</c:v>
                </c:pt>
                <c:pt idx="95">
                  <c:v>47500</c:v>
                </c:pt>
                <c:pt idx="96">
                  <c:v>48000</c:v>
                </c:pt>
                <c:pt idx="97">
                  <c:v>48500</c:v>
                </c:pt>
                <c:pt idx="98">
                  <c:v>49000</c:v>
                </c:pt>
                <c:pt idx="99">
                  <c:v>49500</c:v>
                </c:pt>
                <c:pt idx="100">
                  <c:v>50000</c:v>
                </c:pt>
                <c:pt idx="101">
                  <c:v>50500</c:v>
                </c:pt>
                <c:pt idx="102">
                  <c:v>51000</c:v>
                </c:pt>
                <c:pt idx="103">
                  <c:v>51500</c:v>
                </c:pt>
                <c:pt idx="104">
                  <c:v>52000</c:v>
                </c:pt>
                <c:pt idx="105">
                  <c:v>52500</c:v>
                </c:pt>
                <c:pt idx="106">
                  <c:v>53000</c:v>
                </c:pt>
                <c:pt idx="107">
                  <c:v>53500</c:v>
                </c:pt>
                <c:pt idx="108">
                  <c:v>54000</c:v>
                </c:pt>
                <c:pt idx="109">
                  <c:v>54500</c:v>
                </c:pt>
                <c:pt idx="110">
                  <c:v>55000</c:v>
                </c:pt>
                <c:pt idx="111">
                  <c:v>55500</c:v>
                </c:pt>
                <c:pt idx="112">
                  <c:v>56000</c:v>
                </c:pt>
                <c:pt idx="113">
                  <c:v>56500</c:v>
                </c:pt>
                <c:pt idx="114">
                  <c:v>57000</c:v>
                </c:pt>
                <c:pt idx="115">
                  <c:v>57500</c:v>
                </c:pt>
                <c:pt idx="116">
                  <c:v>58000</c:v>
                </c:pt>
                <c:pt idx="117">
                  <c:v>58500</c:v>
                </c:pt>
                <c:pt idx="118">
                  <c:v>59000</c:v>
                </c:pt>
                <c:pt idx="119">
                  <c:v>59500</c:v>
                </c:pt>
                <c:pt idx="120">
                  <c:v>60000</c:v>
                </c:pt>
                <c:pt idx="121">
                  <c:v>60500</c:v>
                </c:pt>
                <c:pt idx="122">
                  <c:v>61000</c:v>
                </c:pt>
                <c:pt idx="123">
                  <c:v>61500</c:v>
                </c:pt>
                <c:pt idx="124">
                  <c:v>62000</c:v>
                </c:pt>
                <c:pt idx="125">
                  <c:v>62500</c:v>
                </c:pt>
                <c:pt idx="126">
                  <c:v>63000</c:v>
                </c:pt>
                <c:pt idx="127">
                  <c:v>63500</c:v>
                </c:pt>
                <c:pt idx="128">
                  <c:v>64000</c:v>
                </c:pt>
                <c:pt idx="129">
                  <c:v>64500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465-402A-9380-2A6061E7CF57}"/>
            </c:ext>
          </c:extLst>
        </c:ser>
        <c:ser>
          <c:idx val="11"/>
          <c:order val="10"/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'7 - Es Contours'!$L$4:$L$133</c:f>
              <c:numCache>
                <c:formatCode>#,##0.0000</c:formatCode>
                <c:ptCount val="130"/>
                <c:pt idx="0">
                  <c:v>1.5241738471111741</c:v>
                </c:pt>
                <c:pt idx="1">
                  <c:v>1.5182944823208309</c:v>
                </c:pt>
                <c:pt idx="2">
                  <c:v>1.512351321294751</c:v>
                </c:pt>
                <c:pt idx="3">
                  <c:v>1.5063431805998686</c:v>
                </c:pt>
                <c:pt idx="4">
                  <c:v>1.5002688435082872</c:v>
                </c:pt>
                <c:pt idx="5">
                  <c:v>1.4941270586883182</c:v>
                </c:pt>
                <c:pt idx="6">
                  <c:v>1.4879165388280655</c:v>
                </c:pt>
                <c:pt idx="7">
                  <c:v>1.4816359591872119</c:v>
                </c:pt>
                <c:pt idx="8">
                  <c:v>1.4752839560723356</c:v>
                </c:pt>
                <c:pt idx="9">
                  <c:v>1.4688591252307104</c:v>
                </c:pt>
                <c:pt idx="10">
                  <c:v>1.4623600201571516</c:v>
                </c:pt>
                <c:pt idx="11">
                  <c:v>1.4557851503080201</c:v>
                </c:pt>
                <c:pt idx="12">
                  <c:v>1.4491329792160343</c:v>
                </c:pt>
                <c:pt idx="13">
                  <c:v>1.4424019224989919</c:v>
                </c:pt>
                <c:pt idx="14">
                  <c:v>1.4355903457549561</c:v>
                </c:pt>
                <c:pt idx="15">
                  <c:v>1.4286965623358017</c:v>
                </c:pt>
                <c:pt idx="16">
                  <c:v>1.4217188309903364</c:v>
                </c:pt>
                <c:pt idx="17">
                  <c:v>1.4146553533674491</c:v>
                </c:pt>
                <c:pt idx="18">
                  <c:v>1.4075042713688808</c:v>
                </c:pt>
                <c:pt idx="19">
                  <c:v>1.4002636643402935</c:v>
                </c:pt>
                <c:pt idx="20">
                  <c:v>1.3929315460882821</c:v>
                </c:pt>
                <c:pt idx="21">
                  <c:v>1.3855058617098315</c:v>
                </c:pt>
                <c:pt idx="22">
                  <c:v>1.3779844842194588</c:v>
                </c:pt>
                <c:pt idx="23">
                  <c:v>1.3703652109578905</c:v>
                </c:pt>
                <c:pt idx="24">
                  <c:v>1.3626457597645487</c:v>
                </c:pt>
                <c:pt idx="25">
                  <c:v>1.3548237648944064</c:v>
                </c:pt>
                <c:pt idx="26">
                  <c:v>1.3468967726578267</c:v>
                </c:pt>
                <c:pt idx="27">
                  <c:v>1.3388622367598473</c:v>
                </c:pt>
                <c:pt idx="28">
                  <c:v>1.3307175133129538</c:v>
                </c:pt>
                <c:pt idx="29">
                  <c:v>1.3224598554946871</c:v>
                </c:pt>
                <c:pt idx="30">
                  <c:v>1.3140864078183789</c:v>
                </c:pt>
                <c:pt idx="31">
                  <c:v>1.3055941999819061</c:v>
                </c:pt>
                <c:pt idx="32">
                  <c:v>1.2969801402554963</c:v>
                </c:pt>
                <c:pt idx="33">
                  <c:v>1.2882410083652682</c:v>
                </c:pt>
                <c:pt idx="34">
                  <c:v>1.2793734478242809</c:v>
                </c:pt>
                <c:pt idx="35">
                  <c:v>1.2703739576572763</c:v>
                </c:pt>
                <c:pt idx="36">
                  <c:v>1.2612388834589798</c:v>
                </c:pt>
                <c:pt idx="37">
                  <c:v>1.2519644077185836</c:v>
                </c:pt>
                <c:pt idx="38">
                  <c:v>1.2425465393348347</c:v>
                </c:pt>
                <c:pt idx="39">
                  <c:v>1.2329811022366906</c:v>
                </c:pt>
                <c:pt idx="40">
                  <c:v>1.2232637230137282</c:v>
                </c:pt>
                <c:pt idx="41">
                  <c:v>1.2133898174480378</c:v>
                </c:pt>
                <c:pt idx="42">
                  <c:v>1.2033545758250113</c:v>
                </c:pt>
                <c:pt idx="43">
                  <c:v>1.1931529468838646</c:v>
                </c:pt>
                <c:pt idx="44">
                  <c:v>1.1827796202494945</c:v>
                </c:pt>
                <c:pt idx="45">
                  <c:v>1.1722290071649339</c:v>
                </c:pt>
                <c:pt idx="46">
                  <c:v>1.1614952193175658</c:v>
                </c:pt>
                <c:pt idx="47">
                  <c:v>1.1505720455217145</c:v>
                </c:pt>
                <c:pt idx="48">
                  <c:v>1.1394529259843575</c:v>
                </c:pt>
                <c:pt idx="49">
                  <c:v>1.1281309238383934</c:v>
                </c:pt>
                <c:pt idx="50">
                  <c:v>1.1165986935778514</c:v>
                </c:pt>
                <c:pt idx="51">
                  <c:v>1.1048484459699508</c:v>
                </c:pt>
                <c:pt idx="52">
                  <c:v>1.0928719089479868</c:v>
                </c:pt>
                <c:pt idx="53">
                  <c:v>1.0806602839040307</c:v>
                </c:pt>
                <c:pt idx="54">
                  <c:v>1.0682041966981586</c:v>
                </c:pt>
                <c:pt idx="55">
                  <c:v>1.055493642577261</c:v>
                </c:pt>
                <c:pt idx="56">
                  <c:v>1.0425179240461986</c:v>
                </c:pt>
                <c:pt idx="57">
                  <c:v>1.0292655805505002</c:v>
                </c:pt>
                <c:pt idx="58">
                  <c:v>1.0157243086042782</c:v>
                </c:pt>
                <c:pt idx="59">
                  <c:v>1.0018808707183808</c:v>
                </c:pt>
                <c:pt idx="60">
                  <c:v>0.98772099113734724</c:v>
                </c:pt>
                <c:pt idx="61">
                  <c:v>0.97322923596009681</c:v>
                </c:pt>
                <c:pt idx="62">
                  <c:v>0.95838887467278211</c:v>
                </c:pt>
                <c:pt idx="63">
                  <c:v>0.94318171942825435</c:v>
                </c:pt>
                <c:pt idx="64">
                  <c:v>0.92758793751838531</c:v>
                </c:pt>
                <c:pt idx="65">
                  <c:v>0.91158583133891624</c:v>
                </c:pt>
                <c:pt idx="66">
                  <c:v>0.89515157865291817</c:v>
                </c:pt>
                <c:pt idx="67">
                  <c:v>0.87825892399417005</c:v>
                </c:pt>
                <c:pt idx="68">
                  <c:v>0.8608788094397295</c:v>
                </c:pt>
                <c:pt idx="69">
                  <c:v>0.84297892946871511</c:v>
                </c:pt>
                <c:pt idx="70">
                  <c:v>0.82452318984286876</c:v>
                </c:pt>
                <c:pt idx="71">
                  <c:v>0.80547104384718027</c:v>
                </c:pt>
                <c:pt idx="72">
                  <c:v>0.78577666999166507</c:v>
                </c:pt>
                <c:pt idx="73">
                  <c:v>0.7639352330047765</c:v>
                </c:pt>
                <c:pt idx="74">
                  <c:v>0.74112603689636058</c:v>
                </c:pt>
                <c:pt idx="75">
                  <c:v>0.71759219958507703</c:v>
                </c:pt>
                <c:pt idx="76">
                  <c:v>0.69325992762094102</c:v>
                </c:pt>
                <c:pt idx="77">
                  <c:v>0.66804198190281106</c:v>
                </c:pt>
                <c:pt idx="78">
                  <c:v>0.64183397535833142</c:v>
                </c:pt>
                <c:pt idx="79">
                  <c:v>0.61450924668707996</c:v>
                </c:pt>
                <c:pt idx="80">
                  <c:v>0.5859115774616217</c:v>
                </c:pt>
                <c:pt idx="81">
                  <c:v>0.55584452767227033</c:v>
                </c:pt>
                <c:pt idx="82">
                  <c:v>0.52405524640332801</c:v>
                </c:pt>
                <c:pt idx="83">
                  <c:v>0.49020879594566247</c:v>
                </c:pt>
                <c:pt idx="84">
                  <c:v>0.45384515637179557</c:v>
                </c:pt>
                <c:pt idx="85">
                  <c:v>0.41430204959881983</c:v>
                </c:pt>
                <c:pt idx="86">
                  <c:v>0.37056301844818029</c:v>
                </c:pt>
                <c:pt idx="87">
                  <c:v>0.32091698767916571</c:v>
                </c:pt>
                <c:pt idx="88">
                  <c:v>0.26202762320166401</c:v>
                </c:pt>
                <c:pt idx="89">
                  <c:v>0.18528150922409015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xVal>
          <c:yVal>
            <c:numRef>
              <c:f>'7 - Es Contours'!$X$4:$X$133</c:f>
              <c:numCache>
                <c:formatCode>#,##0</c:formatCode>
                <c:ptCount val="13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  <c:pt idx="26">
                  <c:v>13000</c:v>
                </c:pt>
                <c:pt idx="27">
                  <c:v>13500</c:v>
                </c:pt>
                <c:pt idx="28">
                  <c:v>14000</c:v>
                </c:pt>
                <c:pt idx="29">
                  <c:v>14500</c:v>
                </c:pt>
                <c:pt idx="30">
                  <c:v>15000</c:v>
                </c:pt>
                <c:pt idx="31">
                  <c:v>15500</c:v>
                </c:pt>
                <c:pt idx="32">
                  <c:v>16000</c:v>
                </c:pt>
                <c:pt idx="33">
                  <c:v>16500</c:v>
                </c:pt>
                <c:pt idx="34">
                  <c:v>17000</c:v>
                </c:pt>
                <c:pt idx="35">
                  <c:v>17500</c:v>
                </c:pt>
                <c:pt idx="36">
                  <c:v>18000</c:v>
                </c:pt>
                <c:pt idx="37">
                  <c:v>18500</c:v>
                </c:pt>
                <c:pt idx="38">
                  <c:v>19000</c:v>
                </c:pt>
                <c:pt idx="39">
                  <c:v>19500</c:v>
                </c:pt>
                <c:pt idx="40">
                  <c:v>20000</c:v>
                </c:pt>
                <c:pt idx="41">
                  <c:v>20500</c:v>
                </c:pt>
                <c:pt idx="42">
                  <c:v>21000</c:v>
                </c:pt>
                <c:pt idx="43">
                  <c:v>21500</c:v>
                </c:pt>
                <c:pt idx="44">
                  <c:v>22000</c:v>
                </c:pt>
                <c:pt idx="45">
                  <c:v>22500</c:v>
                </c:pt>
                <c:pt idx="46">
                  <c:v>23000</c:v>
                </c:pt>
                <c:pt idx="47">
                  <c:v>23500</c:v>
                </c:pt>
                <c:pt idx="48">
                  <c:v>24000</c:v>
                </c:pt>
                <c:pt idx="49">
                  <c:v>24500</c:v>
                </c:pt>
                <c:pt idx="50">
                  <c:v>25000</c:v>
                </c:pt>
                <c:pt idx="51">
                  <c:v>25500</c:v>
                </c:pt>
                <c:pt idx="52">
                  <c:v>26000</c:v>
                </c:pt>
                <c:pt idx="53">
                  <c:v>26500</c:v>
                </c:pt>
                <c:pt idx="54">
                  <c:v>27000</c:v>
                </c:pt>
                <c:pt idx="55">
                  <c:v>27500</c:v>
                </c:pt>
                <c:pt idx="56">
                  <c:v>28000</c:v>
                </c:pt>
                <c:pt idx="57">
                  <c:v>28500</c:v>
                </c:pt>
                <c:pt idx="58">
                  <c:v>29000</c:v>
                </c:pt>
                <c:pt idx="59">
                  <c:v>29500</c:v>
                </c:pt>
                <c:pt idx="60">
                  <c:v>30000</c:v>
                </c:pt>
                <c:pt idx="61">
                  <c:v>30500</c:v>
                </c:pt>
                <c:pt idx="62">
                  <c:v>31000</c:v>
                </c:pt>
                <c:pt idx="63">
                  <c:v>31500</c:v>
                </c:pt>
                <c:pt idx="64">
                  <c:v>32000</c:v>
                </c:pt>
                <c:pt idx="65">
                  <c:v>32500</c:v>
                </c:pt>
                <c:pt idx="66">
                  <c:v>33000</c:v>
                </c:pt>
                <c:pt idx="67">
                  <c:v>33500</c:v>
                </c:pt>
                <c:pt idx="68">
                  <c:v>34000</c:v>
                </c:pt>
                <c:pt idx="69">
                  <c:v>34500</c:v>
                </c:pt>
                <c:pt idx="70">
                  <c:v>35000</c:v>
                </c:pt>
                <c:pt idx="71">
                  <c:v>35500</c:v>
                </c:pt>
                <c:pt idx="72">
                  <c:v>36000</c:v>
                </c:pt>
                <c:pt idx="73">
                  <c:v>36500</c:v>
                </c:pt>
                <c:pt idx="74">
                  <c:v>37000</c:v>
                </c:pt>
                <c:pt idx="75">
                  <c:v>37500</c:v>
                </c:pt>
                <c:pt idx="76">
                  <c:v>38000</c:v>
                </c:pt>
                <c:pt idx="77">
                  <c:v>38500</c:v>
                </c:pt>
                <c:pt idx="78">
                  <c:v>39000</c:v>
                </c:pt>
                <c:pt idx="79">
                  <c:v>39500</c:v>
                </c:pt>
                <c:pt idx="80">
                  <c:v>40000</c:v>
                </c:pt>
                <c:pt idx="81">
                  <c:v>40500</c:v>
                </c:pt>
                <c:pt idx="82">
                  <c:v>41000</c:v>
                </c:pt>
                <c:pt idx="83">
                  <c:v>41500</c:v>
                </c:pt>
                <c:pt idx="84">
                  <c:v>42000</c:v>
                </c:pt>
                <c:pt idx="85">
                  <c:v>42500</c:v>
                </c:pt>
                <c:pt idx="86">
                  <c:v>43000</c:v>
                </c:pt>
                <c:pt idx="87">
                  <c:v>43500</c:v>
                </c:pt>
                <c:pt idx="88">
                  <c:v>44000</c:v>
                </c:pt>
                <c:pt idx="89">
                  <c:v>44500</c:v>
                </c:pt>
                <c:pt idx="90">
                  <c:v>45000</c:v>
                </c:pt>
                <c:pt idx="91">
                  <c:v>45500</c:v>
                </c:pt>
                <c:pt idx="92">
                  <c:v>46000</c:v>
                </c:pt>
                <c:pt idx="93">
                  <c:v>46500</c:v>
                </c:pt>
                <c:pt idx="94">
                  <c:v>47000</c:v>
                </c:pt>
                <c:pt idx="95">
                  <c:v>47500</c:v>
                </c:pt>
                <c:pt idx="96">
                  <c:v>48000</c:v>
                </c:pt>
                <c:pt idx="97">
                  <c:v>48500</c:v>
                </c:pt>
                <c:pt idx="98">
                  <c:v>49000</c:v>
                </c:pt>
                <c:pt idx="99">
                  <c:v>49500</c:v>
                </c:pt>
                <c:pt idx="100">
                  <c:v>50000</c:v>
                </c:pt>
                <c:pt idx="101">
                  <c:v>50500</c:v>
                </c:pt>
                <c:pt idx="102">
                  <c:v>51000</c:v>
                </c:pt>
                <c:pt idx="103">
                  <c:v>51500</c:v>
                </c:pt>
                <c:pt idx="104">
                  <c:v>52000</c:v>
                </c:pt>
                <c:pt idx="105">
                  <c:v>52500</c:v>
                </c:pt>
                <c:pt idx="106">
                  <c:v>53000</c:v>
                </c:pt>
                <c:pt idx="107">
                  <c:v>53500</c:v>
                </c:pt>
                <c:pt idx="108">
                  <c:v>54000</c:v>
                </c:pt>
                <c:pt idx="109">
                  <c:v>54500</c:v>
                </c:pt>
                <c:pt idx="110">
                  <c:v>55000</c:v>
                </c:pt>
                <c:pt idx="111">
                  <c:v>55500</c:v>
                </c:pt>
                <c:pt idx="112">
                  <c:v>56000</c:v>
                </c:pt>
                <c:pt idx="113">
                  <c:v>56500</c:v>
                </c:pt>
                <c:pt idx="114">
                  <c:v>57000</c:v>
                </c:pt>
                <c:pt idx="115">
                  <c:v>57500</c:v>
                </c:pt>
                <c:pt idx="116">
                  <c:v>58000</c:v>
                </c:pt>
                <c:pt idx="117">
                  <c:v>58500</c:v>
                </c:pt>
                <c:pt idx="118">
                  <c:v>59000</c:v>
                </c:pt>
                <c:pt idx="119">
                  <c:v>59500</c:v>
                </c:pt>
                <c:pt idx="120">
                  <c:v>60000</c:v>
                </c:pt>
                <c:pt idx="121">
                  <c:v>60500</c:v>
                </c:pt>
                <c:pt idx="122">
                  <c:v>61000</c:v>
                </c:pt>
                <c:pt idx="123">
                  <c:v>61500</c:v>
                </c:pt>
                <c:pt idx="124">
                  <c:v>62000</c:v>
                </c:pt>
                <c:pt idx="125">
                  <c:v>62500</c:v>
                </c:pt>
                <c:pt idx="126">
                  <c:v>63000</c:v>
                </c:pt>
                <c:pt idx="127">
                  <c:v>63500</c:v>
                </c:pt>
                <c:pt idx="128">
                  <c:v>64000</c:v>
                </c:pt>
                <c:pt idx="129">
                  <c:v>64500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465-402A-9380-2A6061E7CF57}"/>
            </c:ext>
          </c:extLst>
        </c:ser>
        <c:ser>
          <c:idx val="10"/>
          <c:order val="11"/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'7 - Es Contours'!$K$4:$K$133</c:f>
              <c:numCache>
                <c:formatCode>#,##0.0000</c:formatCode>
                <c:ptCount val="130"/>
                <c:pt idx="0">
                  <c:v>1.4370048839993323</c:v>
                </c:pt>
                <c:pt idx="1">
                  <c:v>1.4304561725006535</c:v>
                </c:pt>
                <c:pt idx="2">
                  <c:v>1.4238316920601732</c:v>
                </c:pt>
                <c:pt idx="3">
                  <c:v>1.4171299021644856</c:v>
                </c:pt>
                <c:pt idx="4">
                  <c:v>1.4103492137770337</c:v>
                </c:pt>
                <c:pt idx="5">
                  <c:v>1.4034879871773474</c:v>
                </c:pt>
                <c:pt idx="6">
                  <c:v>1.3965445296735708</c:v>
                </c:pt>
                <c:pt idx="7">
                  <c:v>1.3895170931789707</c:v>
                </c:pt>
                <c:pt idx="8">
                  <c:v>1.3824038716423304</c:v>
                </c:pt>
                <c:pt idx="9">
                  <c:v>1.3752029983211973</c:v>
                </c:pt>
                <c:pt idx="10">
                  <c:v>1.367912542885974</c:v>
                </c:pt>
                <c:pt idx="11">
                  <c:v>1.3605305083417156</c:v>
                </c:pt>
                <c:pt idx="12">
                  <c:v>1.3530548277532846</c:v>
                </c:pt>
                <c:pt idx="13">
                  <c:v>1.345483360758132</c:v>
                </c:pt>
                <c:pt idx="14">
                  <c:v>1.3378138898494807</c:v>
                </c:pt>
                <c:pt idx="15">
                  <c:v>1.3300441164109753</c:v>
                </c:pt>
                <c:pt idx="16">
                  <c:v>1.3221716564819974</c:v>
                </c:pt>
                <c:pt idx="17">
                  <c:v>1.3141940362307405</c:v>
                </c:pt>
                <c:pt idx="18">
                  <c:v>1.3061086871097818</c:v>
                </c:pt>
                <c:pt idx="19">
                  <c:v>1.2979129406662571</c:v>
                </c:pt>
                <c:pt idx="20">
                  <c:v>1.2896040229757877</c:v>
                </c:pt>
                <c:pt idx="21">
                  <c:v>1.2811790486659795</c:v>
                </c:pt>
                <c:pt idx="22">
                  <c:v>1.272635014491557</c:v>
                </c:pt>
                <c:pt idx="23">
                  <c:v>1.2639687924189771</c:v>
                </c:pt>
                <c:pt idx="24">
                  <c:v>1.2551771221735579</c:v>
                </c:pt>
                <c:pt idx="25">
                  <c:v>1.2462566031967399</c:v>
                </c:pt>
                <c:pt idx="26">
                  <c:v>1.2372036859549171</c:v>
                </c:pt>
                <c:pt idx="27">
                  <c:v>1.2280146625342503</c:v>
                </c:pt>
                <c:pt idx="28">
                  <c:v>1.2186856564478441</c:v>
                </c:pt>
                <c:pt idx="29">
                  <c:v>1.2092126115725088</c:v>
                </c:pt>
                <c:pt idx="30">
                  <c:v>1.1995912801217652</c:v>
                </c:pt>
                <c:pt idx="31">
                  <c:v>1.1898172095496704</c:v>
                </c:pt>
                <c:pt idx="32">
                  <c:v>1.1798857282660602</c:v>
                </c:pt>
                <c:pt idx="33">
                  <c:v>1.1697919300276562</c:v>
                </c:pt>
                <c:pt idx="34">
                  <c:v>1.1595306568507595</c:v>
                </c:pt>
                <c:pt idx="35">
                  <c:v>1.1490964802694612</c:v>
                </c:pt>
                <c:pt idx="36">
                  <c:v>1.1384836807378811</c:v>
                </c:pt>
                <c:pt idx="37">
                  <c:v>1.1276862249451742</c:v>
                </c:pt>
                <c:pt idx="38">
                  <c:v>1.1166977407770793</c:v>
                </c:pt>
                <c:pt idx="39">
                  <c:v>1.1055114896165554</c:v>
                </c:pt>
                <c:pt idx="40">
                  <c:v>1.094120335627268</c:v>
                </c:pt>
                <c:pt idx="41">
                  <c:v>1.0825167116057135</c:v>
                </c:pt>
                <c:pt idx="42">
                  <c:v>1.0706925809186325</c:v>
                </c:pt>
                <c:pt idx="43">
                  <c:v>1.0586393949595292</c:v>
                </c:pt>
                <c:pt idx="44">
                  <c:v>1.0463480454583909</c:v>
                </c:pt>
                <c:pt idx="45">
                  <c:v>1.0338088108581891</c:v>
                </c:pt>
                <c:pt idx="46">
                  <c:v>1.0210112958252033</c:v>
                </c:pt>
                <c:pt idx="47">
                  <c:v>1.0079443627812643</c:v>
                </c:pt>
                <c:pt idx="48">
                  <c:v>0.99459605412613961</c:v>
                </c:pt>
                <c:pt idx="49">
                  <c:v>0.98095350354660182</c:v>
                </c:pt>
                <c:pt idx="50">
                  <c:v>0.96700283447093549</c:v>
                </c:pt>
                <c:pt idx="51">
                  <c:v>0.95272904330482078</c:v>
                </c:pt>
                <c:pt idx="52">
                  <c:v>0.9381158645516593</c:v>
                </c:pt>
                <c:pt idx="53">
                  <c:v>0.92314561424370856</c:v>
                </c:pt>
                <c:pt idx="54">
                  <c:v>0.90779900724426932</c:v>
                </c:pt>
                <c:pt idx="55">
                  <c:v>0.8920549428630723</c:v>
                </c:pt>
                <c:pt idx="56">
                  <c:v>0.87589025177047031</c:v>
                </c:pt>
                <c:pt idx="57">
                  <c:v>0.85927939527992725</c:v>
                </c:pt>
                <c:pt idx="58">
                  <c:v>0.84219410552088692</c:v>
                </c:pt>
                <c:pt idx="59">
                  <c:v>0.82460295159862007</c:v>
                </c:pt>
                <c:pt idx="60">
                  <c:v>0.8064708121741887</c:v>
                </c:pt>
                <c:pt idx="61">
                  <c:v>0.78775822846296162</c:v>
                </c:pt>
                <c:pt idx="62">
                  <c:v>0.76842060264029577</c:v>
                </c:pt>
                <c:pt idx="63">
                  <c:v>0.74840719382298471</c:v>
                </c:pt>
                <c:pt idx="64">
                  <c:v>0.72765984522762028</c:v>
                </c:pt>
                <c:pt idx="65">
                  <c:v>0.70611134868285319</c:v>
                </c:pt>
                <c:pt idx="66">
                  <c:v>0.68368331127270232</c:v>
                </c:pt>
                <c:pt idx="67">
                  <c:v>0.66028332484196128</c:v>
                </c:pt>
                <c:pt idx="68">
                  <c:v>0.63580113723869502</c:v>
                </c:pt>
                <c:pt idx="69">
                  <c:v>0.61010335700524387</c:v>
                </c:pt>
                <c:pt idx="70">
                  <c:v>0.58302593878345566</c:v>
                </c:pt>
                <c:pt idx="71">
                  <c:v>0.55436319190706485</c:v>
                </c:pt>
                <c:pt idx="72">
                  <c:v>0.52385111332777667</c:v>
                </c:pt>
                <c:pt idx="73">
                  <c:v>0.49020879594566247</c:v>
                </c:pt>
                <c:pt idx="74">
                  <c:v>0.45384515637179557</c:v>
                </c:pt>
                <c:pt idx="75">
                  <c:v>0.41430204959881983</c:v>
                </c:pt>
                <c:pt idx="76">
                  <c:v>0.37056301844818029</c:v>
                </c:pt>
                <c:pt idx="77">
                  <c:v>0.32091698767916571</c:v>
                </c:pt>
                <c:pt idx="78">
                  <c:v>0.26202762320166401</c:v>
                </c:pt>
                <c:pt idx="79">
                  <c:v>0.18528150922409015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xVal>
          <c:yVal>
            <c:numRef>
              <c:f>'7 - Es Contours'!$X$4:$X$133</c:f>
              <c:numCache>
                <c:formatCode>#,##0</c:formatCode>
                <c:ptCount val="13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  <c:pt idx="26">
                  <c:v>13000</c:v>
                </c:pt>
                <c:pt idx="27">
                  <c:v>13500</c:v>
                </c:pt>
                <c:pt idx="28">
                  <c:v>14000</c:v>
                </c:pt>
                <c:pt idx="29">
                  <c:v>14500</c:v>
                </c:pt>
                <c:pt idx="30">
                  <c:v>15000</c:v>
                </c:pt>
                <c:pt idx="31">
                  <c:v>15500</c:v>
                </c:pt>
                <c:pt idx="32">
                  <c:v>16000</c:v>
                </c:pt>
                <c:pt idx="33">
                  <c:v>16500</c:v>
                </c:pt>
                <c:pt idx="34">
                  <c:v>17000</c:v>
                </c:pt>
                <c:pt idx="35">
                  <c:v>17500</c:v>
                </c:pt>
                <c:pt idx="36">
                  <c:v>18000</c:v>
                </c:pt>
                <c:pt idx="37">
                  <c:v>18500</c:v>
                </c:pt>
                <c:pt idx="38">
                  <c:v>19000</c:v>
                </c:pt>
                <c:pt idx="39">
                  <c:v>19500</c:v>
                </c:pt>
                <c:pt idx="40">
                  <c:v>20000</c:v>
                </c:pt>
                <c:pt idx="41">
                  <c:v>20500</c:v>
                </c:pt>
                <c:pt idx="42">
                  <c:v>21000</c:v>
                </c:pt>
                <c:pt idx="43">
                  <c:v>21500</c:v>
                </c:pt>
                <c:pt idx="44">
                  <c:v>22000</c:v>
                </c:pt>
                <c:pt idx="45">
                  <c:v>22500</c:v>
                </c:pt>
                <c:pt idx="46">
                  <c:v>23000</c:v>
                </c:pt>
                <c:pt idx="47">
                  <c:v>23500</c:v>
                </c:pt>
                <c:pt idx="48">
                  <c:v>24000</c:v>
                </c:pt>
                <c:pt idx="49">
                  <c:v>24500</c:v>
                </c:pt>
                <c:pt idx="50">
                  <c:v>25000</c:v>
                </c:pt>
                <c:pt idx="51">
                  <c:v>25500</c:v>
                </c:pt>
                <c:pt idx="52">
                  <c:v>26000</c:v>
                </c:pt>
                <c:pt idx="53">
                  <c:v>26500</c:v>
                </c:pt>
                <c:pt idx="54">
                  <c:v>27000</c:v>
                </c:pt>
                <c:pt idx="55">
                  <c:v>27500</c:v>
                </c:pt>
                <c:pt idx="56">
                  <c:v>28000</c:v>
                </c:pt>
                <c:pt idx="57">
                  <c:v>28500</c:v>
                </c:pt>
                <c:pt idx="58">
                  <c:v>29000</c:v>
                </c:pt>
                <c:pt idx="59">
                  <c:v>29500</c:v>
                </c:pt>
                <c:pt idx="60">
                  <c:v>30000</c:v>
                </c:pt>
                <c:pt idx="61">
                  <c:v>30500</c:v>
                </c:pt>
                <c:pt idx="62">
                  <c:v>31000</c:v>
                </c:pt>
                <c:pt idx="63">
                  <c:v>31500</c:v>
                </c:pt>
                <c:pt idx="64">
                  <c:v>32000</c:v>
                </c:pt>
                <c:pt idx="65">
                  <c:v>32500</c:v>
                </c:pt>
                <c:pt idx="66">
                  <c:v>33000</c:v>
                </c:pt>
                <c:pt idx="67">
                  <c:v>33500</c:v>
                </c:pt>
                <c:pt idx="68">
                  <c:v>34000</c:v>
                </c:pt>
                <c:pt idx="69">
                  <c:v>34500</c:v>
                </c:pt>
                <c:pt idx="70">
                  <c:v>35000</c:v>
                </c:pt>
                <c:pt idx="71">
                  <c:v>35500</c:v>
                </c:pt>
                <c:pt idx="72">
                  <c:v>36000</c:v>
                </c:pt>
                <c:pt idx="73">
                  <c:v>36500</c:v>
                </c:pt>
                <c:pt idx="74">
                  <c:v>37000</c:v>
                </c:pt>
                <c:pt idx="75">
                  <c:v>37500</c:v>
                </c:pt>
                <c:pt idx="76">
                  <c:v>38000</c:v>
                </c:pt>
                <c:pt idx="77">
                  <c:v>38500</c:v>
                </c:pt>
                <c:pt idx="78">
                  <c:v>39000</c:v>
                </c:pt>
                <c:pt idx="79">
                  <c:v>39500</c:v>
                </c:pt>
                <c:pt idx="80">
                  <c:v>40000</c:v>
                </c:pt>
                <c:pt idx="81">
                  <c:v>40500</c:v>
                </c:pt>
                <c:pt idx="82">
                  <c:v>41000</c:v>
                </c:pt>
                <c:pt idx="83">
                  <c:v>41500</c:v>
                </c:pt>
                <c:pt idx="84">
                  <c:v>42000</c:v>
                </c:pt>
                <c:pt idx="85">
                  <c:v>42500</c:v>
                </c:pt>
                <c:pt idx="86">
                  <c:v>43000</c:v>
                </c:pt>
                <c:pt idx="87">
                  <c:v>43500</c:v>
                </c:pt>
                <c:pt idx="88">
                  <c:v>44000</c:v>
                </c:pt>
                <c:pt idx="89">
                  <c:v>44500</c:v>
                </c:pt>
                <c:pt idx="90">
                  <c:v>45000</c:v>
                </c:pt>
                <c:pt idx="91">
                  <c:v>45500</c:v>
                </c:pt>
                <c:pt idx="92">
                  <c:v>46000</c:v>
                </c:pt>
                <c:pt idx="93">
                  <c:v>46500</c:v>
                </c:pt>
                <c:pt idx="94">
                  <c:v>47000</c:v>
                </c:pt>
                <c:pt idx="95">
                  <c:v>47500</c:v>
                </c:pt>
                <c:pt idx="96">
                  <c:v>48000</c:v>
                </c:pt>
                <c:pt idx="97">
                  <c:v>48500</c:v>
                </c:pt>
                <c:pt idx="98">
                  <c:v>49000</c:v>
                </c:pt>
                <c:pt idx="99">
                  <c:v>49500</c:v>
                </c:pt>
                <c:pt idx="100">
                  <c:v>50000</c:v>
                </c:pt>
                <c:pt idx="101">
                  <c:v>50500</c:v>
                </c:pt>
                <c:pt idx="102">
                  <c:v>51000</c:v>
                </c:pt>
                <c:pt idx="103">
                  <c:v>51500</c:v>
                </c:pt>
                <c:pt idx="104">
                  <c:v>52000</c:v>
                </c:pt>
                <c:pt idx="105">
                  <c:v>52500</c:v>
                </c:pt>
                <c:pt idx="106">
                  <c:v>53000</c:v>
                </c:pt>
                <c:pt idx="107">
                  <c:v>53500</c:v>
                </c:pt>
                <c:pt idx="108">
                  <c:v>54000</c:v>
                </c:pt>
                <c:pt idx="109">
                  <c:v>54500</c:v>
                </c:pt>
                <c:pt idx="110">
                  <c:v>55000</c:v>
                </c:pt>
                <c:pt idx="111">
                  <c:v>55500</c:v>
                </c:pt>
                <c:pt idx="112">
                  <c:v>56000</c:v>
                </c:pt>
                <c:pt idx="113">
                  <c:v>56500</c:v>
                </c:pt>
                <c:pt idx="114">
                  <c:v>57000</c:v>
                </c:pt>
                <c:pt idx="115">
                  <c:v>57500</c:v>
                </c:pt>
                <c:pt idx="116">
                  <c:v>58000</c:v>
                </c:pt>
                <c:pt idx="117">
                  <c:v>58500</c:v>
                </c:pt>
                <c:pt idx="118">
                  <c:v>59000</c:v>
                </c:pt>
                <c:pt idx="119">
                  <c:v>59500</c:v>
                </c:pt>
                <c:pt idx="120">
                  <c:v>60000</c:v>
                </c:pt>
                <c:pt idx="121">
                  <c:v>60500</c:v>
                </c:pt>
                <c:pt idx="122">
                  <c:v>61000</c:v>
                </c:pt>
                <c:pt idx="123">
                  <c:v>61500</c:v>
                </c:pt>
                <c:pt idx="124">
                  <c:v>62000</c:v>
                </c:pt>
                <c:pt idx="125">
                  <c:v>62500</c:v>
                </c:pt>
                <c:pt idx="126">
                  <c:v>63000</c:v>
                </c:pt>
                <c:pt idx="127">
                  <c:v>63500</c:v>
                </c:pt>
                <c:pt idx="128">
                  <c:v>64000</c:v>
                </c:pt>
                <c:pt idx="129">
                  <c:v>64500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465-402A-9380-2A6061E7CF57}"/>
            </c:ext>
          </c:extLst>
        </c:ser>
        <c:ser>
          <c:idx val="9"/>
          <c:order val="12"/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'7 - Es Contours'!$J$4:$J$133</c:f>
              <c:numCache>
                <c:formatCode>#,##0.0000</c:formatCode>
                <c:ptCount val="130"/>
                <c:pt idx="0">
                  <c:v>1.3441949847615833</c:v>
                </c:pt>
                <c:pt idx="1">
                  <c:v>1.3368588511299757</c:v>
                </c:pt>
                <c:pt idx="2">
                  <c:v>1.3294310270216703</c:v>
                </c:pt>
                <c:pt idx="3">
                  <c:v>1.3219094301341987</c:v>
                </c:pt>
                <c:pt idx="4">
                  <c:v>1.3142919031939972</c:v>
                </c:pt>
                <c:pt idx="5">
                  <c:v>1.3065762100993723</c:v>
                </c:pt>
                <c:pt idx="6">
                  <c:v>1.298760031801202</c:v>
                </c:pt>
                <c:pt idx="7">
                  <c:v>1.2908409618990493</c:v>
                </c:pt>
                <c:pt idx="8">
                  <c:v>1.2828165019280691</c:v>
                </c:pt>
                <c:pt idx="9">
                  <c:v>1.274684056309521</c:v>
                </c:pt>
                <c:pt idx="10">
                  <c:v>1.2664409269348169</c:v>
                </c:pt>
                <c:pt idx="11">
                  <c:v>1.2580843073497854</c:v>
                </c:pt>
                <c:pt idx="12">
                  <c:v>1.2496112765021772</c:v>
                </c:pt>
                <c:pt idx="13">
                  <c:v>1.2410187920113083</c:v>
                </c:pt>
                <c:pt idx="14">
                  <c:v>1.2323036829140626</c:v>
                </c:pt>
                <c:pt idx="15">
                  <c:v>1.2234626418361809</c:v>
                </c:pt>
                <c:pt idx="16">
                  <c:v>1.214492216531736</c:v>
                </c:pt>
                <c:pt idx="17">
                  <c:v>1.2053888007268476</c:v>
                </c:pt>
                <c:pt idx="18">
                  <c:v>1.1961486241958528</c:v>
                </c:pt>
                <c:pt idx="19">
                  <c:v>1.1867677419892044</c:v>
                </c:pt>
                <c:pt idx="20">
                  <c:v>1.1772420227220823</c:v>
                </c:pt>
                <c:pt idx="21">
                  <c:v>1.1675671358209028</c:v>
                </c:pt>
                <c:pt idx="22">
                  <c:v>1.1577385376112705</c:v>
                </c:pt>
                <c:pt idx="23">
                  <c:v>1.1477514561151776</c:v>
                </c:pt>
                <c:pt idx="24">
                  <c:v>1.1376008744069621</c:v>
                </c:pt>
                <c:pt idx="25">
                  <c:v>1.1272815123562965</c:v>
                </c:pt>
                <c:pt idx="26">
                  <c:v>1.1167878065616572</c:v>
                </c:pt>
                <c:pt idx="27">
                  <c:v>1.1061138882486898</c:v>
                </c:pt>
                <c:pt idx="28">
                  <c:v>1.0952535588737498</c:v>
                </c:pt>
                <c:pt idx="29">
                  <c:v>1.0842002631326866</c:v>
                </c:pt>
                <c:pt idx="30">
                  <c:v>1.0729470590273038</c:v>
                </c:pt>
                <c:pt idx="31">
                  <c:v>1.0614865845853798</c:v>
                </c:pt>
                <c:pt idx="32">
                  <c:v>1.0498110207626397</c:v>
                </c:pt>
                <c:pt idx="33">
                  <c:v>1.0379120499742236</c:v>
                </c:pt>
                <c:pt idx="34">
                  <c:v>1.0257808096058925</c:v>
                </c:pt>
                <c:pt idx="35">
                  <c:v>1.0134078397375443</c:v>
                </c:pt>
                <c:pt idx="36">
                  <c:v>1.0007830241686224</c:v>
                </c:pt>
                <c:pt idx="37">
                  <c:v>0.98789552366029687</c:v>
                </c:pt>
                <c:pt idx="38">
                  <c:v>0.9747337000946934</c:v>
                </c:pt>
                <c:pt idx="39">
                  <c:v>0.96128502998622944</c:v>
                </c:pt>
                <c:pt idx="40">
                  <c:v>0.94753600545037031</c:v>
                </c:pt>
                <c:pt idx="41">
                  <c:v>0.93347202032236187</c:v>
                </c:pt>
                <c:pt idx="42">
                  <c:v>0.91907723859826507</c:v>
                </c:pt>
                <c:pt idx="43">
                  <c:v>0.90433444170998245</c:v>
                </c:pt>
                <c:pt idx="44">
                  <c:v>0.88922485030033427</c:v>
                </c:pt>
                <c:pt idx="45">
                  <c:v>0.8737279150726267</c:v>
                </c:pt>
                <c:pt idx="46">
                  <c:v>0.85782106986699758</c:v>
                </c:pt>
                <c:pt idx="47">
                  <c:v>0.8414794382449492</c:v>
                </c:pt>
                <c:pt idx="48">
                  <c:v>0.824675482376104</c:v>
                </c:pt>
                <c:pt idx="49">
                  <c:v>0.80737857967637394</c:v>
                </c:pt>
                <c:pt idx="50">
                  <c:v>0.78955450809293859</c:v>
                </c:pt>
                <c:pt idx="51">
                  <c:v>0.7711648146478306</c:v>
                </c:pt>
                <c:pt idx="52">
                  <c:v>0.75216603305347263</c:v>
                </c:pt>
                <c:pt idx="53">
                  <c:v>0.73250870369385246</c:v>
                </c:pt>
                <c:pt idx="54">
                  <c:v>0.71213613113210572</c:v>
                </c:pt>
                <c:pt idx="55">
                  <c:v>0.6909827875221376</c:v>
                </c:pt>
                <c:pt idx="56">
                  <c:v>0.66897222986868476</c:v>
                </c:pt>
                <c:pt idx="57">
                  <c:v>0.64601433652769413</c:v>
                </c:pt>
                <c:pt idx="58">
                  <c:v>0.62200156885542868</c:v>
                </c:pt>
                <c:pt idx="59">
                  <c:v>0.59680380064045446</c:v>
                </c:pt>
                <c:pt idx="60">
                  <c:v>0.57026098011739135</c:v>
                </c:pt>
                <c:pt idx="61">
                  <c:v>0.54217239628621194</c:v>
                </c:pt>
                <c:pt idx="62">
                  <c:v>0.51228040176019718</c:v>
                </c:pt>
                <c:pt idx="63">
                  <c:v>0.48024462481984187</c:v>
                </c:pt>
                <c:pt idx="64">
                  <c:v>0.44559883178006271</c:v>
                </c:pt>
                <c:pt idx="65">
                  <c:v>0.40767357723989495</c:v>
                </c:pt>
                <c:pt idx="66">
                  <c:v>0.36544410169108205</c:v>
                </c:pt>
                <c:pt idx="67">
                  <c:v>0.31718984938568368</c:v>
                </c:pt>
                <c:pt idx="68">
                  <c:v>0.25956472735267722</c:v>
                </c:pt>
                <c:pt idx="69">
                  <c:v>0.18395308350205844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xVal>
          <c:yVal>
            <c:numRef>
              <c:f>'7 - Es Contours'!$X$4:$X$133</c:f>
              <c:numCache>
                <c:formatCode>#,##0</c:formatCode>
                <c:ptCount val="13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  <c:pt idx="26">
                  <c:v>13000</c:v>
                </c:pt>
                <c:pt idx="27">
                  <c:v>13500</c:v>
                </c:pt>
                <c:pt idx="28">
                  <c:v>14000</c:v>
                </c:pt>
                <c:pt idx="29">
                  <c:v>14500</c:v>
                </c:pt>
                <c:pt idx="30">
                  <c:v>15000</c:v>
                </c:pt>
                <c:pt idx="31">
                  <c:v>15500</c:v>
                </c:pt>
                <c:pt idx="32">
                  <c:v>16000</c:v>
                </c:pt>
                <c:pt idx="33">
                  <c:v>16500</c:v>
                </c:pt>
                <c:pt idx="34">
                  <c:v>17000</c:v>
                </c:pt>
                <c:pt idx="35">
                  <c:v>17500</c:v>
                </c:pt>
                <c:pt idx="36">
                  <c:v>18000</c:v>
                </c:pt>
                <c:pt idx="37">
                  <c:v>18500</c:v>
                </c:pt>
                <c:pt idx="38">
                  <c:v>19000</c:v>
                </c:pt>
                <c:pt idx="39">
                  <c:v>19500</c:v>
                </c:pt>
                <c:pt idx="40">
                  <c:v>20000</c:v>
                </c:pt>
                <c:pt idx="41">
                  <c:v>20500</c:v>
                </c:pt>
                <c:pt idx="42">
                  <c:v>21000</c:v>
                </c:pt>
                <c:pt idx="43">
                  <c:v>21500</c:v>
                </c:pt>
                <c:pt idx="44">
                  <c:v>22000</c:v>
                </c:pt>
                <c:pt idx="45">
                  <c:v>22500</c:v>
                </c:pt>
                <c:pt idx="46">
                  <c:v>23000</c:v>
                </c:pt>
                <c:pt idx="47">
                  <c:v>23500</c:v>
                </c:pt>
                <c:pt idx="48">
                  <c:v>24000</c:v>
                </c:pt>
                <c:pt idx="49">
                  <c:v>24500</c:v>
                </c:pt>
                <c:pt idx="50">
                  <c:v>25000</c:v>
                </c:pt>
                <c:pt idx="51">
                  <c:v>25500</c:v>
                </c:pt>
                <c:pt idx="52">
                  <c:v>26000</c:v>
                </c:pt>
                <c:pt idx="53">
                  <c:v>26500</c:v>
                </c:pt>
                <c:pt idx="54">
                  <c:v>27000</c:v>
                </c:pt>
                <c:pt idx="55">
                  <c:v>27500</c:v>
                </c:pt>
                <c:pt idx="56">
                  <c:v>28000</c:v>
                </c:pt>
                <c:pt idx="57">
                  <c:v>28500</c:v>
                </c:pt>
                <c:pt idx="58">
                  <c:v>29000</c:v>
                </c:pt>
                <c:pt idx="59">
                  <c:v>29500</c:v>
                </c:pt>
                <c:pt idx="60">
                  <c:v>30000</c:v>
                </c:pt>
                <c:pt idx="61">
                  <c:v>30500</c:v>
                </c:pt>
                <c:pt idx="62">
                  <c:v>31000</c:v>
                </c:pt>
                <c:pt idx="63">
                  <c:v>31500</c:v>
                </c:pt>
                <c:pt idx="64">
                  <c:v>32000</c:v>
                </c:pt>
                <c:pt idx="65">
                  <c:v>32500</c:v>
                </c:pt>
                <c:pt idx="66">
                  <c:v>33000</c:v>
                </c:pt>
                <c:pt idx="67">
                  <c:v>33500</c:v>
                </c:pt>
                <c:pt idx="68">
                  <c:v>34000</c:v>
                </c:pt>
                <c:pt idx="69">
                  <c:v>34500</c:v>
                </c:pt>
                <c:pt idx="70">
                  <c:v>35000</c:v>
                </c:pt>
                <c:pt idx="71">
                  <c:v>35500</c:v>
                </c:pt>
                <c:pt idx="72">
                  <c:v>36000</c:v>
                </c:pt>
                <c:pt idx="73">
                  <c:v>36500</c:v>
                </c:pt>
                <c:pt idx="74">
                  <c:v>37000</c:v>
                </c:pt>
                <c:pt idx="75">
                  <c:v>37500</c:v>
                </c:pt>
                <c:pt idx="76">
                  <c:v>38000</c:v>
                </c:pt>
                <c:pt idx="77">
                  <c:v>38500</c:v>
                </c:pt>
                <c:pt idx="78">
                  <c:v>39000</c:v>
                </c:pt>
                <c:pt idx="79">
                  <c:v>39500</c:v>
                </c:pt>
                <c:pt idx="80">
                  <c:v>40000</c:v>
                </c:pt>
                <c:pt idx="81">
                  <c:v>40500</c:v>
                </c:pt>
                <c:pt idx="82">
                  <c:v>41000</c:v>
                </c:pt>
                <c:pt idx="83">
                  <c:v>41500</c:v>
                </c:pt>
                <c:pt idx="84">
                  <c:v>42000</c:v>
                </c:pt>
                <c:pt idx="85">
                  <c:v>42500</c:v>
                </c:pt>
                <c:pt idx="86">
                  <c:v>43000</c:v>
                </c:pt>
                <c:pt idx="87">
                  <c:v>43500</c:v>
                </c:pt>
                <c:pt idx="88">
                  <c:v>44000</c:v>
                </c:pt>
                <c:pt idx="89">
                  <c:v>44500</c:v>
                </c:pt>
                <c:pt idx="90">
                  <c:v>45000</c:v>
                </c:pt>
                <c:pt idx="91">
                  <c:v>45500</c:v>
                </c:pt>
                <c:pt idx="92">
                  <c:v>46000</c:v>
                </c:pt>
                <c:pt idx="93">
                  <c:v>46500</c:v>
                </c:pt>
                <c:pt idx="94">
                  <c:v>47000</c:v>
                </c:pt>
                <c:pt idx="95">
                  <c:v>47500</c:v>
                </c:pt>
                <c:pt idx="96">
                  <c:v>48000</c:v>
                </c:pt>
                <c:pt idx="97">
                  <c:v>48500</c:v>
                </c:pt>
                <c:pt idx="98">
                  <c:v>49000</c:v>
                </c:pt>
                <c:pt idx="99">
                  <c:v>49500</c:v>
                </c:pt>
                <c:pt idx="100">
                  <c:v>50000</c:v>
                </c:pt>
                <c:pt idx="101">
                  <c:v>50500</c:v>
                </c:pt>
                <c:pt idx="102">
                  <c:v>51000</c:v>
                </c:pt>
                <c:pt idx="103">
                  <c:v>51500</c:v>
                </c:pt>
                <c:pt idx="104">
                  <c:v>52000</c:v>
                </c:pt>
                <c:pt idx="105">
                  <c:v>52500</c:v>
                </c:pt>
                <c:pt idx="106">
                  <c:v>53000</c:v>
                </c:pt>
                <c:pt idx="107">
                  <c:v>53500</c:v>
                </c:pt>
                <c:pt idx="108">
                  <c:v>54000</c:v>
                </c:pt>
                <c:pt idx="109">
                  <c:v>54500</c:v>
                </c:pt>
                <c:pt idx="110">
                  <c:v>55000</c:v>
                </c:pt>
                <c:pt idx="111">
                  <c:v>55500</c:v>
                </c:pt>
                <c:pt idx="112">
                  <c:v>56000</c:v>
                </c:pt>
                <c:pt idx="113">
                  <c:v>56500</c:v>
                </c:pt>
                <c:pt idx="114">
                  <c:v>57000</c:v>
                </c:pt>
                <c:pt idx="115">
                  <c:v>57500</c:v>
                </c:pt>
                <c:pt idx="116">
                  <c:v>58000</c:v>
                </c:pt>
                <c:pt idx="117">
                  <c:v>58500</c:v>
                </c:pt>
                <c:pt idx="118">
                  <c:v>59000</c:v>
                </c:pt>
                <c:pt idx="119">
                  <c:v>59500</c:v>
                </c:pt>
                <c:pt idx="120">
                  <c:v>60000</c:v>
                </c:pt>
                <c:pt idx="121">
                  <c:v>60500</c:v>
                </c:pt>
                <c:pt idx="122">
                  <c:v>61000</c:v>
                </c:pt>
                <c:pt idx="123">
                  <c:v>61500</c:v>
                </c:pt>
                <c:pt idx="124">
                  <c:v>62000</c:v>
                </c:pt>
                <c:pt idx="125">
                  <c:v>62500</c:v>
                </c:pt>
                <c:pt idx="126">
                  <c:v>63000</c:v>
                </c:pt>
                <c:pt idx="127">
                  <c:v>63500</c:v>
                </c:pt>
                <c:pt idx="128">
                  <c:v>64000</c:v>
                </c:pt>
                <c:pt idx="129">
                  <c:v>64500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465-402A-9380-2A6061E7CF57}"/>
            </c:ext>
          </c:extLst>
        </c:ser>
        <c:ser>
          <c:idx val="8"/>
          <c:order val="13"/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'7 - Es Contours'!$I$4:$I$133</c:f>
              <c:numCache>
                <c:formatCode>#,##0.0000</c:formatCode>
                <c:ptCount val="130"/>
                <c:pt idx="0">
                  <c:v>1.2444827349057324</c:v>
                </c:pt>
                <c:pt idx="1">
                  <c:v>1.2361950955427294</c:v>
                </c:pt>
                <c:pt idx="2">
                  <c:v>1.227793559154327</c:v>
                </c:pt>
                <c:pt idx="3">
                  <c:v>1.2192751630976162</c:v>
                </c:pt>
                <c:pt idx="4">
                  <c:v>1.2106368195297477</c:v>
                </c:pt>
                <c:pt idx="5">
                  <c:v>1.2018753077770405</c:v>
                </c:pt>
                <c:pt idx="6">
                  <c:v>1.1929872660876746</c:v>
                </c:pt>
                <c:pt idx="7">
                  <c:v>1.1839691827055252</c:v>
                </c:pt>
                <c:pt idx="8">
                  <c:v>1.1748173861950764</c:v>
                </c:pt>
                <c:pt idx="9">
                  <c:v>1.1655280349385753</c:v>
                </c:pt>
                <c:pt idx="10">
                  <c:v>1.1560971057165854</c:v>
                </c:pt>
                <c:pt idx="11">
                  <c:v>1.1465203812715286</c:v>
                </c:pt>
                <c:pt idx="12">
                  <c:v>1.1367934367405241</c:v>
                </c:pt>
                <c:pt idx="13">
                  <c:v>1.1269116248284141</c:v>
                </c:pt>
                <c:pt idx="14">
                  <c:v>1.1168700595740431</c:v>
                </c:pt>
                <c:pt idx="15">
                  <c:v>1.1066635985420694</c:v>
                </c:pt>
                <c:pt idx="16">
                  <c:v>1.096286823248364</c:v>
                </c:pt>
                <c:pt idx="17">
                  <c:v>1.0857340175986798</c:v>
                </c:pt>
                <c:pt idx="18">
                  <c:v>1.0749991440869271</c:v>
                </c:pt>
                <c:pt idx="19">
                  <c:v>1.0640758174600999</c:v>
                </c:pt>
                <c:pt idx="20">
                  <c:v>1.0529572755103713</c:v>
                </c:pt>
                <c:pt idx="21">
                  <c:v>1.0416363465996128</c:v>
                </c:pt>
                <c:pt idx="22">
                  <c:v>1.0301054134556527</c:v>
                </c:pt>
                <c:pt idx="23">
                  <c:v>1.0183563727006053</c:v>
                </c:pt>
                <c:pt idx="24">
                  <c:v>1.0063805894765037</c:v>
                </c:pt>
                <c:pt idx="25">
                  <c:v>0.99416884641851533</c:v>
                </c:pt>
                <c:pt idx="26">
                  <c:v>0.98171128608627189</c:v>
                </c:pt>
                <c:pt idx="27">
                  <c:v>0.96899734579314611</c:v>
                </c:pt>
                <c:pt idx="28">
                  <c:v>0.9560156835635677</c:v>
                </c:pt>
                <c:pt idx="29">
                  <c:v>0.94275409368931695</c:v>
                </c:pt>
                <c:pt idx="30">
                  <c:v>0.92919941003344664</c:v>
                </c:pt>
                <c:pt idx="31">
                  <c:v>0.9153373948271234</c:v>
                </c:pt>
                <c:pt idx="32">
                  <c:v>0.90115261019621973</c:v>
                </c:pt>
                <c:pt idx="33">
                  <c:v>0.88662826900881153</c:v>
                </c:pt>
                <c:pt idx="34">
                  <c:v>0.87174606080824191</c:v>
                </c:pt>
                <c:pt idx="35">
                  <c:v>0.85648594752942031</c:v>
                </c:pt>
                <c:pt idx="36">
                  <c:v>0.84082592230598652</c:v>
                </c:pt>
                <c:pt idx="37">
                  <c:v>0.82474172284722314</c:v>
                </c:pt>
                <c:pt idx="38">
                  <c:v>0.80820648843222642</c:v>
                </c:pt>
                <c:pt idx="39">
                  <c:v>0.79119034629919305</c:v>
                </c:pt>
                <c:pt idx="40">
                  <c:v>0.77365990875614254</c:v>
                </c:pt>
                <c:pt idx="41">
                  <c:v>0.75557765619675177</c:v>
                </c:pt>
                <c:pt idx="42">
                  <c:v>0.73690117260364185</c:v>
                </c:pt>
                <c:pt idx="43">
                  <c:v>0.71758218788201067</c:v>
                </c:pt>
                <c:pt idx="44">
                  <c:v>0.69756536363892729</c:v>
                </c:pt>
                <c:pt idx="45">
                  <c:v>0.67678673283856228</c:v>
                </c:pt>
                <c:pt idx="46">
                  <c:v>0.65517166423225315</c:v>
                </c:pt>
                <c:pt idx="47">
                  <c:v>0.63263216130350319</c:v>
                </c:pt>
                <c:pt idx="48">
                  <c:v>0.60906320819865034</c:v>
                </c:pt>
                <c:pt idx="49">
                  <c:v>0.5843377154695093</c:v>
                </c:pt>
                <c:pt idx="50">
                  <c:v>0.55829934678892568</c:v>
                </c:pt>
                <c:pt idx="51">
                  <c:v>0.53075202566276336</c:v>
                </c:pt>
                <c:pt idx="52">
                  <c:v>0.50144402203564842</c:v>
                </c:pt>
                <c:pt idx="53">
                  <c:v>0.47004273941536651</c:v>
                </c:pt>
                <c:pt idx="54">
                  <c:v>0.43609253716834728</c:v>
                </c:pt>
                <c:pt idx="55">
                  <c:v>0.39893909838130409</c:v>
                </c:pt>
                <c:pt idx="56">
                  <c:v>0.35758069791925706</c:v>
                </c:pt>
                <c:pt idx="57">
                  <c:v>0.31033524911939375</c:v>
                </c:pt>
                <c:pt idx="58">
                  <c:v>0.25393107715106955</c:v>
                </c:pt>
                <c:pt idx="59">
                  <c:v>0.17994311638022301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xVal>
          <c:yVal>
            <c:numRef>
              <c:f>'7 - Es Contours'!$X$4:$X$133</c:f>
              <c:numCache>
                <c:formatCode>#,##0</c:formatCode>
                <c:ptCount val="13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  <c:pt idx="26">
                  <c:v>13000</c:v>
                </c:pt>
                <c:pt idx="27">
                  <c:v>13500</c:v>
                </c:pt>
                <c:pt idx="28">
                  <c:v>14000</c:v>
                </c:pt>
                <c:pt idx="29">
                  <c:v>14500</c:v>
                </c:pt>
                <c:pt idx="30">
                  <c:v>15000</c:v>
                </c:pt>
                <c:pt idx="31">
                  <c:v>15500</c:v>
                </c:pt>
                <c:pt idx="32">
                  <c:v>16000</c:v>
                </c:pt>
                <c:pt idx="33">
                  <c:v>16500</c:v>
                </c:pt>
                <c:pt idx="34">
                  <c:v>17000</c:v>
                </c:pt>
                <c:pt idx="35">
                  <c:v>17500</c:v>
                </c:pt>
                <c:pt idx="36">
                  <c:v>18000</c:v>
                </c:pt>
                <c:pt idx="37">
                  <c:v>18500</c:v>
                </c:pt>
                <c:pt idx="38">
                  <c:v>19000</c:v>
                </c:pt>
                <c:pt idx="39">
                  <c:v>19500</c:v>
                </c:pt>
                <c:pt idx="40">
                  <c:v>20000</c:v>
                </c:pt>
                <c:pt idx="41">
                  <c:v>20500</c:v>
                </c:pt>
                <c:pt idx="42">
                  <c:v>21000</c:v>
                </c:pt>
                <c:pt idx="43">
                  <c:v>21500</c:v>
                </c:pt>
                <c:pt idx="44">
                  <c:v>22000</c:v>
                </c:pt>
                <c:pt idx="45">
                  <c:v>22500</c:v>
                </c:pt>
                <c:pt idx="46">
                  <c:v>23000</c:v>
                </c:pt>
                <c:pt idx="47">
                  <c:v>23500</c:v>
                </c:pt>
                <c:pt idx="48">
                  <c:v>24000</c:v>
                </c:pt>
                <c:pt idx="49">
                  <c:v>24500</c:v>
                </c:pt>
                <c:pt idx="50">
                  <c:v>25000</c:v>
                </c:pt>
                <c:pt idx="51">
                  <c:v>25500</c:v>
                </c:pt>
                <c:pt idx="52">
                  <c:v>26000</c:v>
                </c:pt>
                <c:pt idx="53">
                  <c:v>26500</c:v>
                </c:pt>
                <c:pt idx="54">
                  <c:v>27000</c:v>
                </c:pt>
                <c:pt idx="55">
                  <c:v>27500</c:v>
                </c:pt>
                <c:pt idx="56">
                  <c:v>28000</c:v>
                </c:pt>
                <c:pt idx="57">
                  <c:v>28500</c:v>
                </c:pt>
                <c:pt idx="58">
                  <c:v>29000</c:v>
                </c:pt>
                <c:pt idx="59">
                  <c:v>29500</c:v>
                </c:pt>
                <c:pt idx="60">
                  <c:v>30000</c:v>
                </c:pt>
                <c:pt idx="61">
                  <c:v>30500</c:v>
                </c:pt>
                <c:pt idx="62">
                  <c:v>31000</c:v>
                </c:pt>
                <c:pt idx="63">
                  <c:v>31500</c:v>
                </c:pt>
                <c:pt idx="64">
                  <c:v>32000</c:v>
                </c:pt>
                <c:pt idx="65">
                  <c:v>32500</c:v>
                </c:pt>
                <c:pt idx="66">
                  <c:v>33000</c:v>
                </c:pt>
                <c:pt idx="67">
                  <c:v>33500</c:v>
                </c:pt>
                <c:pt idx="68">
                  <c:v>34000</c:v>
                </c:pt>
                <c:pt idx="69">
                  <c:v>34500</c:v>
                </c:pt>
                <c:pt idx="70">
                  <c:v>35000</c:v>
                </c:pt>
                <c:pt idx="71">
                  <c:v>35500</c:v>
                </c:pt>
                <c:pt idx="72">
                  <c:v>36000</c:v>
                </c:pt>
                <c:pt idx="73">
                  <c:v>36500</c:v>
                </c:pt>
                <c:pt idx="74">
                  <c:v>37000</c:v>
                </c:pt>
                <c:pt idx="75">
                  <c:v>37500</c:v>
                </c:pt>
                <c:pt idx="76">
                  <c:v>38000</c:v>
                </c:pt>
                <c:pt idx="77">
                  <c:v>38500</c:v>
                </c:pt>
                <c:pt idx="78">
                  <c:v>39000</c:v>
                </c:pt>
                <c:pt idx="79">
                  <c:v>39500</c:v>
                </c:pt>
                <c:pt idx="80">
                  <c:v>40000</c:v>
                </c:pt>
                <c:pt idx="81">
                  <c:v>40500</c:v>
                </c:pt>
                <c:pt idx="82">
                  <c:v>41000</c:v>
                </c:pt>
                <c:pt idx="83">
                  <c:v>41500</c:v>
                </c:pt>
                <c:pt idx="84">
                  <c:v>42000</c:v>
                </c:pt>
                <c:pt idx="85">
                  <c:v>42500</c:v>
                </c:pt>
                <c:pt idx="86">
                  <c:v>43000</c:v>
                </c:pt>
                <c:pt idx="87">
                  <c:v>43500</c:v>
                </c:pt>
                <c:pt idx="88">
                  <c:v>44000</c:v>
                </c:pt>
                <c:pt idx="89">
                  <c:v>44500</c:v>
                </c:pt>
                <c:pt idx="90">
                  <c:v>45000</c:v>
                </c:pt>
                <c:pt idx="91">
                  <c:v>45500</c:v>
                </c:pt>
                <c:pt idx="92">
                  <c:v>46000</c:v>
                </c:pt>
                <c:pt idx="93">
                  <c:v>46500</c:v>
                </c:pt>
                <c:pt idx="94">
                  <c:v>47000</c:v>
                </c:pt>
                <c:pt idx="95">
                  <c:v>47500</c:v>
                </c:pt>
                <c:pt idx="96">
                  <c:v>48000</c:v>
                </c:pt>
                <c:pt idx="97">
                  <c:v>48500</c:v>
                </c:pt>
                <c:pt idx="98">
                  <c:v>49000</c:v>
                </c:pt>
                <c:pt idx="99">
                  <c:v>49500</c:v>
                </c:pt>
                <c:pt idx="100">
                  <c:v>50000</c:v>
                </c:pt>
                <c:pt idx="101">
                  <c:v>50500</c:v>
                </c:pt>
                <c:pt idx="102">
                  <c:v>51000</c:v>
                </c:pt>
                <c:pt idx="103">
                  <c:v>51500</c:v>
                </c:pt>
                <c:pt idx="104">
                  <c:v>52000</c:v>
                </c:pt>
                <c:pt idx="105">
                  <c:v>52500</c:v>
                </c:pt>
                <c:pt idx="106">
                  <c:v>53000</c:v>
                </c:pt>
                <c:pt idx="107">
                  <c:v>53500</c:v>
                </c:pt>
                <c:pt idx="108">
                  <c:v>54000</c:v>
                </c:pt>
                <c:pt idx="109">
                  <c:v>54500</c:v>
                </c:pt>
                <c:pt idx="110">
                  <c:v>55000</c:v>
                </c:pt>
                <c:pt idx="111">
                  <c:v>55500</c:v>
                </c:pt>
                <c:pt idx="112">
                  <c:v>56000</c:v>
                </c:pt>
                <c:pt idx="113">
                  <c:v>56500</c:v>
                </c:pt>
                <c:pt idx="114">
                  <c:v>57000</c:v>
                </c:pt>
                <c:pt idx="115">
                  <c:v>57500</c:v>
                </c:pt>
                <c:pt idx="116">
                  <c:v>58000</c:v>
                </c:pt>
                <c:pt idx="117">
                  <c:v>58500</c:v>
                </c:pt>
                <c:pt idx="118">
                  <c:v>59000</c:v>
                </c:pt>
                <c:pt idx="119">
                  <c:v>59500</c:v>
                </c:pt>
                <c:pt idx="120">
                  <c:v>60000</c:v>
                </c:pt>
                <c:pt idx="121">
                  <c:v>60500</c:v>
                </c:pt>
                <c:pt idx="122">
                  <c:v>61000</c:v>
                </c:pt>
                <c:pt idx="123">
                  <c:v>61500</c:v>
                </c:pt>
                <c:pt idx="124">
                  <c:v>62000</c:v>
                </c:pt>
                <c:pt idx="125">
                  <c:v>62500</c:v>
                </c:pt>
                <c:pt idx="126">
                  <c:v>63000</c:v>
                </c:pt>
                <c:pt idx="127">
                  <c:v>63500</c:v>
                </c:pt>
                <c:pt idx="128">
                  <c:v>64000</c:v>
                </c:pt>
                <c:pt idx="129">
                  <c:v>64500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465-402A-9380-2A6061E7CF57}"/>
            </c:ext>
          </c:extLst>
        </c:ser>
        <c:ser>
          <c:idx val="7"/>
          <c:order val="14"/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'7 - Es Contours'!$H$4:$H$133</c:f>
              <c:numCache>
                <c:formatCode>#,##0.0000</c:formatCode>
                <c:ptCount val="130"/>
                <c:pt idx="0">
                  <c:v>1.1360521105559855</c:v>
                </c:pt>
                <c:pt idx="1">
                  <c:v>1.1265722527398041</c:v>
                </c:pt>
                <c:pt idx="2">
                  <c:v>1.1169454741364087</c:v>
                </c:pt>
                <c:pt idx="3">
                  <c:v>1.1071672435615656</c:v>
                </c:pt>
                <c:pt idx="4">
                  <c:v>1.0972327969947426</c:v>
                </c:pt>
                <c:pt idx="5">
                  <c:v>1.0871371201880071</c:v>
                </c:pt>
                <c:pt idx="6">
                  <c:v>1.0768749295486584</c:v>
                </c:pt>
                <c:pt idx="7">
                  <c:v>1.0664406510801789</c:v>
                </c:pt>
                <c:pt idx="8">
                  <c:v>1.0558283971334994</c:v>
                </c:pt>
                <c:pt idx="9">
                  <c:v>1.0450319406821305</c:v>
                </c:pt>
                <c:pt idx="10">
                  <c:v>1.0340446867892181</c:v>
                </c:pt>
                <c:pt idx="11">
                  <c:v>1.0228596408805235</c:v>
                </c:pt>
                <c:pt idx="12">
                  <c:v>1.0114693733728484</c:v>
                </c:pt>
                <c:pt idx="13">
                  <c:v>0.99986598013015004</c:v>
                </c:pt>
                <c:pt idx="14">
                  <c:v>0.98804103812660027</c:v>
                </c:pt>
                <c:pt idx="15">
                  <c:v>0.97598555558337918</c:v>
                </c:pt>
                <c:pt idx="16">
                  <c:v>0.96368991570930662</c:v>
                </c:pt>
                <c:pt idx="17">
                  <c:v>0.95114381300843942</c:v>
                </c:pt>
                <c:pt idx="18">
                  <c:v>0.93833618091258719</c:v>
                </c:pt>
                <c:pt idx="19">
                  <c:v>0.92525510924317733</c:v>
                </c:pt>
                <c:pt idx="20">
                  <c:v>0.91188774969163178</c:v>
                </c:pt>
                <c:pt idx="21">
                  <c:v>0.89822020711279393</c:v>
                </c:pt>
                <c:pt idx="22">
                  <c:v>0.88423741392852107</c:v>
                </c:pt>
                <c:pt idx="23">
                  <c:v>0.8699229843068621</c:v>
                </c:pt>
                <c:pt idx="24">
                  <c:v>0.85525904397361696</c:v>
                </c:pt>
                <c:pt idx="25">
                  <c:v>0.84022603046914934</c:v>
                </c:pt>
                <c:pt idx="26">
                  <c:v>0.82480245730327817</c:v>
                </c:pt>
                <c:pt idx="27">
                  <c:v>0.8089646336717623</c:v>
                </c:pt>
                <c:pt idx="28">
                  <c:v>0.79268632901887304</c:v>
                </c:pt>
                <c:pt idx="29">
                  <c:v>0.77593836853125397</c:v>
                </c:pt>
                <c:pt idx="30">
                  <c:v>0.75868814129236928</c:v>
                </c:pt>
                <c:pt idx="31">
                  <c:v>0.74089899681608151</c:v>
                </c:pt>
                <c:pt idx="32">
                  <c:v>0.72252949726099369</c:v>
                </c:pt>
                <c:pt idx="33">
                  <c:v>0.70353248064991825</c:v>
                </c:pt>
                <c:pt idx="34">
                  <c:v>0.68385387307059509</c:v>
                </c:pt>
                <c:pt idx="35">
                  <c:v>0.66343116220842491</c:v>
                </c:pt>
                <c:pt idx="36">
                  <c:v>0.64219140587470691</c:v>
                </c:pt>
                <c:pt idx="37">
                  <c:v>0.6200485893395451</c:v>
                </c:pt>
                <c:pt idx="38">
                  <c:v>0.5969000500817615</c:v>
                </c:pt>
                <c:pt idx="39">
                  <c:v>0.57262153232169666</c:v>
                </c:pt>
                <c:pt idx="40">
                  <c:v>0.54706016781363398</c:v>
                </c:pt>
                <c:pt idx="41">
                  <c:v>0.52002420747773048</c:v>
                </c:pt>
                <c:pt idx="42">
                  <c:v>0.49126744840242786</c:v>
                </c:pt>
                <c:pt idx="43">
                  <c:v>0.46046455918795826</c:v>
                </c:pt>
                <c:pt idx="44">
                  <c:v>0.42716980078859257</c:v>
                </c:pt>
                <c:pt idx="45">
                  <c:v>0.39074300238831128</c:v>
                </c:pt>
                <c:pt idx="46">
                  <c:v>0.3502039852970838</c:v>
                </c:pt>
                <c:pt idx="47">
                  <c:v>0.30390666008175615</c:v>
                </c:pt>
                <c:pt idx="48">
                  <c:v>0.2486490135315349</c:v>
                </c:pt>
                <c:pt idx="49">
                  <c:v>0.17618445027871041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xVal>
          <c:yVal>
            <c:numRef>
              <c:f>'7 - Es Contours'!$X$4:$X$133</c:f>
              <c:numCache>
                <c:formatCode>#,##0</c:formatCode>
                <c:ptCount val="13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  <c:pt idx="26">
                  <c:v>13000</c:v>
                </c:pt>
                <c:pt idx="27">
                  <c:v>13500</c:v>
                </c:pt>
                <c:pt idx="28">
                  <c:v>14000</c:v>
                </c:pt>
                <c:pt idx="29">
                  <c:v>14500</c:v>
                </c:pt>
                <c:pt idx="30">
                  <c:v>15000</c:v>
                </c:pt>
                <c:pt idx="31">
                  <c:v>15500</c:v>
                </c:pt>
                <c:pt idx="32">
                  <c:v>16000</c:v>
                </c:pt>
                <c:pt idx="33">
                  <c:v>16500</c:v>
                </c:pt>
                <c:pt idx="34">
                  <c:v>17000</c:v>
                </c:pt>
                <c:pt idx="35">
                  <c:v>17500</c:v>
                </c:pt>
                <c:pt idx="36">
                  <c:v>18000</c:v>
                </c:pt>
                <c:pt idx="37">
                  <c:v>18500</c:v>
                </c:pt>
                <c:pt idx="38">
                  <c:v>19000</c:v>
                </c:pt>
                <c:pt idx="39">
                  <c:v>19500</c:v>
                </c:pt>
                <c:pt idx="40">
                  <c:v>20000</c:v>
                </c:pt>
                <c:pt idx="41">
                  <c:v>20500</c:v>
                </c:pt>
                <c:pt idx="42">
                  <c:v>21000</c:v>
                </c:pt>
                <c:pt idx="43">
                  <c:v>21500</c:v>
                </c:pt>
                <c:pt idx="44">
                  <c:v>22000</c:v>
                </c:pt>
                <c:pt idx="45">
                  <c:v>22500</c:v>
                </c:pt>
                <c:pt idx="46">
                  <c:v>23000</c:v>
                </c:pt>
                <c:pt idx="47">
                  <c:v>23500</c:v>
                </c:pt>
                <c:pt idx="48">
                  <c:v>24000</c:v>
                </c:pt>
                <c:pt idx="49">
                  <c:v>24500</c:v>
                </c:pt>
                <c:pt idx="50">
                  <c:v>25000</c:v>
                </c:pt>
                <c:pt idx="51">
                  <c:v>25500</c:v>
                </c:pt>
                <c:pt idx="52">
                  <c:v>26000</c:v>
                </c:pt>
                <c:pt idx="53">
                  <c:v>26500</c:v>
                </c:pt>
                <c:pt idx="54">
                  <c:v>27000</c:v>
                </c:pt>
                <c:pt idx="55">
                  <c:v>27500</c:v>
                </c:pt>
                <c:pt idx="56">
                  <c:v>28000</c:v>
                </c:pt>
                <c:pt idx="57">
                  <c:v>28500</c:v>
                </c:pt>
                <c:pt idx="58">
                  <c:v>29000</c:v>
                </c:pt>
                <c:pt idx="59">
                  <c:v>29500</c:v>
                </c:pt>
                <c:pt idx="60">
                  <c:v>30000</c:v>
                </c:pt>
                <c:pt idx="61">
                  <c:v>30500</c:v>
                </c:pt>
                <c:pt idx="62">
                  <c:v>31000</c:v>
                </c:pt>
                <c:pt idx="63">
                  <c:v>31500</c:v>
                </c:pt>
                <c:pt idx="64">
                  <c:v>32000</c:v>
                </c:pt>
                <c:pt idx="65">
                  <c:v>32500</c:v>
                </c:pt>
                <c:pt idx="66">
                  <c:v>33000</c:v>
                </c:pt>
                <c:pt idx="67">
                  <c:v>33500</c:v>
                </c:pt>
                <c:pt idx="68">
                  <c:v>34000</c:v>
                </c:pt>
                <c:pt idx="69">
                  <c:v>34500</c:v>
                </c:pt>
                <c:pt idx="70">
                  <c:v>35000</c:v>
                </c:pt>
                <c:pt idx="71">
                  <c:v>35500</c:v>
                </c:pt>
                <c:pt idx="72">
                  <c:v>36000</c:v>
                </c:pt>
                <c:pt idx="73">
                  <c:v>36500</c:v>
                </c:pt>
                <c:pt idx="74">
                  <c:v>37000</c:v>
                </c:pt>
                <c:pt idx="75">
                  <c:v>37500</c:v>
                </c:pt>
                <c:pt idx="76">
                  <c:v>38000</c:v>
                </c:pt>
                <c:pt idx="77">
                  <c:v>38500</c:v>
                </c:pt>
                <c:pt idx="78">
                  <c:v>39000</c:v>
                </c:pt>
                <c:pt idx="79">
                  <c:v>39500</c:v>
                </c:pt>
                <c:pt idx="80">
                  <c:v>40000</c:v>
                </c:pt>
                <c:pt idx="81">
                  <c:v>40500</c:v>
                </c:pt>
                <c:pt idx="82">
                  <c:v>41000</c:v>
                </c:pt>
                <c:pt idx="83">
                  <c:v>41500</c:v>
                </c:pt>
                <c:pt idx="84">
                  <c:v>42000</c:v>
                </c:pt>
                <c:pt idx="85">
                  <c:v>42500</c:v>
                </c:pt>
                <c:pt idx="86">
                  <c:v>43000</c:v>
                </c:pt>
                <c:pt idx="87">
                  <c:v>43500</c:v>
                </c:pt>
                <c:pt idx="88">
                  <c:v>44000</c:v>
                </c:pt>
                <c:pt idx="89">
                  <c:v>44500</c:v>
                </c:pt>
                <c:pt idx="90">
                  <c:v>45000</c:v>
                </c:pt>
                <c:pt idx="91">
                  <c:v>45500</c:v>
                </c:pt>
                <c:pt idx="92">
                  <c:v>46000</c:v>
                </c:pt>
                <c:pt idx="93">
                  <c:v>46500</c:v>
                </c:pt>
                <c:pt idx="94">
                  <c:v>47000</c:v>
                </c:pt>
                <c:pt idx="95">
                  <c:v>47500</c:v>
                </c:pt>
                <c:pt idx="96">
                  <c:v>48000</c:v>
                </c:pt>
                <c:pt idx="97">
                  <c:v>48500</c:v>
                </c:pt>
                <c:pt idx="98">
                  <c:v>49000</c:v>
                </c:pt>
                <c:pt idx="99">
                  <c:v>49500</c:v>
                </c:pt>
                <c:pt idx="100">
                  <c:v>50000</c:v>
                </c:pt>
                <c:pt idx="101">
                  <c:v>50500</c:v>
                </c:pt>
                <c:pt idx="102">
                  <c:v>51000</c:v>
                </c:pt>
                <c:pt idx="103">
                  <c:v>51500</c:v>
                </c:pt>
                <c:pt idx="104">
                  <c:v>52000</c:v>
                </c:pt>
                <c:pt idx="105">
                  <c:v>52500</c:v>
                </c:pt>
                <c:pt idx="106">
                  <c:v>53000</c:v>
                </c:pt>
                <c:pt idx="107">
                  <c:v>53500</c:v>
                </c:pt>
                <c:pt idx="108">
                  <c:v>54000</c:v>
                </c:pt>
                <c:pt idx="109">
                  <c:v>54500</c:v>
                </c:pt>
                <c:pt idx="110">
                  <c:v>55000</c:v>
                </c:pt>
                <c:pt idx="111">
                  <c:v>55500</c:v>
                </c:pt>
                <c:pt idx="112">
                  <c:v>56000</c:v>
                </c:pt>
                <c:pt idx="113">
                  <c:v>56500</c:v>
                </c:pt>
                <c:pt idx="114">
                  <c:v>57000</c:v>
                </c:pt>
                <c:pt idx="115">
                  <c:v>57500</c:v>
                </c:pt>
                <c:pt idx="116">
                  <c:v>58000</c:v>
                </c:pt>
                <c:pt idx="117">
                  <c:v>58500</c:v>
                </c:pt>
                <c:pt idx="118">
                  <c:v>59000</c:v>
                </c:pt>
                <c:pt idx="119">
                  <c:v>59500</c:v>
                </c:pt>
                <c:pt idx="120">
                  <c:v>60000</c:v>
                </c:pt>
                <c:pt idx="121">
                  <c:v>60500</c:v>
                </c:pt>
                <c:pt idx="122">
                  <c:v>61000</c:v>
                </c:pt>
                <c:pt idx="123">
                  <c:v>61500</c:v>
                </c:pt>
                <c:pt idx="124">
                  <c:v>62000</c:v>
                </c:pt>
                <c:pt idx="125">
                  <c:v>62500</c:v>
                </c:pt>
                <c:pt idx="126">
                  <c:v>63000</c:v>
                </c:pt>
                <c:pt idx="127">
                  <c:v>63500</c:v>
                </c:pt>
                <c:pt idx="128">
                  <c:v>64000</c:v>
                </c:pt>
                <c:pt idx="129">
                  <c:v>64500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465-402A-9380-2A6061E7CF57}"/>
            </c:ext>
          </c:extLst>
        </c:ser>
        <c:ser>
          <c:idx val="6"/>
          <c:order val="15"/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'7 - Es Contours'!$G$4:$G$133</c:f>
              <c:numCache>
                <c:formatCode>#,##0.0000</c:formatCode>
                <c:ptCount val="130"/>
                <c:pt idx="0">
                  <c:v>1.0161158980741161</c:v>
                </c:pt>
                <c:pt idx="1">
                  <c:v>1.0050630662016073</c:v>
                </c:pt>
                <c:pt idx="2">
                  <c:v>0.99380951921722083</c:v>
                </c:pt>
                <c:pt idx="3">
                  <c:v>0.98234753885003046</c:v>
                </c:pt>
                <c:pt idx="4">
                  <c:v>0.97066889967728376</c:v>
                </c:pt>
                <c:pt idx="5">
                  <c:v>0.95876482034813437</c:v>
                </c:pt>
                <c:pt idx="6">
                  <c:v>0.94662590854757034</c:v>
                </c:pt>
                <c:pt idx="7">
                  <c:v>0.93424209868547592</c:v>
                </c:pt>
                <c:pt idx="8">
                  <c:v>0.92160258109488691</c:v>
                </c:pt>
                <c:pt idx="9">
                  <c:v>0.90869572127524778</c:v>
                </c:pt>
                <c:pt idx="10">
                  <c:v>0.89550896740778607</c:v>
                </c:pt>
                <c:pt idx="11">
                  <c:v>0.88202874398369568</c:v>
                </c:pt>
                <c:pt idx="12">
                  <c:v>0.86824032889874081</c:v>
                </c:pt>
                <c:pt idx="13">
                  <c:v>0.85412771074929705</c:v>
                </c:pt>
                <c:pt idx="14">
                  <c:v>0.83967342227300124</c:v>
                </c:pt>
                <c:pt idx="15">
                  <c:v>0.82485834485486809</c:v>
                </c:pt>
                <c:pt idx="16">
                  <c:v>0.80966147768782404</c:v>
                </c:pt>
                <c:pt idx="17">
                  <c:v>0.79405966342428935</c:v>
                </c:pt>
                <c:pt idx="18">
                  <c:v>0.77802725982552401</c:v>
                </c:pt>
                <c:pt idx="19">
                  <c:v>0.7615357437821475</c:v>
                </c:pt>
                <c:pt idx="20">
                  <c:v>0.74455322981309535</c:v>
                </c:pt>
                <c:pt idx="21">
                  <c:v>0.72704387926322056</c:v>
                </c:pt>
                <c:pt idx="22">
                  <c:v>0.708967168175901</c:v>
                </c:pt>
                <c:pt idx="23">
                  <c:v>0.69027697008576239</c:v>
                </c:pt>
                <c:pt idx="24">
                  <c:v>0.67092039298433581</c:v>
                </c:pt>
                <c:pt idx="25">
                  <c:v>0.6508362846113962</c:v>
                </c:pt>
                <c:pt idx="26">
                  <c:v>0.62995328232964243</c:v>
                </c:pt>
                <c:pt idx="27">
                  <c:v>0.60818722521047353</c:v>
                </c:pt>
                <c:pt idx="28">
                  <c:v>0.58543765270720194</c:v>
                </c:pt>
                <c:pt idx="29">
                  <c:v>0.56158296123540208</c:v>
                </c:pt>
                <c:pt idx="30">
                  <c:v>0.5364735295136519</c:v>
                </c:pt>
                <c:pt idx="31">
                  <c:v>0.50992166123557292</c:v>
                </c:pt>
                <c:pt idx="32">
                  <c:v>0.48168633150732915</c:v>
                </c:pt>
                <c:pt idx="33">
                  <c:v>0.45144901733561643</c:v>
                </c:pt>
                <c:pt idx="34">
                  <c:v>0.41877326191224301</c:v>
                </c:pt>
                <c:pt idx="35">
                  <c:v>0.38303216008982038</c:v>
                </c:pt>
                <c:pt idx="36">
                  <c:v>0.34326574535911991</c:v>
                </c:pt>
                <c:pt idx="37">
                  <c:v>0.29786170764116998</c:v>
                </c:pt>
                <c:pt idx="38">
                  <c:v>0.24368342502367335</c:v>
                </c:pt>
                <c:pt idx="39">
                  <c:v>0.17265188814449411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xVal>
          <c:yVal>
            <c:numRef>
              <c:f>'7 - Es Contours'!$X$4:$X$133</c:f>
              <c:numCache>
                <c:formatCode>#,##0</c:formatCode>
                <c:ptCount val="13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  <c:pt idx="26">
                  <c:v>13000</c:v>
                </c:pt>
                <c:pt idx="27">
                  <c:v>13500</c:v>
                </c:pt>
                <c:pt idx="28">
                  <c:v>14000</c:v>
                </c:pt>
                <c:pt idx="29">
                  <c:v>14500</c:v>
                </c:pt>
                <c:pt idx="30">
                  <c:v>15000</c:v>
                </c:pt>
                <c:pt idx="31">
                  <c:v>15500</c:v>
                </c:pt>
                <c:pt idx="32">
                  <c:v>16000</c:v>
                </c:pt>
                <c:pt idx="33">
                  <c:v>16500</c:v>
                </c:pt>
                <c:pt idx="34">
                  <c:v>17000</c:v>
                </c:pt>
                <c:pt idx="35">
                  <c:v>17500</c:v>
                </c:pt>
                <c:pt idx="36">
                  <c:v>18000</c:v>
                </c:pt>
                <c:pt idx="37">
                  <c:v>18500</c:v>
                </c:pt>
                <c:pt idx="38">
                  <c:v>19000</c:v>
                </c:pt>
                <c:pt idx="39">
                  <c:v>19500</c:v>
                </c:pt>
                <c:pt idx="40">
                  <c:v>20000</c:v>
                </c:pt>
                <c:pt idx="41">
                  <c:v>20500</c:v>
                </c:pt>
                <c:pt idx="42">
                  <c:v>21000</c:v>
                </c:pt>
                <c:pt idx="43">
                  <c:v>21500</c:v>
                </c:pt>
                <c:pt idx="44">
                  <c:v>22000</c:v>
                </c:pt>
                <c:pt idx="45">
                  <c:v>22500</c:v>
                </c:pt>
                <c:pt idx="46">
                  <c:v>23000</c:v>
                </c:pt>
                <c:pt idx="47">
                  <c:v>23500</c:v>
                </c:pt>
                <c:pt idx="48">
                  <c:v>24000</c:v>
                </c:pt>
                <c:pt idx="49">
                  <c:v>24500</c:v>
                </c:pt>
                <c:pt idx="50">
                  <c:v>25000</c:v>
                </c:pt>
                <c:pt idx="51">
                  <c:v>25500</c:v>
                </c:pt>
                <c:pt idx="52">
                  <c:v>26000</c:v>
                </c:pt>
                <c:pt idx="53">
                  <c:v>26500</c:v>
                </c:pt>
                <c:pt idx="54">
                  <c:v>27000</c:v>
                </c:pt>
                <c:pt idx="55">
                  <c:v>27500</c:v>
                </c:pt>
                <c:pt idx="56">
                  <c:v>28000</c:v>
                </c:pt>
                <c:pt idx="57">
                  <c:v>28500</c:v>
                </c:pt>
                <c:pt idx="58">
                  <c:v>29000</c:v>
                </c:pt>
                <c:pt idx="59">
                  <c:v>29500</c:v>
                </c:pt>
                <c:pt idx="60">
                  <c:v>30000</c:v>
                </c:pt>
                <c:pt idx="61">
                  <c:v>30500</c:v>
                </c:pt>
                <c:pt idx="62">
                  <c:v>31000</c:v>
                </c:pt>
                <c:pt idx="63">
                  <c:v>31500</c:v>
                </c:pt>
                <c:pt idx="64">
                  <c:v>32000</c:v>
                </c:pt>
                <c:pt idx="65">
                  <c:v>32500</c:v>
                </c:pt>
                <c:pt idx="66">
                  <c:v>33000</c:v>
                </c:pt>
                <c:pt idx="67">
                  <c:v>33500</c:v>
                </c:pt>
                <c:pt idx="68">
                  <c:v>34000</c:v>
                </c:pt>
                <c:pt idx="69">
                  <c:v>34500</c:v>
                </c:pt>
                <c:pt idx="70">
                  <c:v>35000</c:v>
                </c:pt>
                <c:pt idx="71">
                  <c:v>35500</c:v>
                </c:pt>
                <c:pt idx="72">
                  <c:v>36000</c:v>
                </c:pt>
                <c:pt idx="73">
                  <c:v>36500</c:v>
                </c:pt>
                <c:pt idx="74">
                  <c:v>37000</c:v>
                </c:pt>
                <c:pt idx="75">
                  <c:v>37500</c:v>
                </c:pt>
                <c:pt idx="76">
                  <c:v>38000</c:v>
                </c:pt>
                <c:pt idx="77">
                  <c:v>38500</c:v>
                </c:pt>
                <c:pt idx="78">
                  <c:v>39000</c:v>
                </c:pt>
                <c:pt idx="79">
                  <c:v>39500</c:v>
                </c:pt>
                <c:pt idx="80">
                  <c:v>40000</c:v>
                </c:pt>
                <c:pt idx="81">
                  <c:v>40500</c:v>
                </c:pt>
                <c:pt idx="82">
                  <c:v>41000</c:v>
                </c:pt>
                <c:pt idx="83">
                  <c:v>41500</c:v>
                </c:pt>
                <c:pt idx="84">
                  <c:v>42000</c:v>
                </c:pt>
                <c:pt idx="85">
                  <c:v>42500</c:v>
                </c:pt>
                <c:pt idx="86">
                  <c:v>43000</c:v>
                </c:pt>
                <c:pt idx="87">
                  <c:v>43500</c:v>
                </c:pt>
                <c:pt idx="88">
                  <c:v>44000</c:v>
                </c:pt>
                <c:pt idx="89">
                  <c:v>44500</c:v>
                </c:pt>
                <c:pt idx="90">
                  <c:v>45000</c:v>
                </c:pt>
                <c:pt idx="91">
                  <c:v>45500</c:v>
                </c:pt>
                <c:pt idx="92">
                  <c:v>46000</c:v>
                </c:pt>
                <c:pt idx="93">
                  <c:v>46500</c:v>
                </c:pt>
                <c:pt idx="94">
                  <c:v>47000</c:v>
                </c:pt>
                <c:pt idx="95">
                  <c:v>47500</c:v>
                </c:pt>
                <c:pt idx="96">
                  <c:v>48000</c:v>
                </c:pt>
                <c:pt idx="97">
                  <c:v>48500</c:v>
                </c:pt>
                <c:pt idx="98">
                  <c:v>49000</c:v>
                </c:pt>
                <c:pt idx="99">
                  <c:v>49500</c:v>
                </c:pt>
                <c:pt idx="100">
                  <c:v>50000</c:v>
                </c:pt>
                <c:pt idx="101">
                  <c:v>50500</c:v>
                </c:pt>
                <c:pt idx="102">
                  <c:v>51000</c:v>
                </c:pt>
                <c:pt idx="103">
                  <c:v>51500</c:v>
                </c:pt>
                <c:pt idx="104">
                  <c:v>52000</c:v>
                </c:pt>
                <c:pt idx="105">
                  <c:v>52500</c:v>
                </c:pt>
                <c:pt idx="106">
                  <c:v>53000</c:v>
                </c:pt>
                <c:pt idx="107">
                  <c:v>53500</c:v>
                </c:pt>
                <c:pt idx="108">
                  <c:v>54000</c:v>
                </c:pt>
                <c:pt idx="109">
                  <c:v>54500</c:v>
                </c:pt>
                <c:pt idx="110">
                  <c:v>55000</c:v>
                </c:pt>
                <c:pt idx="111">
                  <c:v>55500</c:v>
                </c:pt>
                <c:pt idx="112">
                  <c:v>56000</c:v>
                </c:pt>
                <c:pt idx="113">
                  <c:v>56500</c:v>
                </c:pt>
                <c:pt idx="114">
                  <c:v>57000</c:v>
                </c:pt>
                <c:pt idx="115">
                  <c:v>57500</c:v>
                </c:pt>
                <c:pt idx="116">
                  <c:v>58000</c:v>
                </c:pt>
                <c:pt idx="117">
                  <c:v>58500</c:v>
                </c:pt>
                <c:pt idx="118">
                  <c:v>59000</c:v>
                </c:pt>
                <c:pt idx="119">
                  <c:v>59500</c:v>
                </c:pt>
                <c:pt idx="120">
                  <c:v>60000</c:v>
                </c:pt>
                <c:pt idx="121">
                  <c:v>60500</c:v>
                </c:pt>
                <c:pt idx="122">
                  <c:v>61000</c:v>
                </c:pt>
                <c:pt idx="123">
                  <c:v>61500</c:v>
                </c:pt>
                <c:pt idx="124">
                  <c:v>62000</c:v>
                </c:pt>
                <c:pt idx="125">
                  <c:v>62500</c:v>
                </c:pt>
                <c:pt idx="126">
                  <c:v>63000</c:v>
                </c:pt>
                <c:pt idx="127">
                  <c:v>63500</c:v>
                </c:pt>
                <c:pt idx="128">
                  <c:v>64000</c:v>
                </c:pt>
                <c:pt idx="129">
                  <c:v>64500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465-402A-9380-2A6061E7CF57}"/>
            </c:ext>
          </c:extLst>
        </c:ser>
        <c:ser>
          <c:idx val="5"/>
          <c:order val="16"/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'7 - Es Contours'!$F$4:$F$133</c:f>
              <c:numCache>
                <c:formatCode>#,##0.0000</c:formatCode>
                <c:ptCount val="130"/>
                <c:pt idx="0">
                  <c:v>0.87998218092142388</c:v>
                </c:pt>
                <c:pt idx="1">
                  <c:v>0.86668246402123306</c:v>
                </c:pt>
                <c:pt idx="2">
                  <c:v>0.85308119706140551</c:v>
                </c:pt>
                <c:pt idx="3">
                  <c:v>0.83916271899656547</c:v>
                </c:pt>
                <c:pt idx="4">
                  <c:v>0.82490994344868451</c:v>
                </c:pt>
                <c:pt idx="5">
                  <c:v>0.81030416720124754</c:v>
                </c:pt>
                <c:pt idx="6">
                  <c:v>0.79532484405844961</c:v>
                </c:pt>
                <c:pt idx="7">
                  <c:v>0.77994931606878726</c:v>
                </c:pt>
                <c:pt idx="8">
                  <c:v>0.76415249182870626</c:v>
                </c:pt>
                <c:pt idx="9">
                  <c:v>0.74790645851070559</c:v>
                </c:pt>
                <c:pt idx="10">
                  <c:v>0.7311800100785758</c:v>
                </c:pt>
                <c:pt idx="11">
                  <c:v>0.71393806838175955</c:v>
                </c:pt>
                <c:pt idx="12">
                  <c:v>0.6961409657397879</c:v>
                </c:pt>
                <c:pt idx="13">
                  <c:v>0.67774354612791721</c:v>
                </c:pt>
                <c:pt idx="14">
                  <c:v>0.65869402541773359</c:v>
                </c:pt>
                <c:pt idx="15">
                  <c:v>0.63893252652062371</c:v>
                </c:pt>
                <c:pt idx="16">
                  <c:v>0.61838916813237543</c:v>
                </c:pt>
                <c:pt idx="17">
                  <c:v>0.59698152829945961</c:v>
                </c:pt>
                <c:pt idx="18">
                  <c:v>0.57461121260693071</c:v>
                </c:pt>
                <c:pt idx="19">
                  <c:v>0.55115910673330348</c:v>
                </c:pt>
                <c:pt idx="20">
                  <c:v>0.52647863775518566</c:v>
                </c:pt>
                <c:pt idx="21">
                  <c:v>0.50038591535181542</c:v>
                </c:pt>
                <c:pt idx="22">
                  <c:v>0.47264477878393402</c:v>
                </c:pt>
                <c:pt idx="23">
                  <c:v>0.4429431027075641</c:v>
                </c:pt>
                <c:pt idx="24">
                  <c:v>0.41085315520979737</c:v>
                </c:pt>
                <c:pt idx="25">
                  <c:v>0.37576050411876549</c:v>
                </c:pt>
                <c:pt idx="26">
                  <c:v>0.33672419316445668</c:v>
                </c:pt>
                <c:pt idx="27">
                  <c:v>0.29216369262237563</c:v>
                </c:pt>
                <c:pt idx="28">
                  <c:v>0.23900392089089192</c:v>
                </c:pt>
                <c:pt idx="29">
                  <c:v>0.16932363373404821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xVal>
          <c:yVal>
            <c:numRef>
              <c:f>'7 - Es Contours'!$X$4:$X$133</c:f>
              <c:numCache>
                <c:formatCode>#,##0</c:formatCode>
                <c:ptCount val="13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  <c:pt idx="26">
                  <c:v>13000</c:v>
                </c:pt>
                <c:pt idx="27">
                  <c:v>13500</c:v>
                </c:pt>
                <c:pt idx="28">
                  <c:v>14000</c:v>
                </c:pt>
                <c:pt idx="29">
                  <c:v>14500</c:v>
                </c:pt>
                <c:pt idx="30">
                  <c:v>15000</c:v>
                </c:pt>
                <c:pt idx="31">
                  <c:v>15500</c:v>
                </c:pt>
                <c:pt idx="32">
                  <c:v>16000</c:v>
                </c:pt>
                <c:pt idx="33">
                  <c:v>16500</c:v>
                </c:pt>
                <c:pt idx="34">
                  <c:v>17000</c:v>
                </c:pt>
                <c:pt idx="35">
                  <c:v>17500</c:v>
                </c:pt>
                <c:pt idx="36">
                  <c:v>18000</c:v>
                </c:pt>
                <c:pt idx="37">
                  <c:v>18500</c:v>
                </c:pt>
                <c:pt idx="38">
                  <c:v>19000</c:v>
                </c:pt>
                <c:pt idx="39">
                  <c:v>19500</c:v>
                </c:pt>
                <c:pt idx="40">
                  <c:v>20000</c:v>
                </c:pt>
                <c:pt idx="41">
                  <c:v>20500</c:v>
                </c:pt>
                <c:pt idx="42">
                  <c:v>21000</c:v>
                </c:pt>
                <c:pt idx="43">
                  <c:v>21500</c:v>
                </c:pt>
                <c:pt idx="44">
                  <c:v>22000</c:v>
                </c:pt>
                <c:pt idx="45">
                  <c:v>22500</c:v>
                </c:pt>
                <c:pt idx="46">
                  <c:v>23000</c:v>
                </c:pt>
                <c:pt idx="47">
                  <c:v>23500</c:v>
                </c:pt>
                <c:pt idx="48">
                  <c:v>24000</c:v>
                </c:pt>
                <c:pt idx="49">
                  <c:v>24500</c:v>
                </c:pt>
                <c:pt idx="50">
                  <c:v>25000</c:v>
                </c:pt>
                <c:pt idx="51">
                  <c:v>25500</c:v>
                </c:pt>
                <c:pt idx="52">
                  <c:v>26000</c:v>
                </c:pt>
                <c:pt idx="53">
                  <c:v>26500</c:v>
                </c:pt>
                <c:pt idx="54">
                  <c:v>27000</c:v>
                </c:pt>
                <c:pt idx="55">
                  <c:v>27500</c:v>
                </c:pt>
                <c:pt idx="56">
                  <c:v>28000</c:v>
                </c:pt>
                <c:pt idx="57">
                  <c:v>28500</c:v>
                </c:pt>
                <c:pt idx="58">
                  <c:v>29000</c:v>
                </c:pt>
                <c:pt idx="59">
                  <c:v>29500</c:v>
                </c:pt>
                <c:pt idx="60">
                  <c:v>30000</c:v>
                </c:pt>
                <c:pt idx="61">
                  <c:v>30500</c:v>
                </c:pt>
                <c:pt idx="62">
                  <c:v>31000</c:v>
                </c:pt>
                <c:pt idx="63">
                  <c:v>31500</c:v>
                </c:pt>
                <c:pt idx="64">
                  <c:v>32000</c:v>
                </c:pt>
                <c:pt idx="65">
                  <c:v>32500</c:v>
                </c:pt>
                <c:pt idx="66">
                  <c:v>33000</c:v>
                </c:pt>
                <c:pt idx="67">
                  <c:v>33500</c:v>
                </c:pt>
                <c:pt idx="68">
                  <c:v>34000</c:v>
                </c:pt>
                <c:pt idx="69">
                  <c:v>34500</c:v>
                </c:pt>
                <c:pt idx="70">
                  <c:v>35000</c:v>
                </c:pt>
                <c:pt idx="71">
                  <c:v>35500</c:v>
                </c:pt>
                <c:pt idx="72">
                  <c:v>36000</c:v>
                </c:pt>
                <c:pt idx="73">
                  <c:v>36500</c:v>
                </c:pt>
                <c:pt idx="74">
                  <c:v>37000</c:v>
                </c:pt>
                <c:pt idx="75">
                  <c:v>37500</c:v>
                </c:pt>
                <c:pt idx="76">
                  <c:v>38000</c:v>
                </c:pt>
                <c:pt idx="77">
                  <c:v>38500</c:v>
                </c:pt>
                <c:pt idx="78">
                  <c:v>39000</c:v>
                </c:pt>
                <c:pt idx="79">
                  <c:v>39500</c:v>
                </c:pt>
                <c:pt idx="80">
                  <c:v>40000</c:v>
                </c:pt>
                <c:pt idx="81">
                  <c:v>40500</c:v>
                </c:pt>
                <c:pt idx="82">
                  <c:v>41000</c:v>
                </c:pt>
                <c:pt idx="83">
                  <c:v>41500</c:v>
                </c:pt>
                <c:pt idx="84">
                  <c:v>42000</c:v>
                </c:pt>
                <c:pt idx="85">
                  <c:v>42500</c:v>
                </c:pt>
                <c:pt idx="86">
                  <c:v>43000</c:v>
                </c:pt>
                <c:pt idx="87">
                  <c:v>43500</c:v>
                </c:pt>
                <c:pt idx="88">
                  <c:v>44000</c:v>
                </c:pt>
                <c:pt idx="89">
                  <c:v>44500</c:v>
                </c:pt>
                <c:pt idx="90">
                  <c:v>45000</c:v>
                </c:pt>
                <c:pt idx="91">
                  <c:v>45500</c:v>
                </c:pt>
                <c:pt idx="92">
                  <c:v>46000</c:v>
                </c:pt>
                <c:pt idx="93">
                  <c:v>46500</c:v>
                </c:pt>
                <c:pt idx="94">
                  <c:v>47000</c:v>
                </c:pt>
                <c:pt idx="95">
                  <c:v>47500</c:v>
                </c:pt>
                <c:pt idx="96">
                  <c:v>48000</c:v>
                </c:pt>
                <c:pt idx="97">
                  <c:v>48500</c:v>
                </c:pt>
                <c:pt idx="98">
                  <c:v>49000</c:v>
                </c:pt>
                <c:pt idx="99">
                  <c:v>49500</c:v>
                </c:pt>
                <c:pt idx="100">
                  <c:v>50000</c:v>
                </c:pt>
                <c:pt idx="101">
                  <c:v>50500</c:v>
                </c:pt>
                <c:pt idx="102">
                  <c:v>51000</c:v>
                </c:pt>
                <c:pt idx="103">
                  <c:v>51500</c:v>
                </c:pt>
                <c:pt idx="104">
                  <c:v>52000</c:v>
                </c:pt>
                <c:pt idx="105">
                  <c:v>52500</c:v>
                </c:pt>
                <c:pt idx="106">
                  <c:v>53000</c:v>
                </c:pt>
                <c:pt idx="107">
                  <c:v>53500</c:v>
                </c:pt>
                <c:pt idx="108">
                  <c:v>54000</c:v>
                </c:pt>
                <c:pt idx="109">
                  <c:v>54500</c:v>
                </c:pt>
                <c:pt idx="110">
                  <c:v>55000</c:v>
                </c:pt>
                <c:pt idx="111">
                  <c:v>55500</c:v>
                </c:pt>
                <c:pt idx="112">
                  <c:v>56000</c:v>
                </c:pt>
                <c:pt idx="113">
                  <c:v>56500</c:v>
                </c:pt>
                <c:pt idx="114">
                  <c:v>57000</c:v>
                </c:pt>
                <c:pt idx="115">
                  <c:v>57500</c:v>
                </c:pt>
                <c:pt idx="116">
                  <c:v>58000</c:v>
                </c:pt>
                <c:pt idx="117">
                  <c:v>58500</c:v>
                </c:pt>
                <c:pt idx="118">
                  <c:v>59000</c:v>
                </c:pt>
                <c:pt idx="119">
                  <c:v>59500</c:v>
                </c:pt>
                <c:pt idx="120">
                  <c:v>60000</c:v>
                </c:pt>
                <c:pt idx="121">
                  <c:v>60500</c:v>
                </c:pt>
                <c:pt idx="122">
                  <c:v>61000</c:v>
                </c:pt>
                <c:pt idx="123">
                  <c:v>61500</c:v>
                </c:pt>
                <c:pt idx="124">
                  <c:v>62000</c:v>
                </c:pt>
                <c:pt idx="125">
                  <c:v>62500</c:v>
                </c:pt>
                <c:pt idx="126">
                  <c:v>63000</c:v>
                </c:pt>
                <c:pt idx="127">
                  <c:v>63500</c:v>
                </c:pt>
                <c:pt idx="128">
                  <c:v>64000</c:v>
                </c:pt>
                <c:pt idx="129">
                  <c:v>64500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65-402A-9380-2A6061E7CF57}"/>
            </c:ext>
          </c:extLst>
        </c:ser>
        <c:ser>
          <c:idx val="4"/>
          <c:order val="17"/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'7 - Es Contours'!$E$4:$E$133</c:f>
              <c:numCache>
                <c:formatCode>#,##0.0000</c:formatCode>
                <c:ptCount val="130"/>
                <c:pt idx="0">
                  <c:v>0.71850244199966617</c:v>
                </c:pt>
                <c:pt idx="1">
                  <c:v>0.70151637175568138</c:v>
                </c:pt>
                <c:pt idx="2">
                  <c:v>0.68398662053630666</c:v>
                </c:pt>
                <c:pt idx="3">
                  <c:v>0.66586894417948761</c:v>
                </c:pt>
                <c:pt idx="4">
                  <c:v>0.64711259978485591</c:v>
                </c:pt>
                <c:pt idx="5">
                  <c:v>0.62765890898658039</c:v>
                </c:pt>
                <c:pt idx="6">
                  <c:v>0.6074393833294659</c:v>
                </c:pt>
                <c:pt idx="7">
                  <c:v>0.58637323635726712</c:v>
                </c:pt>
                <c:pt idx="8">
                  <c:v>0.56436401732860686</c:v>
                </c:pt>
                <c:pt idx="9">
                  <c:v>0.54129495425332452</c:v>
                </c:pt>
                <c:pt idx="10">
                  <c:v>0.51702234339460906</c:v>
                </c:pt>
                <c:pt idx="11">
                  <c:v>0.49136587768779799</c:v>
                </c:pt>
                <c:pt idx="12">
                  <c:v>0.46409397715985856</c:v>
                </c:pt>
                <c:pt idx="13">
                  <c:v>0.43490054307422227</c:v>
                </c:pt>
                <c:pt idx="14">
                  <c:v>0.40336606472332509</c:v>
                </c:pt>
                <c:pt idx="15">
                  <c:v>0.36888786618068975</c:v>
                </c:pt>
                <c:pt idx="16">
                  <c:v>0.33054291412049935</c:v>
                </c:pt>
                <c:pt idx="17">
                  <c:v>0.28678064994699554</c:v>
                </c:pt>
                <c:pt idx="18">
                  <c:v>0.2345840452281468</c:v>
                </c:pt>
                <c:pt idx="19">
                  <c:v>0.16618072334743747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xVal>
          <c:yVal>
            <c:numRef>
              <c:f>'7 - Es Contours'!$X$4:$X$133</c:f>
              <c:numCache>
                <c:formatCode>#,##0</c:formatCode>
                <c:ptCount val="13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  <c:pt idx="26">
                  <c:v>13000</c:v>
                </c:pt>
                <c:pt idx="27">
                  <c:v>13500</c:v>
                </c:pt>
                <c:pt idx="28">
                  <c:v>14000</c:v>
                </c:pt>
                <c:pt idx="29">
                  <c:v>14500</c:v>
                </c:pt>
                <c:pt idx="30">
                  <c:v>15000</c:v>
                </c:pt>
                <c:pt idx="31">
                  <c:v>15500</c:v>
                </c:pt>
                <c:pt idx="32">
                  <c:v>16000</c:v>
                </c:pt>
                <c:pt idx="33">
                  <c:v>16500</c:v>
                </c:pt>
                <c:pt idx="34">
                  <c:v>17000</c:v>
                </c:pt>
                <c:pt idx="35">
                  <c:v>17500</c:v>
                </c:pt>
                <c:pt idx="36">
                  <c:v>18000</c:v>
                </c:pt>
                <c:pt idx="37">
                  <c:v>18500</c:v>
                </c:pt>
                <c:pt idx="38">
                  <c:v>19000</c:v>
                </c:pt>
                <c:pt idx="39">
                  <c:v>19500</c:v>
                </c:pt>
                <c:pt idx="40">
                  <c:v>20000</c:v>
                </c:pt>
                <c:pt idx="41">
                  <c:v>20500</c:v>
                </c:pt>
                <c:pt idx="42">
                  <c:v>21000</c:v>
                </c:pt>
                <c:pt idx="43">
                  <c:v>21500</c:v>
                </c:pt>
                <c:pt idx="44">
                  <c:v>22000</c:v>
                </c:pt>
                <c:pt idx="45">
                  <c:v>22500</c:v>
                </c:pt>
                <c:pt idx="46">
                  <c:v>23000</c:v>
                </c:pt>
                <c:pt idx="47">
                  <c:v>23500</c:v>
                </c:pt>
                <c:pt idx="48">
                  <c:v>24000</c:v>
                </c:pt>
                <c:pt idx="49">
                  <c:v>24500</c:v>
                </c:pt>
                <c:pt idx="50">
                  <c:v>25000</c:v>
                </c:pt>
                <c:pt idx="51">
                  <c:v>25500</c:v>
                </c:pt>
                <c:pt idx="52">
                  <c:v>26000</c:v>
                </c:pt>
                <c:pt idx="53">
                  <c:v>26500</c:v>
                </c:pt>
                <c:pt idx="54">
                  <c:v>27000</c:v>
                </c:pt>
                <c:pt idx="55">
                  <c:v>27500</c:v>
                </c:pt>
                <c:pt idx="56">
                  <c:v>28000</c:v>
                </c:pt>
                <c:pt idx="57">
                  <c:v>28500</c:v>
                </c:pt>
                <c:pt idx="58">
                  <c:v>29000</c:v>
                </c:pt>
                <c:pt idx="59">
                  <c:v>29500</c:v>
                </c:pt>
                <c:pt idx="60">
                  <c:v>30000</c:v>
                </c:pt>
                <c:pt idx="61">
                  <c:v>30500</c:v>
                </c:pt>
                <c:pt idx="62">
                  <c:v>31000</c:v>
                </c:pt>
                <c:pt idx="63">
                  <c:v>31500</c:v>
                </c:pt>
                <c:pt idx="64">
                  <c:v>32000</c:v>
                </c:pt>
                <c:pt idx="65">
                  <c:v>32500</c:v>
                </c:pt>
                <c:pt idx="66">
                  <c:v>33000</c:v>
                </c:pt>
                <c:pt idx="67">
                  <c:v>33500</c:v>
                </c:pt>
                <c:pt idx="68">
                  <c:v>34000</c:v>
                </c:pt>
                <c:pt idx="69">
                  <c:v>34500</c:v>
                </c:pt>
                <c:pt idx="70">
                  <c:v>35000</c:v>
                </c:pt>
                <c:pt idx="71">
                  <c:v>35500</c:v>
                </c:pt>
                <c:pt idx="72">
                  <c:v>36000</c:v>
                </c:pt>
                <c:pt idx="73">
                  <c:v>36500</c:v>
                </c:pt>
                <c:pt idx="74">
                  <c:v>37000</c:v>
                </c:pt>
                <c:pt idx="75">
                  <c:v>37500</c:v>
                </c:pt>
                <c:pt idx="76">
                  <c:v>38000</c:v>
                </c:pt>
                <c:pt idx="77">
                  <c:v>38500</c:v>
                </c:pt>
                <c:pt idx="78">
                  <c:v>39000</c:v>
                </c:pt>
                <c:pt idx="79">
                  <c:v>39500</c:v>
                </c:pt>
                <c:pt idx="80">
                  <c:v>40000</c:v>
                </c:pt>
                <c:pt idx="81">
                  <c:v>40500</c:v>
                </c:pt>
                <c:pt idx="82">
                  <c:v>41000</c:v>
                </c:pt>
                <c:pt idx="83">
                  <c:v>41500</c:v>
                </c:pt>
                <c:pt idx="84">
                  <c:v>42000</c:v>
                </c:pt>
                <c:pt idx="85">
                  <c:v>42500</c:v>
                </c:pt>
                <c:pt idx="86">
                  <c:v>43000</c:v>
                </c:pt>
                <c:pt idx="87">
                  <c:v>43500</c:v>
                </c:pt>
                <c:pt idx="88">
                  <c:v>44000</c:v>
                </c:pt>
                <c:pt idx="89">
                  <c:v>44500</c:v>
                </c:pt>
                <c:pt idx="90">
                  <c:v>45000</c:v>
                </c:pt>
                <c:pt idx="91">
                  <c:v>45500</c:v>
                </c:pt>
                <c:pt idx="92">
                  <c:v>46000</c:v>
                </c:pt>
                <c:pt idx="93">
                  <c:v>46500</c:v>
                </c:pt>
                <c:pt idx="94">
                  <c:v>47000</c:v>
                </c:pt>
                <c:pt idx="95">
                  <c:v>47500</c:v>
                </c:pt>
                <c:pt idx="96">
                  <c:v>48000</c:v>
                </c:pt>
                <c:pt idx="97">
                  <c:v>48500</c:v>
                </c:pt>
                <c:pt idx="98">
                  <c:v>49000</c:v>
                </c:pt>
                <c:pt idx="99">
                  <c:v>49500</c:v>
                </c:pt>
                <c:pt idx="100">
                  <c:v>50000</c:v>
                </c:pt>
                <c:pt idx="101">
                  <c:v>50500</c:v>
                </c:pt>
                <c:pt idx="102">
                  <c:v>51000</c:v>
                </c:pt>
                <c:pt idx="103">
                  <c:v>51500</c:v>
                </c:pt>
                <c:pt idx="104">
                  <c:v>52000</c:v>
                </c:pt>
                <c:pt idx="105">
                  <c:v>52500</c:v>
                </c:pt>
                <c:pt idx="106">
                  <c:v>53000</c:v>
                </c:pt>
                <c:pt idx="107">
                  <c:v>53500</c:v>
                </c:pt>
                <c:pt idx="108">
                  <c:v>54000</c:v>
                </c:pt>
                <c:pt idx="109">
                  <c:v>54500</c:v>
                </c:pt>
                <c:pt idx="110">
                  <c:v>55000</c:v>
                </c:pt>
                <c:pt idx="111">
                  <c:v>55500</c:v>
                </c:pt>
                <c:pt idx="112">
                  <c:v>56000</c:v>
                </c:pt>
                <c:pt idx="113">
                  <c:v>56500</c:v>
                </c:pt>
                <c:pt idx="114">
                  <c:v>57000</c:v>
                </c:pt>
                <c:pt idx="115">
                  <c:v>57500</c:v>
                </c:pt>
                <c:pt idx="116">
                  <c:v>58000</c:v>
                </c:pt>
                <c:pt idx="117">
                  <c:v>58500</c:v>
                </c:pt>
                <c:pt idx="118">
                  <c:v>59000</c:v>
                </c:pt>
                <c:pt idx="119">
                  <c:v>59500</c:v>
                </c:pt>
                <c:pt idx="120">
                  <c:v>60000</c:v>
                </c:pt>
                <c:pt idx="121">
                  <c:v>60500</c:v>
                </c:pt>
                <c:pt idx="122">
                  <c:v>61000</c:v>
                </c:pt>
                <c:pt idx="123">
                  <c:v>61500</c:v>
                </c:pt>
                <c:pt idx="124">
                  <c:v>62000</c:v>
                </c:pt>
                <c:pt idx="125">
                  <c:v>62500</c:v>
                </c:pt>
                <c:pt idx="126">
                  <c:v>63000</c:v>
                </c:pt>
                <c:pt idx="127">
                  <c:v>63500</c:v>
                </c:pt>
                <c:pt idx="128">
                  <c:v>64000</c:v>
                </c:pt>
                <c:pt idx="129">
                  <c:v>64500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65-402A-9380-2A6061E7CF57}"/>
            </c:ext>
          </c:extLst>
        </c:ser>
        <c:ser>
          <c:idx val="3"/>
          <c:order val="18"/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'7 - Es Contours'!$D$4:$D$133</c:f>
              <c:numCache>
                <c:formatCode>#,##0.0000</c:formatCode>
                <c:ptCount val="130"/>
                <c:pt idx="0">
                  <c:v>0.50805794903705803</c:v>
                </c:pt>
                <c:pt idx="1">
                  <c:v>0.48281667974563036</c:v>
                </c:pt>
                <c:pt idx="2">
                  <c:v>0.45599108035753777</c:v>
                </c:pt>
                <c:pt idx="3">
                  <c:v>0.42728074224296869</c:v>
                </c:pt>
                <c:pt idx="4">
                  <c:v>0.3962739188996901</c:v>
                </c:pt>
                <c:pt idx="5">
                  <c:v>0.36237904006266897</c:v>
                </c:pt>
                <c:pt idx="6">
                  <c:v>0.32469000795030051</c:v>
                </c:pt>
                <c:pt idx="7">
                  <c:v>0.28168459133580953</c:v>
                </c:pt>
                <c:pt idx="8">
                  <c:v>0.23040064527372173</c:v>
                </c:pt>
                <c:pt idx="9">
                  <c:v>0.16320656947007894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xVal>
          <c:yVal>
            <c:numRef>
              <c:f>'7 - Es Contours'!$X$4:$X$133</c:f>
              <c:numCache>
                <c:formatCode>#,##0</c:formatCode>
                <c:ptCount val="13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  <c:pt idx="26">
                  <c:v>13000</c:v>
                </c:pt>
                <c:pt idx="27">
                  <c:v>13500</c:v>
                </c:pt>
                <c:pt idx="28">
                  <c:v>14000</c:v>
                </c:pt>
                <c:pt idx="29">
                  <c:v>14500</c:v>
                </c:pt>
                <c:pt idx="30">
                  <c:v>15000</c:v>
                </c:pt>
                <c:pt idx="31">
                  <c:v>15500</c:v>
                </c:pt>
                <c:pt idx="32">
                  <c:v>16000</c:v>
                </c:pt>
                <c:pt idx="33">
                  <c:v>16500</c:v>
                </c:pt>
                <c:pt idx="34">
                  <c:v>17000</c:v>
                </c:pt>
                <c:pt idx="35">
                  <c:v>17500</c:v>
                </c:pt>
                <c:pt idx="36">
                  <c:v>18000</c:v>
                </c:pt>
                <c:pt idx="37">
                  <c:v>18500</c:v>
                </c:pt>
                <c:pt idx="38">
                  <c:v>19000</c:v>
                </c:pt>
                <c:pt idx="39">
                  <c:v>19500</c:v>
                </c:pt>
                <c:pt idx="40">
                  <c:v>20000</c:v>
                </c:pt>
                <c:pt idx="41">
                  <c:v>20500</c:v>
                </c:pt>
                <c:pt idx="42">
                  <c:v>21000</c:v>
                </c:pt>
                <c:pt idx="43">
                  <c:v>21500</c:v>
                </c:pt>
                <c:pt idx="44">
                  <c:v>22000</c:v>
                </c:pt>
                <c:pt idx="45">
                  <c:v>22500</c:v>
                </c:pt>
                <c:pt idx="46">
                  <c:v>23000</c:v>
                </c:pt>
                <c:pt idx="47">
                  <c:v>23500</c:v>
                </c:pt>
                <c:pt idx="48">
                  <c:v>24000</c:v>
                </c:pt>
                <c:pt idx="49">
                  <c:v>24500</c:v>
                </c:pt>
                <c:pt idx="50">
                  <c:v>25000</c:v>
                </c:pt>
                <c:pt idx="51">
                  <c:v>25500</c:v>
                </c:pt>
                <c:pt idx="52">
                  <c:v>26000</c:v>
                </c:pt>
                <c:pt idx="53">
                  <c:v>26500</c:v>
                </c:pt>
                <c:pt idx="54">
                  <c:v>27000</c:v>
                </c:pt>
                <c:pt idx="55">
                  <c:v>27500</c:v>
                </c:pt>
                <c:pt idx="56">
                  <c:v>28000</c:v>
                </c:pt>
                <c:pt idx="57">
                  <c:v>28500</c:v>
                </c:pt>
                <c:pt idx="58">
                  <c:v>29000</c:v>
                </c:pt>
                <c:pt idx="59">
                  <c:v>29500</c:v>
                </c:pt>
                <c:pt idx="60">
                  <c:v>30000</c:v>
                </c:pt>
                <c:pt idx="61">
                  <c:v>30500</c:v>
                </c:pt>
                <c:pt idx="62">
                  <c:v>31000</c:v>
                </c:pt>
                <c:pt idx="63">
                  <c:v>31500</c:v>
                </c:pt>
                <c:pt idx="64">
                  <c:v>32000</c:v>
                </c:pt>
                <c:pt idx="65">
                  <c:v>32500</c:v>
                </c:pt>
                <c:pt idx="66">
                  <c:v>33000</c:v>
                </c:pt>
                <c:pt idx="67">
                  <c:v>33500</c:v>
                </c:pt>
                <c:pt idx="68">
                  <c:v>34000</c:v>
                </c:pt>
                <c:pt idx="69">
                  <c:v>34500</c:v>
                </c:pt>
                <c:pt idx="70">
                  <c:v>35000</c:v>
                </c:pt>
                <c:pt idx="71">
                  <c:v>35500</c:v>
                </c:pt>
                <c:pt idx="72">
                  <c:v>36000</c:v>
                </c:pt>
                <c:pt idx="73">
                  <c:v>36500</c:v>
                </c:pt>
                <c:pt idx="74">
                  <c:v>37000</c:v>
                </c:pt>
                <c:pt idx="75">
                  <c:v>37500</c:v>
                </c:pt>
                <c:pt idx="76">
                  <c:v>38000</c:v>
                </c:pt>
                <c:pt idx="77">
                  <c:v>38500</c:v>
                </c:pt>
                <c:pt idx="78">
                  <c:v>39000</c:v>
                </c:pt>
                <c:pt idx="79">
                  <c:v>39500</c:v>
                </c:pt>
                <c:pt idx="80">
                  <c:v>40000</c:v>
                </c:pt>
                <c:pt idx="81">
                  <c:v>40500</c:v>
                </c:pt>
                <c:pt idx="82">
                  <c:v>41000</c:v>
                </c:pt>
                <c:pt idx="83">
                  <c:v>41500</c:v>
                </c:pt>
                <c:pt idx="84">
                  <c:v>42000</c:v>
                </c:pt>
                <c:pt idx="85">
                  <c:v>42500</c:v>
                </c:pt>
                <c:pt idx="86">
                  <c:v>43000</c:v>
                </c:pt>
                <c:pt idx="87">
                  <c:v>43500</c:v>
                </c:pt>
                <c:pt idx="88">
                  <c:v>44000</c:v>
                </c:pt>
                <c:pt idx="89">
                  <c:v>44500</c:v>
                </c:pt>
                <c:pt idx="90">
                  <c:v>45000</c:v>
                </c:pt>
                <c:pt idx="91">
                  <c:v>45500</c:v>
                </c:pt>
                <c:pt idx="92">
                  <c:v>46000</c:v>
                </c:pt>
                <c:pt idx="93">
                  <c:v>46500</c:v>
                </c:pt>
                <c:pt idx="94">
                  <c:v>47000</c:v>
                </c:pt>
                <c:pt idx="95">
                  <c:v>47500</c:v>
                </c:pt>
                <c:pt idx="96">
                  <c:v>48000</c:v>
                </c:pt>
                <c:pt idx="97">
                  <c:v>48500</c:v>
                </c:pt>
                <c:pt idx="98">
                  <c:v>49000</c:v>
                </c:pt>
                <c:pt idx="99">
                  <c:v>49500</c:v>
                </c:pt>
                <c:pt idx="100">
                  <c:v>50000</c:v>
                </c:pt>
                <c:pt idx="101">
                  <c:v>50500</c:v>
                </c:pt>
                <c:pt idx="102">
                  <c:v>51000</c:v>
                </c:pt>
                <c:pt idx="103">
                  <c:v>51500</c:v>
                </c:pt>
                <c:pt idx="104">
                  <c:v>52000</c:v>
                </c:pt>
                <c:pt idx="105">
                  <c:v>52500</c:v>
                </c:pt>
                <c:pt idx="106">
                  <c:v>53000</c:v>
                </c:pt>
                <c:pt idx="107">
                  <c:v>53500</c:v>
                </c:pt>
                <c:pt idx="108">
                  <c:v>54000</c:v>
                </c:pt>
                <c:pt idx="109">
                  <c:v>54500</c:v>
                </c:pt>
                <c:pt idx="110">
                  <c:v>55000</c:v>
                </c:pt>
                <c:pt idx="111">
                  <c:v>55500</c:v>
                </c:pt>
                <c:pt idx="112">
                  <c:v>56000</c:v>
                </c:pt>
                <c:pt idx="113">
                  <c:v>56500</c:v>
                </c:pt>
                <c:pt idx="114">
                  <c:v>57000</c:v>
                </c:pt>
                <c:pt idx="115">
                  <c:v>57500</c:v>
                </c:pt>
                <c:pt idx="116">
                  <c:v>58000</c:v>
                </c:pt>
                <c:pt idx="117">
                  <c:v>58500</c:v>
                </c:pt>
                <c:pt idx="118">
                  <c:v>59000</c:v>
                </c:pt>
                <c:pt idx="119">
                  <c:v>59500</c:v>
                </c:pt>
                <c:pt idx="120">
                  <c:v>60000</c:v>
                </c:pt>
                <c:pt idx="121">
                  <c:v>60500</c:v>
                </c:pt>
                <c:pt idx="122">
                  <c:v>61000</c:v>
                </c:pt>
                <c:pt idx="123">
                  <c:v>61500</c:v>
                </c:pt>
                <c:pt idx="124">
                  <c:v>62000</c:v>
                </c:pt>
                <c:pt idx="125">
                  <c:v>62500</c:v>
                </c:pt>
                <c:pt idx="126">
                  <c:v>63000</c:v>
                </c:pt>
                <c:pt idx="127">
                  <c:v>63500</c:v>
                </c:pt>
                <c:pt idx="128">
                  <c:v>64000</c:v>
                </c:pt>
                <c:pt idx="129">
                  <c:v>64500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5-402A-9380-2A6061E7CF57}"/>
            </c:ext>
          </c:extLst>
        </c:ser>
        <c:ser>
          <c:idx val="1"/>
          <c:order val="19"/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'7 - Flight Envelope Calc'!$D$11:$D$61</c:f>
              <c:numCache>
                <c:formatCode>0.0000</c:formatCode>
                <c:ptCount val="51"/>
                <c:pt idx="0">
                  <c:v>0.2227931826612925</c:v>
                </c:pt>
                <c:pt idx="1">
                  <c:v>0.22686911522783662</c:v>
                </c:pt>
                <c:pt idx="2">
                  <c:v>0.23104913045172065</c:v>
                </c:pt>
                <c:pt idx="3">
                  <c:v>0.23533621654334333</c:v>
                </c:pt>
                <c:pt idx="4">
                  <c:v>0.23973389691114599</c:v>
                </c:pt>
                <c:pt idx="5">
                  <c:v>0.24424583697069233</c:v>
                </c:pt>
                <c:pt idx="6">
                  <c:v>0.24887585093362427</c:v>
                </c:pt>
                <c:pt idx="7">
                  <c:v>0.25362790897285703</c:v>
                </c:pt>
                <c:pt idx="8">
                  <c:v>0.25850614478777095</c:v>
                </c:pt>
                <c:pt idx="9">
                  <c:v>0.26351486359484128</c:v>
                </c:pt>
                <c:pt idx="10">
                  <c:v>0.26865855057097071</c:v>
                </c:pt>
                <c:pt idx="11">
                  <c:v>0.27394187977874901</c:v>
                </c:pt>
                <c:pt idx="12">
                  <c:v>0.27936972360498863</c:v>
                </c:pt>
                <c:pt idx="13">
                  <c:v>0.28494716274617715</c:v>
                </c:pt>
                <c:pt idx="14">
                  <c:v>0.29067949677696531</c:v>
                </c:pt>
                <c:pt idx="15">
                  <c:v>0.29657225534049347</c:v>
                </c:pt>
                <c:pt idx="16">
                  <c:v>0.30263121000226201</c:v>
                </c:pt>
                <c:pt idx="17">
                  <c:v>0.3088623868123993</c:v>
                </c:pt>
                <c:pt idx="18">
                  <c:v>0.31527207962458598</c:v>
                </c:pt>
                <c:pt idx="19">
                  <c:v>0.32186686422359939</c:v>
                </c:pt>
                <c:pt idx="20">
                  <c:v>0.32865361331744819</c:v>
                </c:pt>
                <c:pt idx="21">
                  <c:v>0.33563951245443246</c:v>
                </c:pt>
                <c:pt idx="22">
                  <c:v>0.34283207693019496</c:v>
                </c:pt>
                <c:pt idx="23">
                  <c:v>0.35023916975498381</c:v>
                </c:pt>
                <c:pt idx="24">
                  <c:v>0.35786902075694876</c:v>
                </c:pt>
                <c:pt idx="25">
                  <c:v>0.3657302469033939</c:v>
                </c:pt>
                <c:pt idx="26">
                  <c:v>0.37383187392855954</c:v>
                </c:pt>
                <c:pt idx="27">
                  <c:v>0.38218335936375175</c:v>
                </c:pt>
                <c:pt idx="28">
                  <c:v>0.39079461707355373</c:v>
                </c:pt>
                <c:pt idx="29">
                  <c:v>0.39967604341047702</c:v>
                </c:pt>
                <c:pt idx="30">
                  <c:v>0.40883854510986267</c:v>
                </c:pt>
                <c:pt idx="31">
                  <c:v>0.41829356905714621</c:v>
                </c:pt>
                <c:pt idx="32">
                  <c:v>0.42805313407090567</c:v>
                </c:pt>
                <c:pt idx="33">
                  <c:v>0.43812986485746858</c:v>
                </c:pt>
                <c:pt idx="34">
                  <c:v>0.44853702830641795</c:v>
                </c:pt>
                <c:pt idx="35">
                  <c:v>0.45928857231120107</c:v>
                </c:pt>
                <c:pt idx="36">
                  <c:v>0.47039916731537268</c:v>
                </c:pt>
                <c:pt idx="37">
                  <c:v>0.48184058149571163</c:v>
                </c:pt>
                <c:pt idx="38">
                  <c:v>0.49356036204003867</c:v>
                </c:pt>
                <c:pt idx="39">
                  <c:v>0.50556520212746359</c:v>
                </c:pt>
                <c:pt idx="40">
                  <c:v>0.51786203524473595</c:v>
                </c:pt>
                <c:pt idx="41">
                  <c:v>0.53045796352140162</c:v>
                </c:pt>
                <c:pt idx="42">
                  <c:v>0.54336026183169195</c:v>
                </c:pt>
                <c:pt idx="43">
                  <c:v>0.55657638199618287</c:v>
                </c:pt>
                <c:pt idx="44">
                  <c:v>0.57011395708565016</c:v>
                </c:pt>
                <c:pt idx="45">
                  <c:v>0.58398080582960799</c:v>
                </c:pt>
                <c:pt idx="46">
                  <c:v>0.59818493713207521</c:v>
                </c:pt>
                <c:pt idx="47">
                  <c:v>0.6127345546971793</c:v>
                </c:pt>
                <c:pt idx="48">
                  <c:v>0.62763806176726777</c:v>
                </c:pt>
                <c:pt idx="49">
                  <c:v>0.64290406597626493</c:v>
                </c:pt>
                <c:pt idx="50">
                  <c:v>0.65854138432107612</c:v>
                </c:pt>
              </c:numCache>
            </c:numRef>
          </c:xVal>
          <c:yVal>
            <c:numRef>
              <c:f>'7 - Flight Envelope Calc'!$B$11:$B$61</c:f>
              <c:numCache>
                <c:formatCode>_(* #,##0_);_(* \(#,##0\);_(* "-"??_);_(@_)</c:formatCode>
                <c:ptCount val="51"/>
                <c:pt idx="0">
                  <c:v>0.1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4D-47B2-8513-9D28CB581FCC}"/>
            </c:ext>
          </c:extLst>
        </c:ser>
        <c:ser>
          <c:idx val="0"/>
          <c:order val="20"/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'7 - Flight Envelope Calc'!$G$11:$G$61</c:f>
              <c:numCache>
                <c:formatCode>0.0000</c:formatCode>
                <c:ptCount val="51"/>
                <c:pt idx="0">
                  <c:v>1.0588596641475423</c:v>
                </c:pt>
                <c:pt idx="1">
                  <c:v>1.0782311751468723</c:v>
                </c:pt>
                <c:pt idx="2">
                  <c:v>1.0980973553559064</c:v>
                </c:pt>
                <c:pt idx="3">
                  <c:v>1.1184724067148537</c:v>
                </c:pt>
                <c:pt idx="4">
                  <c:v>1.1393730747768518</c:v>
                </c:pt>
                <c:pt idx="5">
                  <c:v>1.1608167800062359</c:v>
                </c:pt>
                <c:pt idx="6">
                  <c:v>1.1828216500441209</c:v>
                </c:pt>
                <c:pt idx="7">
                  <c:v>1.2054065537621188</c:v>
                </c:pt>
                <c:pt idx="8">
                  <c:v>1.228591137217103</c:v>
                </c:pt>
                <c:pt idx="9">
                  <c:v>1.252395861627934</c:v>
                </c:pt>
                <c:pt idx="10">
                  <c:v>1.2768420435037258</c:v>
                </c:pt>
                <c:pt idx="11">
                  <c:v>1.3019518970625483</c:v>
                </c:pt>
                <c:pt idx="12">
                  <c:v>1.3277485790895514</c:v>
                </c:pt>
                <c:pt idx="13">
                  <c:v>1.3542562363944008</c:v>
                </c:pt>
                <c:pt idx="14">
                  <c:v>1.3815000560396795</c:v>
                </c:pt>
                <c:pt idx="15">
                  <c:v>1.4095063185246761</c:v>
                </c:pt>
                <c:pt idx="16">
                  <c:v>1.4383024541227698</c:v>
                </c:pt>
                <c:pt idx="17">
                  <c:v>1.4679171025855848</c:v>
                </c:pt>
                <c:pt idx="18">
                  <c:v>1.4983801764432754</c:v>
                </c:pt>
                <c:pt idx="19">
                  <c:v>1.5297229281479034</c:v>
                </c:pt>
                <c:pt idx="20">
                  <c:v>1.561978021325918</c:v>
                </c:pt>
                <c:pt idx="21">
                  <c:v>1.58</c:v>
                </c:pt>
                <c:pt idx="22">
                  <c:v>1.58</c:v>
                </c:pt>
                <c:pt idx="23">
                  <c:v>1.58</c:v>
                </c:pt>
                <c:pt idx="24">
                  <c:v>1.58</c:v>
                </c:pt>
                <c:pt idx="25">
                  <c:v>1.58</c:v>
                </c:pt>
                <c:pt idx="26">
                  <c:v>1.58</c:v>
                </c:pt>
                <c:pt idx="27">
                  <c:v>1.58</c:v>
                </c:pt>
                <c:pt idx="28">
                  <c:v>1.58</c:v>
                </c:pt>
                <c:pt idx="29">
                  <c:v>1.58</c:v>
                </c:pt>
                <c:pt idx="30">
                  <c:v>1.58</c:v>
                </c:pt>
                <c:pt idx="31">
                  <c:v>1.58</c:v>
                </c:pt>
                <c:pt idx="32">
                  <c:v>1.58</c:v>
                </c:pt>
                <c:pt idx="33">
                  <c:v>1.58</c:v>
                </c:pt>
                <c:pt idx="34">
                  <c:v>1.58</c:v>
                </c:pt>
                <c:pt idx="35">
                  <c:v>1.58</c:v>
                </c:pt>
                <c:pt idx="36">
                  <c:v>1.58</c:v>
                </c:pt>
                <c:pt idx="37">
                  <c:v>1.58</c:v>
                </c:pt>
                <c:pt idx="38">
                  <c:v>1.58</c:v>
                </c:pt>
                <c:pt idx="39">
                  <c:v>1.58</c:v>
                </c:pt>
                <c:pt idx="40">
                  <c:v>1.58</c:v>
                </c:pt>
                <c:pt idx="41">
                  <c:v>1.58</c:v>
                </c:pt>
                <c:pt idx="42">
                  <c:v>1.58</c:v>
                </c:pt>
                <c:pt idx="43">
                  <c:v>1.58</c:v>
                </c:pt>
                <c:pt idx="44">
                  <c:v>1.58</c:v>
                </c:pt>
                <c:pt idx="45">
                  <c:v>1.58</c:v>
                </c:pt>
                <c:pt idx="46">
                  <c:v>1.58</c:v>
                </c:pt>
                <c:pt idx="47">
                  <c:v>1.58</c:v>
                </c:pt>
                <c:pt idx="48">
                  <c:v>1.58</c:v>
                </c:pt>
                <c:pt idx="49">
                  <c:v>1.58</c:v>
                </c:pt>
                <c:pt idx="50">
                  <c:v>1.58</c:v>
                </c:pt>
              </c:numCache>
            </c:numRef>
          </c:xVal>
          <c:yVal>
            <c:numRef>
              <c:f>'7 - Flight Envelope Calc'!$B$11:$B$61</c:f>
              <c:numCache>
                <c:formatCode>_(* #,##0_);_(* \(#,##0\);_(* "-"??_);_(@_)</c:formatCode>
                <c:ptCount val="51"/>
                <c:pt idx="0">
                  <c:v>0.1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4D-47B2-8513-9D28CB581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947680"/>
        <c:axId val="530942760"/>
      </c:scatterChart>
      <c:valAx>
        <c:axId val="530947680"/>
        <c:scaling>
          <c:orientation val="minMax"/>
          <c:max val="1.8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chemeClr val="tx1"/>
                    </a:solidFill>
                  </a:rPr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942760"/>
        <c:crosses val="autoZero"/>
        <c:crossBetween val="midCat"/>
        <c:minorUnit val="5.000000000000001E-2"/>
      </c:valAx>
      <c:valAx>
        <c:axId val="53094276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chemeClr val="tx1"/>
                    </a:solidFill>
                  </a:rPr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947680"/>
        <c:crosses val="autoZero"/>
        <c:crossBetween val="midCat"/>
        <c:majorUnit val="5000"/>
        <c:minorUnit val="1000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/>
            </a:pPr>
            <a:r>
              <a:rPr lang="en-US" sz="2400"/>
              <a:t>T-38A V-n Diagram</a:t>
            </a:r>
          </a:p>
        </c:rich>
      </c:tx>
      <c:layout>
        <c:manualLayout>
          <c:xMode val="edge"/>
          <c:yMode val="edge"/>
          <c:x val="0.38765580010181161"/>
          <c:y val="2.019581643203690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044172954662528"/>
          <c:y val="0.12691704446035154"/>
          <c:w val="0.84481736033590127"/>
          <c:h val="0.74493740555157884"/>
        </c:manualLayout>
      </c:layout>
      <c:scatterChart>
        <c:scatterStyle val="lineMarker"/>
        <c:varyColors val="0"/>
        <c:ser>
          <c:idx val="16"/>
          <c:order val="0"/>
          <c:tx>
            <c:v>h=30,000ft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'7 - Flight Envelope Calc'!$P$23:$P$28</c:f>
              <c:numCache>
                <c:formatCode>0.0000</c:formatCode>
                <c:ptCount val="6"/>
                <c:pt idx="0">
                  <c:v>0.12928609978166608</c:v>
                </c:pt>
                <c:pt idx="1">
                  <c:v>0.28909250765762606</c:v>
                </c:pt>
                <c:pt idx="2">
                  <c:v>0.40883854510986267</c:v>
                </c:pt>
                <c:pt idx="3">
                  <c:v>0.50072291135050306</c:v>
                </c:pt>
                <c:pt idx="4">
                  <c:v>0.57818501531525213</c:v>
                </c:pt>
                <c:pt idx="5">
                  <c:v>0.70101207589070436</c:v>
                </c:pt>
              </c:numCache>
            </c:numRef>
          </c:xVal>
          <c:yVal>
            <c:numRef>
              <c:f>'7 - Flight Envelope Calc'!$O$23:$O$28</c:f>
              <c:numCache>
                <c:formatCode>0.00</c:formatCode>
                <c:ptCount val="6"/>
                <c:pt idx="0">
                  <c:v>-0.1</c:v>
                </c:pt>
                <c:pt idx="1">
                  <c:v>-0.5</c:v>
                </c:pt>
                <c:pt idx="2">
                  <c:v>-1</c:v>
                </c:pt>
                <c:pt idx="3">
                  <c:v>-1.5</c:v>
                </c:pt>
                <c:pt idx="4">
                  <c:v>-2</c:v>
                </c:pt>
                <c:pt idx="5">
                  <c:v>-2.94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209B-4908-B5C0-9345080A2B56}"/>
            </c:ext>
          </c:extLst>
        </c:ser>
        <c:ser>
          <c:idx val="1"/>
          <c:order val="1"/>
          <c:spPr>
            <a:ln w="381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'7 - Flight Envelope Calc'!$J$23:$J$28</c:f>
              <c:numCache>
                <c:formatCode>0.0000</c:formatCode>
                <c:ptCount val="6"/>
                <c:pt idx="0">
                  <c:v>7.045339043676184E-2</c:v>
                </c:pt>
                <c:pt idx="1">
                  <c:v>0.15753857026193308</c:v>
                </c:pt>
                <c:pt idx="2">
                  <c:v>0.2227931826612925</c:v>
                </c:pt>
                <c:pt idx="3">
                  <c:v>0.27286480784542749</c:v>
                </c:pt>
                <c:pt idx="4">
                  <c:v>0.31507714052386615</c:v>
                </c:pt>
                <c:pt idx="5">
                  <c:v>0.3820107309835985</c:v>
                </c:pt>
              </c:numCache>
            </c:numRef>
          </c:xVal>
          <c:yVal>
            <c:numRef>
              <c:f>'7 - Flight Envelope Calc'!$I$23:$I$28</c:f>
              <c:numCache>
                <c:formatCode>0.00</c:formatCode>
                <c:ptCount val="6"/>
                <c:pt idx="0">
                  <c:v>-0.1</c:v>
                </c:pt>
                <c:pt idx="1">
                  <c:v>-0.5</c:v>
                </c:pt>
                <c:pt idx="2">
                  <c:v>-1</c:v>
                </c:pt>
                <c:pt idx="3">
                  <c:v>-1.5</c:v>
                </c:pt>
                <c:pt idx="4">
                  <c:v>-2</c:v>
                </c:pt>
                <c:pt idx="5">
                  <c:v>-2.94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9B-4908-B5C0-9345080A2B56}"/>
            </c:ext>
          </c:extLst>
        </c:ser>
        <c:ser>
          <c:idx val="17"/>
          <c:order val="2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'7 - Flight Envelope Calc'!$S$19:$S$20</c:f>
              <c:numCache>
                <c:formatCode>0.0000</c:formatCode>
                <c:ptCount val="2"/>
                <c:pt idx="0">
                  <c:v>0.70101207589070436</c:v>
                </c:pt>
                <c:pt idx="1">
                  <c:v>1.58</c:v>
                </c:pt>
              </c:numCache>
            </c:numRef>
          </c:xVal>
          <c:yVal>
            <c:numRef>
              <c:f>'7 - Flight Envelope Calc'!$R$19:$R$20</c:f>
              <c:numCache>
                <c:formatCode>0.00</c:formatCode>
                <c:ptCount val="2"/>
                <c:pt idx="0">
                  <c:v>-2.94</c:v>
                </c:pt>
                <c:pt idx="1">
                  <c:v>-2.94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209B-4908-B5C0-9345080A2B56}"/>
            </c:ext>
          </c:extLst>
        </c:ser>
        <c:ser>
          <c:idx val="4"/>
          <c:order val="3"/>
          <c:spPr>
            <a:ln w="381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'7 - Flight Envelope Calc'!$M$19:$M$20</c:f>
              <c:numCache>
                <c:formatCode>0.0000</c:formatCode>
                <c:ptCount val="2"/>
                <c:pt idx="0">
                  <c:v>0.3820107309835985</c:v>
                </c:pt>
                <c:pt idx="1">
                  <c:v>1.0588596641475423</c:v>
                </c:pt>
              </c:numCache>
            </c:numRef>
          </c:xVal>
          <c:yVal>
            <c:numRef>
              <c:f>'7 - Flight Envelope Calc'!$L$19:$L$20</c:f>
              <c:numCache>
                <c:formatCode>0.00</c:formatCode>
                <c:ptCount val="2"/>
                <c:pt idx="0">
                  <c:v>-2.94</c:v>
                </c:pt>
                <c:pt idx="1">
                  <c:v>-2.94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09B-4908-B5C0-9345080A2B56}"/>
            </c:ext>
          </c:extLst>
        </c:ser>
        <c:ser>
          <c:idx val="18"/>
          <c:order val="4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'7 - Flight Envelope Calc'!$S$15:$S$16</c:f>
              <c:numCache>
                <c:formatCode>0.0000</c:formatCode>
                <c:ptCount val="2"/>
                <c:pt idx="0">
                  <c:v>1.0970289344253206</c:v>
                </c:pt>
                <c:pt idx="1">
                  <c:v>1.58</c:v>
                </c:pt>
              </c:numCache>
            </c:numRef>
          </c:xVal>
          <c:yVal>
            <c:numRef>
              <c:f>'7 - Flight Envelope Calc'!$R$15:$R$16</c:f>
              <c:numCache>
                <c:formatCode>0.00</c:formatCode>
                <c:ptCount val="2"/>
                <c:pt idx="0">
                  <c:v>7.2</c:v>
                </c:pt>
                <c:pt idx="1">
                  <c:v>7.2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209B-4908-B5C0-9345080A2B56}"/>
            </c:ext>
          </c:extLst>
        </c:ser>
        <c:ser>
          <c:idx val="3"/>
          <c:order val="5"/>
          <c:spPr>
            <a:ln w="381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'7 - Flight Envelope Calc'!$M$15:$M$16</c:f>
              <c:numCache>
                <c:formatCode>0.0000</c:formatCode>
                <c:ptCount val="2"/>
                <c:pt idx="0">
                  <c:v>0.59781684162501303</c:v>
                </c:pt>
                <c:pt idx="1">
                  <c:v>1.0588596641475423</c:v>
                </c:pt>
              </c:numCache>
            </c:numRef>
          </c:xVal>
          <c:yVal>
            <c:numRef>
              <c:f>'7 - Flight Envelope Calc'!$L$15:$L$16</c:f>
              <c:numCache>
                <c:formatCode>0.00</c:formatCode>
                <c:ptCount val="2"/>
                <c:pt idx="0">
                  <c:v>7.2</c:v>
                </c:pt>
                <c:pt idx="1">
                  <c:v>7.2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09B-4908-B5C0-9345080A2B56}"/>
            </c:ext>
          </c:extLst>
        </c:ser>
        <c:ser>
          <c:idx val="19"/>
          <c:order val="6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'7 - Flight Envelope Calc'!$S$11:$S$12</c:f>
              <c:numCache>
                <c:formatCode>0.0000</c:formatCode>
                <c:ptCount val="2"/>
                <c:pt idx="0">
                  <c:v>1.58</c:v>
                </c:pt>
                <c:pt idx="1">
                  <c:v>1.58</c:v>
                </c:pt>
              </c:numCache>
            </c:numRef>
          </c:xVal>
          <c:yVal>
            <c:numRef>
              <c:f>'7 - Flight Envelope Calc'!$R$11:$R$12</c:f>
              <c:numCache>
                <c:formatCode>0.00</c:formatCode>
                <c:ptCount val="2"/>
                <c:pt idx="0">
                  <c:v>7.2</c:v>
                </c:pt>
                <c:pt idx="1">
                  <c:v>-2.94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209B-4908-B5C0-9345080A2B56}"/>
            </c:ext>
          </c:extLst>
        </c:ser>
        <c:ser>
          <c:idx val="2"/>
          <c:order val="7"/>
          <c:spPr>
            <a:ln w="381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'7 - Flight Envelope Calc'!$M$11:$M$12</c:f>
              <c:numCache>
                <c:formatCode>0.0000</c:formatCode>
                <c:ptCount val="2"/>
                <c:pt idx="0">
                  <c:v>1.0588596641475423</c:v>
                </c:pt>
                <c:pt idx="1">
                  <c:v>1.0588596641475423</c:v>
                </c:pt>
              </c:numCache>
            </c:numRef>
          </c:xVal>
          <c:yVal>
            <c:numRef>
              <c:f>'7 - Flight Envelope Calc'!$L$11:$L$12</c:f>
              <c:numCache>
                <c:formatCode>0.00</c:formatCode>
                <c:ptCount val="2"/>
                <c:pt idx="0">
                  <c:v>7.2</c:v>
                </c:pt>
                <c:pt idx="1">
                  <c:v>-2.94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9B-4908-B5C0-9345080A2B56}"/>
            </c:ext>
          </c:extLst>
        </c:ser>
        <c:ser>
          <c:idx val="15"/>
          <c:order val="8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'7 - Flight Envelope Calc'!$P$11:$P$21</c:f>
              <c:numCache>
                <c:formatCode>0.0000</c:formatCode>
                <c:ptCount val="11"/>
                <c:pt idx="0">
                  <c:v>0.12928609978166608</c:v>
                </c:pt>
                <c:pt idx="1">
                  <c:v>0.28909250765762606</c:v>
                </c:pt>
                <c:pt idx="2">
                  <c:v>0.40883854510986267</c:v>
                </c:pt>
                <c:pt idx="3">
                  <c:v>0.50072291135050306</c:v>
                </c:pt>
                <c:pt idx="4">
                  <c:v>0.57818501531525213</c:v>
                </c:pt>
                <c:pt idx="5">
                  <c:v>0.70812913222282248</c:v>
                </c:pt>
                <c:pt idx="6">
                  <c:v>0.81767709021972534</c:v>
                </c:pt>
                <c:pt idx="7">
                  <c:v>0.9141907786877671</c:v>
                </c:pt>
                <c:pt idx="8">
                  <c:v>1.0014458227010061</c:v>
                </c:pt>
                <c:pt idx="9">
                  <c:v>1.0816851167381589</c:v>
                </c:pt>
                <c:pt idx="10">
                  <c:v>1.0970289344253206</c:v>
                </c:pt>
              </c:numCache>
            </c:numRef>
          </c:xVal>
          <c:yVal>
            <c:numRef>
              <c:f>'7 - Flight Envelope Calc'!$O$11:$O$21</c:f>
              <c:numCache>
                <c:formatCode>0.00</c:formatCode>
                <c:ptCount val="11"/>
                <c:pt idx="0">
                  <c:v>0.1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7.2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209B-4908-B5C0-9345080A2B56}"/>
            </c:ext>
          </c:extLst>
        </c:ser>
        <c:ser>
          <c:idx val="0"/>
          <c:order val="9"/>
          <c:tx>
            <c:v>h=0ft</c:v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'7 - Flight Envelope Calc'!$J$11:$J$21</c:f>
              <c:numCache>
                <c:formatCode>0.0000</c:formatCode>
                <c:ptCount val="11"/>
                <c:pt idx="0">
                  <c:v>7.045339043676184E-2</c:v>
                </c:pt>
                <c:pt idx="1">
                  <c:v>0.15753857026193308</c:v>
                </c:pt>
                <c:pt idx="2">
                  <c:v>0.2227931826612925</c:v>
                </c:pt>
                <c:pt idx="3">
                  <c:v>0.27286480784542749</c:v>
                </c:pt>
                <c:pt idx="4">
                  <c:v>0.31507714052386615</c:v>
                </c:pt>
                <c:pt idx="5">
                  <c:v>0.38588911194933206</c:v>
                </c:pt>
                <c:pt idx="6">
                  <c:v>0.445586365322585</c:v>
                </c:pt>
                <c:pt idx="7">
                  <c:v>0.49818070135417752</c:v>
                </c:pt>
                <c:pt idx="8">
                  <c:v>0.54572961569085499</c:v>
                </c:pt>
                <c:pt idx="9">
                  <c:v>0.58945535512236746</c:v>
                </c:pt>
                <c:pt idx="10">
                  <c:v>0.59781684162501303</c:v>
                </c:pt>
              </c:numCache>
            </c:numRef>
          </c:xVal>
          <c:yVal>
            <c:numRef>
              <c:f>'7 - Flight Envelope Calc'!$I$11:$I$21</c:f>
              <c:numCache>
                <c:formatCode>0.00</c:formatCode>
                <c:ptCount val="11"/>
                <c:pt idx="0">
                  <c:v>0.1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7.2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9B-4908-B5C0-9345080A2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903680"/>
        <c:axId val="240905600"/>
      </c:scatterChart>
      <c:valAx>
        <c:axId val="240903680"/>
        <c:scaling>
          <c:orientation val="minMax"/>
          <c:max val="1.6"/>
          <c:min val="0"/>
        </c:scaling>
        <c:delete val="0"/>
        <c:axPos val="b"/>
        <c:majorGridlines>
          <c:spPr>
            <a:ln w="12700">
              <a:solidFill>
                <a:schemeClr val="tx1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aseline="0"/>
                  <a:t>Mach Number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400" b="1" i="0" baseline="0"/>
            </a:pPr>
            <a:endParaRPr lang="en-US"/>
          </a:p>
        </c:txPr>
        <c:crossAx val="240905600"/>
        <c:crossesAt val="-3"/>
        <c:crossBetween val="midCat"/>
        <c:majorUnit val="0.2"/>
        <c:minorUnit val="5.000000000000001E-2"/>
      </c:valAx>
      <c:valAx>
        <c:axId val="240905600"/>
        <c:scaling>
          <c:orientation val="minMax"/>
          <c:max val="8"/>
          <c:min val="-3"/>
        </c:scaling>
        <c:delete val="0"/>
        <c:axPos val="l"/>
        <c:majorGridlines>
          <c:spPr>
            <a:ln w="12700">
              <a:solidFill>
                <a:schemeClr val="tx1"/>
              </a:solidFill>
            </a:ln>
          </c:spPr>
        </c:majorGridlines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800" baseline="0"/>
                  <a:t>Maximum Load Factor (g's)</a:t>
                </a:r>
              </a:p>
            </c:rich>
          </c:tx>
          <c:layout>
            <c:manualLayout>
              <c:xMode val="edge"/>
              <c:yMode val="edge"/>
              <c:x val="2.343796678406412E-2"/>
              <c:y val="0.27857177387601761"/>
            </c:manualLayout>
          </c:layout>
          <c:overlay val="0"/>
        </c:title>
        <c:numFmt formatCode="#,##0.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400" b="1" i="0" baseline="0"/>
            </a:pPr>
            <a:endParaRPr lang="en-US"/>
          </a:p>
        </c:txPr>
        <c:crossAx val="240903680"/>
        <c:crosses val="autoZero"/>
        <c:crossBetween val="midCat"/>
        <c:majorUnit val="1"/>
        <c:minorUnit val="0.5"/>
      </c:valAx>
      <c:spPr>
        <a:ln w="12700">
          <a:solidFill>
            <a:schemeClr val="tx1"/>
          </a:solidFill>
        </a:ln>
      </c:spPr>
    </c:plotArea>
    <c:legend>
      <c:legendPos val="t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overlay val="0"/>
    </c:legend>
    <c:plotVisOnly val="1"/>
    <c:dispBlanksAs val="gap"/>
    <c:showDLblsOverMax val="0"/>
  </c:char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T-38A</a:t>
            </a:r>
            <a:r>
              <a:rPr lang="en-US" baseline="0"/>
              <a:t> Max Load Factor vs Aircraft Weight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Positive NZW</c:v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'Aircraft Data'!$G$5:$G$11</c:f>
              <c:numCache>
                <c:formatCode>#,##0</c:formatCode>
                <c:ptCount val="7"/>
                <c:pt idx="0">
                  <c:v>7000</c:v>
                </c:pt>
                <c:pt idx="1">
                  <c:v>9800</c:v>
                </c:pt>
                <c:pt idx="2">
                  <c:v>10000</c:v>
                </c:pt>
                <c:pt idx="3">
                  <c:v>11000</c:v>
                </c:pt>
                <c:pt idx="4">
                  <c:v>12000</c:v>
                </c:pt>
                <c:pt idx="5">
                  <c:v>12800</c:v>
                </c:pt>
                <c:pt idx="6">
                  <c:v>14000</c:v>
                </c:pt>
              </c:numCache>
            </c:numRef>
          </c:xVal>
          <c:yVal>
            <c:numRef>
              <c:f>'Aircraft Data'!$H$5:$H$11</c:f>
              <c:numCache>
                <c:formatCode>General</c:formatCode>
                <c:ptCount val="7"/>
                <c:pt idx="0">
                  <c:v>7.33</c:v>
                </c:pt>
                <c:pt idx="1">
                  <c:v>7.33</c:v>
                </c:pt>
                <c:pt idx="2" formatCode="0.00">
                  <c:v>7.2</c:v>
                </c:pt>
                <c:pt idx="3" formatCode="0.00">
                  <c:v>6.5454545454545459</c:v>
                </c:pt>
                <c:pt idx="4" formatCode="0.00">
                  <c:v>6</c:v>
                </c:pt>
                <c:pt idx="5" formatCode="0.00">
                  <c:v>5.625</c:v>
                </c:pt>
                <c:pt idx="6" formatCode="0.00">
                  <c:v>5.1428571428571432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EC-4302-8B69-C73D106EB720}"/>
            </c:ext>
          </c:extLst>
        </c:ser>
        <c:ser>
          <c:idx val="1"/>
          <c:order val="1"/>
          <c:tx>
            <c:v>Negative NZW</c:v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'Aircraft Data'!$J$5:$J$11</c:f>
              <c:numCache>
                <c:formatCode>#,##0</c:formatCode>
                <c:ptCount val="7"/>
                <c:pt idx="0">
                  <c:v>7000</c:v>
                </c:pt>
                <c:pt idx="1">
                  <c:v>9800</c:v>
                </c:pt>
                <c:pt idx="2">
                  <c:v>10000</c:v>
                </c:pt>
                <c:pt idx="3">
                  <c:v>11000</c:v>
                </c:pt>
                <c:pt idx="4">
                  <c:v>12000</c:v>
                </c:pt>
                <c:pt idx="5">
                  <c:v>12800</c:v>
                </c:pt>
                <c:pt idx="6">
                  <c:v>14000</c:v>
                </c:pt>
              </c:numCache>
            </c:numRef>
          </c:xVal>
          <c:yVal>
            <c:numRef>
              <c:f>'Aircraft Data'!$K$5:$K$11</c:f>
              <c:numCache>
                <c:formatCode>0.00</c:formatCode>
                <c:ptCount val="7"/>
                <c:pt idx="0">
                  <c:v>-3</c:v>
                </c:pt>
                <c:pt idx="1">
                  <c:v>-3</c:v>
                </c:pt>
                <c:pt idx="2">
                  <c:v>-2.94</c:v>
                </c:pt>
                <c:pt idx="3">
                  <c:v>-2.6727272727272728</c:v>
                </c:pt>
                <c:pt idx="4">
                  <c:v>-2.4500000000000002</c:v>
                </c:pt>
                <c:pt idx="5">
                  <c:v>-2.296875</c:v>
                </c:pt>
                <c:pt idx="6">
                  <c:v>-2.1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EC-4302-8B69-C73D106EB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7007808"/>
        <c:axId val="1327010688"/>
      </c:scatterChart>
      <c:valAx>
        <c:axId val="1327007808"/>
        <c:scaling>
          <c:orientation val="minMax"/>
          <c:max val="14000"/>
          <c:min val="7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Aircraft Weight (lbs)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7010688"/>
        <c:crosses val="autoZero"/>
        <c:crossBetween val="midCat"/>
      </c:valAx>
      <c:valAx>
        <c:axId val="132701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Body-Axis</a:t>
                </a:r>
                <a:r>
                  <a:rPr lang="en-US" baseline="0"/>
                  <a:t> Max Load Factor (n</a:t>
                </a:r>
                <a:r>
                  <a:rPr lang="en-US" sz="800" baseline="0"/>
                  <a:t>z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7007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/>
                </a:solidFill>
              </a:rPr>
              <a:t>T-38A</a:t>
            </a:r>
            <a:r>
              <a:rPr lang="en-US" sz="1800" b="1" baseline="0">
                <a:solidFill>
                  <a:schemeClr val="tx1"/>
                </a:solidFill>
              </a:rPr>
              <a:t> Maneuver Diagram </a:t>
            </a:r>
            <a:r>
              <a:rPr lang="en-US" sz="1800" b="1">
                <a:solidFill>
                  <a:schemeClr val="tx1"/>
                </a:solidFill>
              </a:rPr>
              <a:t>at 15,000 ft; Weight =</a:t>
            </a:r>
            <a:r>
              <a:rPr lang="en-US" sz="1800" b="1" baseline="0">
                <a:solidFill>
                  <a:schemeClr val="tx1"/>
                </a:solidFill>
              </a:rPr>
              <a:t> </a:t>
            </a:r>
            <a:r>
              <a:rPr lang="en-US" sz="1800" b="1">
                <a:solidFill>
                  <a:schemeClr val="tx1"/>
                </a:solidFill>
              </a:rPr>
              <a:t>10,000 lb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0"/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'9 - R and g calculations'!$A$7:$A$39</c:f>
              <c:numCache>
                <c:formatCode>0.00</c:formatCode>
                <c:ptCount val="33"/>
                <c:pt idx="0" formatCode="0.00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</c:numCache>
            </c:numRef>
          </c:xVal>
          <c:yVal>
            <c:numRef>
              <c:f>'9 - R and g calculations'!$Q$7:$Q$39</c:f>
              <c:numCache>
                <c:formatCode>0.00</c:formatCode>
                <c:ptCount val="33"/>
                <c:pt idx="0">
                  <c:v>1559.4392204127087</c:v>
                </c:pt>
                <c:pt idx="1">
                  <c:v>311.88784408254179</c:v>
                </c:pt>
                <c:pt idx="2">
                  <c:v>155.94392204127089</c:v>
                </c:pt>
                <c:pt idx="3">
                  <c:v>103.96261469418059</c:v>
                </c:pt>
                <c:pt idx="4">
                  <c:v>77.971961020635447</c:v>
                </c:pt>
                <c:pt idx="5">
                  <c:v>62.377568816508351</c:v>
                </c:pt>
                <c:pt idx="6">
                  <c:v>51.981307347090294</c:v>
                </c:pt>
                <c:pt idx="7">
                  <c:v>44.555406297505975</c:v>
                </c:pt>
                <c:pt idx="8">
                  <c:v>38.985980510317724</c:v>
                </c:pt>
                <c:pt idx="9">
                  <c:v>34.654204898060193</c:v>
                </c:pt>
                <c:pt idx="10">
                  <c:v>31.188784408254175</c:v>
                </c:pt>
                <c:pt idx="11">
                  <c:v>28.353440371140159</c:v>
                </c:pt>
                <c:pt idx="12">
                  <c:v>25.990653673545147</c:v>
                </c:pt>
                <c:pt idx="13">
                  <c:v>23.991372621733987</c:v>
                </c:pt>
                <c:pt idx="14">
                  <c:v>22.277703148752988</c:v>
                </c:pt>
                <c:pt idx="15">
                  <c:v>20.792522938836115</c:v>
                </c:pt>
                <c:pt idx="16">
                  <c:v>19.492990255158862</c:v>
                </c:pt>
                <c:pt idx="17">
                  <c:v>18.34634376956128</c:v>
                </c:pt>
                <c:pt idx="18">
                  <c:v>17.327102449030097</c:v>
                </c:pt>
                <c:pt idx="19">
                  <c:v>16.41514968855483</c:v>
                </c:pt>
                <c:pt idx="20">
                  <c:v>15.594392204127088</c:v>
                </c:pt>
                <c:pt idx="21">
                  <c:v>14.851802099168655</c:v>
                </c:pt>
                <c:pt idx="22">
                  <c:v>14.17672018557008</c:v>
                </c:pt>
                <c:pt idx="23">
                  <c:v>13.560341047067034</c:v>
                </c:pt>
                <c:pt idx="24">
                  <c:v>12.995326836772573</c:v>
                </c:pt>
                <c:pt idx="25">
                  <c:v>12.475513763301672</c:v>
                </c:pt>
                <c:pt idx="26">
                  <c:v>11.995686310866994</c:v>
                </c:pt>
                <c:pt idx="27">
                  <c:v>11.551401632686732</c:v>
                </c:pt>
                <c:pt idx="28">
                  <c:v>11.138851574376494</c:v>
                </c:pt>
                <c:pt idx="29">
                  <c:v>10.754753244225578</c:v>
                </c:pt>
                <c:pt idx="30">
                  <c:v>10.396261469418057</c:v>
                </c:pt>
                <c:pt idx="31">
                  <c:v>10.060898196211026</c:v>
                </c:pt>
                <c:pt idx="32">
                  <c:v>9.7464951275794309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7D-4363-BA22-B84A72D13739}"/>
            </c:ext>
          </c:extLst>
        </c:ser>
        <c:ser>
          <c:idx val="7"/>
          <c:order val="1"/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'9 - R and g calculations'!$A$7:$A$39</c:f>
              <c:numCache>
                <c:formatCode>0.00</c:formatCode>
                <c:ptCount val="33"/>
                <c:pt idx="0" formatCode="0.00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</c:numCache>
            </c:numRef>
          </c:xVal>
          <c:yVal>
            <c:numRef>
              <c:f>'9 - R and g calculations'!$P$7:$P$39</c:f>
              <c:numCache>
                <c:formatCode>0.00</c:formatCode>
                <c:ptCount val="33"/>
                <c:pt idx="0">
                  <c:v>1383.8650267284379</c:v>
                </c:pt>
                <c:pt idx="1">
                  <c:v>276.77300534568758</c:v>
                </c:pt>
                <c:pt idx="2">
                  <c:v>138.38650267284379</c:v>
                </c:pt>
                <c:pt idx="3">
                  <c:v>92.257668448562526</c:v>
                </c:pt>
                <c:pt idx="4">
                  <c:v>69.193251336421895</c:v>
                </c:pt>
                <c:pt idx="5">
                  <c:v>55.354601069137523</c:v>
                </c:pt>
                <c:pt idx="6">
                  <c:v>46.128834224281263</c:v>
                </c:pt>
                <c:pt idx="7">
                  <c:v>39.539000763669662</c:v>
                </c:pt>
                <c:pt idx="8">
                  <c:v>34.596625668210947</c:v>
                </c:pt>
                <c:pt idx="9">
                  <c:v>30.752556149520846</c:v>
                </c:pt>
                <c:pt idx="10">
                  <c:v>27.677300534568761</c:v>
                </c:pt>
                <c:pt idx="11">
                  <c:v>25.161182304153417</c:v>
                </c:pt>
                <c:pt idx="12">
                  <c:v>23.064417112140632</c:v>
                </c:pt>
                <c:pt idx="13">
                  <c:v>21.290231180437512</c:v>
                </c:pt>
                <c:pt idx="14">
                  <c:v>19.769500381834831</c:v>
                </c:pt>
                <c:pt idx="15">
                  <c:v>18.451533689712505</c:v>
                </c:pt>
                <c:pt idx="16">
                  <c:v>17.298312834105474</c:v>
                </c:pt>
                <c:pt idx="17">
                  <c:v>16.280765020334567</c:v>
                </c:pt>
                <c:pt idx="18">
                  <c:v>15.376278074760423</c:v>
                </c:pt>
                <c:pt idx="19">
                  <c:v>14.56700028135198</c:v>
                </c:pt>
                <c:pt idx="20">
                  <c:v>13.838650267284381</c:v>
                </c:pt>
                <c:pt idx="21">
                  <c:v>13.17966692122322</c:v>
                </c:pt>
                <c:pt idx="22">
                  <c:v>12.580591152076709</c:v>
                </c:pt>
                <c:pt idx="23">
                  <c:v>12.033608928073374</c:v>
                </c:pt>
                <c:pt idx="24">
                  <c:v>11.532208556070316</c:v>
                </c:pt>
                <c:pt idx="25">
                  <c:v>11.070920213827506</c:v>
                </c:pt>
                <c:pt idx="26">
                  <c:v>10.645115590218756</c:v>
                </c:pt>
                <c:pt idx="27">
                  <c:v>10.250852049840281</c:v>
                </c:pt>
                <c:pt idx="28">
                  <c:v>9.8847501909174156</c:v>
                </c:pt>
                <c:pt idx="29">
                  <c:v>9.5438967360581941</c:v>
                </c:pt>
                <c:pt idx="30">
                  <c:v>9.2257668448562526</c:v>
                </c:pt>
                <c:pt idx="31">
                  <c:v>8.9281614627641179</c:v>
                </c:pt>
                <c:pt idx="32">
                  <c:v>8.6491564170527369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7D-4363-BA22-B84A72D13739}"/>
            </c:ext>
          </c:extLst>
        </c:ser>
        <c:ser>
          <c:idx val="8"/>
          <c:order val="2"/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'9 - R and g calculations'!$A$7:$A$39</c:f>
              <c:numCache>
                <c:formatCode>0.00</c:formatCode>
                <c:ptCount val="33"/>
                <c:pt idx="0" formatCode="0.00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</c:numCache>
            </c:numRef>
          </c:xVal>
          <c:yVal>
            <c:numRef>
              <c:f>'9 - R and g calculations'!$O$7:$O$39</c:f>
              <c:numCache>
                <c:formatCode>0.00</c:formatCode>
                <c:ptCount val="33"/>
                <c:pt idx="0">
                  <c:v>1207.9364260162197</c:v>
                </c:pt>
                <c:pt idx="1">
                  <c:v>241.58728520324391</c:v>
                </c:pt>
                <c:pt idx="2">
                  <c:v>120.79364260162195</c:v>
                </c:pt>
                <c:pt idx="3">
                  <c:v>80.529095067747988</c:v>
                </c:pt>
                <c:pt idx="4">
                  <c:v>60.396821300810977</c:v>
                </c:pt>
                <c:pt idx="5">
                  <c:v>48.317457040648797</c:v>
                </c:pt>
                <c:pt idx="6">
                  <c:v>40.264547533873994</c:v>
                </c:pt>
                <c:pt idx="7">
                  <c:v>34.512469314749133</c:v>
                </c:pt>
                <c:pt idx="8">
                  <c:v>30.198410650405489</c:v>
                </c:pt>
                <c:pt idx="9">
                  <c:v>26.843031689249329</c:v>
                </c:pt>
                <c:pt idx="10">
                  <c:v>24.158728520324399</c:v>
                </c:pt>
                <c:pt idx="11">
                  <c:v>21.962480473022179</c:v>
                </c:pt>
                <c:pt idx="12">
                  <c:v>20.132273766936997</c:v>
                </c:pt>
                <c:pt idx="13">
                  <c:v>18.58363732332646</c:v>
                </c:pt>
                <c:pt idx="14">
                  <c:v>17.256234657374566</c:v>
                </c:pt>
                <c:pt idx="15">
                  <c:v>16.105819013549596</c:v>
                </c:pt>
                <c:pt idx="16">
                  <c:v>15.099205325202744</c:v>
                </c:pt>
                <c:pt idx="17">
                  <c:v>14.211016776661408</c:v>
                </c:pt>
                <c:pt idx="18">
                  <c:v>13.421515844624665</c:v>
                </c:pt>
                <c:pt idx="19">
                  <c:v>12.715120273854946</c:v>
                </c:pt>
                <c:pt idx="20">
                  <c:v>12.079364260162199</c:v>
                </c:pt>
                <c:pt idx="21">
                  <c:v>11.504156438249712</c:v>
                </c:pt>
                <c:pt idx="22">
                  <c:v>10.981240236511089</c:v>
                </c:pt>
                <c:pt idx="23">
                  <c:v>10.503795008836695</c:v>
                </c:pt>
                <c:pt idx="24">
                  <c:v>10.066136883468499</c:v>
                </c:pt>
                <c:pt idx="25">
                  <c:v>9.6634914081297598</c:v>
                </c:pt>
                <c:pt idx="26">
                  <c:v>9.2918186616632301</c:v>
                </c:pt>
                <c:pt idx="27">
                  <c:v>8.9476772297497753</c:v>
                </c:pt>
                <c:pt idx="28">
                  <c:v>8.6281173286872832</c:v>
                </c:pt>
                <c:pt idx="29">
                  <c:v>8.3305960414911713</c:v>
                </c:pt>
                <c:pt idx="30">
                  <c:v>8.0529095067747978</c:v>
                </c:pt>
                <c:pt idx="31">
                  <c:v>7.7931382323627085</c:v>
                </c:pt>
                <c:pt idx="32">
                  <c:v>7.5496026626013721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7D-4363-BA22-B84A72D13739}"/>
            </c:ext>
          </c:extLst>
        </c:ser>
        <c:ser>
          <c:idx val="9"/>
          <c:order val="3"/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'9 - R and g calculations'!$A$7:$A$39</c:f>
              <c:numCache>
                <c:formatCode>0.00</c:formatCode>
                <c:ptCount val="33"/>
                <c:pt idx="0" formatCode="0.00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</c:numCache>
            </c:numRef>
          </c:xVal>
          <c:yVal>
            <c:numRef>
              <c:f>'9 - R and g calculations'!$N$7:$N$39</c:f>
              <c:numCache>
                <c:formatCode>0.00</c:formatCode>
                <c:ptCount val="33"/>
                <c:pt idx="0">
                  <c:v>1031.472090483117</c:v>
                </c:pt>
                <c:pt idx="1">
                  <c:v>206.29441809662336</c:v>
                </c:pt>
                <c:pt idx="2">
                  <c:v>103.14720904831168</c:v>
                </c:pt>
                <c:pt idx="3">
                  <c:v>68.764806032207801</c:v>
                </c:pt>
                <c:pt idx="4">
                  <c:v>51.57360452415584</c:v>
                </c:pt>
                <c:pt idx="5">
                  <c:v>41.258883619324671</c:v>
                </c:pt>
                <c:pt idx="6">
                  <c:v>34.3824030161039</c:v>
                </c:pt>
                <c:pt idx="7">
                  <c:v>29.470631156660488</c:v>
                </c:pt>
                <c:pt idx="8">
                  <c:v>25.78680226207792</c:v>
                </c:pt>
                <c:pt idx="9">
                  <c:v>22.921602010735931</c:v>
                </c:pt>
                <c:pt idx="10">
                  <c:v>20.629441809662335</c:v>
                </c:pt>
                <c:pt idx="11">
                  <c:v>18.75403800878394</c:v>
                </c:pt>
                <c:pt idx="12">
                  <c:v>17.19120150805195</c:v>
                </c:pt>
                <c:pt idx="13">
                  <c:v>15.868801392047953</c:v>
                </c:pt>
                <c:pt idx="14">
                  <c:v>14.735315578330244</c:v>
                </c:pt>
                <c:pt idx="15">
                  <c:v>13.752961206441558</c:v>
                </c:pt>
                <c:pt idx="16">
                  <c:v>12.89340113103896</c:v>
                </c:pt>
                <c:pt idx="17">
                  <c:v>12.134965770389611</c:v>
                </c:pt>
                <c:pt idx="18">
                  <c:v>11.460801005367966</c:v>
                </c:pt>
                <c:pt idx="19">
                  <c:v>10.857600952453865</c:v>
                </c:pt>
                <c:pt idx="20">
                  <c:v>10.314720904831168</c:v>
                </c:pt>
                <c:pt idx="21">
                  <c:v>9.8235437188868282</c:v>
                </c:pt>
                <c:pt idx="22">
                  <c:v>9.3770190043919701</c:v>
                </c:pt>
                <c:pt idx="23">
                  <c:v>8.9693225259401466</c:v>
                </c:pt>
                <c:pt idx="24">
                  <c:v>8.5956007540259751</c:v>
                </c:pt>
                <c:pt idx="25">
                  <c:v>8.2517767238649373</c:v>
                </c:pt>
                <c:pt idx="26">
                  <c:v>7.9344006960239764</c:v>
                </c:pt>
                <c:pt idx="27">
                  <c:v>7.6405340035786438</c:v>
                </c:pt>
                <c:pt idx="28">
                  <c:v>7.367657789165122</c:v>
                </c:pt>
                <c:pt idx="29">
                  <c:v>7.1136006240214957</c:v>
                </c:pt>
                <c:pt idx="30">
                  <c:v>6.876480603220779</c:v>
                </c:pt>
                <c:pt idx="31">
                  <c:v>6.6546586482781729</c:v>
                </c:pt>
                <c:pt idx="32">
                  <c:v>6.44670056551948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57D-4363-BA22-B84A72D13739}"/>
            </c:ext>
          </c:extLst>
        </c:ser>
        <c:ser>
          <c:idx val="10"/>
          <c:order val="4"/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'9 - R and g calculations'!$A$7:$A$39</c:f>
              <c:numCache>
                <c:formatCode>0.00</c:formatCode>
                <c:ptCount val="33"/>
                <c:pt idx="0" formatCode="0.00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</c:numCache>
            </c:numRef>
          </c:xVal>
          <c:yVal>
            <c:numRef>
              <c:f>'9 - R and g calculations'!$M$7:$M$39</c:f>
              <c:numCache>
                <c:formatCode>0.00</c:formatCode>
                <c:ptCount val="33"/>
                <c:pt idx="0">
                  <c:v>854.14003807831114</c:v>
                </c:pt>
                <c:pt idx="1">
                  <c:v>170.82800761566222</c:v>
                </c:pt>
                <c:pt idx="2">
                  <c:v>85.414003807831108</c:v>
                </c:pt>
                <c:pt idx="3">
                  <c:v>56.942669205220746</c:v>
                </c:pt>
                <c:pt idx="4">
                  <c:v>42.707001903915554</c:v>
                </c:pt>
                <c:pt idx="5">
                  <c:v>34.165601523132452</c:v>
                </c:pt>
                <c:pt idx="6">
                  <c:v>28.471334602610373</c:v>
                </c:pt>
                <c:pt idx="7">
                  <c:v>24.404001087951752</c:v>
                </c:pt>
                <c:pt idx="8">
                  <c:v>21.353500951957777</c:v>
                </c:pt>
                <c:pt idx="9">
                  <c:v>18.980889735073582</c:v>
                </c:pt>
                <c:pt idx="10">
                  <c:v>17.082800761566226</c:v>
                </c:pt>
                <c:pt idx="11">
                  <c:v>15.529818874151109</c:v>
                </c:pt>
                <c:pt idx="12">
                  <c:v>14.235667301305186</c:v>
                </c:pt>
                <c:pt idx="13">
                  <c:v>13.140615970435558</c:v>
                </c:pt>
                <c:pt idx="14">
                  <c:v>12.202000543975876</c:v>
                </c:pt>
                <c:pt idx="15">
                  <c:v>11.388533841044151</c:v>
                </c:pt>
                <c:pt idx="16">
                  <c:v>10.676750475978888</c:v>
                </c:pt>
                <c:pt idx="17">
                  <c:v>10.048706330333072</c:v>
                </c:pt>
                <c:pt idx="18">
                  <c:v>9.490444867536791</c:v>
                </c:pt>
                <c:pt idx="19">
                  <c:v>8.9909477692453823</c:v>
                </c:pt>
                <c:pt idx="20">
                  <c:v>8.5414003807831129</c:v>
                </c:pt>
                <c:pt idx="21">
                  <c:v>8.1346670293172494</c:v>
                </c:pt>
                <c:pt idx="22">
                  <c:v>7.7649094370755547</c:v>
                </c:pt>
                <c:pt idx="23">
                  <c:v>7.4273046789418355</c:v>
                </c:pt>
                <c:pt idx="24">
                  <c:v>7.1178336506525932</c:v>
                </c:pt>
                <c:pt idx="25">
                  <c:v>6.8331203046264903</c:v>
                </c:pt>
                <c:pt idx="26">
                  <c:v>6.570307985217779</c:v>
                </c:pt>
                <c:pt idx="27">
                  <c:v>6.3269632450245279</c:v>
                </c:pt>
                <c:pt idx="28">
                  <c:v>6.1010002719879379</c:v>
                </c:pt>
                <c:pt idx="29">
                  <c:v>5.8906209522642152</c:v>
                </c:pt>
                <c:pt idx="30">
                  <c:v>5.6942669205220753</c:v>
                </c:pt>
                <c:pt idx="31">
                  <c:v>5.5105808908278151</c:v>
                </c:pt>
                <c:pt idx="32">
                  <c:v>5.3383752379894442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57D-4363-BA22-B84A72D13739}"/>
            </c:ext>
          </c:extLst>
        </c:ser>
        <c:ser>
          <c:idx val="11"/>
          <c:order val="5"/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'9 - R and g calculations'!$A$7:$A$39</c:f>
              <c:numCache>
                <c:formatCode>0.00</c:formatCode>
                <c:ptCount val="33"/>
                <c:pt idx="0" formatCode="0.00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</c:numCache>
            </c:numRef>
          </c:xVal>
          <c:yVal>
            <c:numRef>
              <c:f>'9 - R and g calculations'!$L$7:$L$39</c:f>
              <c:numCache>
                <c:formatCode>0.00</c:formatCode>
                <c:ptCount val="33"/>
                <c:pt idx="0">
                  <c:v>675.25699026760321</c:v>
                </c:pt>
                <c:pt idx="1">
                  <c:v>135.05139805352064</c:v>
                </c:pt>
                <c:pt idx="2">
                  <c:v>67.525699026760321</c:v>
                </c:pt>
                <c:pt idx="3">
                  <c:v>45.017132684506883</c:v>
                </c:pt>
                <c:pt idx="4">
                  <c:v>33.762849513380161</c:v>
                </c:pt>
                <c:pt idx="5">
                  <c:v>27.010279610704131</c:v>
                </c:pt>
                <c:pt idx="6">
                  <c:v>22.508566342253442</c:v>
                </c:pt>
                <c:pt idx="7">
                  <c:v>19.293056864788667</c:v>
                </c:pt>
                <c:pt idx="8">
                  <c:v>16.88142475669008</c:v>
                </c:pt>
                <c:pt idx="9">
                  <c:v>15.005710894835628</c:v>
                </c:pt>
                <c:pt idx="10">
                  <c:v>13.505139805352066</c:v>
                </c:pt>
                <c:pt idx="11">
                  <c:v>12.277399823047329</c:v>
                </c:pt>
                <c:pt idx="12">
                  <c:v>11.254283171126721</c:v>
                </c:pt>
                <c:pt idx="13">
                  <c:v>10.388569081040052</c:v>
                </c:pt>
                <c:pt idx="14">
                  <c:v>9.6465284323943337</c:v>
                </c:pt>
                <c:pt idx="15">
                  <c:v>9.0034265369013777</c:v>
                </c:pt>
                <c:pt idx="16">
                  <c:v>8.4407123783450402</c:v>
                </c:pt>
                <c:pt idx="17">
                  <c:v>7.9441998855012148</c:v>
                </c:pt>
                <c:pt idx="18">
                  <c:v>7.5028554474178142</c:v>
                </c:pt>
                <c:pt idx="19">
                  <c:v>7.1079683186063507</c:v>
                </c:pt>
                <c:pt idx="20">
                  <c:v>6.7525699026760329</c:v>
                </c:pt>
                <c:pt idx="21">
                  <c:v>6.431018954929554</c:v>
                </c:pt>
                <c:pt idx="22">
                  <c:v>6.1386999115236645</c:v>
                </c:pt>
                <c:pt idx="23">
                  <c:v>5.8717999153704632</c:v>
                </c:pt>
                <c:pt idx="24">
                  <c:v>5.6271415855633604</c:v>
                </c:pt>
                <c:pt idx="25">
                  <c:v>5.4020559221408266</c:v>
                </c:pt>
                <c:pt idx="26">
                  <c:v>5.1942845405200258</c:v>
                </c:pt>
                <c:pt idx="27">
                  <c:v>5.0019036316118752</c:v>
                </c:pt>
                <c:pt idx="28">
                  <c:v>4.8232642161971668</c:v>
                </c:pt>
                <c:pt idx="29">
                  <c:v>4.6569447604662297</c:v>
                </c:pt>
                <c:pt idx="30">
                  <c:v>4.5017132684506889</c:v>
                </c:pt>
                <c:pt idx="31">
                  <c:v>4.3564967114038922</c:v>
                </c:pt>
                <c:pt idx="32">
                  <c:v>4.2203561891725201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57D-4363-BA22-B84A72D13739}"/>
            </c:ext>
          </c:extLst>
        </c:ser>
        <c:ser>
          <c:idx val="12"/>
          <c:order val="6"/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'9 - R and g calculations'!$A$7:$A$39</c:f>
              <c:numCache>
                <c:formatCode>0.00</c:formatCode>
                <c:ptCount val="33"/>
                <c:pt idx="0" formatCode="0.00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</c:numCache>
            </c:numRef>
          </c:xVal>
          <c:yVal>
            <c:numRef>
              <c:f>'9 - R and g calculations'!$K$7:$K$39</c:f>
              <c:numCache>
                <c:formatCode>0.00</c:formatCode>
                <c:ptCount val="33"/>
                <c:pt idx="0">
                  <c:v>493.1379809101503</c:v>
                </c:pt>
                <c:pt idx="1">
                  <c:v>98.627596182030061</c:v>
                </c:pt>
                <c:pt idx="2">
                  <c:v>49.31379809101503</c:v>
                </c:pt>
                <c:pt idx="3">
                  <c:v>32.87586539401002</c:v>
                </c:pt>
                <c:pt idx="4">
                  <c:v>24.656899045507515</c:v>
                </c:pt>
                <c:pt idx="5">
                  <c:v>19.725519236406011</c:v>
                </c:pt>
                <c:pt idx="6">
                  <c:v>16.43793269700501</c:v>
                </c:pt>
                <c:pt idx="7">
                  <c:v>14.089656597432869</c:v>
                </c:pt>
                <c:pt idx="8">
                  <c:v>12.328449522753758</c:v>
                </c:pt>
                <c:pt idx="9">
                  <c:v>10.958621798003342</c:v>
                </c:pt>
                <c:pt idx="10">
                  <c:v>9.8627596182030057</c:v>
                </c:pt>
                <c:pt idx="11">
                  <c:v>8.9661451074572778</c:v>
                </c:pt>
                <c:pt idx="12">
                  <c:v>8.2189663485025051</c:v>
                </c:pt>
                <c:pt idx="13">
                  <c:v>7.586738167848468</c:v>
                </c:pt>
                <c:pt idx="14">
                  <c:v>7.0448282987164346</c:v>
                </c:pt>
                <c:pt idx="15">
                  <c:v>6.5751730788020044</c:v>
                </c:pt>
                <c:pt idx="16">
                  <c:v>6.1642247613768788</c:v>
                </c:pt>
                <c:pt idx="17">
                  <c:v>5.8016233048252985</c:v>
                </c:pt>
                <c:pt idx="18">
                  <c:v>5.4793108990016712</c:v>
                </c:pt>
                <c:pt idx="19">
                  <c:v>5.1909261148436885</c:v>
                </c:pt>
                <c:pt idx="20">
                  <c:v>4.9313798091015029</c:v>
                </c:pt>
                <c:pt idx="21">
                  <c:v>4.6965521991442882</c:v>
                </c:pt>
                <c:pt idx="22">
                  <c:v>4.4830725537286389</c:v>
                </c:pt>
                <c:pt idx="23">
                  <c:v>4.2881563557404379</c:v>
                </c:pt>
                <c:pt idx="24">
                  <c:v>4.1094831742512525</c:v>
                </c:pt>
                <c:pt idx="25">
                  <c:v>3.9451038472812026</c:v>
                </c:pt>
                <c:pt idx="26">
                  <c:v>3.793369083924234</c:v>
                </c:pt>
                <c:pt idx="27">
                  <c:v>3.6528739326677799</c:v>
                </c:pt>
                <c:pt idx="28">
                  <c:v>3.5224141493582173</c:v>
                </c:pt>
                <c:pt idx="29">
                  <c:v>3.4009515924837954</c:v>
                </c:pt>
                <c:pt idx="30">
                  <c:v>3.2875865394010022</c:v>
                </c:pt>
                <c:pt idx="31">
                  <c:v>3.1815353607106469</c:v>
                </c:pt>
                <c:pt idx="32">
                  <c:v>3.0821123806884394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57D-4363-BA22-B84A72D13739}"/>
            </c:ext>
          </c:extLst>
        </c:ser>
        <c:ser>
          <c:idx val="13"/>
          <c:order val="7"/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'9 - R and g calculations'!$A$7:$A$39</c:f>
              <c:numCache>
                <c:formatCode>0.00</c:formatCode>
                <c:ptCount val="33"/>
                <c:pt idx="0" formatCode="0.00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</c:numCache>
            </c:numRef>
          </c:xVal>
          <c:yVal>
            <c:numRef>
              <c:f>'9 - R and g calculations'!$J$7:$J$39</c:f>
              <c:numCache>
                <c:formatCode>0.00</c:formatCode>
                <c:ptCount val="33"/>
                <c:pt idx="0">
                  <c:v>301.98410650405492</c:v>
                </c:pt>
                <c:pt idx="1">
                  <c:v>60.396821300810977</c:v>
                </c:pt>
                <c:pt idx="2">
                  <c:v>30.198410650405489</c:v>
                </c:pt>
                <c:pt idx="3">
                  <c:v>20.132273766936997</c:v>
                </c:pt>
                <c:pt idx="4">
                  <c:v>15.099205325202744</c:v>
                </c:pt>
                <c:pt idx="5">
                  <c:v>12.079364260162199</c:v>
                </c:pt>
                <c:pt idx="6">
                  <c:v>10.066136883468499</c:v>
                </c:pt>
                <c:pt idx="7">
                  <c:v>8.6281173286872832</c:v>
                </c:pt>
                <c:pt idx="8">
                  <c:v>7.5496026626013721</c:v>
                </c:pt>
                <c:pt idx="9">
                  <c:v>6.7107579223123324</c:v>
                </c:pt>
                <c:pt idx="10">
                  <c:v>6.0396821300810997</c:v>
                </c:pt>
                <c:pt idx="11">
                  <c:v>5.4906201182555447</c:v>
                </c:pt>
                <c:pt idx="12">
                  <c:v>5.0330684417342493</c:v>
                </c:pt>
                <c:pt idx="13">
                  <c:v>4.6459093308316151</c:v>
                </c:pt>
                <c:pt idx="14">
                  <c:v>4.3140586643436416</c:v>
                </c:pt>
                <c:pt idx="15">
                  <c:v>4.0264547533873989</c:v>
                </c:pt>
                <c:pt idx="16">
                  <c:v>3.7748013313006861</c:v>
                </c:pt>
                <c:pt idx="17">
                  <c:v>3.552754194165352</c:v>
                </c:pt>
                <c:pt idx="18">
                  <c:v>3.3553789611561662</c:v>
                </c:pt>
                <c:pt idx="19">
                  <c:v>3.1787800684637366</c:v>
                </c:pt>
                <c:pt idx="20">
                  <c:v>3.0198410650405498</c:v>
                </c:pt>
                <c:pt idx="21">
                  <c:v>2.876039109562428</c:v>
                </c:pt>
                <c:pt idx="22">
                  <c:v>2.7453100591277724</c:v>
                </c:pt>
                <c:pt idx="23">
                  <c:v>2.6259487522091738</c:v>
                </c:pt>
                <c:pt idx="24">
                  <c:v>2.5165342208671246</c:v>
                </c:pt>
                <c:pt idx="25">
                  <c:v>2.41587285203244</c:v>
                </c:pt>
                <c:pt idx="26">
                  <c:v>2.3229546654158075</c:v>
                </c:pt>
                <c:pt idx="27">
                  <c:v>2.2369193074374438</c:v>
                </c:pt>
                <c:pt idx="28">
                  <c:v>2.1570293321718208</c:v>
                </c:pt>
                <c:pt idx="29">
                  <c:v>2.0826490103727928</c:v>
                </c:pt>
                <c:pt idx="30">
                  <c:v>2.0132273766936994</c:v>
                </c:pt>
                <c:pt idx="31">
                  <c:v>1.9482845580906771</c:v>
                </c:pt>
                <c:pt idx="32">
                  <c:v>1.887400665650343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57D-4363-BA22-B84A72D13739}"/>
            </c:ext>
          </c:extLst>
        </c:ser>
        <c:ser>
          <c:idx val="5"/>
          <c:order val="8"/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'9 - R and g calculations'!$A$7:$A$39</c:f>
              <c:numCache>
                <c:formatCode>0.00</c:formatCode>
                <c:ptCount val="33"/>
                <c:pt idx="0" formatCode="0.00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</c:numCache>
            </c:numRef>
          </c:xVal>
          <c:yVal>
            <c:numRef>
              <c:f>'9 - R and g calculations'!$H$7:$H$39</c:f>
              <c:numCache>
                <c:formatCode>0.00</c:formatCode>
                <c:ptCount val="33"/>
                <c:pt idx="0">
                  <c:v>1.8931145126289711E-2</c:v>
                </c:pt>
                <c:pt idx="1">
                  <c:v>9.465572563144857E-2</c:v>
                </c:pt>
                <c:pt idx="2">
                  <c:v>0.18931145126289714</c:v>
                </c:pt>
                <c:pt idx="3">
                  <c:v>0.2839671768943457</c:v>
                </c:pt>
                <c:pt idx="4">
                  <c:v>0.37862290252579428</c:v>
                </c:pt>
                <c:pt idx="5">
                  <c:v>0.47327862815724281</c:v>
                </c:pt>
                <c:pt idx="6">
                  <c:v>0.56793435378869139</c:v>
                </c:pt>
                <c:pt idx="7">
                  <c:v>0.66259007942013992</c:v>
                </c:pt>
                <c:pt idx="8">
                  <c:v>0.75724580505158856</c:v>
                </c:pt>
                <c:pt idx="9">
                  <c:v>0.85190153068303698</c:v>
                </c:pt>
                <c:pt idx="10">
                  <c:v>0.94655725631448562</c:v>
                </c:pt>
                <c:pt idx="11">
                  <c:v>1.0412129819459344</c:v>
                </c:pt>
                <c:pt idx="12">
                  <c:v>1.1358687075773828</c:v>
                </c:pt>
                <c:pt idx="13">
                  <c:v>1.2305244332088312</c:v>
                </c:pt>
                <c:pt idx="14">
                  <c:v>1.3251801588402798</c:v>
                </c:pt>
                <c:pt idx="15">
                  <c:v>1.4198358844717285</c:v>
                </c:pt>
                <c:pt idx="16">
                  <c:v>1.5144916101031771</c:v>
                </c:pt>
                <c:pt idx="17">
                  <c:v>1.6091473357346253</c:v>
                </c:pt>
                <c:pt idx="18">
                  <c:v>1.703803061366074</c:v>
                </c:pt>
                <c:pt idx="19">
                  <c:v>1.7984587869975224</c:v>
                </c:pt>
                <c:pt idx="20">
                  <c:v>1.8931145126289712</c:v>
                </c:pt>
                <c:pt idx="21">
                  <c:v>1.9877702382604199</c:v>
                </c:pt>
                <c:pt idx="22">
                  <c:v>2.0824259638918687</c:v>
                </c:pt>
                <c:pt idx="23">
                  <c:v>2.1770816895233169</c:v>
                </c:pt>
                <c:pt idx="24">
                  <c:v>2.2717374151547656</c:v>
                </c:pt>
                <c:pt idx="25">
                  <c:v>2.3663931407862138</c:v>
                </c:pt>
                <c:pt idx="26">
                  <c:v>2.4610488664176624</c:v>
                </c:pt>
                <c:pt idx="27">
                  <c:v>2.555704592049111</c:v>
                </c:pt>
                <c:pt idx="28">
                  <c:v>2.6503603176805597</c:v>
                </c:pt>
                <c:pt idx="29">
                  <c:v>2.7450160433120083</c:v>
                </c:pt>
                <c:pt idx="30">
                  <c:v>2.839671768943457</c:v>
                </c:pt>
                <c:pt idx="31">
                  <c:v>2.9343274945749056</c:v>
                </c:pt>
                <c:pt idx="32">
                  <c:v>3.0289832202063542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57D-4363-BA22-B84A72D13739}"/>
            </c:ext>
          </c:extLst>
        </c:ser>
        <c:ser>
          <c:idx val="4"/>
          <c:order val="9"/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'9 - R and g calculations'!$A$7:$A$39</c:f>
              <c:numCache>
                <c:formatCode>0.00</c:formatCode>
                <c:ptCount val="33"/>
                <c:pt idx="0" formatCode="0.00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</c:numCache>
            </c:numRef>
          </c:xVal>
          <c:yVal>
            <c:numRef>
              <c:f>'9 - R and g calculations'!$G$7:$G$39</c:f>
              <c:numCache>
                <c:formatCode>0.00</c:formatCode>
                <c:ptCount val="33"/>
                <c:pt idx="0">
                  <c:v>3.7862290252579422E-2</c:v>
                </c:pt>
                <c:pt idx="1">
                  <c:v>0.18931145126289714</c:v>
                </c:pt>
                <c:pt idx="2">
                  <c:v>0.37862290252579428</c:v>
                </c:pt>
                <c:pt idx="3">
                  <c:v>0.56793435378869139</c:v>
                </c:pt>
                <c:pt idx="4">
                  <c:v>0.75724580505158856</c:v>
                </c:pt>
                <c:pt idx="5">
                  <c:v>0.94655725631448562</c:v>
                </c:pt>
                <c:pt idx="6">
                  <c:v>1.1358687075773828</c:v>
                </c:pt>
                <c:pt idx="7">
                  <c:v>1.3251801588402798</c:v>
                </c:pt>
                <c:pt idx="8">
                  <c:v>1.5144916101031771</c:v>
                </c:pt>
                <c:pt idx="9">
                  <c:v>1.703803061366074</c:v>
                </c:pt>
                <c:pt idx="10">
                  <c:v>1.8931145126289712</c:v>
                </c:pt>
                <c:pt idx="11">
                  <c:v>2.0824259638918687</c:v>
                </c:pt>
                <c:pt idx="12">
                  <c:v>2.2717374151547656</c:v>
                </c:pt>
                <c:pt idx="13">
                  <c:v>2.4610488664176624</c:v>
                </c:pt>
                <c:pt idx="14">
                  <c:v>2.6503603176805597</c:v>
                </c:pt>
                <c:pt idx="15">
                  <c:v>2.839671768943457</c:v>
                </c:pt>
                <c:pt idx="16">
                  <c:v>3.0289832202063542</c:v>
                </c:pt>
                <c:pt idx="17">
                  <c:v>3.2182946714692506</c:v>
                </c:pt>
                <c:pt idx="18">
                  <c:v>3.4076061227321479</c:v>
                </c:pt>
                <c:pt idx="19">
                  <c:v>3.5969175739950447</c:v>
                </c:pt>
                <c:pt idx="20">
                  <c:v>3.7862290252579425</c:v>
                </c:pt>
                <c:pt idx="21">
                  <c:v>3.9755404765208397</c:v>
                </c:pt>
                <c:pt idx="22">
                  <c:v>4.1648519277837375</c:v>
                </c:pt>
                <c:pt idx="23">
                  <c:v>4.3541633790466339</c:v>
                </c:pt>
                <c:pt idx="24">
                  <c:v>4.5434748303095311</c:v>
                </c:pt>
                <c:pt idx="25">
                  <c:v>4.7327862815724275</c:v>
                </c:pt>
                <c:pt idx="26">
                  <c:v>4.9220977328353248</c:v>
                </c:pt>
                <c:pt idx="27">
                  <c:v>5.1114091840982221</c:v>
                </c:pt>
                <c:pt idx="28">
                  <c:v>5.3007206353611194</c:v>
                </c:pt>
                <c:pt idx="29">
                  <c:v>5.4900320866240166</c:v>
                </c:pt>
                <c:pt idx="30">
                  <c:v>5.6793435378869139</c:v>
                </c:pt>
                <c:pt idx="31">
                  <c:v>5.8686549891498112</c:v>
                </c:pt>
                <c:pt idx="32">
                  <c:v>6.0579664404127085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57D-4363-BA22-B84A72D13739}"/>
            </c:ext>
          </c:extLst>
        </c:ser>
        <c:ser>
          <c:idx val="3"/>
          <c:order val="10"/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'9 - R and g calculations'!$A$7:$A$39</c:f>
              <c:numCache>
                <c:formatCode>0.00</c:formatCode>
                <c:ptCount val="33"/>
                <c:pt idx="0" formatCode="0.00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</c:numCache>
            </c:numRef>
          </c:xVal>
          <c:yVal>
            <c:numRef>
              <c:f>'9 - R and g calculations'!$F$7:$F$39</c:f>
              <c:numCache>
                <c:formatCode>0.00</c:formatCode>
                <c:ptCount val="33"/>
                <c:pt idx="0">
                  <c:v>7.5724580505158845E-2</c:v>
                </c:pt>
                <c:pt idx="1">
                  <c:v>0.37862290252579428</c:v>
                </c:pt>
                <c:pt idx="2">
                  <c:v>0.75724580505158856</c:v>
                </c:pt>
                <c:pt idx="3">
                  <c:v>1.1358687075773828</c:v>
                </c:pt>
                <c:pt idx="4">
                  <c:v>1.5144916101031771</c:v>
                </c:pt>
                <c:pt idx="5">
                  <c:v>1.8931145126289712</c:v>
                </c:pt>
                <c:pt idx="6">
                  <c:v>2.2717374151547656</c:v>
                </c:pt>
                <c:pt idx="7">
                  <c:v>2.6503603176805597</c:v>
                </c:pt>
                <c:pt idx="8">
                  <c:v>3.0289832202063542</c:v>
                </c:pt>
                <c:pt idx="9">
                  <c:v>3.4076061227321479</c:v>
                </c:pt>
                <c:pt idx="10">
                  <c:v>3.7862290252579425</c:v>
                </c:pt>
                <c:pt idx="11">
                  <c:v>4.1648519277837375</c:v>
                </c:pt>
                <c:pt idx="12">
                  <c:v>4.5434748303095311</c:v>
                </c:pt>
                <c:pt idx="13">
                  <c:v>4.9220977328353248</c:v>
                </c:pt>
                <c:pt idx="14">
                  <c:v>5.3007206353611194</c:v>
                </c:pt>
                <c:pt idx="15">
                  <c:v>5.6793435378869139</c:v>
                </c:pt>
                <c:pt idx="16">
                  <c:v>6.0579664404127085</c:v>
                </c:pt>
                <c:pt idx="17">
                  <c:v>6.4365893429385013</c:v>
                </c:pt>
                <c:pt idx="18">
                  <c:v>6.8152122454642958</c:v>
                </c:pt>
                <c:pt idx="19">
                  <c:v>7.1938351479900895</c:v>
                </c:pt>
                <c:pt idx="20">
                  <c:v>7.5724580505158849</c:v>
                </c:pt>
                <c:pt idx="21">
                  <c:v>7.9510809530416795</c:v>
                </c:pt>
                <c:pt idx="22">
                  <c:v>8.3297038555674749</c:v>
                </c:pt>
                <c:pt idx="23">
                  <c:v>8.7083267580932677</c:v>
                </c:pt>
                <c:pt idx="24">
                  <c:v>9.0869496606190623</c:v>
                </c:pt>
                <c:pt idx="25">
                  <c:v>9.4655725631448551</c:v>
                </c:pt>
                <c:pt idx="26">
                  <c:v>9.8441954656706496</c:v>
                </c:pt>
                <c:pt idx="27">
                  <c:v>10.222818368196444</c:v>
                </c:pt>
                <c:pt idx="28">
                  <c:v>10.601441270722239</c:v>
                </c:pt>
                <c:pt idx="29">
                  <c:v>10.980064173248033</c:v>
                </c:pt>
                <c:pt idx="30">
                  <c:v>11.358687075773828</c:v>
                </c:pt>
                <c:pt idx="31">
                  <c:v>11.737309978299622</c:v>
                </c:pt>
                <c:pt idx="32">
                  <c:v>12.115932880825417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57D-4363-BA22-B84A72D13739}"/>
            </c:ext>
          </c:extLst>
        </c:ser>
        <c:ser>
          <c:idx val="2"/>
          <c:order val="11"/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'9 - R and g calculations'!$A$7:$A$39</c:f>
              <c:numCache>
                <c:formatCode>0.00</c:formatCode>
                <c:ptCount val="33"/>
                <c:pt idx="0" formatCode="0.00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</c:numCache>
            </c:numRef>
          </c:xVal>
          <c:yVal>
            <c:numRef>
              <c:f>'9 - R and g calculations'!$E$7:$E$39</c:f>
              <c:numCache>
                <c:formatCode>0.00</c:formatCode>
                <c:ptCount val="33"/>
                <c:pt idx="0">
                  <c:v>0.15144916101031769</c:v>
                </c:pt>
                <c:pt idx="1">
                  <c:v>0.75724580505158856</c:v>
                </c:pt>
                <c:pt idx="2">
                  <c:v>1.5144916101031771</c:v>
                </c:pt>
                <c:pt idx="3">
                  <c:v>2.2717374151547656</c:v>
                </c:pt>
                <c:pt idx="4">
                  <c:v>3.0289832202063542</c:v>
                </c:pt>
                <c:pt idx="5">
                  <c:v>3.7862290252579425</c:v>
                </c:pt>
                <c:pt idx="6">
                  <c:v>4.5434748303095311</c:v>
                </c:pt>
                <c:pt idx="7">
                  <c:v>5.3007206353611194</c:v>
                </c:pt>
                <c:pt idx="8">
                  <c:v>6.0579664404127085</c:v>
                </c:pt>
                <c:pt idx="9">
                  <c:v>6.8152122454642958</c:v>
                </c:pt>
                <c:pt idx="10">
                  <c:v>7.5724580505158849</c:v>
                </c:pt>
                <c:pt idx="11">
                  <c:v>8.3297038555674749</c:v>
                </c:pt>
                <c:pt idx="12">
                  <c:v>9.0869496606190623</c:v>
                </c:pt>
                <c:pt idx="13">
                  <c:v>9.8441954656706496</c:v>
                </c:pt>
                <c:pt idx="14">
                  <c:v>10.601441270722239</c:v>
                </c:pt>
                <c:pt idx="15">
                  <c:v>11.358687075773828</c:v>
                </c:pt>
                <c:pt idx="16">
                  <c:v>12.115932880825417</c:v>
                </c:pt>
                <c:pt idx="17">
                  <c:v>12.873178685877003</c:v>
                </c:pt>
                <c:pt idx="18">
                  <c:v>13.630424490928592</c:v>
                </c:pt>
                <c:pt idx="19">
                  <c:v>14.387670295980179</c:v>
                </c:pt>
                <c:pt idx="20">
                  <c:v>15.14491610103177</c:v>
                </c:pt>
                <c:pt idx="21">
                  <c:v>15.902161906083359</c:v>
                </c:pt>
                <c:pt idx="22">
                  <c:v>16.65940771113495</c:v>
                </c:pt>
                <c:pt idx="23">
                  <c:v>17.416653516186535</c:v>
                </c:pt>
                <c:pt idx="24">
                  <c:v>18.173899321238125</c:v>
                </c:pt>
                <c:pt idx="25">
                  <c:v>18.93114512628971</c:v>
                </c:pt>
                <c:pt idx="26">
                  <c:v>19.688390931341299</c:v>
                </c:pt>
                <c:pt idx="27">
                  <c:v>20.445636736392888</c:v>
                </c:pt>
                <c:pt idx="28">
                  <c:v>21.202882541444477</c:v>
                </c:pt>
                <c:pt idx="29">
                  <c:v>21.960128346496067</c:v>
                </c:pt>
                <c:pt idx="30">
                  <c:v>22.717374151547656</c:v>
                </c:pt>
                <c:pt idx="31">
                  <c:v>23.474619956599245</c:v>
                </c:pt>
                <c:pt idx="32">
                  <c:v>24.231865761650834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57D-4363-BA22-B84A72D13739}"/>
            </c:ext>
          </c:extLst>
        </c:ser>
        <c:ser>
          <c:idx val="1"/>
          <c:order val="12"/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'9 - R and g calculations'!$A$7:$A$39</c:f>
              <c:numCache>
                <c:formatCode>0.00</c:formatCode>
                <c:ptCount val="33"/>
                <c:pt idx="0" formatCode="0.00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</c:numCache>
            </c:numRef>
          </c:xVal>
          <c:yVal>
            <c:numRef>
              <c:f>'9 - R and g calculations'!$D$7:$D$39</c:f>
              <c:numCache>
                <c:formatCode>0.00</c:formatCode>
                <c:ptCount val="33"/>
                <c:pt idx="0">
                  <c:v>0.30289832202063538</c:v>
                </c:pt>
                <c:pt idx="1">
                  <c:v>1.5144916101031771</c:v>
                </c:pt>
                <c:pt idx="2">
                  <c:v>3.0289832202063542</c:v>
                </c:pt>
                <c:pt idx="3">
                  <c:v>4.5434748303095311</c:v>
                </c:pt>
                <c:pt idx="4">
                  <c:v>6.0579664404127085</c:v>
                </c:pt>
                <c:pt idx="5">
                  <c:v>7.5724580505158849</c:v>
                </c:pt>
                <c:pt idx="6">
                  <c:v>9.0869496606190623</c:v>
                </c:pt>
                <c:pt idx="7">
                  <c:v>10.601441270722239</c:v>
                </c:pt>
                <c:pt idx="8">
                  <c:v>12.115932880825417</c:v>
                </c:pt>
                <c:pt idx="9">
                  <c:v>13.630424490928592</c:v>
                </c:pt>
                <c:pt idx="10">
                  <c:v>15.14491610103177</c:v>
                </c:pt>
                <c:pt idx="11">
                  <c:v>16.65940771113495</c:v>
                </c:pt>
                <c:pt idx="12">
                  <c:v>18.173899321238125</c:v>
                </c:pt>
                <c:pt idx="13">
                  <c:v>19.688390931341299</c:v>
                </c:pt>
                <c:pt idx="14">
                  <c:v>21.202882541444477</c:v>
                </c:pt>
                <c:pt idx="15">
                  <c:v>22.717374151547656</c:v>
                </c:pt>
                <c:pt idx="16">
                  <c:v>24.231865761650834</c:v>
                </c:pt>
                <c:pt idx="17">
                  <c:v>25.746357371754005</c:v>
                </c:pt>
                <c:pt idx="18">
                  <c:v>27.260848981857183</c:v>
                </c:pt>
                <c:pt idx="19">
                  <c:v>28.775340591960358</c:v>
                </c:pt>
                <c:pt idx="20">
                  <c:v>30.28983220206354</c:v>
                </c:pt>
                <c:pt idx="21">
                  <c:v>31.804323812166718</c:v>
                </c:pt>
                <c:pt idx="22">
                  <c:v>33.3188154222699</c:v>
                </c:pt>
                <c:pt idx="23">
                  <c:v>34.833307032373071</c:v>
                </c:pt>
                <c:pt idx="24">
                  <c:v>36.347798642476249</c:v>
                </c:pt>
                <c:pt idx="25">
                  <c:v>37.86229025257942</c:v>
                </c:pt>
                <c:pt idx="26">
                  <c:v>39.376781862682599</c:v>
                </c:pt>
                <c:pt idx="27">
                  <c:v>40.891273472785777</c:v>
                </c:pt>
                <c:pt idx="28">
                  <c:v>42.405765082888955</c:v>
                </c:pt>
                <c:pt idx="29">
                  <c:v>43.920256692992133</c:v>
                </c:pt>
                <c:pt idx="30">
                  <c:v>45.434748303095311</c:v>
                </c:pt>
                <c:pt idx="31">
                  <c:v>46.94923991319849</c:v>
                </c:pt>
                <c:pt idx="32">
                  <c:v>48.463731523301668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57D-4363-BA22-B84A72D13739}"/>
            </c:ext>
          </c:extLst>
        </c:ser>
        <c:ser>
          <c:idx val="16"/>
          <c:order val="13"/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'9 - Maneuver calcs'!$L$35:$L$55</c:f>
              <c:numCache>
                <c:formatCode>0.0000</c:formatCode>
                <c:ptCount val="21"/>
                <c:pt idx="0">
                  <c:v>0.79578686781812202</c:v>
                </c:pt>
                <c:pt idx="1">
                  <c:v>0.8264728403534497</c:v>
                </c:pt>
                <c:pt idx="2">
                  <c:v>0.85715881288877738</c:v>
                </c:pt>
                <c:pt idx="3">
                  <c:v>0.88784478542410505</c:v>
                </c:pt>
                <c:pt idx="4">
                  <c:v>0.91853075795943273</c:v>
                </c:pt>
                <c:pt idx="5">
                  <c:v>0.94921673049476041</c:v>
                </c:pt>
                <c:pt idx="6">
                  <c:v>0.97990270303008808</c:v>
                </c:pt>
                <c:pt idx="7">
                  <c:v>1.0105886755654159</c:v>
                </c:pt>
                <c:pt idx="8">
                  <c:v>1.0412746481007435</c:v>
                </c:pt>
                <c:pt idx="9">
                  <c:v>1.0719606206360712</c:v>
                </c:pt>
                <c:pt idx="10">
                  <c:v>1.1026465931713989</c:v>
                </c:pt>
                <c:pt idx="11">
                  <c:v>1.1333325657067266</c:v>
                </c:pt>
                <c:pt idx="12">
                  <c:v>1.1640185382420543</c:v>
                </c:pt>
                <c:pt idx="13">
                  <c:v>1.1947045107773819</c:v>
                </c:pt>
                <c:pt idx="14">
                  <c:v>1.2253904833127096</c:v>
                </c:pt>
                <c:pt idx="15">
                  <c:v>1.2560764558480373</c:v>
                </c:pt>
                <c:pt idx="16">
                  <c:v>1.286762428383365</c:v>
                </c:pt>
                <c:pt idx="17">
                  <c:v>1.3174484009186926</c:v>
                </c:pt>
                <c:pt idx="18">
                  <c:v>1.3481343734540203</c:v>
                </c:pt>
                <c:pt idx="19">
                  <c:v>1.378820345989348</c:v>
                </c:pt>
                <c:pt idx="20">
                  <c:v>1.4095063185246761</c:v>
                </c:pt>
              </c:numCache>
            </c:numRef>
          </c:xVal>
          <c:yVal>
            <c:numRef>
              <c:f>'9 - Maneuver calcs'!$Q$35:$Q$55</c:f>
              <c:numCache>
                <c:formatCode>0.0000</c:formatCode>
                <c:ptCount val="21"/>
                <c:pt idx="0">
                  <c:v>15.621742038511238</c:v>
                </c:pt>
                <c:pt idx="1">
                  <c:v>15.041724978370794</c:v>
                </c:pt>
                <c:pt idx="2">
                  <c:v>14.503236716184393</c:v>
                </c:pt>
                <c:pt idx="3">
                  <c:v>14.001971257567545</c:v>
                </c:pt>
                <c:pt idx="4">
                  <c:v>13.534198021095106</c:v>
                </c:pt>
                <c:pt idx="5">
                  <c:v>13.096668829477785</c:v>
                </c:pt>
                <c:pt idx="6">
                  <c:v>12.686542376348388</c:v>
                </c:pt>
                <c:pt idx="7">
                  <c:v>12.301322454196493</c:v>
                </c:pt>
                <c:pt idx="8">
                  <c:v>11.938807104700377</c:v>
                </c:pt>
                <c:pt idx="9">
                  <c:v>11.597046502802497</c:v>
                </c:pt>
                <c:pt idx="10">
                  <c:v>11.274307873145659</c:v>
                </c:pt>
                <c:pt idx="11">
                  <c:v>10.969046106018695</c:v>
                </c:pt>
                <c:pt idx="12">
                  <c:v>10.679879021054242</c:v>
                </c:pt>
                <c:pt idx="13">
                  <c:v>10.405566443036566</c:v>
                </c:pt>
                <c:pt idx="14">
                  <c:v>10.144992421584774</c:v>
                </c:pt>
                <c:pt idx="15">
                  <c:v>9.8971500570770523</c:v>
                </c:pt>
                <c:pt idx="16">
                  <c:v>9.661128497750795</c:v>
                </c:pt>
                <c:pt idx="17">
                  <c:v>9.4361017539819141</c:v>
                </c:pt>
                <c:pt idx="18">
                  <c:v>9.2213190402073355</c:v>
                </c:pt>
                <c:pt idx="19">
                  <c:v>9.0160964065042766</c:v>
                </c:pt>
                <c:pt idx="20">
                  <c:v>8.8198094632889745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57D-4363-BA22-B84A72D13739}"/>
            </c:ext>
          </c:extLst>
        </c:ser>
        <c:ser>
          <c:idx val="15"/>
          <c:order val="14"/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'9 - Maneuver calcs'!$L$31:$L$32</c:f>
              <c:numCache>
                <c:formatCode>_(* #,##0.0000_);_(* \(#,##0.0000\);_(* "-"??_);_(@_)</c:formatCode>
                <c:ptCount val="2"/>
                <c:pt idx="0">
                  <c:v>1.4095063185246761</c:v>
                </c:pt>
                <c:pt idx="1">
                  <c:v>1.4095063185246761</c:v>
                </c:pt>
              </c:numCache>
            </c:numRef>
          </c:xVal>
          <c:yVal>
            <c:numRef>
              <c:f>'9 - Maneuver calcs'!$Q$31:$Q$32</c:f>
              <c:numCache>
                <c:formatCode>_(* #,##0.0000_);_(* \(#,##0.0000\);_(* "-"??_);_(@_)</c:formatCode>
                <c:ptCount val="2"/>
                <c:pt idx="0">
                  <c:v>1E-3</c:v>
                </c:pt>
                <c:pt idx="1">
                  <c:v>8.8198094632889745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57D-4363-BA22-B84A72D13739}"/>
            </c:ext>
          </c:extLst>
        </c:ser>
        <c:ser>
          <c:idx val="20"/>
          <c:order val="15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rgbClr val="7030A0"/>
              </a:solidFill>
              <a:ln w="25400">
                <a:solidFill>
                  <a:schemeClr val="tx1"/>
                </a:solidFill>
              </a:ln>
              <a:effectLst/>
            </c:spPr>
          </c:marker>
          <c:xVal>
            <c:numRef>
              <c:f>'9 - Maneuver - Sust g &amp; Fuel'!$J$33</c:f>
              <c:numCache>
                <c:formatCode>0.00</c:formatCode>
                <c:ptCount val="1"/>
                <c:pt idx="0">
                  <c:v>0.8</c:v>
                </c:pt>
              </c:numCache>
            </c:numRef>
          </c:xVal>
          <c:yVal>
            <c:numRef>
              <c:f>'9 - Maneuver - Sust g &amp; Fuel'!$M$33</c:f>
              <c:numCache>
                <c:formatCode>0.00</c:formatCode>
                <c:ptCount val="1"/>
                <c:pt idx="0">
                  <c:v>10.676750475978888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D57D-4363-BA22-B84A72D13739}"/>
            </c:ext>
          </c:extLst>
        </c:ser>
        <c:ser>
          <c:idx val="19"/>
          <c:order val="16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rgbClr val="0070C0"/>
              </a:solidFill>
              <a:ln w="25400">
                <a:solidFill>
                  <a:schemeClr val="tx1"/>
                </a:solidFill>
              </a:ln>
              <a:effectLst/>
            </c:spPr>
          </c:marker>
          <c:xVal>
            <c:numRef>
              <c:f>'9 - Maneuver - Sust g &amp; Fuel'!$J$32</c:f>
              <c:numCache>
                <c:formatCode>0.00</c:formatCode>
                <c:ptCount val="1"/>
                <c:pt idx="0">
                  <c:v>0.6</c:v>
                </c:pt>
              </c:numCache>
            </c:numRef>
          </c:xVal>
          <c:yVal>
            <c:numRef>
              <c:f>'9 - Maneuver - Sust g &amp; Fuel'!$M$32</c:f>
              <c:numCache>
                <c:formatCode>0.00</c:formatCode>
                <c:ptCount val="1"/>
                <c:pt idx="0">
                  <c:v>5.0330684417342484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57D-4363-BA22-B84A72D13739}"/>
            </c:ext>
          </c:extLst>
        </c:ser>
        <c:ser>
          <c:idx val="18"/>
          <c:order val="17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B050"/>
              </a:solidFill>
              <a:ln w="25400">
                <a:solidFill>
                  <a:schemeClr val="tx1"/>
                </a:solidFill>
              </a:ln>
              <a:effectLst/>
            </c:spPr>
          </c:marker>
          <c:xVal>
            <c:numRef>
              <c:f>'9 - Maneuver - Sust g &amp; Fuel'!$J$10</c:f>
              <c:numCache>
                <c:formatCode>0.0000</c:formatCode>
                <c:ptCount val="1"/>
                <c:pt idx="0">
                  <c:v>0.85</c:v>
                </c:pt>
              </c:numCache>
            </c:numRef>
          </c:xVal>
          <c:yVal>
            <c:numRef>
              <c:f>'9 - Maneuver - Sust g &amp; Fuel'!$M$10</c:f>
              <c:numCache>
                <c:formatCode>0.00</c:formatCode>
                <c:ptCount val="1"/>
                <c:pt idx="0">
                  <c:v>10.345923646096583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D57D-4363-BA22-B84A72D13739}"/>
            </c:ext>
          </c:extLst>
        </c:ser>
        <c:ser>
          <c:idx val="17"/>
          <c:order val="18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marker>
          <c:xVal>
            <c:numRef>
              <c:f>'9 - Maneuver - Corner Velocity'!$L$9</c:f>
              <c:numCache>
                <c:formatCode>0.0000</c:formatCode>
                <c:ptCount val="1"/>
                <c:pt idx="0">
                  <c:v>0.79578686781812202</c:v>
                </c:pt>
              </c:numCache>
            </c:numRef>
          </c:xVal>
          <c:yVal>
            <c:numRef>
              <c:f>'9 - Maneuver - Corner Velocity'!$O$9</c:f>
              <c:numCache>
                <c:formatCode>0.00</c:formatCode>
                <c:ptCount val="1"/>
                <c:pt idx="0">
                  <c:v>15.621742038511238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D57D-4363-BA22-B84A72D13739}"/>
            </c:ext>
          </c:extLst>
        </c:ser>
        <c:ser>
          <c:idx val="14"/>
          <c:order val="19"/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'9 - Maneuver calcs'!$L$8:$L$28</c:f>
              <c:numCache>
                <c:formatCode>0.0000</c:formatCode>
                <c:ptCount val="21"/>
                <c:pt idx="0">
                  <c:v>0.29656299812402642</c:v>
                </c:pt>
                <c:pt idx="1">
                  <c:v>0.32152419160873119</c:v>
                </c:pt>
                <c:pt idx="2">
                  <c:v>0.34648538509343596</c:v>
                </c:pt>
                <c:pt idx="3">
                  <c:v>0.37144657857814073</c:v>
                </c:pt>
                <c:pt idx="4">
                  <c:v>0.3964077720628455</c:v>
                </c:pt>
                <c:pt idx="5">
                  <c:v>0.42136896554755027</c:v>
                </c:pt>
                <c:pt idx="6">
                  <c:v>0.44633015903225504</c:v>
                </c:pt>
                <c:pt idx="7">
                  <c:v>0.47129135251695981</c:v>
                </c:pt>
                <c:pt idx="8">
                  <c:v>0.49625254600166457</c:v>
                </c:pt>
                <c:pt idx="9">
                  <c:v>0.5212137394863694</c:v>
                </c:pt>
                <c:pt idx="10">
                  <c:v>0.54617493297107422</c:v>
                </c:pt>
                <c:pt idx="11">
                  <c:v>0.57113612645577905</c:v>
                </c:pt>
                <c:pt idx="12">
                  <c:v>0.59609731994048387</c:v>
                </c:pt>
                <c:pt idx="13">
                  <c:v>0.6210585134251887</c:v>
                </c:pt>
                <c:pt idx="14">
                  <c:v>0.64601970690989352</c:v>
                </c:pt>
                <c:pt idx="15">
                  <c:v>0.67098090039459835</c:v>
                </c:pt>
                <c:pt idx="16">
                  <c:v>0.69594209387930317</c:v>
                </c:pt>
                <c:pt idx="17">
                  <c:v>0.72090328736400799</c:v>
                </c:pt>
                <c:pt idx="18">
                  <c:v>0.74586448084871282</c:v>
                </c:pt>
                <c:pt idx="19">
                  <c:v>0.77082567433341764</c:v>
                </c:pt>
                <c:pt idx="20">
                  <c:v>0.79578686781812202</c:v>
                </c:pt>
              </c:numCache>
            </c:numRef>
          </c:xVal>
          <c:yVal>
            <c:numRef>
              <c:f>'9 - Maneuver calcs'!$Q$8:$Q$28</c:f>
              <c:numCache>
                <c:formatCode>0.0000</c:formatCode>
                <c:ptCount val="21"/>
                <c:pt idx="0">
                  <c:v>0</c:v>
                </c:pt>
                <c:pt idx="1">
                  <c:v>3.3490671151132507</c:v>
                </c:pt>
                <c:pt idx="2">
                  <c:v>4.6746495838991162</c:v>
                </c:pt>
                <c:pt idx="3">
                  <c:v>5.672984159654229</c:v>
                </c:pt>
                <c:pt idx="4">
                  <c:v>6.5116296388360322</c:v>
                </c:pt>
                <c:pt idx="5">
                  <c:v>7.2557748664788297</c:v>
                </c:pt>
                <c:pt idx="6">
                  <c:v>7.9384047753084195</c:v>
                </c:pt>
                <c:pt idx="7">
                  <c:v>8.578581927034719</c:v>
                </c:pt>
                <c:pt idx="8">
                  <c:v>9.188258438324695</c:v>
                </c:pt>
                <c:pt idx="9">
                  <c:v>9.7753566435485446</c:v>
                </c:pt>
                <c:pt idx="10">
                  <c:v>10.345345849344838</c:v>
                </c:pt>
                <c:pt idx="11">
                  <c:v>10.902122025465202</c:v>
                </c:pt>
                <c:pt idx="12">
                  <c:v>11.448530806796747</c:v>
                </c:pt>
                <c:pt idx="13">
                  <c:v>11.986693998332065</c:v>
                </c:pt>
                <c:pt idx="14">
                  <c:v>12.518221465190377</c:v>
                </c:pt>
                <c:pt idx="15">
                  <c:v>13.044353052806832</c:v>
                </c:pt>
                <c:pt idx="16">
                  <c:v>13.566056174121355</c:v>
                </c:pt>
                <c:pt idx="17">
                  <c:v>14.084094424431909</c:v>
                </c:pt>
                <c:pt idx="18">
                  <c:v>14.599076759812871</c:v>
                </c:pt>
                <c:pt idx="19">
                  <c:v>15.111493339687069</c:v>
                </c:pt>
                <c:pt idx="20">
                  <c:v>15.621742038511231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D57D-4363-BA22-B84A72D13739}"/>
            </c:ext>
          </c:extLst>
        </c:ser>
        <c:ser>
          <c:idx val="0"/>
          <c:order val="20"/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'9 - R and g calculations'!$A$7:$A$39</c:f>
              <c:numCache>
                <c:formatCode>0.00</c:formatCode>
                <c:ptCount val="33"/>
                <c:pt idx="0" formatCode="0.00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</c:numCache>
            </c:numRef>
          </c:xVal>
          <c:yVal>
            <c:numRef>
              <c:f>'9 - R and g calculations'!$C$7:$C$39</c:f>
              <c:numCache>
                <c:formatCode>0.00</c:formatCode>
                <c:ptCount val="33"/>
                <c:pt idx="0">
                  <c:v>0.60579664404127076</c:v>
                </c:pt>
                <c:pt idx="1">
                  <c:v>3.0289832202063542</c:v>
                </c:pt>
                <c:pt idx="2">
                  <c:v>6.0579664404127085</c:v>
                </c:pt>
                <c:pt idx="3">
                  <c:v>9.0869496606190623</c:v>
                </c:pt>
                <c:pt idx="4">
                  <c:v>12.115932880825417</c:v>
                </c:pt>
                <c:pt idx="5">
                  <c:v>15.14491610103177</c:v>
                </c:pt>
                <c:pt idx="6">
                  <c:v>18.173899321238125</c:v>
                </c:pt>
                <c:pt idx="7">
                  <c:v>21.202882541444477</c:v>
                </c:pt>
                <c:pt idx="8">
                  <c:v>24.231865761650834</c:v>
                </c:pt>
                <c:pt idx="9">
                  <c:v>27.260848981857183</c:v>
                </c:pt>
                <c:pt idx="10">
                  <c:v>30.28983220206354</c:v>
                </c:pt>
                <c:pt idx="11">
                  <c:v>33.3188154222699</c:v>
                </c:pt>
                <c:pt idx="12">
                  <c:v>36.347798642476249</c:v>
                </c:pt>
                <c:pt idx="13">
                  <c:v>39.376781862682599</c:v>
                </c:pt>
                <c:pt idx="14">
                  <c:v>42.405765082888955</c:v>
                </c:pt>
                <c:pt idx="15">
                  <c:v>45.434748303095311</c:v>
                </c:pt>
                <c:pt idx="16">
                  <c:v>48.463731523301668</c:v>
                </c:pt>
                <c:pt idx="17">
                  <c:v>51.49271474350801</c:v>
                </c:pt>
                <c:pt idx="18">
                  <c:v>54.521697963714367</c:v>
                </c:pt>
                <c:pt idx="19">
                  <c:v>57.550681183920716</c:v>
                </c:pt>
                <c:pt idx="20">
                  <c:v>60.57966440412708</c:v>
                </c:pt>
                <c:pt idx="21">
                  <c:v>63.608647624333436</c:v>
                </c:pt>
                <c:pt idx="22">
                  <c:v>66.6376308445398</c:v>
                </c:pt>
                <c:pt idx="23">
                  <c:v>69.666614064746142</c:v>
                </c:pt>
                <c:pt idx="24">
                  <c:v>72.695597284952498</c:v>
                </c:pt>
                <c:pt idx="25">
                  <c:v>75.724580505158841</c:v>
                </c:pt>
                <c:pt idx="26">
                  <c:v>78.753563725365197</c:v>
                </c:pt>
                <c:pt idx="27">
                  <c:v>81.782546945571553</c:v>
                </c:pt>
                <c:pt idx="28">
                  <c:v>84.81153016577791</c:v>
                </c:pt>
                <c:pt idx="29">
                  <c:v>87.840513385984266</c:v>
                </c:pt>
                <c:pt idx="30">
                  <c:v>90.869496606190623</c:v>
                </c:pt>
                <c:pt idx="31">
                  <c:v>93.898479826396979</c:v>
                </c:pt>
                <c:pt idx="32">
                  <c:v>96.927463046603336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D57D-4363-BA22-B84A72D13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120664"/>
        <c:axId val="510122960"/>
      </c:scatterChart>
      <c:valAx>
        <c:axId val="510120664"/>
        <c:scaling>
          <c:orientation val="minMax"/>
          <c:max val="1.6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chemeClr val="tx1"/>
                    </a:solidFill>
                  </a:rPr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22960"/>
        <c:crosses val="autoZero"/>
        <c:crossBetween val="midCat"/>
      </c:valAx>
      <c:valAx>
        <c:axId val="510122960"/>
        <c:scaling>
          <c:orientation val="minMax"/>
          <c:max val="1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chemeClr val="tx1"/>
                    </a:solidFill>
                  </a:rPr>
                  <a:t>Turn Rate (deg/sec)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20664"/>
        <c:crosses val="autoZero"/>
        <c:crossBetween val="midCat"/>
        <c:majorUnit val="4"/>
        <c:minorUnit val="1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Sea Level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</c:v>
          </c:tx>
          <c:marker>
            <c:symbol val="none"/>
          </c:marker>
          <c:xVal>
            <c:numRef>
              <c:f>'10 - Cruise Plots'!$A$53:$A$163</c:f>
              <c:numCache>
                <c:formatCode>General</c:formatCode>
                <c:ptCount val="11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1.01</c:v>
                </c:pt>
                <c:pt idx="92">
                  <c:v>1.02</c:v>
                </c:pt>
                <c:pt idx="93">
                  <c:v>1.03</c:v>
                </c:pt>
                <c:pt idx="94">
                  <c:v>1.04</c:v>
                </c:pt>
                <c:pt idx="95">
                  <c:v>1.05</c:v>
                </c:pt>
                <c:pt idx="96">
                  <c:v>1.06</c:v>
                </c:pt>
                <c:pt idx="97">
                  <c:v>1.07</c:v>
                </c:pt>
                <c:pt idx="98">
                  <c:v>1.08</c:v>
                </c:pt>
                <c:pt idx="99">
                  <c:v>1.0900000000000001</c:v>
                </c:pt>
                <c:pt idx="100">
                  <c:v>1.1000000000000001</c:v>
                </c:pt>
                <c:pt idx="101">
                  <c:v>1.1100000000000001</c:v>
                </c:pt>
                <c:pt idx="102">
                  <c:v>1.1200000000000001</c:v>
                </c:pt>
                <c:pt idx="103">
                  <c:v>1.1299999999999999</c:v>
                </c:pt>
                <c:pt idx="104">
                  <c:v>1.1399999999999999</c:v>
                </c:pt>
                <c:pt idx="105">
                  <c:v>1.1499999999999999</c:v>
                </c:pt>
                <c:pt idx="106">
                  <c:v>1.1599999999999999</c:v>
                </c:pt>
                <c:pt idx="107">
                  <c:v>1.17</c:v>
                </c:pt>
                <c:pt idx="108">
                  <c:v>1.18</c:v>
                </c:pt>
                <c:pt idx="109">
                  <c:v>1.19</c:v>
                </c:pt>
                <c:pt idx="110">
                  <c:v>1.2</c:v>
                </c:pt>
              </c:numCache>
            </c:numRef>
          </c:xVal>
          <c:yVal>
            <c:numRef>
              <c:f>'10 - Cruise Plots'!$B$53:$B$163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2170.3330338118317</c:v>
                </c:pt>
                <c:pt idx="14">
                  <c:v>1866.5011142099161</c:v>
                </c:pt>
                <c:pt idx="15">
                  <c:v>1652.3643726601533</c:v>
                </c:pt>
                <c:pt idx="16">
                  <c:v>1456.22783908675</c:v>
                </c:pt>
                <c:pt idx="17">
                  <c:v>1324.6329716791154</c:v>
                </c:pt>
                <c:pt idx="18">
                  <c:v>1188.0307129903235</c:v>
                </c:pt>
                <c:pt idx="19">
                  <c:v>1112.437452531487</c:v>
                </c:pt>
                <c:pt idx="20">
                  <c:v>1049.0160365674458</c:v>
                </c:pt>
                <c:pt idx="21">
                  <c:v>983.39866144168172</c:v>
                </c:pt>
                <c:pt idx="22">
                  <c:v>934.24393023795858</c:v>
                </c:pt>
                <c:pt idx="23">
                  <c:v>903.02000999213169</c:v>
                </c:pt>
                <c:pt idx="24">
                  <c:v>882.22220704503741</c:v>
                </c:pt>
                <c:pt idx="25">
                  <c:v>885.76684273091155</c:v>
                </c:pt>
                <c:pt idx="26">
                  <c:v>889.36058530170942</c:v>
                </c:pt>
                <c:pt idx="27">
                  <c:v>899.42539008584322</c:v>
                </c:pt>
                <c:pt idx="28">
                  <c:v>913.73236622067805</c:v>
                </c:pt>
                <c:pt idx="29">
                  <c:v>928.36269230547316</c:v>
                </c:pt>
                <c:pt idx="30">
                  <c:v>943.3133463780789</c:v>
                </c:pt>
                <c:pt idx="31">
                  <c:v>958.58130647634641</c:v>
                </c:pt>
                <c:pt idx="32">
                  <c:v>974.16355063812659</c:v>
                </c:pt>
                <c:pt idx="33">
                  <c:v>990.0570569012699</c:v>
                </c:pt>
                <c:pt idx="34">
                  <c:v>1006.2588033036277</c:v>
                </c:pt>
                <c:pt idx="35">
                  <c:v>1027.7438242183391</c:v>
                </c:pt>
                <c:pt idx="36">
                  <c:v>1056.0112581615722</c:v>
                </c:pt>
                <c:pt idx="37">
                  <c:v>1084.8296965366685</c:v>
                </c:pt>
                <c:pt idx="38">
                  <c:v>1114.1961173814791</c:v>
                </c:pt>
                <c:pt idx="39">
                  <c:v>1144.1074987338545</c:v>
                </c:pt>
                <c:pt idx="40">
                  <c:v>1174.560818631646</c:v>
                </c:pt>
                <c:pt idx="41">
                  <c:v>1205.553055112704</c:v>
                </c:pt>
                <c:pt idx="42">
                  <c:v>1237.0811862148796</c:v>
                </c:pt>
                <c:pt idx="43">
                  <c:v>1269.1421899760237</c:v>
                </c:pt>
                <c:pt idx="44">
                  <c:v>1301.7330444339871</c:v>
                </c:pt>
                <c:pt idx="45">
                  <c:v>1334.85072762662</c:v>
                </c:pt>
                <c:pt idx="46">
                  <c:v>1368.4922175917743</c:v>
                </c:pt>
                <c:pt idx="47">
                  <c:v>1402.6544923673</c:v>
                </c:pt>
                <c:pt idx="48">
                  <c:v>1437.3345299910482</c:v>
                </c:pt>
                <c:pt idx="49">
                  <c:v>1472.52930850087</c:v>
                </c:pt>
                <c:pt idx="50">
                  <c:v>1508.2358059346161</c:v>
                </c:pt>
                <c:pt idx="51">
                  <c:v>1544.4510003301375</c:v>
                </c:pt>
                <c:pt idx="52">
                  <c:v>1581.1718697252843</c:v>
                </c:pt>
                <c:pt idx="53">
                  <c:v>1618.3953921579086</c:v>
                </c:pt>
                <c:pt idx="54">
                  <c:v>1663.9926490607595</c:v>
                </c:pt>
                <c:pt idx="55">
                  <c:v>1710.3339349577541</c:v>
                </c:pt>
                <c:pt idx="56">
                  <c:v>1757.2947230953264</c:v>
                </c:pt>
                <c:pt idx="57">
                  <c:v>1804.8719915113275</c:v>
                </c:pt>
                <c:pt idx="58">
                  <c:v>1853.0627182436076</c:v>
                </c:pt>
                <c:pt idx="59">
                  <c:v>1901.8638813300172</c:v>
                </c:pt>
                <c:pt idx="60">
                  <c:v>1951.2724588084079</c:v>
                </c:pt>
                <c:pt idx="61">
                  <c:v>2001.2854287166308</c:v>
                </c:pt>
                <c:pt idx="62">
                  <c:v>2051.8997690925366</c:v>
                </c:pt>
                <c:pt idx="63">
                  <c:v>2103.1124579739758</c:v>
                </c:pt>
                <c:pt idx="64">
                  <c:v>2154.920473398799</c:v>
                </c:pt>
                <c:pt idx="65">
                  <c:v>2207.3207934048578</c:v>
                </c:pt>
                <c:pt idx="66">
                  <c:v>2260.3103960300018</c:v>
                </c:pt>
                <c:pt idx="67">
                  <c:v>2313.8862593120834</c:v>
                </c:pt>
                <c:pt idx="68">
                  <c:v>2368.0453612889523</c:v>
                </c:pt>
                <c:pt idx="69">
                  <c:v>2422.78467999846</c:v>
                </c:pt>
                <c:pt idx="70">
                  <c:v>2478.1011934784569</c:v>
                </c:pt>
                <c:pt idx="71">
                  <c:v>2550.5144578173204</c:v>
                </c:pt>
                <c:pt idx="72">
                  <c:v>2624.3198393862299</c:v>
                </c:pt>
                <c:pt idx="73">
                  <c:v>2699.5294260337819</c:v>
                </c:pt>
                <c:pt idx="74">
                  <c:v>2776.1553056085736</c:v>
                </c:pt>
                <c:pt idx="75">
                  <c:v>2854.2095659592005</c:v>
                </c:pt>
                <c:pt idx="76">
                  <c:v>2956.2547269894394</c:v>
                </c:pt>
                <c:pt idx="77">
                  <c:v>3060.7980433963176</c:v>
                </c:pt>
                <c:pt idx="78">
                  <c:v>3167.8697348013252</c:v>
                </c:pt>
                <c:pt idx="79">
                  <c:v>3277.5000208259544</c:v>
                </c:pt>
                <c:pt idx="80">
                  <c:v>3389.7191210916958</c:v>
                </c:pt>
                <c:pt idx="81">
                  <c:v>3515.2842837855355</c:v>
                </c:pt>
                <c:pt idx="82">
                  <c:v>3643.9595491912173</c:v>
                </c:pt>
                <c:pt idx="83">
                  <c:v>3830.2346723107662</c:v>
                </c:pt>
                <c:pt idx="84">
                  <c:v>4022.0500593704378</c:v>
                </c:pt>
                <c:pt idx="85">
                  <c:v>4446.757996058629</c:v>
                </c:pt>
                <c:pt idx="86">
                  <c:v>4886.7772076358933</c:v>
                </c:pt>
                <c:pt idx="87">
                  <c:v>5994.4386339213434</c:v>
                </c:pt>
                <c:pt idx="88">
                  <c:v>7144.8734161263465</c:v>
                </c:pt>
                <c:pt idx="89">
                  <c:v>7783.8815145093413</c:v>
                </c:pt>
                <c:pt idx="90">
                  <c:v>8444.395910187186</c:v>
                </c:pt>
                <c:pt idx="91">
                  <c:v>8870.3268336783731</c:v>
                </c:pt>
                <c:pt idx="92">
                  <c:v>9308.1441416229172</c:v>
                </c:pt>
                <c:pt idx="93">
                  <c:v>9691.7072728773855</c:v>
                </c:pt>
                <c:pt idx="94">
                  <c:v>10084.852542446479</c:v>
                </c:pt>
                <c:pt idx="95">
                  <c:v>10419.282580797299</c:v>
                </c:pt>
                <c:pt idx="96">
                  <c:v>10760.864596234456</c:v>
                </c:pt>
                <c:pt idx="97">
                  <c:v>11110.174137811691</c:v>
                </c:pt>
                <c:pt idx="98">
                  <c:v>11466.786754582723</c:v>
                </c:pt>
                <c:pt idx="99">
                  <c:v>11800.858052022822</c:v>
                </c:pt>
                <c:pt idx="100">
                  <c:v>12141.280506579737</c:v>
                </c:pt>
                <c:pt idx="101">
                  <c:v>12456.886561129964</c:v>
                </c:pt>
                <c:pt idx="102">
                  <c:v>12777.841488684197</c:v>
                </c:pt>
                <c:pt idx="103">
                  <c:v>13104.190618674673</c:v>
                </c:pt>
                <c:pt idx="104">
                  <c:v>13435.979280533647</c:v>
                </c:pt>
                <c:pt idx="105">
                  <c:v>13773.252803693336</c:v>
                </c:pt>
                <c:pt idx="106">
                  <c:v>14094.924756246453</c:v>
                </c:pt>
                <c:pt idx="107">
                  <c:v>14421.468111784006</c:v>
                </c:pt>
                <c:pt idx="108">
                  <c:v>14752.919133851799</c:v>
                </c:pt>
                <c:pt idx="109">
                  <c:v>15089.314085995615</c:v>
                </c:pt>
                <c:pt idx="110">
                  <c:v>15430.689231761244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9-4A4A-BC44-F114D80ABA00}"/>
            </c:ext>
          </c:extLst>
        </c:ser>
        <c:ser>
          <c:idx val="1"/>
          <c:order val="1"/>
          <c:tx>
            <c:v>Tmil</c:v>
          </c:tx>
          <c:marker>
            <c:symbol val="none"/>
          </c:marker>
          <c:xVal>
            <c:numRef>
              <c:f>'10 - Cruise Plots'!$A$53:$A$163</c:f>
              <c:numCache>
                <c:formatCode>General</c:formatCode>
                <c:ptCount val="11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1.01</c:v>
                </c:pt>
                <c:pt idx="92">
                  <c:v>1.02</c:v>
                </c:pt>
                <c:pt idx="93">
                  <c:v>1.03</c:v>
                </c:pt>
                <c:pt idx="94">
                  <c:v>1.04</c:v>
                </c:pt>
                <c:pt idx="95">
                  <c:v>1.05</c:v>
                </c:pt>
                <c:pt idx="96">
                  <c:v>1.06</c:v>
                </c:pt>
                <c:pt idx="97">
                  <c:v>1.07</c:v>
                </c:pt>
                <c:pt idx="98">
                  <c:v>1.08</c:v>
                </c:pt>
                <c:pt idx="99">
                  <c:v>1.0900000000000001</c:v>
                </c:pt>
                <c:pt idx="100">
                  <c:v>1.1000000000000001</c:v>
                </c:pt>
                <c:pt idx="101">
                  <c:v>1.1100000000000001</c:v>
                </c:pt>
                <c:pt idx="102">
                  <c:v>1.1200000000000001</c:v>
                </c:pt>
                <c:pt idx="103">
                  <c:v>1.1299999999999999</c:v>
                </c:pt>
                <c:pt idx="104">
                  <c:v>1.1399999999999999</c:v>
                </c:pt>
                <c:pt idx="105">
                  <c:v>1.1499999999999999</c:v>
                </c:pt>
                <c:pt idx="106">
                  <c:v>1.1599999999999999</c:v>
                </c:pt>
                <c:pt idx="107">
                  <c:v>1.17</c:v>
                </c:pt>
                <c:pt idx="108">
                  <c:v>1.18</c:v>
                </c:pt>
                <c:pt idx="109">
                  <c:v>1.19</c:v>
                </c:pt>
                <c:pt idx="110">
                  <c:v>1.2</c:v>
                </c:pt>
              </c:numCache>
            </c:numRef>
          </c:xVal>
          <c:yVal>
            <c:numRef>
              <c:f>'10 - Cruise Plots'!$C$53:$C$163</c:f>
              <c:numCache>
                <c:formatCode>General</c:formatCode>
                <c:ptCount val="111"/>
                <c:pt idx="0">
                  <c:v>3839.9999900654411</c:v>
                </c:pt>
                <c:pt idx="1">
                  <c:v>3843.9999901233082</c:v>
                </c:pt>
                <c:pt idx="2">
                  <c:v>3847.9999901811748</c:v>
                </c:pt>
                <c:pt idx="3">
                  <c:v>3851.9999902390418</c:v>
                </c:pt>
                <c:pt idx="4">
                  <c:v>3855.9999902969084</c:v>
                </c:pt>
                <c:pt idx="5">
                  <c:v>3859.9999903547755</c:v>
                </c:pt>
                <c:pt idx="6">
                  <c:v>3863.9999904126425</c:v>
                </c:pt>
                <c:pt idx="7">
                  <c:v>3867.9999904705091</c:v>
                </c:pt>
                <c:pt idx="8">
                  <c:v>3871.9999905283762</c:v>
                </c:pt>
                <c:pt idx="9">
                  <c:v>3875.9999905862428</c:v>
                </c:pt>
                <c:pt idx="10">
                  <c:v>3879.9999906441099</c:v>
                </c:pt>
                <c:pt idx="11">
                  <c:v>3883.9999907019769</c:v>
                </c:pt>
                <c:pt idx="12">
                  <c:v>3887.9999907598435</c:v>
                </c:pt>
                <c:pt idx="13">
                  <c:v>3891.9999908177106</c:v>
                </c:pt>
                <c:pt idx="14">
                  <c:v>3895.9999908755772</c:v>
                </c:pt>
                <c:pt idx="15">
                  <c:v>3899.9999909334442</c:v>
                </c:pt>
                <c:pt idx="16">
                  <c:v>3903.9999909913113</c:v>
                </c:pt>
                <c:pt idx="17">
                  <c:v>3907.9999910491779</c:v>
                </c:pt>
                <c:pt idx="18">
                  <c:v>3911.9999911070449</c:v>
                </c:pt>
                <c:pt idx="19">
                  <c:v>3915.9999911649115</c:v>
                </c:pt>
                <c:pt idx="20">
                  <c:v>3919.9999912227786</c:v>
                </c:pt>
                <c:pt idx="21">
                  <c:v>3923.9999912806456</c:v>
                </c:pt>
                <c:pt idx="22">
                  <c:v>3927.9999913385122</c:v>
                </c:pt>
                <c:pt idx="23">
                  <c:v>3931.9999913963793</c:v>
                </c:pt>
                <c:pt idx="24">
                  <c:v>3935.9999914542464</c:v>
                </c:pt>
                <c:pt idx="25">
                  <c:v>3939.999991512113</c:v>
                </c:pt>
                <c:pt idx="26">
                  <c:v>3943.99999156998</c:v>
                </c:pt>
                <c:pt idx="27">
                  <c:v>3947.9999916278471</c:v>
                </c:pt>
                <c:pt idx="28">
                  <c:v>3951.9999916857141</c:v>
                </c:pt>
                <c:pt idx="29">
                  <c:v>3955.9999917435807</c:v>
                </c:pt>
                <c:pt idx="30">
                  <c:v>3959.9999918014478</c:v>
                </c:pt>
                <c:pt idx="31">
                  <c:v>3963.9999918593148</c:v>
                </c:pt>
                <c:pt idx="32">
                  <c:v>3967.9999919171814</c:v>
                </c:pt>
                <c:pt idx="33">
                  <c:v>3971.9999919750485</c:v>
                </c:pt>
                <c:pt idx="34">
                  <c:v>3975.9999920329151</c:v>
                </c:pt>
                <c:pt idx="35">
                  <c:v>3979.9999920907821</c:v>
                </c:pt>
                <c:pt idx="36">
                  <c:v>3983.9999921486492</c:v>
                </c:pt>
                <c:pt idx="37">
                  <c:v>3987.9999922065158</c:v>
                </c:pt>
                <c:pt idx="38">
                  <c:v>3991.9999922643829</c:v>
                </c:pt>
                <c:pt idx="39">
                  <c:v>3995.9999923222495</c:v>
                </c:pt>
                <c:pt idx="40">
                  <c:v>3999.9999923801165</c:v>
                </c:pt>
                <c:pt idx="41">
                  <c:v>4003.9999924379836</c:v>
                </c:pt>
                <c:pt idx="42">
                  <c:v>4007.9999924958502</c:v>
                </c:pt>
                <c:pt idx="43">
                  <c:v>4011.9999925537172</c:v>
                </c:pt>
                <c:pt idx="44">
                  <c:v>4015.9999926115838</c:v>
                </c:pt>
                <c:pt idx="45">
                  <c:v>4019.9999926694509</c:v>
                </c:pt>
                <c:pt idx="46">
                  <c:v>4023.9999927273179</c:v>
                </c:pt>
                <c:pt idx="47">
                  <c:v>4027.9999927851845</c:v>
                </c:pt>
                <c:pt idx="48">
                  <c:v>4031.9999928430516</c:v>
                </c:pt>
                <c:pt idx="49">
                  <c:v>4035.9999929009182</c:v>
                </c:pt>
                <c:pt idx="50">
                  <c:v>4039.9999929587852</c:v>
                </c:pt>
                <c:pt idx="51">
                  <c:v>4043.9999930166523</c:v>
                </c:pt>
                <c:pt idx="52">
                  <c:v>4047.9999930745189</c:v>
                </c:pt>
                <c:pt idx="53">
                  <c:v>4051.999993132386</c:v>
                </c:pt>
                <c:pt idx="54">
                  <c:v>4055.999993190253</c:v>
                </c:pt>
                <c:pt idx="55">
                  <c:v>4059.9999932481201</c:v>
                </c:pt>
                <c:pt idx="56">
                  <c:v>4063.9999933059867</c:v>
                </c:pt>
                <c:pt idx="57">
                  <c:v>4067.9999933638537</c:v>
                </c:pt>
                <c:pt idx="58">
                  <c:v>4071.9999934217208</c:v>
                </c:pt>
                <c:pt idx="59">
                  <c:v>4075.9999934795874</c:v>
                </c:pt>
                <c:pt idx="60">
                  <c:v>4079.9999935374544</c:v>
                </c:pt>
                <c:pt idx="61">
                  <c:v>4083.9999935953215</c:v>
                </c:pt>
                <c:pt idx="62">
                  <c:v>4087.9999936531881</c:v>
                </c:pt>
                <c:pt idx="63">
                  <c:v>4091.9999937110551</c:v>
                </c:pt>
                <c:pt idx="64">
                  <c:v>4095.9999937689217</c:v>
                </c:pt>
                <c:pt idx="65">
                  <c:v>4099.9999938267883</c:v>
                </c:pt>
                <c:pt idx="66">
                  <c:v>4103.9999938846559</c:v>
                </c:pt>
                <c:pt idx="67">
                  <c:v>4107.9999939425225</c:v>
                </c:pt>
                <c:pt idx="68">
                  <c:v>4111.9999940003891</c:v>
                </c:pt>
                <c:pt idx="69">
                  <c:v>4115.9999940582566</c:v>
                </c:pt>
                <c:pt idx="70">
                  <c:v>4119.9999941161232</c:v>
                </c:pt>
                <c:pt idx="71">
                  <c:v>4123.9999941739898</c:v>
                </c:pt>
                <c:pt idx="72">
                  <c:v>4127.9999942318573</c:v>
                </c:pt>
                <c:pt idx="73">
                  <c:v>4131.9999942897239</c:v>
                </c:pt>
                <c:pt idx="74">
                  <c:v>4135.9999943475905</c:v>
                </c:pt>
                <c:pt idx="75">
                  <c:v>4139.9999944054571</c:v>
                </c:pt>
                <c:pt idx="76">
                  <c:v>4143.9999944633246</c:v>
                </c:pt>
                <c:pt idx="77">
                  <c:v>4147.9999945211912</c:v>
                </c:pt>
                <c:pt idx="78">
                  <c:v>4151.9999945790578</c:v>
                </c:pt>
                <c:pt idx="79">
                  <c:v>4155.9999946369253</c:v>
                </c:pt>
                <c:pt idx="80">
                  <c:v>4159.9999946947919</c:v>
                </c:pt>
                <c:pt idx="81">
                  <c:v>4163.9999947526585</c:v>
                </c:pt>
                <c:pt idx="82">
                  <c:v>4167.999994810526</c:v>
                </c:pt>
                <c:pt idx="83">
                  <c:v>4171.9999948683926</c:v>
                </c:pt>
                <c:pt idx="84">
                  <c:v>4175.9999949262592</c:v>
                </c:pt>
                <c:pt idx="85">
                  <c:v>4179.9999949841258</c:v>
                </c:pt>
                <c:pt idx="86">
                  <c:v>4183.9999950419933</c:v>
                </c:pt>
                <c:pt idx="87">
                  <c:v>4187.9999950998599</c:v>
                </c:pt>
                <c:pt idx="88">
                  <c:v>4191.9999951577265</c:v>
                </c:pt>
                <c:pt idx="89">
                  <c:v>4195.999995215594</c:v>
                </c:pt>
                <c:pt idx="90">
                  <c:v>4199.9999952734606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9-4A4A-BC44-F114D80ABA00}"/>
            </c:ext>
          </c:extLst>
        </c:ser>
        <c:ser>
          <c:idx val="2"/>
          <c:order val="2"/>
          <c:tx>
            <c:v>Tmax</c:v>
          </c:tx>
          <c:marker>
            <c:symbol val="none"/>
          </c:marker>
          <c:xVal>
            <c:numRef>
              <c:f>'10 - Cruise Plots'!$A$53:$A$163</c:f>
              <c:numCache>
                <c:formatCode>General</c:formatCode>
                <c:ptCount val="11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1.01</c:v>
                </c:pt>
                <c:pt idx="92">
                  <c:v>1.02</c:v>
                </c:pt>
                <c:pt idx="93">
                  <c:v>1.03</c:v>
                </c:pt>
                <c:pt idx="94">
                  <c:v>1.04</c:v>
                </c:pt>
                <c:pt idx="95">
                  <c:v>1.05</c:v>
                </c:pt>
                <c:pt idx="96">
                  <c:v>1.06</c:v>
                </c:pt>
                <c:pt idx="97">
                  <c:v>1.07</c:v>
                </c:pt>
                <c:pt idx="98">
                  <c:v>1.08</c:v>
                </c:pt>
                <c:pt idx="99">
                  <c:v>1.0900000000000001</c:v>
                </c:pt>
                <c:pt idx="100">
                  <c:v>1.1000000000000001</c:v>
                </c:pt>
                <c:pt idx="101">
                  <c:v>1.1100000000000001</c:v>
                </c:pt>
                <c:pt idx="102">
                  <c:v>1.1200000000000001</c:v>
                </c:pt>
                <c:pt idx="103">
                  <c:v>1.1299999999999999</c:v>
                </c:pt>
                <c:pt idx="104">
                  <c:v>1.1399999999999999</c:v>
                </c:pt>
                <c:pt idx="105">
                  <c:v>1.1499999999999999</c:v>
                </c:pt>
                <c:pt idx="106">
                  <c:v>1.1599999999999999</c:v>
                </c:pt>
                <c:pt idx="107">
                  <c:v>1.17</c:v>
                </c:pt>
                <c:pt idx="108">
                  <c:v>1.18</c:v>
                </c:pt>
                <c:pt idx="109">
                  <c:v>1.19</c:v>
                </c:pt>
                <c:pt idx="110">
                  <c:v>1.2</c:v>
                </c:pt>
              </c:numCache>
            </c:numRef>
          </c:xVal>
          <c:yVal>
            <c:numRef>
              <c:f>'10 - Cruise Plots'!$D$53:$D$163</c:f>
              <c:numCache>
                <c:formatCode>General</c:formatCode>
                <c:ptCount val="111"/>
                <c:pt idx="0">
                  <c:v>5739.999985153494</c:v>
                </c:pt>
                <c:pt idx="1">
                  <c:v>5763.999985190495</c:v>
                </c:pt>
                <c:pt idx="2">
                  <c:v>5787.9999852274959</c:v>
                </c:pt>
                <c:pt idx="3">
                  <c:v>5811.9999852644969</c:v>
                </c:pt>
                <c:pt idx="4">
                  <c:v>5835.9999853014979</c:v>
                </c:pt>
                <c:pt idx="5">
                  <c:v>5859.9999853384979</c:v>
                </c:pt>
                <c:pt idx="6">
                  <c:v>5883.9999853754989</c:v>
                </c:pt>
                <c:pt idx="7">
                  <c:v>5907.9999854124999</c:v>
                </c:pt>
                <c:pt idx="8">
                  <c:v>5931.9999854495009</c:v>
                </c:pt>
                <c:pt idx="9">
                  <c:v>5955.9999854865018</c:v>
                </c:pt>
                <c:pt idx="10">
                  <c:v>5979.9999855235028</c:v>
                </c:pt>
                <c:pt idx="11">
                  <c:v>6003.9999855605038</c:v>
                </c:pt>
                <c:pt idx="12">
                  <c:v>6027.9999855975047</c:v>
                </c:pt>
                <c:pt idx="13">
                  <c:v>6051.9999856345048</c:v>
                </c:pt>
                <c:pt idx="14">
                  <c:v>6075.9999856715058</c:v>
                </c:pt>
                <c:pt idx="15">
                  <c:v>6099.9999857085068</c:v>
                </c:pt>
                <c:pt idx="16">
                  <c:v>6123.9999857455077</c:v>
                </c:pt>
                <c:pt idx="17">
                  <c:v>6147.9999857825087</c:v>
                </c:pt>
                <c:pt idx="18">
                  <c:v>6171.9999858195088</c:v>
                </c:pt>
                <c:pt idx="19">
                  <c:v>6195.9999858565097</c:v>
                </c:pt>
                <c:pt idx="20">
                  <c:v>6219.9999858935107</c:v>
                </c:pt>
                <c:pt idx="21">
                  <c:v>6243.9999859305117</c:v>
                </c:pt>
                <c:pt idx="22">
                  <c:v>6267.9999859675127</c:v>
                </c:pt>
                <c:pt idx="23">
                  <c:v>6291.9999860045136</c:v>
                </c:pt>
                <c:pt idx="24">
                  <c:v>6315.9999860415146</c:v>
                </c:pt>
                <c:pt idx="25">
                  <c:v>6339.9999860785147</c:v>
                </c:pt>
                <c:pt idx="26">
                  <c:v>6363.9999861155156</c:v>
                </c:pt>
                <c:pt idx="27">
                  <c:v>6387.9999861525166</c:v>
                </c:pt>
                <c:pt idx="28">
                  <c:v>6411.9999861895176</c:v>
                </c:pt>
                <c:pt idx="29">
                  <c:v>6435.9999862265186</c:v>
                </c:pt>
                <c:pt idx="30">
                  <c:v>6459.9999862635195</c:v>
                </c:pt>
                <c:pt idx="31">
                  <c:v>6483.9999863005205</c:v>
                </c:pt>
                <c:pt idx="32">
                  <c:v>6507.9999863375215</c:v>
                </c:pt>
                <c:pt idx="33">
                  <c:v>6531.9999863745215</c:v>
                </c:pt>
                <c:pt idx="34">
                  <c:v>6555.9999864115225</c:v>
                </c:pt>
                <c:pt idx="35">
                  <c:v>6579.9999864485235</c:v>
                </c:pt>
                <c:pt idx="36">
                  <c:v>6603.9999864855245</c:v>
                </c:pt>
                <c:pt idx="37">
                  <c:v>6627.9999865225254</c:v>
                </c:pt>
                <c:pt idx="38">
                  <c:v>6651.9999865595255</c:v>
                </c:pt>
                <c:pt idx="39">
                  <c:v>6675.9999865965265</c:v>
                </c:pt>
                <c:pt idx="40">
                  <c:v>6699.9999866335274</c:v>
                </c:pt>
                <c:pt idx="41">
                  <c:v>6723.9999866705284</c:v>
                </c:pt>
                <c:pt idx="42">
                  <c:v>6747.9999867075294</c:v>
                </c:pt>
                <c:pt idx="43">
                  <c:v>6771.9999867445295</c:v>
                </c:pt>
                <c:pt idx="44">
                  <c:v>6795.9999867815304</c:v>
                </c:pt>
                <c:pt idx="45">
                  <c:v>6819.9999868185314</c:v>
                </c:pt>
                <c:pt idx="46">
                  <c:v>6843.9999868555324</c:v>
                </c:pt>
                <c:pt idx="47">
                  <c:v>6867.9999868925333</c:v>
                </c:pt>
                <c:pt idx="48">
                  <c:v>6891.9999869295334</c:v>
                </c:pt>
                <c:pt idx="49">
                  <c:v>6915.9999869665344</c:v>
                </c:pt>
                <c:pt idx="50">
                  <c:v>6939.9999870035354</c:v>
                </c:pt>
                <c:pt idx="51">
                  <c:v>6963.9999870405363</c:v>
                </c:pt>
                <c:pt idx="52">
                  <c:v>6987.9999870775373</c:v>
                </c:pt>
                <c:pt idx="53">
                  <c:v>7011.9999871145383</c:v>
                </c:pt>
                <c:pt idx="54">
                  <c:v>7035.9999871515392</c:v>
                </c:pt>
                <c:pt idx="55">
                  <c:v>7059.9999871885402</c:v>
                </c:pt>
                <c:pt idx="56">
                  <c:v>7083.9999872255412</c:v>
                </c:pt>
                <c:pt idx="57">
                  <c:v>7107.9999872625413</c:v>
                </c:pt>
                <c:pt idx="58">
                  <c:v>7131.9999872995422</c:v>
                </c:pt>
                <c:pt idx="59">
                  <c:v>7155.9999873365432</c:v>
                </c:pt>
                <c:pt idx="60">
                  <c:v>7179.9999873735442</c:v>
                </c:pt>
                <c:pt idx="61">
                  <c:v>7203.9999874105451</c:v>
                </c:pt>
                <c:pt idx="62">
                  <c:v>7227.9999874475461</c:v>
                </c:pt>
                <c:pt idx="63">
                  <c:v>7251.9999874845462</c:v>
                </c:pt>
                <c:pt idx="64">
                  <c:v>7275.9999875215472</c:v>
                </c:pt>
                <c:pt idx="65">
                  <c:v>7299.9999875585481</c:v>
                </c:pt>
                <c:pt idx="66">
                  <c:v>7323.9999875955491</c:v>
                </c:pt>
                <c:pt idx="67">
                  <c:v>7347.9999876325501</c:v>
                </c:pt>
                <c:pt idx="68">
                  <c:v>7371.9999876695501</c:v>
                </c:pt>
                <c:pt idx="69">
                  <c:v>7395.9999877065511</c:v>
                </c:pt>
                <c:pt idx="70">
                  <c:v>7419.9999877435521</c:v>
                </c:pt>
                <c:pt idx="71">
                  <c:v>7443.9999877805531</c:v>
                </c:pt>
                <c:pt idx="72">
                  <c:v>7467.999987817554</c:v>
                </c:pt>
                <c:pt idx="73">
                  <c:v>7491.9999878545541</c:v>
                </c:pt>
                <c:pt idx="74">
                  <c:v>7515.9999878915551</c:v>
                </c:pt>
                <c:pt idx="75">
                  <c:v>7539.999987928556</c:v>
                </c:pt>
                <c:pt idx="76">
                  <c:v>7563.999987965557</c:v>
                </c:pt>
                <c:pt idx="77">
                  <c:v>7587.999988002558</c:v>
                </c:pt>
                <c:pt idx="78">
                  <c:v>7611.999988039559</c:v>
                </c:pt>
                <c:pt idx="79">
                  <c:v>7635.9999880765599</c:v>
                </c:pt>
                <c:pt idx="80">
                  <c:v>7659.9999881135609</c:v>
                </c:pt>
                <c:pt idx="81">
                  <c:v>7683.9999881505619</c:v>
                </c:pt>
                <c:pt idx="82">
                  <c:v>7707.9999881875628</c:v>
                </c:pt>
                <c:pt idx="83">
                  <c:v>7731.9999882245629</c:v>
                </c:pt>
                <c:pt idx="84">
                  <c:v>7755.9999882615639</c:v>
                </c:pt>
                <c:pt idx="85">
                  <c:v>7779.9999882985649</c:v>
                </c:pt>
                <c:pt idx="86">
                  <c:v>7803.9999883355658</c:v>
                </c:pt>
                <c:pt idx="87">
                  <c:v>7827.9999883725668</c:v>
                </c:pt>
                <c:pt idx="88">
                  <c:v>7851.9999884095669</c:v>
                </c:pt>
                <c:pt idx="89">
                  <c:v>7875.9999884465678</c:v>
                </c:pt>
                <c:pt idx="90">
                  <c:v>7899.9999884835688</c:v>
                </c:pt>
                <c:pt idx="91">
                  <c:v>7923.9999885205698</c:v>
                </c:pt>
                <c:pt idx="92">
                  <c:v>7947.9999885575708</c:v>
                </c:pt>
                <c:pt idx="93">
                  <c:v>7971.9999885945717</c:v>
                </c:pt>
                <c:pt idx="94">
                  <c:v>7995.9999886315727</c:v>
                </c:pt>
                <c:pt idx="95">
                  <c:v>8019.9999886685728</c:v>
                </c:pt>
                <c:pt idx="96">
                  <c:v>8043.9999887055737</c:v>
                </c:pt>
                <c:pt idx="97">
                  <c:v>8067.9999887425747</c:v>
                </c:pt>
                <c:pt idx="98">
                  <c:v>8091.9999887795757</c:v>
                </c:pt>
                <c:pt idx="99">
                  <c:v>8115.9999888165767</c:v>
                </c:pt>
                <c:pt idx="100">
                  <c:v>8139.9999888535776</c:v>
                </c:pt>
                <c:pt idx="101">
                  <c:v>8163.9999888905786</c:v>
                </c:pt>
                <c:pt idx="102">
                  <c:v>8187.9999889275796</c:v>
                </c:pt>
                <c:pt idx="103">
                  <c:v>8211.9999889645806</c:v>
                </c:pt>
                <c:pt idx="104">
                  <c:v>8235.9999890015806</c:v>
                </c:pt>
                <c:pt idx="105">
                  <c:v>8259.9999890385825</c:v>
                </c:pt>
                <c:pt idx="106">
                  <c:v>8283.9999890755826</c:v>
                </c:pt>
                <c:pt idx="107">
                  <c:v>8307.9999891125844</c:v>
                </c:pt>
                <c:pt idx="108">
                  <c:v>8331.9999891495845</c:v>
                </c:pt>
                <c:pt idx="109">
                  <c:v>8355.9999891865864</c:v>
                </c:pt>
                <c:pt idx="110">
                  <c:v>8379.9999892235865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A9-4A4A-BC44-F114D80ABA00}"/>
            </c:ext>
          </c:extLst>
        </c:ser>
        <c:ser>
          <c:idx val="3"/>
          <c:order val="3"/>
          <c:tx>
            <c:v>EF</c:v>
          </c:tx>
          <c:marker>
            <c:symbol val="none"/>
          </c:marker>
          <c:xVal>
            <c:numRef>
              <c:f>'10 - Cruise at SL'!$F$130</c:f>
              <c:numCache>
                <c:formatCode>0.0000</c:formatCode>
                <c:ptCount val="1"/>
                <c:pt idx="0">
                  <c:v>0.34351968064665794</c:v>
                </c:pt>
              </c:numCache>
            </c:numRef>
          </c:xVal>
          <c:yVal>
            <c:numRef>
              <c:f>'10 - Cruise at SL'!$G$35</c:f>
              <c:numCache>
                <c:formatCode>0.0</c:formatCode>
                <c:ptCount val="1"/>
                <c:pt idx="0">
                  <c:v>882.22220704503741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EC-42CD-9AFD-4DD538089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649136"/>
        <c:axId val="1545502256"/>
      </c:scatterChart>
      <c:valAx>
        <c:axId val="10926491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Mach Number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45502256"/>
        <c:crosses val="autoZero"/>
        <c:crossBetween val="midCat"/>
      </c:valAx>
      <c:valAx>
        <c:axId val="15455022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Thrust/Drag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2649136"/>
        <c:crosses val="autoZero"/>
        <c:crossBetween val="midCat"/>
      </c:valAx>
    </c:plotArea>
    <c:legend>
      <c:legendPos val="r"/>
      <c:legendEntry>
        <c:idx val="3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10k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</c:v>
          </c:tx>
          <c:marker>
            <c:symbol val="none"/>
          </c:marker>
          <c:xVal>
            <c:numRef>
              <c:f>'10 - Cruise Plots'!$F$53:$F$163</c:f>
              <c:numCache>
                <c:formatCode>General</c:formatCode>
                <c:ptCount val="11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1.01</c:v>
                </c:pt>
                <c:pt idx="92">
                  <c:v>1.02</c:v>
                </c:pt>
                <c:pt idx="93">
                  <c:v>1.03</c:v>
                </c:pt>
                <c:pt idx="94">
                  <c:v>1.04</c:v>
                </c:pt>
                <c:pt idx="95">
                  <c:v>1.05</c:v>
                </c:pt>
                <c:pt idx="96">
                  <c:v>1.06</c:v>
                </c:pt>
                <c:pt idx="97">
                  <c:v>1.07</c:v>
                </c:pt>
                <c:pt idx="98">
                  <c:v>1.08</c:v>
                </c:pt>
                <c:pt idx="99">
                  <c:v>1.0900000000000001</c:v>
                </c:pt>
                <c:pt idx="100">
                  <c:v>1.1000000000000001</c:v>
                </c:pt>
                <c:pt idx="101">
                  <c:v>1.1100000000000001</c:v>
                </c:pt>
                <c:pt idx="102">
                  <c:v>1.1200000000000001</c:v>
                </c:pt>
                <c:pt idx="103">
                  <c:v>1.1299999999999999</c:v>
                </c:pt>
                <c:pt idx="104">
                  <c:v>1.1399999999999999</c:v>
                </c:pt>
                <c:pt idx="105">
                  <c:v>1.1499999999999999</c:v>
                </c:pt>
                <c:pt idx="106">
                  <c:v>1.1599999999999999</c:v>
                </c:pt>
                <c:pt idx="107">
                  <c:v>1.17</c:v>
                </c:pt>
                <c:pt idx="108">
                  <c:v>1.18</c:v>
                </c:pt>
                <c:pt idx="109">
                  <c:v>1.19</c:v>
                </c:pt>
                <c:pt idx="110">
                  <c:v>1.2</c:v>
                </c:pt>
              </c:numCache>
            </c:numRef>
          </c:xVal>
          <c:yVal>
            <c:numRef>
              <c:f>'10 - Cruise Plots'!$G$53:$G$163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2361.2010158938538</c:v>
                </c:pt>
                <c:pt idx="18">
                  <c:v>2098.5126900577998</c:v>
                </c:pt>
                <c:pt idx="19">
                  <c:v>1854.7541115534657</c:v>
                </c:pt>
                <c:pt idx="20">
                  <c:v>1677.2848203428944</c:v>
                </c:pt>
                <c:pt idx="21">
                  <c:v>1493.7679311524662</c:v>
                </c:pt>
                <c:pt idx="22">
                  <c:v>1384.2572788652042</c:v>
                </c:pt>
                <c:pt idx="23">
                  <c:v>1273.0663363740669</c:v>
                </c:pt>
                <c:pt idx="24">
                  <c:v>1159.5456234678973</c:v>
                </c:pt>
                <c:pt idx="25">
                  <c:v>1108.3589065686397</c:v>
                </c:pt>
                <c:pt idx="26">
                  <c:v>1055.6516309562342</c:v>
                </c:pt>
                <c:pt idx="27">
                  <c:v>1001.4217184183166</c:v>
                </c:pt>
                <c:pt idx="28">
                  <c:v>945.85247489201026</c:v>
                </c:pt>
                <c:pt idx="29">
                  <c:v>920.17546839472163</c:v>
                </c:pt>
                <c:pt idx="30">
                  <c:v>893.79048421869231</c:v>
                </c:pt>
                <c:pt idx="31">
                  <c:v>878.14821741216883</c:v>
                </c:pt>
                <c:pt idx="32">
                  <c:v>880.77862811998796</c:v>
                </c:pt>
                <c:pt idx="33">
                  <c:v>883.42826229217587</c:v>
                </c:pt>
                <c:pt idx="34">
                  <c:v>887.19281376856566</c:v>
                </c:pt>
                <c:pt idx="35">
                  <c:v>898.54470243934384</c:v>
                </c:pt>
                <c:pt idx="36">
                  <c:v>910.1044123465432</c:v>
                </c:pt>
                <c:pt idx="37">
                  <c:v>921.86986527779936</c:v>
                </c:pt>
                <c:pt idx="38">
                  <c:v>933.83898302074829</c:v>
                </c:pt>
                <c:pt idx="39">
                  <c:v>946.00968736302605</c:v>
                </c:pt>
                <c:pt idx="40">
                  <c:v>958.37990009226769</c:v>
                </c:pt>
                <c:pt idx="41">
                  <c:v>970.94754299610963</c:v>
                </c:pt>
                <c:pt idx="42">
                  <c:v>983.71053786218727</c:v>
                </c:pt>
                <c:pt idx="43">
                  <c:v>996.66680647813689</c:v>
                </c:pt>
                <c:pt idx="44">
                  <c:v>1012.317072883296</c:v>
                </c:pt>
                <c:pt idx="45">
                  <c:v>1035.09220218269</c:v>
                </c:pt>
                <c:pt idx="46">
                  <c:v>1058.2275549585479</c:v>
                </c:pt>
                <c:pt idx="47">
                  <c:v>1081.7210529985041</c:v>
                </c:pt>
                <c:pt idx="48">
                  <c:v>1105.5706180901959</c:v>
                </c:pt>
                <c:pt idx="49">
                  <c:v>1129.7741720212582</c:v>
                </c:pt>
                <c:pt idx="50">
                  <c:v>1154.3296365793274</c:v>
                </c:pt>
                <c:pt idx="51">
                  <c:v>1179.2349335520382</c:v>
                </c:pt>
                <c:pt idx="52">
                  <c:v>1204.4879847270274</c:v>
                </c:pt>
                <c:pt idx="53">
                  <c:v>1230.0867118919302</c:v>
                </c:pt>
                <c:pt idx="54">
                  <c:v>1256.0290368343829</c:v>
                </c:pt>
                <c:pt idx="55">
                  <c:v>1282.312881342021</c:v>
                </c:pt>
                <c:pt idx="56">
                  <c:v>1308.9361672024804</c:v>
                </c:pt>
                <c:pt idx="57">
                  <c:v>1335.8968162033968</c:v>
                </c:pt>
                <c:pt idx="58">
                  <c:v>1363.1927501324058</c:v>
                </c:pt>
                <c:pt idx="59">
                  <c:v>1390.8218907771432</c:v>
                </c:pt>
                <c:pt idx="60">
                  <c:v>1418.7821599252452</c:v>
                </c:pt>
                <c:pt idx="61">
                  <c:v>1447.0714793643479</c:v>
                </c:pt>
                <c:pt idx="62">
                  <c:v>1475.6877708820855</c:v>
                </c:pt>
                <c:pt idx="63">
                  <c:v>1504.6289562660959</c:v>
                </c:pt>
                <c:pt idx="64">
                  <c:v>1533.8929573040134</c:v>
                </c:pt>
                <c:pt idx="65">
                  <c:v>1563.4776957834738</c:v>
                </c:pt>
                <c:pt idx="66">
                  <c:v>1593.4593146522357</c:v>
                </c:pt>
                <c:pt idx="67">
                  <c:v>1630.3035952886144</c:v>
                </c:pt>
                <c:pt idx="68">
                  <c:v>1667.5489709112862</c:v>
                </c:pt>
                <c:pt idx="69">
                  <c:v>1705.1933633078868</c:v>
                </c:pt>
                <c:pt idx="70">
                  <c:v>1743.2346942660517</c:v>
                </c:pt>
                <c:pt idx="71">
                  <c:v>1793.0335116747435</c:v>
                </c:pt>
                <c:pt idx="72">
                  <c:v>1843.7896922458815</c:v>
                </c:pt>
                <c:pt idx="73">
                  <c:v>1895.5115488289234</c:v>
                </c:pt>
                <c:pt idx="74">
                  <c:v>1948.2073942733257</c:v>
                </c:pt>
                <c:pt idx="75">
                  <c:v>2001.885541428546</c:v>
                </c:pt>
                <c:pt idx="76">
                  <c:v>2072.1247617897479</c:v>
                </c:pt>
                <c:pt idx="77">
                  <c:v>2144.0819710386991</c:v>
                </c:pt>
                <c:pt idx="78">
                  <c:v>2217.7779512990405</c:v>
                </c:pt>
                <c:pt idx="79">
                  <c:v>2293.2334846944136</c:v>
                </c:pt>
                <c:pt idx="80">
                  <c:v>2370.4693533484624</c:v>
                </c:pt>
                <c:pt idx="81">
                  <c:v>2456.9770379631755</c:v>
                </c:pt>
                <c:pt idx="82">
                  <c:v>2545.6235494693888</c:v>
                </c:pt>
                <c:pt idx="83">
                  <c:v>2673.8816545592945</c:v>
                </c:pt>
                <c:pt idx="84">
                  <c:v>2805.9498156502518</c:v>
                </c:pt>
                <c:pt idx="85">
                  <c:v>3098.1788762764468</c:v>
                </c:pt>
                <c:pt idx="86">
                  <c:v>3400.9375462146468</c:v>
                </c:pt>
                <c:pt idx="87">
                  <c:v>4162.9919028161885</c:v>
                </c:pt>
                <c:pt idx="88">
                  <c:v>4954.4616235895082</c:v>
                </c:pt>
                <c:pt idx="89">
                  <c:v>5394.3778402562994</c:v>
                </c:pt>
                <c:pt idx="90">
                  <c:v>5849.0840015817321</c:v>
                </c:pt>
                <c:pt idx="91">
                  <c:v>6142.6225594078751</c:v>
                </c:pt>
                <c:pt idx="92">
                  <c:v>6444.335419199916</c:v>
                </c:pt>
                <c:pt idx="93">
                  <c:v>6708.8936687178975</c:v>
                </c:pt>
                <c:pt idx="94">
                  <c:v>6980.0415832740682</c:v>
                </c:pt>
                <c:pt idx="95">
                  <c:v>7211.1231555916002</c:v>
                </c:pt>
                <c:pt idx="96">
                  <c:v>7447.1231638377667</c:v>
                </c:pt>
                <c:pt idx="97">
                  <c:v>7688.5935633216695</c:v>
                </c:pt>
                <c:pt idx="98">
                  <c:v>7935.0863093524204</c:v>
                </c:pt>
                <c:pt idx="99">
                  <c:v>8166.0773229897895</c:v>
                </c:pt>
                <c:pt idx="100">
                  <c:v>8401.4360462792774</c:v>
                </c:pt>
                <c:pt idx="101">
                  <c:v>8619.6659980186232</c:v>
                </c:pt>
                <c:pt idx="102">
                  <c:v>8841.5743856426252</c:v>
                </c:pt>
                <c:pt idx="103">
                  <c:v>9067.1923823367397</c:v>
                </c:pt>
                <c:pt idx="104">
                  <c:v>9296.5511612864393</c:v>
                </c:pt>
                <c:pt idx="105">
                  <c:v>9529.6818956771822</c:v>
                </c:pt>
                <c:pt idx="106">
                  <c:v>9751.8335459080172</c:v>
                </c:pt>
                <c:pt idx="107">
                  <c:v>9977.3352744699641</c:v>
                </c:pt>
                <c:pt idx="108">
                  <c:v>10206.212019911387</c:v>
                </c:pt>
                <c:pt idx="109">
                  <c:v>10438.488720780662</c:v>
                </c:pt>
                <c:pt idx="110">
                  <c:v>10674.190315626154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76-4677-BAE4-DE2266E57729}"/>
            </c:ext>
          </c:extLst>
        </c:ser>
        <c:ser>
          <c:idx val="1"/>
          <c:order val="1"/>
          <c:tx>
            <c:v>Tmil</c:v>
          </c:tx>
          <c:marker>
            <c:symbol val="none"/>
          </c:marker>
          <c:xVal>
            <c:numRef>
              <c:f>'10 - Cruise Plots'!$F$53:$F$163</c:f>
              <c:numCache>
                <c:formatCode>General</c:formatCode>
                <c:ptCount val="11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1.01</c:v>
                </c:pt>
                <c:pt idx="92">
                  <c:v>1.02</c:v>
                </c:pt>
                <c:pt idx="93">
                  <c:v>1.03</c:v>
                </c:pt>
                <c:pt idx="94">
                  <c:v>1.04</c:v>
                </c:pt>
                <c:pt idx="95">
                  <c:v>1.05</c:v>
                </c:pt>
                <c:pt idx="96">
                  <c:v>1.06</c:v>
                </c:pt>
                <c:pt idx="97">
                  <c:v>1.07</c:v>
                </c:pt>
                <c:pt idx="98">
                  <c:v>1.08</c:v>
                </c:pt>
                <c:pt idx="99">
                  <c:v>1.0900000000000001</c:v>
                </c:pt>
                <c:pt idx="100">
                  <c:v>1.1000000000000001</c:v>
                </c:pt>
                <c:pt idx="101">
                  <c:v>1.1100000000000001</c:v>
                </c:pt>
                <c:pt idx="102">
                  <c:v>1.1200000000000001</c:v>
                </c:pt>
                <c:pt idx="103">
                  <c:v>1.1299999999999999</c:v>
                </c:pt>
                <c:pt idx="104">
                  <c:v>1.1399999999999999</c:v>
                </c:pt>
                <c:pt idx="105">
                  <c:v>1.1499999999999999</c:v>
                </c:pt>
                <c:pt idx="106">
                  <c:v>1.1599999999999999</c:v>
                </c:pt>
                <c:pt idx="107">
                  <c:v>1.17</c:v>
                </c:pt>
                <c:pt idx="108">
                  <c:v>1.18</c:v>
                </c:pt>
                <c:pt idx="109">
                  <c:v>1.19</c:v>
                </c:pt>
                <c:pt idx="110">
                  <c:v>1.2</c:v>
                </c:pt>
              </c:numCache>
            </c:numRef>
          </c:xVal>
          <c:yVal>
            <c:numRef>
              <c:f>'10 - Cruise Plots'!$H$53:$H$163</c:f>
              <c:numCache>
                <c:formatCode>General</c:formatCode>
                <c:ptCount val="111"/>
                <c:pt idx="0">
                  <c:v>2894.8223671633441</c:v>
                </c:pt>
                <c:pt idx="1">
                  <c:v>2903.6840682873135</c:v>
                </c:pt>
                <c:pt idx="2">
                  <c:v>2912.5457694112829</c:v>
                </c:pt>
                <c:pt idx="3">
                  <c:v>2921.4074705352523</c:v>
                </c:pt>
                <c:pt idx="4">
                  <c:v>2930.2691716592217</c:v>
                </c:pt>
                <c:pt idx="5">
                  <c:v>2939.1308727831911</c:v>
                </c:pt>
                <c:pt idx="6">
                  <c:v>2947.9925739071605</c:v>
                </c:pt>
                <c:pt idx="7">
                  <c:v>2956.8542750311299</c:v>
                </c:pt>
                <c:pt idx="8">
                  <c:v>2965.7159761550993</c:v>
                </c:pt>
                <c:pt idx="9">
                  <c:v>2974.5776772790687</c:v>
                </c:pt>
                <c:pt idx="10">
                  <c:v>2983.4393784030381</c:v>
                </c:pt>
                <c:pt idx="11">
                  <c:v>2992.3010795270075</c:v>
                </c:pt>
                <c:pt idx="12">
                  <c:v>3001.1627806509769</c:v>
                </c:pt>
                <c:pt idx="13">
                  <c:v>3010.0244817749463</c:v>
                </c:pt>
                <c:pt idx="14">
                  <c:v>3018.8861828989156</c:v>
                </c:pt>
                <c:pt idx="15">
                  <c:v>3027.747884022885</c:v>
                </c:pt>
                <c:pt idx="16">
                  <c:v>3036.6095851468549</c:v>
                </c:pt>
                <c:pt idx="17">
                  <c:v>3045.4712862708243</c:v>
                </c:pt>
                <c:pt idx="18">
                  <c:v>3054.3329873947937</c:v>
                </c:pt>
                <c:pt idx="19">
                  <c:v>3063.1946885187631</c:v>
                </c:pt>
                <c:pt idx="20">
                  <c:v>3072.0563896427325</c:v>
                </c:pt>
                <c:pt idx="21">
                  <c:v>3080.9180907667019</c:v>
                </c:pt>
                <c:pt idx="22">
                  <c:v>3089.7797918906713</c:v>
                </c:pt>
                <c:pt idx="23">
                  <c:v>3098.6414930146407</c:v>
                </c:pt>
                <c:pt idx="24">
                  <c:v>3107.5031941386101</c:v>
                </c:pt>
                <c:pt idx="25">
                  <c:v>3116.3648952625795</c:v>
                </c:pt>
                <c:pt idx="26">
                  <c:v>3125.2265963865489</c:v>
                </c:pt>
                <c:pt idx="27">
                  <c:v>3134.0882975105183</c:v>
                </c:pt>
                <c:pt idx="28">
                  <c:v>3142.9499986344877</c:v>
                </c:pt>
                <c:pt idx="29">
                  <c:v>3151.8116997584571</c:v>
                </c:pt>
                <c:pt idx="30">
                  <c:v>3160.6734008824264</c:v>
                </c:pt>
                <c:pt idx="31">
                  <c:v>3169.5351020063958</c:v>
                </c:pt>
                <c:pt idx="32">
                  <c:v>3178.3968031303652</c:v>
                </c:pt>
                <c:pt idx="33">
                  <c:v>3187.2585042543346</c:v>
                </c:pt>
                <c:pt idx="34">
                  <c:v>3196.120205378304</c:v>
                </c:pt>
                <c:pt idx="35">
                  <c:v>3204.9819065022739</c:v>
                </c:pt>
                <c:pt idx="36">
                  <c:v>3213.8436076262433</c:v>
                </c:pt>
                <c:pt idx="37">
                  <c:v>3222.7053087502127</c:v>
                </c:pt>
                <c:pt idx="38">
                  <c:v>3231.5670098741821</c:v>
                </c:pt>
                <c:pt idx="39">
                  <c:v>3240.4287109981515</c:v>
                </c:pt>
                <c:pt idx="40">
                  <c:v>3249.2904121221209</c:v>
                </c:pt>
                <c:pt idx="41">
                  <c:v>3258.1521132460903</c:v>
                </c:pt>
                <c:pt idx="42">
                  <c:v>3267.0138143700597</c:v>
                </c:pt>
                <c:pt idx="43">
                  <c:v>3275.8755154940291</c:v>
                </c:pt>
                <c:pt idx="44">
                  <c:v>3284.7372166179985</c:v>
                </c:pt>
                <c:pt idx="45">
                  <c:v>3293.5989177419679</c:v>
                </c:pt>
                <c:pt idx="46">
                  <c:v>3302.4606188659372</c:v>
                </c:pt>
                <c:pt idx="47">
                  <c:v>3311.3223199899066</c:v>
                </c:pt>
                <c:pt idx="48">
                  <c:v>3320.184021113876</c:v>
                </c:pt>
                <c:pt idx="49">
                  <c:v>3329.0457222378454</c:v>
                </c:pt>
                <c:pt idx="50">
                  <c:v>3337.9074233618148</c:v>
                </c:pt>
                <c:pt idx="51">
                  <c:v>3346.7691244857842</c:v>
                </c:pt>
                <c:pt idx="52">
                  <c:v>3355.6308256097536</c:v>
                </c:pt>
                <c:pt idx="53">
                  <c:v>3364.492526733723</c:v>
                </c:pt>
                <c:pt idx="54">
                  <c:v>3373.3542278576924</c:v>
                </c:pt>
                <c:pt idx="55">
                  <c:v>3382.2159289816623</c:v>
                </c:pt>
                <c:pt idx="56">
                  <c:v>3391.0776301056317</c:v>
                </c:pt>
                <c:pt idx="57">
                  <c:v>3399.9393312296011</c:v>
                </c:pt>
                <c:pt idx="58">
                  <c:v>3408.8010323535705</c:v>
                </c:pt>
                <c:pt idx="59">
                  <c:v>3417.6627334775399</c:v>
                </c:pt>
                <c:pt idx="60">
                  <c:v>3426.5244346015093</c:v>
                </c:pt>
                <c:pt idx="61">
                  <c:v>3435.3861357254787</c:v>
                </c:pt>
                <c:pt idx="62">
                  <c:v>3444.247836849448</c:v>
                </c:pt>
                <c:pt idx="63">
                  <c:v>3453.1095379734174</c:v>
                </c:pt>
                <c:pt idx="64">
                  <c:v>3461.9712390973868</c:v>
                </c:pt>
                <c:pt idx="65">
                  <c:v>3470.8329402213562</c:v>
                </c:pt>
                <c:pt idx="66">
                  <c:v>3479.6946413453256</c:v>
                </c:pt>
                <c:pt idx="67">
                  <c:v>3488.556342469295</c:v>
                </c:pt>
                <c:pt idx="68">
                  <c:v>3497.4180435932644</c:v>
                </c:pt>
                <c:pt idx="69">
                  <c:v>3506.2797447172338</c:v>
                </c:pt>
                <c:pt idx="70">
                  <c:v>3515.1414458412032</c:v>
                </c:pt>
                <c:pt idx="71">
                  <c:v>3524.0031469651726</c:v>
                </c:pt>
                <c:pt idx="72">
                  <c:v>3532.864848089142</c:v>
                </c:pt>
                <c:pt idx="73">
                  <c:v>3541.7265492131114</c:v>
                </c:pt>
                <c:pt idx="74">
                  <c:v>3550.5882503370808</c:v>
                </c:pt>
                <c:pt idx="75">
                  <c:v>3559.4499514610502</c:v>
                </c:pt>
                <c:pt idx="76">
                  <c:v>3568.3116525850201</c:v>
                </c:pt>
                <c:pt idx="77">
                  <c:v>3577.1733537089895</c:v>
                </c:pt>
                <c:pt idx="78">
                  <c:v>3586.0350548329588</c:v>
                </c:pt>
                <c:pt idx="79">
                  <c:v>3594.8967559569282</c:v>
                </c:pt>
                <c:pt idx="80">
                  <c:v>3603.7584570808976</c:v>
                </c:pt>
                <c:pt idx="81">
                  <c:v>3612.620158204867</c:v>
                </c:pt>
                <c:pt idx="82">
                  <c:v>3621.4818593288364</c:v>
                </c:pt>
                <c:pt idx="83">
                  <c:v>3630.3435604528058</c:v>
                </c:pt>
                <c:pt idx="84">
                  <c:v>3639.2052615767752</c:v>
                </c:pt>
                <c:pt idx="85">
                  <c:v>3648.0669627007446</c:v>
                </c:pt>
                <c:pt idx="86">
                  <c:v>3656.928663824714</c:v>
                </c:pt>
                <c:pt idx="87">
                  <c:v>3665.7903649486834</c:v>
                </c:pt>
                <c:pt idx="88">
                  <c:v>3674.6520660726528</c:v>
                </c:pt>
                <c:pt idx="89">
                  <c:v>3683.5137671966222</c:v>
                </c:pt>
                <c:pt idx="90">
                  <c:v>3692.3754683205916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76-4677-BAE4-DE2266E57729}"/>
            </c:ext>
          </c:extLst>
        </c:ser>
        <c:ser>
          <c:idx val="2"/>
          <c:order val="2"/>
          <c:tx>
            <c:v>Tmax</c:v>
          </c:tx>
          <c:marker>
            <c:symbol val="none"/>
          </c:marker>
          <c:xVal>
            <c:numRef>
              <c:f>'10 - Cruise Plots'!$F$53:$F$163</c:f>
              <c:numCache>
                <c:formatCode>General</c:formatCode>
                <c:ptCount val="11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1.01</c:v>
                </c:pt>
                <c:pt idx="92">
                  <c:v>1.02</c:v>
                </c:pt>
                <c:pt idx="93">
                  <c:v>1.03</c:v>
                </c:pt>
                <c:pt idx="94">
                  <c:v>1.04</c:v>
                </c:pt>
                <c:pt idx="95">
                  <c:v>1.05</c:v>
                </c:pt>
                <c:pt idx="96">
                  <c:v>1.06</c:v>
                </c:pt>
                <c:pt idx="97">
                  <c:v>1.07</c:v>
                </c:pt>
                <c:pt idx="98">
                  <c:v>1.08</c:v>
                </c:pt>
                <c:pt idx="99">
                  <c:v>1.0900000000000001</c:v>
                </c:pt>
                <c:pt idx="100">
                  <c:v>1.1000000000000001</c:v>
                </c:pt>
                <c:pt idx="101">
                  <c:v>1.1100000000000001</c:v>
                </c:pt>
                <c:pt idx="102">
                  <c:v>1.1200000000000001</c:v>
                </c:pt>
                <c:pt idx="103">
                  <c:v>1.1299999999999999</c:v>
                </c:pt>
                <c:pt idx="104">
                  <c:v>1.1399999999999999</c:v>
                </c:pt>
                <c:pt idx="105">
                  <c:v>1.1499999999999999</c:v>
                </c:pt>
                <c:pt idx="106">
                  <c:v>1.1599999999999999</c:v>
                </c:pt>
                <c:pt idx="107">
                  <c:v>1.17</c:v>
                </c:pt>
                <c:pt idx="108">
                  <c:v>1.18</c:v>
                </c:pt>
                <c:pt idx="109">
                  <c:v>1.19</c:v>
                </c:pt>
                <c:pt idx="110">
                  <c:v>1.2</c:v>
                </c:pt>
              </c:numCache>
            </c:numRef>
          </c:xVal>
          <c:yVal>
            <c:numRef>
              <c:f>'10 - Cruise Plots'!$I$53:$I$163</c:f>
              <c:numCache>
                <c:formatCode>General</c:formatCode>
                <c:ptCount val="111"/>
                <c:pt idx="0">
                  <c:v>4327.4640488717332</c:v>
                </c:pt>
                <c:pt idx="1">
                  <c:v>4354.0491522436414</c:v>
                </c:pt>
                <c:pt idx="2">
                  <c:v>4380.6342556155496</c:v>
                </c:pt>
                <c:pt idx="3">
                  <c:v>4407.2193589874578</c:v>
                </c:pt>
                <c:pt idx="4">
                  <c:v>4433.804462359366</c:v>
                </c:pt>
                <c:pt idx="5">
                  <c:v>4460.3895657312742</c:v>
                </c:pt>
                <c:pt idx="6">
                  <c:v>4486.9746691031833</c:v>
                </c:pt>
                <c:pt idx="7">
                  <c:v>4513.5597724750914</c:v>
                </c:pt>
                <c:pt idx="8">
                  <c:v>4540.1448758469996</c:v>
                </c:pt>
                <c:pt idx="9">
                  <c:v>4566.7299792189078</c:v>
                </c:pt>
                <c:pt idx="10">
                  <c:v>4593.315082590816</c:v>
                </c:pt>
                <c:pt idx="11">
                  <c:v>4619.9001859627242</c:v>
                </c:pt>
                <c:pt idx="12">
                  <c:v>4646.4852893346324</c:v>
                </c:pt>
                <c:pt idx="13">
                  <c:v>4673.0703927065406</c:v>
                </c:pt>
                <c:pt idx="14">
                  <c:v>4699.6554960784488</c:v>
                </c:pt>
                <c:pt idx="15">
                  <c:v>4726.240599450357</c:v>
                </c:pt>
                <c:pt idx="16">
                  <c:v>4752.8257028222661</c:v>
                </c:pt>
                <c:pt idx="17">
                  <c:v>4779.4108061941743</c:v>
                </c:pt>
                <c:pt idx="18">
                  <c:v>4805.9959095660824</c:v>
                </c:pt>
                <c:pt idx="19">
                  <c:v>4832.5810129379906</c:v>
                </c:pt>
                <c:pt idx="20">
                  <c:v>4859.1661163098988</c:v>
                </c:pt>
                <c:pt idx="21">
                  <c:v>4885.751219681807</c:v>
                </c:pt>
                <c:pt idx="22">
                  <c:v>4912.3363230537152</c:v>
                </c:pt>
                <c:pt idx="23">
                  <c:v>4938.9214264256234</c:v>
                </c:pt>
                <c:pt idx="24">
                  <c:v>4965.5065297975316</c:v>
                </c:pt>
                <c:pt idx="25">
                  <c:v>4992.0916331694398</c:v>
                </c:pt>
                <c:pt idx="26">
                  <c:v>5018.6767365413489</c:v>
                </c:pt>
                <c:pt idx="27">
                  <c:v>5045.2618399132571</c:v>
                </c:pt>
                <c:pt idx="28">
                  <c:v>5071.8469432851653</c:v>
                </c:pt>
                <c:pt idx="29">
                  <c:v>5098.4320466570734</c:v>
                </c:pt>
                <c:pt idx="30">
                  <c:v>5125.0171500289816</c:v>
                </c:pt>
                <c:pt idx="31">
                  <c:v>5151.6022534008898</c:v>
                </c:pt>
                <c:pt idx="32">
                  <c:v>5178.187356772798</c:v>
                </c:pt>
                <c:pt idx="33">
                  <c:v>5204.7724601447062</c:v>
                </c:pt>
                <c:pt idx="34">
                  <c:v>5231.3575635166144</c:v>
                </c:pt>
                <c:pt idx="35">
                  <c:v>5257.9426668885226</c:v>
                </c:pt>
                <c:pt idx="36">
                  <c:v>5284.5277702604308</c:v>
                </c:pt>
                <c:pt idx="37">
                  <c:v>5311.112873632339</c:v>
                </c:pt>
                <c:pt idx="38">
                  <c:v>5337.6979770042472</c:v>
                </c:pt>
                <c:pt idx="39">
                  <c:v>5364.2830803761553</c:v>
                </c:pt>
                <c:pt idx="40">
                  <c:v>5390.8681837480635</c:v>
                </c:pt>
                <c:pt idx="41">
                  <c:v>5417.4532871199717</c:v>
                </c:pt>
                <c:pt idx="42">
                  <c:v>5444.0383904918799</c:v>
                </c:pt>
                <c:pt idx="43">
                  <c:v>5470.6234938637881</c:v>
                </c:pt>
                <c:pt idx="44">
                  <c:v>5497.2085972356972</c:v>
                </c:pt>
                <c:pt idx="45">
                  <c:v>5523.7937006076054</c:v>
                </c:pt>
                <c:pt idx="46">
                  <c:v>5550.3788039795136</c:v>
                </c:pt>
                <c:pt idx="47">
                  <c:v>5576.9639073514218</c:v>
                </c:pt>
                <c:pt idx="48">
                  <c:v>5603.54901072333</c:v>
                </c:pt>
                <c:pt idx="49">
                  <c:v>5630.1341140952381</c:v>
                </c:pt>
                <c:pt idx="50">
                  <c:v>5656.7192174671463</c:v>
                </c:pt>
                <c:pt idx="51">
                  <c:v>5683.3043208390545</c:v>
                </c:pt>
                <c:pt idx="52">
                  <c:v>5709.8894242109627</c:v>
                </c:pt>
                <c:pt idx="53">
                  <c:v>5736.4745275828709</c:v>
                </c:pt>
                <c:pt idx="54">
                  <c:v>5763.05963095478</c:v>
                </c:pt>
                <c:pt idx="55">
                  <c:v>5789.6447343266882</c:v>
                </c:pt>
                <c:pt idx="56">
                  <c:v>5816.2298376985964</c:v>
                </c:pt>
                <c:pt idx="57">
                  <c:v>5842.8149410705046</c:v>
                </c:pt>
                <c:pt idx="58">
                  <c:v>5869.4000444424128</c:v>
                </c:pt>
                <c:pt idx="59">
                  <c:v>5895.985147814321</c:v>
                </c:pt>
                <c:pt idx="60">
                  <c:v>5922.5702511862291</c:v>
                </c:pt>
                <c:pt idx="61">
                  <c:v>5949.1553545581373</c:v>
                </c:pt>
                <c:pt idx="62">
                  <c:v>5975.7404579300455</c:v>
                </c:pt>
                <c:pt idx="63">
                  <c:v>6002.3255613019537</c:v>
                </c:pt>
                <c:pt idx="64">
                  <c:v>6028.9106646738619</c:v>
                </c:pt>
                <c:pt idx="65">
                  <c:v>6055.4957680457701</c:v>
                </c:pt>
                <c:pt idx="66">
                  <c:v>6082.0808714176792</c:v>
                </c:pt>
                <c:pt idx="67">
                  <c:v>6108.6659747895874</c:v>
                </c:pt>
                <c:pt idx="68">
                  <c:v>6135.2510781614956</c:v>
                </c:pt>
                <c:pt idx="69">
                  <c:v>6161.8361815334038</c:v>
                </c:pt>
                <c:pt idx="70">
                  <c:v>6188.4212849053119</c:v>
                </c:pt>
                <c:pt idx="71">
                  <c:v>6215.0063882772201</c:v>
                </c:pt>
                <c:pt idx="72">
                  <c:v>6241.5914916491283</c:v>
                </c:pt>
                <c:pt idx="73">
                  <c:v>6268.1765950210365</c:v>
                </c:pt>
                <c:pt idx="74">
                  <c:v>6294.7616983929447</c:v>
                </c:pt>
                <c:pt idx="75">
                  <c:v>6321.3468017648529</c:v>
                </c:pt>
                <c:pt idx="76">
                  <c:v>6347.9319051367611</c:v>
                </c:pt>
                <c:pt idx="77">
                  <c:v>6374.5170085086702</c:v>
                </c:pt>
                <c:pt idx="78">
                  <c:v>6401.1021118805784</c:v>
                </c:pt>
                <c:pt idx="79">
                  <c:v>6427.6872152524866</c:v>
                </c:pt>
                <c:pt idx="80">
                  <c:v>6454.2723186243948</c:v>
                </c:pt>
                <c:pt idx="81">
                  <c:v>6480.8574219963029</c:v>
                </c:pt>
                <c:pt idx="82">
                  <c:v>6507.4425253682111</c:v>
                </c:pt>
                <c:pt idx="83">
                  <c:v>6534.0276287401193</c:v>
                </c:pt>
                <c:pt idx="84">
                  <c:v>6560.6127321120275</c:v>
                </c:pt>
                <c:pt idx="85">
                  <c:v>6587.1978354839357</c:v>
                </c:pt>
                <c:pt idx="86">
                  <c:v>6613.7829388558439</c:v>
                </c:pt>
                <c:pt idx="87">
                  <c:v>6640.3680422277521</c:v>
                </c:pt>
                <c:pt idx="88">
                  <c:v>6666.9531455996603</c:v>
                </c:pt>
                <c:pt idx="89">
                  <c:v>6693.5382489715685</c:v>
                </c:pt>
                <c:pt idx="90">
                  <c:v>6720.1233523434767</c:v>
                </c:pt>
                <c:pt idx="91">
                  <c:v>6746.7084557153848</c:v>
                </c:pt>
                <c:pt idx="92">
                  <c:v>6773.293559087293</c:v>
                </c:pt>
                <c:pt idx="93">
                  <c:v>6799.8786624592012</c:v>
                </c:pt>
                <c:pt idx="94">
                  <c:v>6826.4637658311094</c:v>
                </c:pt>
                <c:pt idx="95">
                  <c:v>6853.0488692030176</c:v>
                </c:pt>
                <c:pt idx="96">
                  <c:v>6879.6339725749267</c:v>
                </c:pt>
                <c:pt idx="97">
                  <c:v>6906.2190759468349</c:v>
                </c:pt>
                <c:pt idx="98">
                  <c:v>6932.8041793187431</c:v>
                </c:pt>
                <c:pt idx="99">
                  <c:v>6959.3892826906513</c:v>
                </c:pt>
                <c:pt idx="100">
                  <c:v>6985.9743860625595</c:v>
                </c:pt>
                <c:pt idx="101">
                  <c:v>7012.5594894344677</c:v>
                </c:pt>
                <c:pt idx="102">
                  <c:v>7039.1445928063758</c:v>
                </c:pt>
                <c:pt idx="103">
                  <c:v>7065.729696178284</c:v>
                </c:pt>
                <c:pt idx="104">
                  <c:v>7092.3147995501922</c:v>
                </c:pt>
                <c:pt idx="105">
                  <c:v>7118.8999029221004</c:v>
                </c:pt>
                <c:pt idx="106">
                  <c:v>7145.4850062940086</c:v>
                </c:pt>
                <c:pt idx="107">
                  <c:v>7172.0701096659168</c:v>
                </c:pt>
                <c:pt idx="108">
                  <c:v>7198.6552130378259</c:v>
                </c:pt>
                <c:pt idx="109">
                  <c:v>7225.2403164097341</c:v>
                </c:pt>
                <c:pt idx="110">
                  <c:v>7251.8254197816423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76-4677-BAE4-DE2266E57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58128"/>
        <c:axId val="57259568"/>
      </c:scatterChart>
      <c:valAx>
        <c:axId val="57258128"/>
        <c:scaling>
          <c:orientation val="minMax"/>
          <c:max val="1.2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Mach Number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259568"/>
        <c:crosses val="autoZero"/>
        <c:crossBetween val="midCat"/>
      </c:valAx>
      <c:valAx>
        <c:axId val="572595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Thrust/Drag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25812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20k Feet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</c:v>
          </c:tx>
          <c:marker>
            <c:symbol val="none"/>
          </c:marker>
          <c:xVal>
            <c:numRef>
              <c:f>'10 - Cruise Plots'!$K$53:$K$163</c:f>
              <c:numCache>
                <c:formatCode>General</c:formatCode>
                <c:ptCount val="11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1.01</c:v>
                </c:pt>
                <c:pt idx="92">
                  <c:v>1.02</c:v>
                </c:pt>
                <c:pt idx="93">
                  <c:v>1.03</c:v>
                </c:pt>
                <c:pt idx="94">
                  <c:v>1.04</c:v>
                </c:pt>
                <c:pt idx="95">
                  <c:v>1.05</c:v>
                </c:pt>
                <c:pt idx="96">
                  <c:v>1.06</c:v>
                </c:pt>
                <c:pt idx="97">
                  <c:v>1.07</c:v>
                </c:pt>
                <c:pt idx="98">
                  <c:v>1.08</c:v>
                </c:pt>
                <c:pt idx="99">
                  <c:v>1.0900000000000001</c:v>
                </c:pt>
                <c:pt idx="100">
                  <c:v>1.1000000000000001</c:v>
                </c:pt>
                <c:pt idx="101">
                  <c:v>1.1100000000000001</c:v>
                </c:pt>
                <c:pt idx="102">
                  <c:v>1.1200000000000001</c:v>
                </c:pt>
                <c:pt idx="103">
                  <c:v>1.1299999999999999</c:v>
                </c:pt>
                <c:pt idx="104">
                  <c:v>1.1399999999999999</c:v>
                </c:pt>
                <c:pt idx="105">
                  <c:v>1.1499999999999999</c:v>
                </c:pt>
                <c:pt idx="106">
                  <c:v>1.1599999999999999</c:v>
                </c:pt>
                <c:pt idx="107">
                  <c:v>1.17</c:v>
                </c:pt>
                <c:pt idx="108">
                  <c:v>1.18</c:v>
                </c:pt>
                <c:pt idx="109">
                  <c:v>1.19</c:v>
                </c:pt>
                <c:pt idx="110">
                  <c:v>1.2</c:v>
                </c:pt>
              </c:numCache>
            </c:numRef>
          </c:xVal>
          <c:yVal>
            <c:numRef>
              <c:f>'10 - Cruise Plots'!$L$53:$L$163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2365.8911449009174</c:v>
                </c:pt>
                <c:pt idx="24">
                  <c:v>2151.9172771949707</c:v>
                </c:pt>
                <c:pt idx="25">
                  <c:v>1931.5321761772782</c:v>
                </c:pt>
                <c:pt idx="26">
                  <c:v>1777.5180220112834</c:v>
                </c:pt>
                <c:pt idx="27">
                  <c:v>1630.6107425267373</c:v>
                </c:pt>
                <c:pt idx="28">
                  <c:v>1482.9716364222602</c:v>
                </c:pt>
                <c:pt idx="29">
                  <c:v>1394.7932914020641</c:v>
                </c:pt>
                <c:pt idx="30">
                  <c:v>1304.2971740569453</c:v>
                </c:pt>
                <c:pt idx="31">
                  <c:v>1211.481895667715</c:v>
                </c:pt>
                <c:pt idx="32">
                  <c:v>1139.539703151333</c:v>
                </c:pt>
                <c:pt idx="33">
                  <c:v>1097.167797643908</c:v>
                </c:pt>
                <c:pt idx="34">
                  <c:v>1053.7687028436917</c:v>
                </c:pt>
                <c:pt idx="35">
                  <c:v>1009.3410300314962</c:v>
                </c:pt>
                <c:pt idx="36">
                  <c:v>963.88339048813441</c:v>
                </c:pt>
                <c:pt idx="37">
                  <c:v>930.76133107659518</c:v>
                </c:pt>
                <c:pt idx="38">
                  <c:v>909.29543567988367</c:v>
                </c:pt>
                <c:pt idx="39">
                  <c:v>887.34395147373652</c:v>
                </c:pt>
                <c:pt idx="40">
                  <c:v>872.53317323516478</c:v>
                </c:pt>
                <c:pt idx="41">
                  <c:v>874.35650366582843</c:v>
                </c:pt>
                <c:pt idx="42">
                  <c:v>876.18018127628864</c:v>
                </c:pt>
                <c:pt idx="43">
                  <c:v>878.00281734735802</c:v>
                </c:pt>
                <c:pt idx="44">
                  <c:v>882.14357718197641</c:v>
                </c:pt>
                <c:pt idx="45">
                  <c:v>891.05545111834942</c:v>
                </c:pt>
                <c:pt idx="46">
                  <c:v>900.09230978165101</c:v>
                </c:pt>
                <c:pt idx="47">
                  <c:v>909.25276445269208</c:v>
                </c:pt>
                <c:pt idx="48">
                  <c:v>918.53542641228569</c:v>
                </c:pt>
                <c:pt idx="49">
                  <c:v>927.93890694124275</c:v>
                </c:pt>
                <c:pt idx="50">
                  <c:v>937.46181732037576</c:v>
                </c:pt>
                <c:pt idx="51">
                  <c:v>947.1027688304963</c:v>
                </c:pt>
                <c:pt idx="52">
                  <c:v>956.86037275241677</c:v>
                </c:pt>
                <c:pt idx="53">
                  <c:v>966.73324036694851</c:v>
                </c:pt>
                <c:pt idx="54">
                  <c:v>976.7199829549038</c:v>
                </c:pt>
                <c:pt idx="55">
                  <c:v>986.81921179709434</c:v>
                </c:pt>
                <c:pt idx="56">
                  <c:v>999.08207081276862</c:v>
                </c:pt>
                <c:pt idx="57">
                  <c:v>1017.0979248398678</c:v>
                </c:pt>
                <c:pt idx="58">
                  <c:v>1035.3378255626451</c:v>
                </c:pt>
                <c:pt idx="59">
                  <c:v>1053.8003842619128</c:v>
                </c:pt>
                <c:pt idx="60">
                  <c:v>1072.4842122184832</c:v>
                </c:pt>
                <c:pt idx="61">
                  <c:v>1091.3879207131681</c:v>
                </c:pt>
                <c:pt idx="62">
                  <c:v>1110.510121026779</c:v>
                </c:pt>
                <c:pt idx="63">
                  <c:v>1129.8494244401279</c:v>
                </c:pt>
                <c:pt idx="64">
                  <c:v>1149.4044422340273</c:v>
                </c:pt>
                <c:pt idx="65">
                  <c:v>1169.1737856892883</c:v>
                </c:pt>
                <c:pt idx="66">
                  <c:v>1189.1560660867233</c:v>
                </c:pt>
                <c:pt idx="67">
                  <c:v>1209.3498947071446</c:v>
                </c:pt>
                <c:pt idx="68">
                  <c:v>1229.7538828313629</c:v>
                </c:pt>
                <c:pt idx="69">
                  <c:v>1250.366641740191</c:v>
                </c:pt>
                <c:pt idx="70">
                  <c:v>1271.1867827144406</c:v>
                </c:pt>
                <c:pt idx="71">
                  <c:v>1299.8057391958091</c:v>
                </c:pt>
                <c:pt idx="72">
                  <c:v>1329.006569016987</c:v>
                </c:pt>
                <c:pt idx="73">
                  <c:v>1358.7948270547276</c:v>
                </c:pt>
                <c:pt idx="74">
                  <c:v>1389.1760681857829</c:v>
                </c:pt>
                <c:pt idx="75">
                  <c:v>1420.1558472869051</c:v>
                </c:pt>
                <c:pt idx="76">
                  <c:v>1462.2683207794601</c:v>
                </c:pt>
                <c:pt idx="77">
                  <c:v>1505.4549222733644</c:v>
                </c:pt>
                <c:pt idx="78">
                  <c:v>1549.7292612166602</c:v>
                </c:pt>
                <c:pt idx="79">
                  <c:v>1595.1049470573907</c:v>
                </c:pt>
                <c:pt idx="80">
                  <c:v>1641.5955892436</c:v>
                </c:pt>
                <c:pt idx="81">
                  <c:v>1694.3314578754093</c:v>
                </c:pt>
                <c:pt idx="82">
                  <c:v>1748.3958678638248</c:v>
                </c:pt>
                <c:pt idx="83">
                  <c:v>1829.0629031876601</c:v>
                </c:pt>
                <c:pt idx="84">
                  <c:v>1917.4804004536927</c:v>
                </c:pt>
                <c:pt idx="85">
                  <c:v>2112.9218564819043</c:v>
                </c:pt>
                <c:pt idx="86">
                  <c:v>2315.3994897297757</c:v>
                </c:pt>
                <c:pt idx="87">
                  <c:v>2824.9571359034644</c:v>
                </c:pt>
                <c:pt idx="88">
                  <c:v>3354.1709449185837</c:v>
                </c:pt>
                <c:pt idx="89">
                  <c:v>3648.6328303061882</c:v>
                </c:pt>
                <c:pt idx="90">
                  <c:v>3952.9777672490372</c:v>
                </c:pt>
                <c:pt idx="91">
                  <c:v>4149.7919240183401</c:v>
                </c:pt>
                <c:pt idx="92">
                  <c:v>4352.0683762608014</c:v>
                </c:pt>
                <c:pt idx="93">
                  <c:v>4529.6829727140457</c:v>
                </c:pt>
                <c:pt idx="94">
                  <c:v>4711.7009662595274</c:v>
                </c:pt>
                <c:pt idx="95">
                  <c:v>4867.2772900153441</c:v>
                </c:pt>
                <c:pt idx="96">
                  <c:v>5026.1402491829749</c:v>
                </c:pt>
                <c:pt idx="97">
                  <c:v>5188.8245617421244</c:v>
                </c:pt>
                <c:pt idx="98">
                  <c:v>5354.8649456724897</c:v>
                </c:pt>
                <c:pt idx="99">
                  <c:v>5510.5466417256921</c:v>
                </c:pt>
                <c:pt idx="100">
                  <c:v>5669.1469626058642</c:v>
                </c:pt>
                <c:pt idx="101">
                  <c:v>5816.2350084330465</c:v>
                </c:pt>
                <c:pt idx="102">
                  <c:v>5965.781087223153</c:v>
                </c:pt>
                <c:pt idx="103">
                  <c:v>6117.806029763995</c:v>
                </c:pt>
                <c:pt idx="104">
                  <c:v>6272.3306668434034</c:v>
                </c:pt>
                <c:pt idx="105">
                  <c:v>6429.3758292491975</c:v>
                </c:pt>
                <c:pt idx="106">
                  <c:v>6578.8190450717238</c:v>
                </c:pt>
                <c:pt idx="107">
                  <c:v>6730.500876225452</c:v>
                </c:pt>
                <c:pt idx="108">
                  <c:v>6884.4379873406388</c:v>
                </c:pt>
                <c:pt idx="109">
                  <c:v>7040.647043047541</c:v>
                </c:pt>
                <c:pt idx="110">
                  <c:v>7199.1447079764166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24-4A38-83F0-134C9C82C70E}"/>
            </c:ext>
          </c:extLst>
        </c:ser>
        <c:ser>
          <c:idx val="1"/>
          <c:order val="1"/>
          <c:tx>
            <c:v>Tmil</c:v>
          </c:tx>
          <c:marker>
            <c:symbol val="none"/>
          </c:marker>
          <c:xVal>
            <c:numRef>
              <c:f>'10 - Cruise Plots'!$K$53:$K$163</c:f>
              <c:numCache>
                <c:formatCode>General</c:formatCode>
                <c:ptCount val="11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1.01</c:v>
                </c:pt>
                <c:pt idx="92">
                  <c:v>1.02</c:v>
                </c:pt>
                <c:pt idx="93">
                  <c:v>1.03</c:v>
                </c:pt>
                <c:pt idx="94">
                  <c:v>1.04</c:v>
                </c:pt>
                <c:pt idx="95">
                  <c:v>1.05</c:v>
                </c:pt>
                <c:pt idx="96">
                  <c:v>1.06</c:v>
                </c:pt>
                <c:pt idx="97">
                  <c:v>1.07</c:v>
                </c:pt>
                <c:pt idx="98">
                  <c:v>1.08</c:v>
                </c:pt>
                <c:pt idx="99">
                  <c:v>1.0900000000000001</c:v>
                </c:pt>
                <c:pt idx="100">
                  <c:v>1.1000000000000001</c:v>
                </c:pt>
                <c:pt idx="101">
                  <c:v>1.1100000000000001</c:v>
                </c:pt>
                <c:pt idx="102">
                  <c:v>1.1200000000000001</c:v>
                </c:pt>
                <c:pt idx="103">
                  <c:v>1.1299999999999999</c:v>
                </c:pt>
                <c:pt idx="104">
                  <c:v>1.1399999999999999</c:v>
                </c:pt>
                <c:pt idx="105">
                  <c:v>1.1499999999999999</c:v>
                </c:pt>
                <c:pt idx="106">
                  <c:v>1.1599999999999999</c:v>
                </c:pt>
                <c:pt idx="107">
                  <c:v>1.17</c:v>
                </c:pt>
                <c:pt idx="108">
                  <c:v>1.18</c:v>
                </c:pt>
                <c:pt idx="109">
                  <c:v>1.19</c:v>
                </c:pt>
                <c:pt idx="110">
                  <c:v>1.2</c:v>
                </c:pt>
              </c:numCache>
            </c:numRef>
          </c:xVal>
          <c:yVal>
            <c:numRef>
              <c:f>'10 - Cruise Plots'!$M$53:$M$163</c:f>
              <c:numCache>
                <c:formatCode>General</c:formatCode>
                <c:ptCount val="111"/>
                <c:pt idx="0">
                  <c:v>2109.9111414925355</c:v>
                </c:pt>
                <c:pt idx="1">
                  <c:v>2118.4360349935155</c:v>
                </c:pt>
                <c:pt idx="2">
                  <c:v>2126.9609284944954</c:v>
                </c:pt>
                <c:pt idx="3">
                  <c:v>2135.4858219954754</c:v>
                </c:pt>
                <c:pt idx="4">
                  <c:v>2144.0107154964553</c:v>
                </c:pt>
                <c:pt idx="5">
                  <c:v>2152.5356089974352</c:v>
                </c:pt>
                <c:pt idx="6">
                  <c:v>2161.0605024984152</c:v>
                </c:pt>
                <c:pt idx="7">
                  <c:v>2169.5853959993951</c:v>
                </c:pt>
                <c:pt idx="8">
                  <c:v>2178.1102895003751</c:v>
                </c:pt>
                <c:pt idx="9">
                  <c:v>2186.635183001355</c:v>
                </c:pt>
                <c:pt idx="10">
                  <c:v>2195.160076502335</c:v>
                </c:pt>
                <c:pt idx="11">
                  <c:v>2203.6849700033149</c:v>
                </c:pt>
                <c:pt idx="12">
                  <c:v>2212.2098635042948</c:v>
                </c:pt>
                <c:pt idx="13">
                  <c:v>2220.7347570052748</c:v>
                </c:pt>
                <c:pt idx="14">
                  <c:v>2229.2596505062547</c:v>
                </c:pt>
                <c:pt idx="15">
                  <c:v>2237.7845440072347</c:v>
                </c:pt>
                <c:pt idx="16">
                  <c:v>2246.3094375082146</c:v>
                </c:pt>
                <c:pt idx="17">
                  <c:v>2254.8343310091946</c:v>
                </c:pt>
                <c:pt idx="18">
                  <c:v>2263.3592245101745</c:v>
                </c:pt>
                <c:pt idx="19">
                  <c:v>2271.8841180111544</c:v>
                </c:pt>
                <c:pt idx="20">
                  <c:v>2280.4090115121344</c:v>
                </c:pt>
                <c:pt idx="21">
                  <c:v>2288.9339050131143</c:v>
                </c:pt>
                <c:pt idx="22">
                  <c:v>2297.4587985140943</c:v>
                </c:pt>
                <c:pt idx="23">
                  <c:v>2305.9836920150742</c:v>
                </c:pt>
                <c:pt idx="24">
                  <c:v>2314.5085855160542</c:v>
                </c:pt>
                <c:pt idx="25">
                  <c:v>2323.0334790170341</c:v>
                </c:pt>
                <c:pt idx="26">
                  <c:v>2331.558372518014</c:v>
                </c:pt>
                <c:pt idx="27">
                  <c:v>2340.083266018994</c:v>
                </c:pt>
                <c:pt idx="28">
                  <c:v>2348.6081595199739</c:v>
                </c:pt>
                <c:pt idx="29">
                  <c:v>2357.1330530209539</c:v>
                </c:pt>
                <c:pt idx="30">
                  <c:v>2365.6579465219338</c:v>
                </c:pt>
                <c:pt idx="31">
                  <c:v>2374.1828400229138</c:v>
                </c:pt>
                <c:pt idx="32">
                  <c:v>2382.7077335238937</c:v>
                </c:pt>
                <c:pt idx="33">
                  <c:v>2391.2326270248736</c:v>
                </c:pt>
                <c:pt idx="34">
                  <c:v>2399.7575205258536</c:v>
                </c:pt>
                <c:pt idx="35">
                  <c:v>2408.2824140268335</c:v>
                </c:pt>
                <c:pt idx="36">
                  <c:v>2416.8073075278135</c:v>
                </c:pt>
                <c:pt idx="37">
                  <c:v>2425.3322010287934</c:v>
                </c:pt>
                <c:pt idx="38">
                  <c:v>2433.8570945297733</c:v>
                </c:pt>
                <c:pt idx="39">
                  <c:v>2442.3819880307533</c:v>
                </c:pt>
                <c:pt idx="40">
                  <c:v>2450.9068815317332</c:v>
                </c:pt>
                <c:pt idx="41">
                  <c:v>2459.4317750327132</c:v>
                </c:pt>
                <c:pt idx="42">
                  <c:v>2467.9566685336931</c:v>
                </c:pt>
                <c:pt idx="43">
                  <c:v>2476.4815620346731</c:v>
                </c:pt>
                <c:pt idx="44">
                  <c:v>2485.006455535653</c:v>
                </c:pt>
                <c:pt idx="45">
                  <c:v>2493.5313490366329</c:v>
                </c:pt>
                <c:pt idx="46">
                  <c:v>2502.0562425376129</c:v>
                </c:pt>
                <c:pt idx="47">
                  <c:v>2510.5811360385928</c:v>
                </c:pt>
                <c:pt idx="48">
                  <c:v>2519.1060295395728</c:v>
                </c:pt>
                <c:pt idx="49">
                  <c:v>2527.6309230405527</c:v>
                </c:pt>
                <c:pt idx="50">
                  <c:v>2536.1558165415327</c:v>
                </c:pt>
                <c:pt idx="51">
                  <c:v>2544.6807100425126</c:v>
                </c:pt>
                <c:pt idx="52">
                  <c:v>2553.2056035434925</c:v>
                </c:pt>
                <c:pt idx="53">
                  <c:v>2561.7304970444725</c:v>
                </c:pt>
                <c:pt idx="54">
                  <c:v>2570.2553905454524</c:v>
                </c:pt>
                <c:pt idx="55">
                  <c:v>2578.7802840464324</c:v>
                </c:pt>
                <c:pt idx="56">
                  <c:v>2587.3051775474123</c:v>
                </c:pt>
                <c:pt idx="57">
                  <c:v>2595.8300710483923</c:v>
                </c:pt>
                <c:pt idx="58">
                  <c:v>2604.3549645493722</c:v>
                </c:pt>
                <c:pt idx="59">
                  <c:v>2612.8798580503521</c:v>
                </c:pt>
                <c:pt idx="60">
                  <c:v>2621.4047515513321</c:v>
                </c:pt>
                <c:pt idx="61">
                  <c:v>2629.929645052312</c:v>
                </c:pt>
                <c:pt idx="62">
                  <c:v>2638.454538553292</c:v>
                </c:pt>
                <c:pt idx="63">
                  <c:v>2646.9794320542719</c:v>
                </c:pt>
                <c:pt idx="64">
                  <c:v>2655.5043255552519</c:v>
                </c:pt>
                <c:pt idx="65">
                  <c:v>2664.0292190562318</c:v>
                </c:pt>
                <c:pt idx="66">
                  <c:v>2672.5541125572117</c:v>
                </c:pt>
                <c:pt idx="67">
                  <c:v>2681.0790060581917</c:v>
                </c:pt>
                <c:pt idx="68">
                  <c:v>2689.6038995591716</c:v>
                </c:pt>
                <c:pt idx="69">
                  <c:v>2698.1287930601516</c:v>
                </c:pt>
                <c:pt idx="70">
                  <c:v>2706.6536865611315</c:v>
                </c:pt>
                <c:pt idx="71">
                  <c:v>2715.1785800621115</c:v>
                </c:pt>
                <c:pt idx="72">
                  <c:v>2723.7034735630914</c:v>
                </c:pt>
                <c:pt idx="73">
                  <c:v>2732.2283670640713</c:v>
                </c:pt>
                <c:pt idx="74">
                  <c:v>2740.7532605650513</c:v>
                </c:pt>
                <c:pt idx="75">
                  <c:v>2749.2781540660312</c:v>
                </c:pt>
                <c:pt idx="76">
                  <c:v>2757.8030475670112</c:v>
                </c:pt>
                <c:pt idx="77">
                  <c:v>2766.3279410679911</c:v>
                </c:pt>
                <c:pt idx="78">
                  <c:v>2774.852834568971</c:v>
                </c:pt>
                <c:pt idx="79">
                  <c:v>2783.377728069951</c:v>
                </c:pt>
                <c:pt idx="80">
                  <c:v>2791.9026215709309</c:v>
                </c:pt>
                <c:pt idx="81">
                  <c:v>2800.4275150719109</c:v>
                </c:pt>
                <c:pt idx="82">
                  <c:v>2808.9524085728908</c:v>
                </c:pt>
                <c:pt idx="83">
                  <c:v>2817.4773020738708</c:v>
                </c:pt>
                <c:pt idx="84">
                  <c:v>2826.0021955748507</c:v>
                </c:pt>
                <c:pt idx="85">
                  <c:v>2834.5270890758306</c:v>
                </c:pt>
                <c:pt idx="86">
                  <c:v>2843.0519825768106</c:v>
                </c:pt>
                <c:pt idx="87">
                  <c:v>2851.5768760777905</c:v>
                </c:pt>
                <c:pt idx="88">
                  <c:v>2860.1017695787705</c:v>
                </c:pt>
                <c:pt idx="89">
                  <c:v>2868.6266630797504</c:v>
                </c:pt>
                <c:pt idx="90">
                  <c:v>2877.1515565807304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24-4A38-83F0-134C9C82C70E}"/>
            </c:ext>
          </c:extLst>
        </c:ser>
        <c:ser>
          <c:idx val="2"/>
          <c:order val="2"/>
          <c:tx>
            <c:v>Tmax</c:v>
          </c:tx>
          <c:marker>
            <c:symbol val="none"/>
          </c:marker>
          <c:xVal>
            <c:numRef>
              <c:f>'10 - Cruise Plots'!$K$53:$K$163</c:f>
              <c:numCache>
                <c:formatCode>General</c:formatCode>
                <c:ptCount val="11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1.01</c:v>
                </c:pt>
                <c:pt idx="92">
                  <c:v>1.02</c:v>
                </c:pt>
                <c:pt idx="93">
                  <c:v>1.03</c:v>
                </c:pt>
                <c:pt idx="94">
                  <c:v>1.04</c:v>
                </c:pt>
                <c:pt idx="95">
                  <c:v>1.05</c:v>
                </c:pt>
                <c:pt idx="96">
                  <c:v>1.06</c:v>
                </c:pt>
                <c:pt idx="97">
                  <c:v>1.07</c:v>
                </c:pt>
                <c:pt idx="98">
                  <c:v>1.08</c:v>
                </c:pt>
                <c:pt idx="99">
                  <c:v>1.0900000000000001</c:v>
                </c:pt>
                <c:pt idx="100">
                  <c:v>1.1000000000000001</c:v>
                </c:pt>
                <c:pt idx="101">
                  <c:v>1.1100000000000001</c:v>
                </c:pt>
                <c:pt idx="102">
                  <c:v>1.1200000000000001</c:v>
                </c:pt>
                <c:pt idx="103">
                  <c:v>1.1299999999999999</c:v>
                </c:pt>
                <c:pt idx="104">
                  <c:v>1.1399999999999999</c:v>
                </c:pt>
                <c:pt idx="105">
                  <c:v>1.1499999999999999</c:v>
                </c:pt>
                <c:pt idx="106">
                  <c:v>1.1599999999999999</c:v>
                </c:pt>
                <c:pt idx="107">
                  <c:v>1.17</c:v>
                </c:pt>
                <c:pt idx="108">
                  <c:v>1.18</c:v>
                </c:pt>
                <c:pt idx="109">
                  <c:v>1.19</c:v>
                </c:pt>
                <c:pt idx="110">
                  <c:v>1.2</c:v>
                </c:pt>
              </c:numCache>
            </c:numRef>
          </c:xVal>
          <c:yVal>
            <c:numRef>
              <c:f>'10 - Cruise Plots'!$N$53:$N$163</c:f>
              <c:numCache>
                <c:formatCode>General</c:formatCode>
                <c:ptCount val="111"/>
                <c:pt idx="0">
                  <c:v>3164.8667122388038</c:v>
                </c:pt>
                <c:pt idx="1">
                  <c:v>3188.3101693664985</c:v>
                </c:pt>
                <c:pt idx="2">
                  <c:v>3211.7536264941932</c:v>
                </c:pt>
                <c:pt idx="3">
                  <c:v>3235.1970836218884</c:v>
                </c:pt>
                <c:pt idx="4">
                  <c:v>3258.6405407495831</c:v>
                </c:pt>
                <c:pt idx="5">
                  <c:v>3282.0839978772779</c:v>
                </c:pt>
                <c:pt idx="6">
                  <c:v>3305.5274550049726</c:v>
                </c:pt>
                <c:pt idx="7">
                  <c:v>3328.9709121326673</c:v>
                </c:pt>
                <c:pt idx="8">
                  <c:v>3352.4143692603625</c:v>
                </c:pt>
                <c:pt idx="9">
                  <c:v>3375.8578263880572</c:v>
                </c:pt>
                <c:pt idx="10">
                  <c:v>3399.3012835157519</c:v>
                </c:pt>
                <c:pt idx="11">
                  <c:v>3422.7447406434467</c:v>
                </c:pt>
                <c:pt idx="12">
                  <c:v>3446.1881977711419</c:v>
                </c:pt>
                <c:pt idx="13">
                  <c:v>3469.6316548988366</c:v>
                </c:pt>
                <c:pt idx="14">
                  <c:v>3493.0751120265313</c:v>
                </c:pt>
                <c:pt idx="15">
                  <c:v>3516.5185691542265</c:v>
                </c:pt>
                <c:pt idx="16">
                  <c:v>3539.9620262819212</c:v>
                </c:pt>
                <c:pt idx="17">
                  <c:v>3563.405483409616</c:v>
                </c:pt>
                <c:pt idx="18">
                  <c:v>3586.8489405373111</c:v>
                </c:pt>
                <c:pt idx="19">
                  <c:v>3610.2923976650059</c:v>
                </c:pt>
                <c:pt idx="20">
                  <c:v>3633.7358547927006</c:v>
                </c:pt>
                <c:pt idx="21">
                  <c:v>3657.1793119203953</c:v>
                </c:pt>
                <c:pt idx="22">
                  <c:v>3680.62276904809</c:v>
                </c:pt>
                <c:pt idx="23">
                  <c:v>3704.0662261757852</c:v>
                </c:pt>
                <c:pt idx="24">
                  <c:v>3727.50968330348</c:v>
                </c:pt>
                <c:pt idx="25">
                  <c:v>3750.9531404311747</c:v>
                </c:pt>
                <c:pt idx="26">
                  <c:v>3774.3965975588694</c:v>
                </c:pt>
                <c:pt idx="27">
                  <c:v>3797.8400546865641</c:v>
                </c:pt>
                <c:pt idx="28">
                  <c:v>3821.2835118142593</c:v>
                </c:pt>
                <c:pt idx="29">
                  <c:v>3844.7269689419541</c:v>
                </c:pt>
                <c:pt idx="30">
                  <c:v>3868.1704260696488</c:v>
                </c:pt>
                <c:pt idx="31">
                  <c:v>3891.6138831973435</c:v>
                </c:pt>
                <c:pt idx="32">
                  <c:v>3915.0573403250382</c:v>
                </c:pt>
                <c:pt idx="33">
                  <c:v>3938.500797452733</c:v>
                </c:pt>
                <c:pt idx="34">
                  <c:v>3961.9442545804282</c:v>
                </c:pt>
                <c:pt idx="35">
                  <c:v>3985.3877117081229</c:v>
                </c:pt>
                <c:pt idx="36">
                  <c:v>4008.8311688358176</c:v>
                </c:pt>
                <c:pt idx="37">
                  <c:v>4032.2746259635123</c:v>
                </c:pt>
                <c:pt idx="38">
                  <c:v>4055.7180830912075</c:v>
                </c:pt>
                <c:pt idx="39">
                  <c:v>4079.1615402189022</c:v>
                </c:pt>
                <c:pt idx="40">
                  <c:v>4102.604997346597</c:v>
                </c:pt>
                <c:pt idx="41">
                  <c:v>4126.0484544742922</c:v>
                </c:pt>
                <c:pt idx="42">
                  <c:v>4149.4919116019864</c:v>
                </c:pt>
                <c:pt idx="43">
                  <c:v>4172.9353687296816</c:v>
                </c:pt>
                <c:pt idx="44">
                  <c:v>4196.3788258573768</c:v>
                </c:pt>
                <c:pt idx="45">
                  <c:v>4219.822282985072</c:v>
                </c:pt>
                <c:pt idx="46">
                  <c:v>4243.2657401127663</c:v>
                </c:pt>
                <c:pt idx="47">
                  <c:v>4266.7091972404614</c:v>
                </c:pt>
                <c:pt idx="48">
                  <c:v>4290.1526543681566</c:v>
                </c:pt>
                <c:pt idx="49">
                  <c:v>4313.5961114958509</c:v>
                </c:pt>
                <c:pt idx="50">
                  <c:v>4337.0395686235461</c:v>
                </c:pt>
                <c:pt idx="51">
                  <c:v>4360.4830257512413</c:v>
                </c:pt>
                <c:pt idx="52">
                  <c:v>4383.9264828789355</c:v>
                </c:pt>
                <c:pt idx="53">
                  <c:v>4407.3699400066307</c:v>
                </c:pt>
                <c:pt idx="54">
                  <c:v>4430.8133971343259</c:v>
                </c:pt>
                <c:pt idx="55">
                  <c:v>4454.2568542620202</c:v>
                </c:pt>
                <c:pt idx="56">
                  <c:v>4477.7003113897154</c:v>
                </c:pt>
                <c:pt idx="57">
                  <c:v>4501.1437685174096</c:v>
                </c:pt>
                <c:pt idx="58">
                  <c:v>4524.5872256451048</c:v>
                </c:pt>
                <c:pt idx="59">
                  <c:v>4548.0306827727991</c:v>
                </c:pt>
                <c:pt idx="60">
                  <c:v>4571.4741399004943</c:v>
                </c:pt>
                <c:pt idx="61">
                  <c:v>4594.9175970281894</c:v>
                </c:pt>
                <c:pt idx="62">
                  <c:v>4618.3610541558837</c:v>
                </c:pt>
                <c:pt idx="63">
                  <c:v>4641.8045112835789</c:v>
                </c:pt>
                <c:pt idx="64">
                  <c:v>4665.2479684112732</c:v>
                </c:pt>
                <c:pt idx="65">
                  <c:v>4688.6914255389684</c:v>
                </c:pt>
                <c:pt idx="66">
                  <c:v>4712.1348826666635</c:v>
                </c:pt>
                <c:pt idx="67">
                  <c:v>4735.5783397943578</c:v>
                </c:pt>
                <c:pt idx="68">
                  <c:v>4759.021796922053</c:v>
                </c:pt>
                <c:pt idx="69">
                  <c:v>4782.4652540497473</c:v>
                </c:pt>
                <c:pt idx="70">
                  <c:v>4805.9087111774425</c:v>
                </c:pt>
                <c:pt idx="71">
                  <c:v>4829.3521683051376</c:v>
                </c:pt>
                <c:pt idx="72">
                  <c:v>4852.7956254328319</c:v>
                </c:pt>
                <c:pt idx="73">
                  <c:v>4876.2390825605271</c:v>
                </c:pt>
                <c:pt idx="74">
                  <c:v>4899.6825396882214</c:v>
                </c:pt>
                <c:pt idx="75">
                  <c:v>4923.1259968159166</c:v>
                </c:pt>
                <c:pt idx="76">
                  <c:v>4946.5694539436108</c:v>
                </c:pt>
                <c:pt idx="77">
                  <c:v>4970.012911071306</c:v>
                </c:pt>
                <c:pt idx="78">
                  <c:v>4993.4563681990012</c:v>
                </c:pt>
                <c:pt idx="79">
                  <c:v>5016.8998253266955</c:v>
                </c:pt>
                <c:pt idx="80">
                  <c:v>5040.3432824543906</c:v>
                </c:pt>
                <c:pt idx="81">
                  <c:v>5063.7867395820858</c:v>
                </c:pt>
                <c:pt idx="82">
                  <c:v>5087.2301967097801</c:v>
                </c:pt>
                <c:pt idx="83">
                  <c:v>5110.6736538374753</c:v>
                </c:pt>
                <c:pt idx="84">
                  <c:v>5134.1171109651705</c:v>
                </c:pt>
                <c:pt idx="85">
                  <c:v>5157.5605680928647</c:v>
                </c:pt>
                <c:pt idx="86">
                  <c:v>5181.0040252205599</c:v>
                </c:pt>
                <c:pt idx="87">
                  <c:v>5204.4474823482551</c:v>
                </c:pt>
                <c:pt idx="88">
                  <c:v>5227.8909394759503</c:v>
                </c:pt>
                <c:pt idx="89">
                  <c:v>5251.3343966036446</c:v>
                </c:pt>
                <c:pt idx="90">
                  <c:v>5274.7778537313397</c:v>
                </c:pt>
                <c:pt idx="91">
                  <c:v>5298.2213108590349</c:v>
                </c:pt>
                <c:pt idx="92">
                  <c:v>5321.6647679867292</c:v>
                </c:pt>
                <c:pt idx="93">
                  <c:v>5345.1082251144244</c:v>
                </c:pt>
                <c:pt idx="94">
                  <c:v>5368.5516822421187</c:v>
                </c:pt>
                <c:pt idx="95">
                  <c:v>5391.9951393698138</c:v>
                </c:pt>
                <c:pt idx="96">
                  <c:v>5415.438596497509</c:v>
                </c:pt>
                <c:pt idx="97">
                  <c:v>5438.8820536252033</c:v>
                </c:pt>
                <c:pt idx="98">
                  <c:v>5462.3255107528985</c:v>
                </c:pt>
                <c:pt idx="99">
                  <c:v>5485.7689678805928</c:v>
                </c:pt>
                <c:pt idx="100">
                  <c:v>5509.2124250082879</c:v>
                </c:pt>
                <c:pt idx="101">
                  <c:v>5532.6558821359831</c:v>
                </c:pt>
                <c:pt idx="102">
                  <c:v>5556.0993392636774</c:v>
                </c:pt>
                <c:pt idx="103">
                  <c:v>5579.5427963913717</c:v>
                </c:pt>
                <c:pt idx="104">
                  <c:v>5602.9862535190668</c:v>
                </c:pt>
                <c:pt idx="105">
                  <c:v>5626.429710646762</c:v>
                </c:pt>
                <c:pt idx="106">
                  <c:v>5649.8731677744563</c:v>
                </c:pt>
                <c:pt idx="107">
                  <c:v>5673.3166249021515</c:v>
                </c:pt>
                <c:pt idx="108">
                  <c:v>5696.7600820298467</c:v>
                </c:pt>
                <c:pt idx="109">
                  <c:v>5720.2035391575409</c:v>
                </c:pt>
                <c:pt idx="110">
                  <c:v>5743.6469962852361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24-4A38-83F0-134C9C82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502736"/>
        <c:axId val="1545505136"/>
      </c:scatterChart>
      <c:valAx>
        <c:axId val="1545502736"/>
        <c:scaling>
          <c:orientation val="minMax"/>
          <c:max val="1.2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Mach Number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45505136"/>
        <c:crosses val="autoZero"/>
        <c:crossBetween val="midCat"/>
      </c:valAx>
      <c:valAx>
        <c:axId val="15455051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Thrust/Drag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4550273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30k Feet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</c:v>
          </c:tx>
          <c:marker>
            <c:symbol val="none"/>
          </c:marker>
          <c:xVal>
            <c:numRef>
              <c:f>'10 - Cruise Plots'!$P$53:$P$163</c:f>
              <c:numCache>
                <c:formatCode>General</c:formatCode>
                <c:ptCount val="11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1.01</c:v>
                </c:pt>
                <c:pt idx="92">
                  <c:v>1.02</c:v>
                </c:pt>
                <c:pt idx="93">
                  <c:v>1.03</c:v>
                </c:pt>
                <c:pt idx="94">
                  <c:v>1.04</c:v>
                </c:pt>
                <c:pt idx="95">
                  <c:v>1.05</c:v>
                </c:pt>
                <c:pt idx="96">
                  <c:v>1.06</c:v>
                </c:pt>
                <c:pt idx="97">
                  <c:v>1.07</c:v>
                </c:pt>
                <c:pt idx="98">
                  <c:v>1.08</c:v>
                </c:pt>
                <c:pt idx="99">
                  <c:v>1.0900000000000001</c:v>
                </c:pt>
                <c:pt idx="100">
                  <c:v>1.1000000000000001</c:v>
                </c:pt>
                <c:pt idx="101">
                  <c:v>1.1100000000000001</c:v>
                </c:pt>
                <c:pt idx="102">
                  <c:v>1.1200000000000001</c:v>
                </c:pt>
                <c:pt idx="103">
                  <c:v>1.1299999999999999</c:v>
                </c:pt>
                <c:pt idx="104">
                  <c:v>1.1399999999999999</c:v>
                </c:pt>
                <c:pt idx="105">
                  <c:v>1.1499999999999999</c:v>
                </c:pt>
                <c:pt idx="106">
                  <c:v>1.1599999999999999</c:v>
                </c:pt>
                <c:pt idx="107">
                  <c:v>1.17</c:v>
                </c:pt>
                <c:pt idx="108">
                  <c:v>1.18</c:v>
                </c:pt>
                <c:pt idx="109">
                  <c:v>1.19</c:v>
                </c:pt>
                <c:pt idx="110">
                  <c:v>1.2</c:v>
                </c:pt>
              </c:numCache>
            </c:numRef>
          </c:xVal>
          <c:yVal>
            <c:numRef>
              <c:f>'10 - Cruise Plots'!$Q$53:$Q$163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2372.5629085512569</c:v>
                </c:pt>
                <c:pt idx="32">
                  <c:v>2201.121908766303</c:v>
                </c:pt>
                <c:pt idx="33">
                  <c:v>2025.5307316368173</c:v>
                </c:pt>
                <c:pt idx="34">
                  <c:v>1865.4428640188496</c:v>
                </c:pt>
                <c:pt idx="35">
                  <c:v>1749.5430973235602</c:v>
                </c:pt>
                <c:pt idx="36">
                  <c:v>1631.0184264075997</c:v>
                </c:pt>
                <c:pt idx="37">
                  <c:v>1509.8679538678184</c:v>
                </c:pt>
                <c:pt idx="38">
                  <c:v>1428.3513217084062</c:v>
                </c:pt>
                <c:pt idx="39">
                  <c:v>1356.3516198237201</c:v>
                </c:pt>
                <c:pt idx="40">
                  <c:v>1282.8451780462115</c:v>
                </c:pt>
                <c:pt idx="41">
                  <c:v>1207.8310989727274</c:v>
                </c:pt>
                <c:pt idx="42">
                  <c:v>1143.7116097326279</c:v>
                </c:pt>
                <c:pt idx="43">
                  <c:v>1109.6523183236814</c:v>
                </c:pt>
                <c:pt idx="44">
                  <c:v>1074.9202736848438</c:v>
                </c:pt>
                <c:pt idx="45">
                  <c:v>1039.5145784129627</c:v>
                </c:pt>
                <c:pt idx="46">
                  <c:v>1003.4343351048877</c:v>
                </c:pt>
                <c:pt idx="47">
                  <c:v>966.67864635746469</c:v>
                </c:pt>
                <c:pt idx="48">
                  <c:v>932.97229516812945</c:v>
                </c:pt>
                <c:pt idx="49">
                  <c:v>915.59976667585647</c:v>
                </c:pt>
                <c:pt idx="50">
                  <c:v>897.90357477996281</c:v>
                </c:pt>
                <c:pt idx="51">
                  <c:v>879.88282207729674</c:v>
                </c:pt>
                <c:pt idx="52">
                  <c:v>865.25040426643045</c:v>
                </c:pt>
                <c:pt idx="53">
                  <c:v>866.37212081509028</c:v>
                </c:pt>
                <c:pt idx="54">
                  <c:v>867.4832928767097</c:v>
                </c:pt>
                <c:pt idx="55">
                  <c:v>868.5830230481364</c:v>
                </c:pt>
                <c:pt idx="56">
                  <c:v>869.67041392621809</c:v>
                </c:pt>
                <c:pt idx="57">
                  <c:v>872.07782205961178</c:v>
                </c:pt>
                <c:pt idx="58">
                  <c:v>878.81672146511369</c:v>
                </c:pt>
                <c:pt idx="59">
                  <c:v>885.62472091334803</c:v>
                </c:pt>
                <c:pt idx="60">
                  <c:v>892.50092300116205</c:v>
                </c:pt>
                <c:pt idx="61">
                  <c:v>899.4444303254038</c:v>
                </c:pt>
                <c:pt idx="62">
                  <c:v>906.45434548292008</c:v>
                </c:pt>
                <c:pt idx="63">
                  <c:v>913.52977107055938</c:v>
                </c:pt>
                <c:pt idx="64">
                  <c:v>920.6698096851693</c:v>
                </c:pt>
                <c:pt idx="65">
                  <c:v>927.87356392359698</c:v>
                </c:pt>
                <c:pt idx="66">
                  <c:v>935.14013638269023</c:v>
                </c:pt>
                <c:pt idx="67">
                  <c:v>942.46862965929688</c:v>
                </c:pt>
                <c:pt idx="68">
                  <c:v>949.85814635026452</c:v>
                </c:pt>
                <c:pt idx="69">
                  <c:v>957.3077890524404</c:v>
                </c:pt>
                <c:pt idx="70">
                  <c:v>964.81666036267256</c:v>
                </c:pt>
                <c:pt idx="71">
                  <c:v>977.2904146133709</c:v>
                </c:pt>
                <c:pt idx="72">
                  <c:v>991.48784704348088</c:v>
                </c:pt>
                <c:pt idx="73">
                  <c:v>1010.7372942289282</c:v>
                </c:pt>
                <c:pt idx="74">
                  <c:v>1030.3699325604359</c:v>
                </c:pt>
                <c:pt idx="75">
                  <c:v>1050.3893516506134</c:v>
                </c:pt>
                <c:pt idx="76">
                  <c:v>1077.8150950364743</c:v>
                </c:pt>
                <c:pt idx="77">
                  <c:v>1105.9349498472516</c:v>
                </c:pt>
                <c:pt idx="78">
                  <c:v>1134.7577106338395</c:v>
                </c:pt>
                <c:pt idx="79">
                  <c:v>1164.2921719471299</c:v>
                </c:pt>
                <c:pt idx="80">
                  <c:v>1194.5471283380173</c:v>
                </c:pt>
                <c:pt idx="81">
                  <c:v>1229.1562193758004</c:v>
                </c:pt>
                <c:pt idx="82">
                  <c:v>1264.6238260960145</c:v>
                </c:pt>
                <c:pt idx="83">
                  <c:v>1317.1308003881852</c:v>
                </c:pt>
                <c:pt idx="84">
                  <c:v>1371.2170546613283</c:v>
                </c:pt>
                <c:pt idx="85">
                  <c:v>1494.3967707102197</c:v>
                </c:pt>
                <c:pt idx="86">
                  <c:v>1622.0564728629149</c:v>
                </c:pt>
                <c:pt idx="87">
                  <c:v>1948.5600639382785</c:v>
                </c:pt>
                <c:pt idx="88">
                  <c:v>2287.66872925897</c:v>
                </c:pt>
                <c:pt idx="89">
                  <c:v>2475.4246600106212</c:v>
                </c:pt>
                <c:pt idx="90">
                  <c:v>2669.4386316452988</c:v>
                </c:pt>
                <c:pt idx="91">
                  <c:v>2794.2494245996713</c:v>
                </c:pt>
                <c:pt idx="92">
                  <c:v>2922.4284707192587</c:v>
                </c:pt>
                <c:pt idx="93">
                  <c:v>3034.8909869278905</c:v>
                </c:pt>
                <c:pt idx="94">
                  <c:v>3150.0029363766939</c:v>
                </c:pt>
                <c:pt idx="95">
                  <c:v>3248.5345212276138</c:v>
                </c:pt>
                <c:pt idx="96">
                  <c:v>3348.9262732461962</c:v>
                </c:pt>
                <c:pt idx="97">
                  <c:v>3451.8412892092656</c:v>
                </c:pt>
                <c:pt idx="98">
                  <c:v>3556.6229037292551</c:v>
                </c:pt>
                <c:pt idx="99">
                  <c:v>3654.4049232279822</c:v>
                </c:pt>
                <c:pt idx="100">
                  <c:v>3753.7636800654163</c:v>
                </c:pt>
                <c:pt idx="101">
                  <c:v>3845.2680092997521</c:v>
                </c:pt>
                <c:pt idx="102">
                  <c:v>3938.0575993289058</c:v>
                </c:pt>
                <c:pt idx="103">
                  <c:v>4032.1425010681842</c:v>
                </c:pt>
                <c:pt idx="104">
                  <c:v>4127.5327654328958</c:v>
                </c:pt>
                <c:pt idx="105">
                  <c:v>4224.2384433383459</c:v>
                </c:pt>
                <c:pt idx="106">
                  <c:v>4317.8062318379989</c:v>
                </c:pt>
                <c:pt idx="107">
                  <c:v>4416.8858029429348</c:v>
                </c:pt>
                <c:pt idx="108">
                  <c:v>4517.4227567673142</c:v>
                </c:pt>
                <c:pt idx="109">
                  <c:v>4619.4278621489648</c:v>
                </c:pt>
                <c:pt idx="110">
                  <c:v>4722.9118879257148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F6-438E-A789-2D16A99A8DC1}"/>
            </c:ext>
          </c:extLst>
        </c:ser>
        <c:ser>
          <c:idx val="1"/>
          <c:order val="1"/>
          <c:tx>
            <c:v>Tmil</c:v>
          </c:tx>
          <c:marker>
            <c:symbol val="none"/>
          </c:marker>
          <c:xVal>
            <c:numRef>
              <c:f>'10 - Cruise Plots'!$P$53:$P$163</c:f>
              <c:numCache>
                <c:formatCode>General</c:formatCode>
                <c:ptCount val="11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1.01</c:v>
                </c:pt>
                <c:pt idx="92">
                  <c:v>1.02</c:v>
                </c:pt>
                <c:pt idx="93">
                  <c:v>1.03</c:v>
                </c:pt>
                <c:pt idx="94">
                  <c:v>1.04</c:v>
                </c:pt>
                <c:pt idx="95">
                  <c:v>1.05</c:v>
                </c:pt>
                <c:pt idx="96">
                  <c:v>1.06</c:v>
                </c:pt>
                <c:pt idx="97">
                  <c:v>1.07</c:v>
                </c:pt>
                <c:pt idx="98">
                  <c:v>1.08</c:v>
                </c:pt>
                <c:pt idx="99">
                  <c:v>1.0900000000000001</c:v>
                </c:pt>
                <c:pt idx="100">
                  <c:v>1.1000000000000001</c:v>
                </c:pt>
                <c:pt idx="101">
                  <c:v>1.1100000000000001</c:v>
                </c:pt>
                <c:pt idx="102">
                  <c:v>1.1200000000000001</c:v>
                </c:pt>
                <c:pt idx="103">
                  <c:v>1.1299999999999999</c:v>
                </c:pt>
                <c:pt idx="104">
                  <c:v>1.1399999999999999</c:v>
                </c:pt>
                <c:pt idx="105">
                  <c:v>1.1499999999999999</c:v>
                </c:pt>
                <c:pt idx="106">
                  <c:v>1.1599999999999999</c:v>
                </c:pt>
                <c:pt idx="107">
                  <c:v>1.17</c:v>
                </c:pt>
                <c:pt idx="108">
                  <c:v>1.18</c:v>
                </c:pt>
                <c:pt idx="109">
                  <c:v>1.19</c:v>
                </c:pt>
                <c:pt idx="110">
                  <c:v>1.2</c:v>
                </c:pt>
              </c:numCache>
            </c:numRef>
          </c:xVal>
          <c:yVal>
            <c:numRef>
              <c:f>'10 - Cruise Plots'!$R$53:$R$163</c:f>
              <c:numCache>
                <c:formatCode>General</c:formatCode>
                <c:ptCount val="111"/>
                <c:pt idx="0">
                  <c:v>1496.5084454290716</c:v>
                </c:pt>
                <c:pt idx="1">
                  <c:v>1503.9909876562169</c:v>
                </c:pt>
                <c:pt idx="2">
                  <c:v>1511.4735298833623</c:v>
                </c:pt>
                <c:pt idx="3">
                  <c:v>1518.9560721105076</c:v>
                </c:pt>
                <c:pt idx="4">
                  <c:v>1526.438614337653</c:v>
                </c:pt>
                <c:pt idx="5">
                  <c:v>1533.9211565647984</c:v>
                </c:pt>
                <c:pt idx="6">
                  <c:v>1541.4036987919437</c:v>
                </c:pt>
                <c:pt idx="7">
                  <c:v>1548.8862410190891</c:v>
                </c:pt>
                <c:pt idx="8">
                  <c:v>1556.3687832462344</c:v>
                </c:pt>
                <c:pt idx="9">
                  <c:v>1563.8513254733798</c:v>
                </c:pt>
                <c:pt idx="10">
                  <c:v>1571.3338677005252</c:v>
                </c:pt>
                <c:pt idx="11">
                  <c:v>1578.8164099276705</c:v>
                </c:pt>
                <c:pt idx="12">
                  <c:v>1586.2989521548159</c:v>
                </c:pt>
                <c:pt idx="13">
                  <c:v>1593.7814943819612</c:v>
                </c:pt>
                <c:pt idx="14">
                  <c:v>1601.2640366091066</c:v>
                </c:pt>
                <c:pt idx="15">
                  <c:v>1608.746578836252</c:v>
                </c:pt>
                <c:pt idx="16">
                  <c:v>1616.2291210633973</c:v>
                </c:pt>
                <c:pt idx="17">
                  <c:v>1623.7116632905427</c:v>
                </c:pt>
                <c:pt idx="18">
                  <c:v>1631.194205517688</c:v>
                </c:pt>
                <c:pt idx="19">
                  <c:v>1638.6767477448334</c:v>
                </c:pt>
                <c:pt idx="20">
                  <c:v>1646.1592899719788</c:v>
                </c:pt>
                <c:pt idx="21">
                  <c:v>1653.6418321991241</c:v>
                </c:pt>
                <c:pt idx="22">
                  <c:v>1661.1243744262695</c:v>
                </c:pt>
                <c:pt idx="23">
                  <c:v>1668.6069166534148</c:v>
                </c:pt>
                <c:pt idx="24">
                  <c:v>1676.0894588805602</c:v>
                </c:pt>
                <c:pt idx="25">
                  <c:v>1683.5720011077055</c:v>
                </c:pt>
                <c:pt idx="26">
                  <c:v>1691.0545433348509</c:v>
                </c:pt>
                <c:pt idx="27">
                  <c:v>1698.5370855619963</c:v>
                </c:pt>
                <c:pt idx="28">
                  <c:v>1706.0196277891416</c:v>
                </c:pt>
                <c:pt idx="29">
                  <c:v>1713.502170016287</c:v>
                </c:pt>
                <c:pt idx="30">
                  <c:v>1720.9847122434323</c:v>
                </c:pt>
                <c:pt idx="31">
                  <c:v>1728.4672544705777</c:v>
                </c:pt>
                <c:pt idx="32">
                  <c:v>1735.9497966977231</c:v>
                </c:pt>
                <c:pt idx="33">
                  <c:v>1743.4323389248684</c:v>
                </c:pt>
                <c:pt idx="34">
                  <c:v>1750.9148811520138</c:v>
                </c:pt>
                <c:pt idx="35">
                  <c:v>1758.3974233791591</c:v>
                </c:pt>
                <c:pt idx="36">
                  <c:v>1765.8799656063045</c:v>
                </c:pt>
                <c:pt idx="37">
                  <c:v>1773.3625078334499</c:v>
                </c:pt>
                <c:pt idx="38">
                  <c:v>1780.8450500605952</c:v>
                </c:pt>
                <c:pt idx="39">
                  <c:v>1788.3275922877406</c:v>
                </c:pt>
                <c:pt idx="40">
                  <c:v>1795.8101345148859</c:v>
                </c:pt>
                <c:pt idx="41">
                  <c:v>1803.2926767420313</c:v>
                </c:pt>
                <c:pt idx="42">
                  <c:v>1810.7752189691766</c:v>
                </c:pt>
                <c:pt idx="43">
                  <c:v>1818.257761196322</c:v>
                </c:pt>
                <c:pt idx="44">
                  <c:v>1825.7403034234674</c:v>
                </c:pt>
                <c:pt idx="45">
                  <c:v>1833.2228456506127</c:v>
                </c:pt>
                <c:pt idx="46">
                  <c:v>1840.7053878777581</c:v>
                </c:pt>
                <c:pt idx="47">
                  <c:v>1848.1879301049034</c:v>
                </c:pt>
                <c:pt idx="48">
                  <c:v>1855.6704723320488</c:v>
                </c:pt>
                <c:pt idx="49">
                  <c:v>1863.1530145591942</c:v>
                </c:pt>
                <c:pt idx="50">
                  <c:v>1870.6355567863395</c:v>
                </c:pt>
                <c:pt idx="51">
                  <c:v>1878.1180990134849</c:v>
                </c:pt>
                <c:pt idx="52">
                  <c:v>1885.6006412406302</c:v>
                </c:pt>
                <c:pt idx="53">
                  <c:v>1893.0831834677756</c:v>
                </c:pt>
                <c:pt idx="54">
                  <c:v>1900.565725694921</c:v>
                </c:pt>
                <c:pt idx="55">
                  <c:v>1908.0482679220663</c:v>
                </c:pt>
                <c:pt idx="56">
                  <c:v>1915.5308101492117</c:v>
                </c:pt>
                <c:pt idx="57">
                  <c:v>1923.013352376357</c:v>
                </c:pt>
                <c:pt idx="58">
                  <c:v>1930.4958946035024</c:v>
                </c:pt>
                <c:pt idx="59">
                  <c:v>1937.9784368306478</c:v>
                </c:pt>
                <c:pt idx="60">
                  <c:v>1945.4609790577931</c:v>
                </c:pt>
                <c:pt idx="61">
                  <c:v>1952.9435212849385</c:v>
                </c:pt>
                <c:pt idx="62">
                  <c:v>1960.4260635120838</c:v>
                </c:pt>
                <c:pt idx="63">
                  <c:v>1967.9086057392292</c:v>
                </c:pt>
                <c:pt idx="64">
                  <c:v>1975.3911479663745</c:v>
                </c:pt>
                <c:pt idx="65">
                  <c:v>1982.8736901935199</c:v>
                </c:pt>
                <c:pt idx="66">
                  <c:v>1990.3562324206653</c:v>
                </c:pt>
                <c:pt idx="67">
                  <c:v>1997.8387746478106</c:v>
                </c:pt>
                <c:pt idx="68">
                  <c:v>2005.321316874956</c:v>
                </c:pt>
                <c:pt idx="69">
                  <c:v>2012.8038591021013</c:v>
                </c:pt>
                <c:pt idx="70">
                  <c:v>2020.2864013292467</c:v>
                </c:pt>
                <c:pt idx="71">
                  <c:v>2027.7689435563921</c:v>
                </c:pt>
                <c:pt idx="72">
                  <c:v>2035.2514857835374</c:v>
                </c:pt>
                <c:pt idx="73">
                  <c:v>2042.7340280106826</c:v>
                </c:pt>
                <c:pt idx="74">
                  <c:v>2050.2165702378279</c:v>
                </c:pt>
                <c:pt idx="75">
                  <c:v>2057.6991124649735</c:v>
                </c:pt>
                <c:pt idx="76">
                  <c:v>2065.1816546921186</c:v>
                </c:pt>
                <c:pt idx="77">
                  <c:v>2072.6641969192642</c:v>
                </c:pt>
                <c:pt idx="78">
                  <c:v>2080.1467391464093</c:v>
                </c:pt>
                <c:pt idx="79">
                  <c:v>2087.6292813735549</c:v>
                </c:pt>
                <c:pt idx="80">
                  <c:v>2095.1118236007001</c:v>
                </c:pt>
                <c:pt idx="81">
                  <c:v>2102.5943658278456</c:v>
                </c:pt>
                <c:pt idx="82">
                  <c:v>2110.0769080549908</c:v>
                </c:pt>
                <c:pt idx="83">
                  <c:v>2117.5594502821364</c:v>
                </c:pt>
                <c:pt idx="84">
                  <c:v>2125.0419925092815</c:v>
                </c:pt>
                <c:pt idx="85">
                  <c:v>2132.5245347364266</c:v>
                </c:pt>
                <c:pt idx="86">
                  <c:v>2140.0070769635722</c:v>
                </c:pt>
                <c:pt idx="87">
                  <c:v>2147.4896191907173</c:v>
                </c:pt>
                <c:pt idx="88">
                  <c:v>2154.9721614178629</c:v>
                </c:pt>
                <c:pt idx="89">
                  <c:v>2162.4547036450081</c:v>
                </c:pt>
                <c:pt idx="90">
                  <c:v>2169.9372458721537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F6-438E-A789-2D16A99A8DC1}"/>
            </c:ext>
          </c:extLst>
        </c:ser>
        <c:ser>
          <c:idx val="2"/>
          <c:order val="2"/>
          <c:tx>
            <c:v>Tmax</c:v>
          </c:tx>
          <c:marker>
            <c:symbol val="none"/>
          </c:marker>
          <c:xVal>
            <c:numRef>
              <c:f>'10 - Cruise Plots'!$P$53:$P$163</c:f>
              <c:numCache>
                <c:formatCode>General</c:formatCode>
                <c:ptCount val="11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1.01</c:v>
                </c:pt>
                <c:pt idx="92">
                  <c:v>1.02</c:v>
                </c:pt>
                <c:pt idx="93">
                  <c:v>1.03</c:v>
                </c:pt>
                <c:pt idx="94">
                  <c:v>1.04</c:v>
                </c:pt>
                <c:pt idx="95">
                  <c:v>1.05</c:v>
                </c:pt>
                <c:pt idx="96">
                  <c:v>1.06</c:v>
                </c:pt>
                <c:pt idx="97">
                  <c:v>1.07</c:v>
                </c:pt>
                <c:pt idx="98">
                  <c:v>1.08</c:v>
                </c:pt>
                <c:pt idx="99">
                  <c:v>1.0900000000000001</c:v>
                </c:pt>
                <c:pt idx="100">
                  <c:v>1.1000000000000001</c:v>
                </c:pt>
                <c:pt idx="101">
                  <c:v>1.1100000000000001</c:v>
                </c:pt>
                <c:pt idx="102">
                  <c:v>1.1200000000000001</c:v>
                </c:pt>
                <c:pt idx="103">
                  <c:v>1.1299999999999999</c:v>
                </c:pt>
                <c:pt idx="104">
                  <c:v>1.1399999999999999</c:v>
                </c:pt>
                <c:pt idx="105">
                  <c:v>1.1499999999999999</c:v>
                </c:pt>
                <c:pt idx="106">
                  <c:v>1.1599999999999999</c:v>
                </c:pt>
                <c:pt idx="107">
                  <c:v>1.17</c:v>
                </c:pt>
                <c:pt idx="108">
                  <c:v>1.18</c:v>
                </c:pt>
                <c:pt idx="109">
                  <c:v>1.19</c:v>
                </c:pt>
                <c:pt idx="110">
                  <c:v>1.2</c:v>
                </c:pt>
              </c:numCache>
            </c:numRef>
          </c:xVal>
          <c:yVal>
            <c:numRef>
              <c:f>'10 - Cruise Plots'!$S$53:$S$163</c:f>
              <c:numCache>
                <c:formatCode>General</c:formatCode>
                <c:ptCount val="111"/>
                <c:pt idx="0">
                  <c:v>2252.2452103707528</c:v>
                </c:pt>
                <c:pt idx="1">
                  <c:v>2271.6998201613305</c:v>
                </c:pt>
                <c:pt idx="2">
                  <c:v>2291.1544299519087</c:v>
                </c:pt>
                <c:pt idx="3">
                  <c:v>2310.6090397424864</c:v>
                </c:pt>
                <c:pt idx="4">
                  <c:v>2330.0636495330646</c:v>
                </c:pt>
                <c:pt idx="5">
                  <c:v>2349.5182593236423</c:v>
                </c:pt>
                <c:pt idx="6">
                  <c:v>2368.9728691142204</c:v>
                </c:pt>
                <c:pt idx="7">
                  <c:v>2388.4274789047986</c:v>
                </c:pt>
                <c:pt idx="8">
                  <c:v>2407.8820886953763</c:v>
                </c:pt>
                <c:pt idx="9">
                  <c:v>2427.336698485954</c:v>
                </c:pt>
                <c:pt idx="10">
                  <c:v>2446.7913082765322</c:v>
                </c:pt>
                <c:pt idx="11">
                  <c:v>2466.2459180671099</c:v>
                </c:pt>
                <c:pt idx="12">
                  <c:v>2485.700527857688</c:v>
                </c:pt>
                <c:pt idx="13">
                  <c:v>2505.1551376482662</c:v>
                </c:pt>
                <c:pt idx="14">
                  <c:v>2524.6097474388439</c:v>
                </c:pt>
                <c:pt idx="15">
                  <c:v>2544.0643572294221</c:v>
                </c:pt>
                <c:pt idx="16">
                  <c:v>2563.5189670199998</c:v>
                </c:pt>
                <c:pt idx="17">
                  <c:v>2582.9735768105779</c:v>
                </c:pt>
                <c:pt idx="18">
                  <c:v>2602.4281866011556</c:v>
                </c:pt>
                <c:pt idx="19">
                  <c:v>2621.8827963917333</c:v>
                </c:pt>
                <c:pt idx="20">
                  <c:v>2641.3374061823115</c:v>
                </c:pt>
                <c:pt idx="21">
                  <c:v>2660.7920159728897</c:v>
                </c:pt>
                <c:pt idx="22">
                  <c:v>2680.2466257634674</c:v>
                </c:pt>
                <c:pt idx="23">
                  <c:v>2699.7012355540455</c:v>
                </c:pt>
                <c:pt idx="24">
                  <c:v>2719.1558453446232</c:v>
                </c:pt>
                <c:pt idx="25">
                  <c:v>2738.6104551352009</c:v>
                </c:pt>
                <c:pt idx="26">
                  <c:v>2758.0650649257791</c:v>
                </c:pt>
                <c:pt idx="27">
                  <c:v>2777.5196747163568</c:v>
                </c:pt>
                <c:pt idx="28">
                  <c:v>2796.974284506935</c:v>
                </c:pt>
                <c:pt idx="29">
                  <c:v>2816.4288942975127</c:v>
                </c:pt>
                <c:pt idx="30">
                  <c:v>2835.8835040880908</c:v>
                </c:pt>
                <c:pt idx="31">
                  <c:v>2855.3381138786685</c:v>
                </c:pt>
                <c:pt idx="32">
                  <c:v>2874.7927236692467</c:v>
                </c:pt>
                <c:pt idx="33">
                  <c:v>2894.2473334598244</c:v>
                </c:pt>
                <c:pt idx="34">
                  <c:v>2913.7019432504026</c:v>
                </c:pt>
                <c:pt idx="35">
                  <c:v>2933.1565530409807</c:v>
                </c:pt>
                <c:pt idx="36">
                  <c:v>2952.6111628315584</c:v>
                </c:pt>
                <c:pt idx="37">
                  <c:v>2972.0657726221361</c:v>
                </c:pt>
                <c:pt idx="38">
                  <c:v>2991.5203824127143</c:v>
                </c:pt>
                <c:pt idx="39">
                  <c:v>3010.974992203292</c:v>
                </c:pt>
                <c:pt idx="40">
                  <c:v>3030.4296019938702</c:v>
                </c:pt>
                <c:pt idx="41">
                  <c:v>3049.8842117844479</c:v>
                </c:pt>
                <c:pt idx="42">
                  <c:v>3069.338821575026</c:v>
                </c:pt>
                <c:pt idx="43">
                  <c:v>3088.7934313656037</c:v>
                </c:pt>
                <c:pt idx="44">
                  <c:v>3108.2480411561819</c:v>
                </c:pt>
                <c:pt idx="45">
                  <c:v>3127.7026509467596</c:v>
                </c:pt>
                <c:pt idx="46">
                  <c:v>3147.1572607373378</c:v>
                </c:pt>
                <c:pt idx="47">
                  <c:v>3166.6118705279155</c:v>
                </c:pt>
                <c:pt idx="48">
                  <c:v>3186.0664803184932</c:v>
                </c:pt>
                <c:pt idx="49">
                  <c:v>3205.5210901090713</c:v>
                </c:pt>
                <c:pt idx="50">
                  <c:v>3224.975699899649</c:v>
                </c:pt>
                <c:pt idx="51">
                  <c:v>3244.4303096902272</c:v>
                </c:pt>
                <c:pt idx="52">
                  <c:v>3263.8849194808049</c:v>
                </c:pt>
                <c:pt idx="53">
                  <c:v>3283.3395292713831</c:v>
                </c:pt>
                <c:pt idx="54">
                  <c:v>3302.7941390619608</c:v>
                </c:pt>
                <c:pt idx="55">
                  <c:v>3322.2487488525389</c:v>
                </c:pt>
                <c:pt idx="56">
                  <c:v>3341.7033586431166</c:v>
                </c:pt>
                <c:pt idx="57">
                  <c:v>3361.1579684336948</c:v>
                </c:pt>
                <c:pt idx="58">
                  <c:v>3380.6125782242725</c:v>
                </c:pt>
                <c:pt idx="59">
                  <c:v>3400.0671880148502</c:v>
                </c:pt>
                <c:pt idx="60">
                  <c:v>3419.5217978054284</c:v>
                </c:pt>
                <c:pt idx="61">
                  <c:v>3438.9764075960065</c:v>
                </c:pt>
                <c:pt idx="62">
                  <c:v>3458.4310173865842</c:v>
                </c:pt>
                <c:pt idx="63">
                  <c:v>3477.885627177162</c:v>
                </c:pt>
                <c:pt idx="64">
                  <c:v>3497.3402369677401</c:v>
                </c:pt>
                <c:pt idx="65">
                  <c:v>3516.7948467583183</c:v>
                </c:pt>
                <c:pt idx="66">
                  <c:v>3536.249456548896</c:v>
                </c:pt>
                <c:pt idx="67">
                  <c:v>3555.7040663394737</c:v>
                </c:pt>
                <c:pt idx="68">
                  <c:v>3575.1586761300518</c:v>
                </c:pt>
                <c:pt idx="69">
                  <c:v>3594.61328592063</c:v>
                </c:pt>
                <c:pt idx="70">
                  <c:v>3614.0678957112077</c:v>
                </c:pt>
                <c:pt idx="71">
                  <c:v>3633.5225055017859</c:v>
                </c:pt>
                <c:pt idx="72">
                  <c:v>3652.9771152923636</c:v>
                </c:pt>
                <c:pt idx="73">
                  <c:v>3672.4317250829413</c:v>
                </c:pt>
                <c:pt idx="74">
                  <c:v>3691.8863348735194</c:v>
                </c:pt>
                <c:pt idx="75">
                  <c:v>3711.3409446640972</c:v>
                </c:pt>
                <c:pt idx="76">
                  <c:v>3730.7955544546753</c:v>
                </c:pt>
                <c:pt idx="77">
                  <c:v>3750.250164245253</c:v>
                </c:pt>
                <c:pt idx="78">
                  <c:v>3769.7047740358312</c:v>
                </c:pt>
                <c:pt idx="79">
                  <c:v>3789.1593838264089</c:v>
                </c:pt>
                <c:pt idx="80">
                  <c:v>3808.613993616987</c:v>
                </c:pt>
                <c:pt idx="81">
                  <c:v>3828.0686034075652</c:v>
                </c:pt>
                <c:pt idx="82">
                  <c:v>3847.5232131981429</c:v>
                </c:pt>
                <c:pt idx="83">
                  <c:v>3866.9778229887211</c:v>
                </c:pt>
                <c:pt idx="84">
                  <c:v>3886.4324327792988</c:v>
                </c:pt>
                <c:pt idx="85">
                  <c:v>3905.8870425698765</c:v>
                </c:pt>
                <c:pt idx="86">
                  <c:v>3925.3416523604546</c:v>
                </c:pt>
                <c:pt idx="87">
                  <c:v>3944.7962621510324</c:v>
                </c:pt>
                <c:pt idx="88">
                  <c:v>3964.2508719416105</c:v>
                </c:pt>
                <c:pt idx="89">
                  <c:v>3983.7054817321882</c:v>
                </c:pt>
                <c:pt idx="90">
                  <c:v>4003.1600915227664</c:v>
                </c:pt>
                <c:pt idx="91">
                  <c:v>4022.6147013133445</c:v>
                </c:pt>
                <c:pt idx="92">
                  <c:v>4042.0693111039222</c:v>
                </c:pt>
                <c:pt idx="93">
                  <c:v>4061.5239208945004</c:v>
                </c:pt>
                <c:pt idx="94">
                  <c:v>4080.9785306850781</c:v>
                </c:pt>
                <c:pt idx="95">
                  <c:v>4100.4331404756558</c:v>
                </c:pt>
                <c:pt idx="96">
                  <c:v>4119.8877502662344</c:v>
                </c:pt>
                <c:pt idx="97">
                  <c:v>4139.3423600568121</c:v>
                </c:pt>
                <c:pt idx="98">
                  <c:v>4158.7969698473898</c:v>
                </c:pt>
                <c:pt idx="99">
                  <c:v>4178.2515796379685</c:v>
                </c:pt>
                <c:pt idx="100">
                  <c:v>4197.7061894285462</c:v>
                </c:pt>
                <c:pt idx="101">
                  <c:v>4217.1607992191239</c:v>
                </c:pt>
                <c:pt idx="102">
                  <c:v>4236.6154090097016</c:v>
                </c:pt>
                <c:pt idx="103">
                  <c:v>4256.0700188002793</c:v>
                </c:pt>
                <c:pt idx="104">
                  <c:v>4275.5246285908579</c:v>
                </c:pt>
                <c:pt idx="105">
                  <c:v>4294.9792383814356</c:v>
                </c:pt>
                <c:pt idx="106">
                  <c:v>4314.4338481720133</c:v>
                </c:pt>
                <c:pt idx="107">
                  <c:v>4333.888457962591</c:v>
                </c:pt>
                <c:pt idx="108">
                  <c:v>4353.3430677531696</c:v>
                </c:pt>
                <c:pt idx="109">
                  <c:v>4372.7976775437473</c:v>
                </c:pt>
                <c:pt idx="110">
                  <c:v>4392.252287334325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EF6-438E-A789-2D16A99A8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58608"/>
        <c:axId val="57260048"/>
      </c:scatterChart>
      <c:valAx>
        <c:axId val="57258608"/>
        <c:scaling>
          <c:orientation val="minMax"/>
          <c:max val="1.2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Mach Number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260048"/>
        <c:crosses val="autoZero"/>
        <c:crossBetween val="midCat"/>
      </c:valAx>
      <c:valAx>
        <c:axId val="57260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Thrust/Drag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25860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40k Feet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</c:v>
          </c:tx>
          <c:marker>
            <c:symbol val="none"/>
          </c:marker>
          <c:xVal>
            <c:numRef>
              <c:f>'10 - Cruise Plots'!$U$53:$U$163</c:f>
              <c:numCache>
                <c:formatCode>General</c:formatCode>
                <c:ptCount val="11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1.01</c:v>
                </c:pt>
                <c:pt idx="92">
                  <c:v>1.02</c:v>
                </c:pt>
                <c:pt idx="93">
                  <c:v>1.03</c:v>
                </c:pt>
                <c:pt idx="94">
                  <c:v>1.04</c:v>
                </c:pt>
                <c:pt idx="95">
                  <c:v>1.05</c:v>
                </c:pt>
                <c:pt idx="96">
                  <c:v>1.06</c:v>
                </c:pt>
                <c:pt idx="97">
                  <c:v>1.07</c:v>
                </c:pt>
                <c:pt idx="98">
                  <c:v>1.08</c:v>
                </c:pt>
                <c:pt idx="99">
                  <c:v>1.0900000000000001</c:v>
                </c:pt>
                <c:pt idx="100">
                  <c:v>1.1000000000000001</c:v>
                </c:pt>
                <c:pt idx="101">
                  <c:v>1.1100000000000001</c:v>
                </c:pt>
                <c:pt idx="102">
                  <c:v>1.1200000000000001</c:v>
                </c:pt>
                <c:pt idx="103">
                  <c:v>1.1299999999999999</c:v>
                </c:pt>
                <c:pt idx="104">
                  <c:v>1.1399999999999999</c:v>
                </c:pt>
                <c:pt idx="105">
                  <c:v>1.1499999999999999</c:v>
                </c:pt>
                <c:pt idx="106">
                  <c:v>1.1599999999999999</c:v>
                </c:pt>
                <c:pt idx="107">
                  <c:v>1.17</c:v>
                </c:pt>
                <c:pt idx="108">
                  <c:v>1.18</c:v>
                </c:pt>
                <c:pt idx="109">
                  <c:v>1.19</c:v>
                </c:pt>
                <c:pt idx="110">
                  <c:v>1.2</c:v>
                </c:pt>
              </c:numCache>
            </c:numRef>
          </c:xVal>
          <c:yVal>
            <c:numRef>
              <c:f>'10 - Cruise Plots'!$V$53:$V$163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2360.882027728353</c:v>
                </c:pt>
                <c:pt idx="43">
                  <c:v>2225.5439605724268</c:v>
                </c:pt>
                <c:pt idx="44">
                  <c:v>2087.6130640094111</c:v>
                </c:pt>
                <c:pt idx="45">
                  <c:v>1947.0887787157494</c:v>
                </c:pt>
                <c:pt idx="46">
                  <c:v>1837.8132774615115</c:v>
                </c:pt>
                <c:pt idx="47">
                  <c:v>1745.9073745308851</c:v>
                </c:pt>
                <c:pt idx="48">
                  <c:v>1652.3587383112397</c:v>
                </c:pt>
                <c:pt idx="49">
                  <c:v>1557.1668094790177</c:v>
                </c:pt>
                <c:pt idx="50">
                  <c:v>1468.8090335767547</c:v>
                </c:pt>
                <c:pt idx="51">
                  <c:v>1412.6276856011509</c:v>
                </c:pt>
                <c:pt idx="52">
                  <c:v>1355.5005214894456</c:v>
                </c:pt>
                <c:pt idx="53">
                  <c:v>1297.4269819180811</c:v>
                </c:pt>
                <c:pt idx="54">
                  <c:v>1238.4065075634992</c:v>
                </c:pt>
                <c:pt idx="55">
                  <c:v>1178.4385391021424</c:v>
                </c:pt>
                <c:pt idx="56">
                  <c:v>1134.5154453401406</c:v>
                </c:pt>
                <c:pt idx="57">
                  <c:v>1107.3661595102751</c:v>
                </c:pt>
                <c:pt idx="58">
                  <c:v>1079.7897369234984</c:v>
                </c:pt>
                <c:pt idx="59">
                  <c:v>1051.7856182562539</c:v>
                </c:pt>
                <c:pt idx="60">
                  <c:v>1023.353244184982</c:v>
                </c:pt>
                <c:pt idx="61">
                  <c:v>993.74018061303411</c:v>
                </c:pt>
                <c:pt idx="62">
                  <c:v>964.36427022955866</c:v>
                </c:pt>
                <c:pt idx="63">
                  <c:v>935.23893679994092</c:v>
                </c:pt>
                <c:pt idx="64">
                  <c:v>917.74402829635915</c:v>
                </c:pt>
                <c:pt idx="65">
                  <c:v>903.62148134634469</c:v>
                </c:pt>
                <c:pt idx="66">
                  <c:v>889.28825585625634</c:v>
                </c:pt>
                <c:pt idx="67">
                  <c:v>874.74379250253696</c:v>
                </c:pt>
                <c:pt idx="68">
                  <c:v>859.98753196162772</c:v>
                </c:pt>
                <c:pt idx="69">
                  <c:v>855.98878161634104</c:v>
                </c:pt>
                <c:pt idx="70">
                  <c:v>856.50011987383687</c:v>
                </c:pt>
                <c:pt idx="71">
                  <c:v>860.05347913087269</c:v>
                </c:pt>
                <c:pt idx="72">
                  <c:v>863.74214807858004</c:v>
                </c:pt>
                <c:pt idx="73">
                  <c:v>867.56836401118937</c:v>
                </c:pt>
                <c:pt idx="74">
                  <c:v>871.53436422293203</c:v>
                </c:pt>
                <c:pt idx="75">
                  <c:v>877.56954403215354</c:v>
                </c:pt>
                <c:pt idx="76">
                  <c:v>891.02823390678645</c:v>
                </c:pt>
                <c:pt idx="77">
                  <c:v>904.8600298826542</c:v>
                </c:pt>
                <c:pt idx="78">
                  <c:v>919.0701896011999</c:v>
                </c:pt>
                <c:pt idx="79">
                  <c:v>933.6639707038662</c:v>
                </c:pt>
                <c:pt idx="80">
                  <c:v>948.64663083209518</c:v>
                </c:pt>
                <c:pt idx="81">
                  <c:v>966.75856319572051</c:v>
                </c:pt>
                <c:pt idx="82">
                  <c:v>985.32447984702696</c:v>
                </c:pt>
                <c:pt idx="83">
                  <c:v>1014.4288447007855</c:v>
                </c:pt>
                <c:pt idx="84">
                  <c:v>1044.4353052325507</c:v>
                </c:pt>
                <c:pt idx="85">
                  <c:v>1117.42279811599</c:v>
                </c:pt>
                <c:pt idx="86">
                  <c:v>1193.119188210052</c:v>
                </c:pt>
                <c:pt idx="87">
                  <c:v>1393.3528938331744</c:v>
                </c:pt>
                <c:pt idx="88">
                  <c:v>1601.3221374801337</c:v>
                </c:pt>
                <c:pt idx="89">
                  <c:v>1715.4874238415339</c:v>
                </c:pt>
                <c:pt idx="90">
                  <c:v>1833.3930000539897</c:v>
                </c:pt>
                <c:pt idx="91">
                  <c:v>1908.6187031784909</c:v>
                </c:pt>
                <c:pt idx="92">
                  <c:v>1985.742377575516</c:v>
                </c:pt>
                <c:pt idx="93">
                  <c:v>2053.4429516926612</c:v>
                </c:pt>
                <c:pt idx="94">
                  <c:v>2124.9167559453685</c:v>
                </c:pt>
                <c:pt idx="95">
                  <c:v>2190.2841130530032</c:v>
                </c:pt>
                <c:pt idx="96">
                  <c:v>2256.8108546751946</c:v>
                </c:pt>
                <c:pt idx="97">
                  <c:v>2325.4753649840741</c:v>
                </c:pt>
                <c:pt idx="98">
                  <c:v>2395.3032682930084</c:v>
                </c:pt>
                <c:pt idx="99">
                  <c:v>2460.768541072332</c:v>
                </c:pt>
                <c:pt idx="100">
                  <c:v>2527.2165453425673</c:v>
                </c:pt>
                <c:pt idx="101">
                  <c:v>2588.5430898369195</c:v>
                </c:pt>
                <c:pt idx="102">
                  <c:v>2650.6706975306361</c:v>
                </c:pt>
                <c:pt idx="103">
                  <c:v>2713.605632847562</c:v>
                </c:pt>
                <c:pt idx="104">
                  <c:v>2777.3541602115461</c:v>
                </c:pt>
                <c:pt idx="105">
                  <c:v>2841.9225440464334</c:v>
                </c:pt>
                <c:pt idx="106">
                  <c:v>2902.1574209187629</c:v>
                </c:pt>
                <c:pt idx="107">
                  <c:v>2963.1291133577929</c:v>
                </c:pt>
                <c:pt idx="108">
                  <c:v>3024.8426552755441</c:v>
                </c:pt>
                <c:pt idx="109">
                  <c:v>3087.3030805840349</c:v>
                </c:pt>
                <c:pt idx="110">
                  <c:v>3150.5154231952847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FD-4D36-8476-C7EC45928D05}"/>
            </c:ext>
          </c:extLst>
        </c:ser>
        <c:ser>
          <c:idx val="1"/>
          <c:order val="1"/>
          <c:tx>
            <c:v>Tmil</c:v>
          </c:tx>
          <c:marker>
            <c:symbol val="none"/>
          </c:marker>
          <c:xVal>
            <c:numRef>
              <c:f>'10 - Cruise Plots'!$U$53:$U$163</c:f>
              <c:numCache>
                <c:formatCode>General</c:formatCode>
                <c:ptCount val="11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1.01</c:v>
                </c:pt>
                <c:pt idx="92">
                  <c:v>1.02</c:v>
                </c:pt>
                <c:pt idx="93">
                  <c:v>1.03</c:v>
                </c:pt>
                <c:pt idx="94">
                  <c:v>1.04</c:v>
                </c:pt>
                <c:pt idx="95">
                  <c:v>1.05</c:v>
                </c:pt>
                <c:pt idx="96">
                  <c:v>1.06</c:v>
                </c:pt>
                <c:pt idx="97">
                  <c:v>1.07</c:v>
                </c:pt>
                <c:pt idx="98">
                  <c:v>1.08</c:v>
                </c:pt>
                <c:pt idx="99">
                  <c:v>1.0900000000000001</c:v>
                </c:pt>
                <c:pt idx="100">
                  <c:v>1.1000000000000001</c:v>
                </c:pt>
                <c:pt idx="101">
                  <c:v>1.1100000000000001</c:v>
                </c:pt>
                <c:pt idx="102">
                  <c:v>1.1200000000000001</c:v>
                </c:pt>
                <c:pt idx="103">
                  <c:v>1.1299999999999999</c:v>
                </c:pt>
                <c:pt idx="104">
                  <c:v>1.1399999999999999</c:v>
                </c:pt>
                <c:pt idx="105">
                  <c:v>1.1499999999999999</c:v>
                </c:pt>
                <c:pt idx="106">
                  <c:v>1.1599999999999999</c:v>
                </c:pt>
                <c:pt idx="107">
                  <c:v>1.17</c:v>
                </c:pt>
                <c:pt idx="108">
                  <c:v>1.18</c:v>
                </c:pt>
                <c:pt idx="109">
                  <c:v>1.19</c:v>
                </c:pt>
                <c:pt idx="110">
                  <c:v>1.2</c:v>
                </c:pt>
              </c:numCache>
            </c:numRef>
          </c:xVal>
          <c:yVal>
            <c:numRef>
              <c:f>'10 - Cruise Plots'!$W$53:$W$163</c:f>
              <c:numCache>
                <c:formatCode>General</c:formatCode>
                <c:ptCount val="111"/>
                <c:pt idx="0">
                  <c:v>994.52472833626018</c:v>
                </c:pt>
                <c:pt idx="1">
                  <c:v>1000.4327960293468</c:v>
                </c:pt>
                <c:pt idx="2">
                  <c:v>1006.3408637224336</c:v>
                </c:pt>
                <c:pt idx="3">
                  <c:v>1012.2489314155202</c:v>
                </c:pt>
                <c:pt idx="4">
                  <c:v>1018.1569991086069</c:v>
                </c:pt>
                <c:pt idx="5">
                  <c:v>1024.0650668016935</c:v>
                </c:pt>
                <c:pt idx="6">
                  <c:v>1029.9731344947802</c:v>
                </c:pt>
                <c:pt idx="7">
                  <c:v>1035.8812021878671</c:v>
                </c:pt>
                <c:pt idx="8">
                  <c:v>1041.7892698809537</c:v>
                </c:pt>
                <c:pt idx="9">
                  <c:v>1047.6973375740404</c:v>
                </c:pt>
                <c:pt idx="10">
                  <c:v>1053.605405267127</c:v>
                </c:pt>
                <c:pt idx="11">
                  <c:v>1059.5134729602137</c:v>
                </c:pt>
                <c:pt idx="12">
                  <c:v>1065.4215406533003</c:v>
                </c:pt>
                <c:pt idx="13">
                  <c:v>1071.3296083463872</c:v>
                </c:pt>
                <c:pt idx="14">
                  <c:v>1077.2376760394739</c:v>
                </c:pt>
                <c:pt idx="15">
                  <c:v>1083.1457437325605</c:v>
                </c:pt>
                <c:pt idx="16">
                  <c:v>1089.0538114256472</c:v>
                </c:pt>
                <c:pt idx="17">
                  <c:v>1094.9618791187338</c:v>
                </c:pt>
                <c:pt idx="18">
                  <c:v>1100.8699468118207</c:v>
                </c:pt>
                <c:pt idx="19">
                  <c:v>1106.7780145049073</c:v>
                </c:pt>
                <c:pt idx="20">
                  <c:v>1112.686082197994</c:v>
                </c:pt>
                <c:pt idx="21">
                  <c:v>1118.5941498910806</c:v>
                </c:pt>
                <c:pt idx="22">
                  <c:v>1124.5022175841673</c:v>
                </c:pt>
                <c:pt idx="23">
                  <c:v>1130.4102852772542</c:v>
                </c:pt>
                <c:pt idx="24">
                  <c:v>1136.3183529703408</c:v>
                </c:pt>
                <c:pt idx="25">
                  <c:v>1142.2264206634275</c:v>
                </c:pt>
                <c:pt idx="26">
                  <c:v>1148.1344883565141</c:v>
                </c:pt>
                <c:pt idx="27">
                  <c:v>1154.0425560496008</c:v>
                </c:pt>
                <c:pt idx="28">
                  <c:v>1159.9506237426876</c:v>
                </c:pt>
                <c:pt idx="29">
                  <c:v>1165.8586914357743</c:v>
                </c:pt>
                <c:pt idx="30">
                  <c:v>1171.7667591288609</c:v>
                </c:pt>
                <c:pt idx="31">
                  <c:v>1177.6748268219476</c:v>
                </c:pt>
                <c:pt idx="32">
                  <c:v>1183.5828945150342</c:v>
                </c:pt>
                <c:pt idx="33">
                  <c:v>1189.4909622081211</c:v>
                </c:pt>
                <c:pt idx="34">
                  <c:v>1195.3990299012078</c:v>
                </c:pt>
                <c:pt idx="35">
                  <c:v>1201.3070975942944</c:v>
                </c:pt>
                <c:pt idx="36">
                  <c:v>1207.2151652873811</c:v>
                </c:pt>
                <c:pt idx="37">
                  <c:v>1213.1232329804677</c:v>
                </c:pt>
                <c:pt idx="38">
                  <c:v>1219.0313006735546</c:v>
                </c:pt>
                <c:pt idx="39">
                  <c:v>1224.9393683666412</c:v>
                </c:pt>
                <c:pt idx="40">
                  <c:v>1230.8474360597279</c:v>
                </c:pt>
                <c:pt idx="41">
                  <c:v>1236.7555037528145</c:v>
                </c:pt>
                <c:pt idx="42">
                  <c:v>1242.6635714459012</c:v>
                </c:pt>
                <c:pt idx="43">
                  <c:v>1248.5716391389881</c:v>
                </c:pt>
                <c:pt idx="44">
                  <c:v>1254.4797068320747</c:v>
                </c:pt>
                <c:pt idx="45">
                  <c:v>1260.3877745251614</c:v>
                </c:pt>
                <c:pt idx="46">
                  <c:v>1266.295842218248</c:v>
                </c:pt>
                <c:pt idx="47">
                  <c:v>1272.2039099113347</c:v>
                </c:pt>
                <c:pt idx="48">
                  <c:v>1278.1119776044216</c:v>
                </c:pt>
                <c:pt idx="49">
                  <c:v>1284.0200452975082</c:v>
                </c:pt>
                <c:pt idx="50">
                  <c:v>1289.9281129905949</c:v>
                </c:pt>
                <c:pt idx="51">
                  <c:v>1295.8361806836815</c:v>
                </c:pt>
                <c:pt idx="52">
                  <c:v>1301.7442483767682</c:v>
                </c:pt>
                <c:pt idx="53">
                  <c:v>1307.652316069855</c:v>
                </c:pt>
                <c:pt idx="54">
                  <c:v>1313.5603837629417</c:v>
                </c:pt>
                <c:pt idx="55">
                  <c:v>1319.4684514560283</c:v>
                </c:pt>
                <c:pt idx="56">
                  <c:v>1325.376519149115</c:v>
                </c:pt>
                <c:pt idx="57">
                  <c:v>1331.2845868422019</c:v>
                </c:pt>
                <c:pt idx="58">
                  <c:v>1337.1926545352885</c:v>
                </c:pt>
                <c:pt idx="59">
                  <c:v>1343.1007222283752</c:v>
                </c:pt>
                <c:pt idx="60">
                  <c:v>1349.0087899214618</c:v>
                </c:pt>
                <c:pt idx="61">
                  <c:v>1354.9168576145485</c:v>
                </c:pt>
                <c:pt idx="62">
                  <c:v>1360.8249253076351</c:v>
                </c:pt>
                <c:pt idx="63">
                  <c:v>1366.732993000722</c:v>
                </c:pt>
                <c:pt idx="64">
                  <c:v>1372.6410606938086</c:v>
                </c:pt>
                <c:pt idx="65">
                  <c:v>1378.5491283868953</c:v>
                </c:pt>
                <c:pt idx="66">
                  <c:v>1384.4571960799819</c:v>
                </c:pt>
                <c:pt idx="67">
                  <c:v>1390.3652637730686</c:v>
                </c:pt>
                <c:pt idx="68">
                  <c:v>1396.2733314661555</c:v>
                </c:pt>
                <c:pt idx="69">
                  <c:v>1402.1813991592421</c:v>
                </c:pt>
                <c:pt idx="70">
                  <c:v>1408.0894668523288</c:v>
                </c:pt>
                <c:pt idx="71">
                  <c:v>1413.9975345454154</c:v>
                </c:pt>
                <c:pt idx="72">
                  <c:v>1419.9056022385021</c:v>
                </c:pt>
                <c:pt idx="73">
                  <c:v>1425.8136699315887</c:v>
                </c:pt>
                <c:pt idx="74">
                  <c:v>1431.7217376246756</c:v>
                </c:pt>
                <c:pt idx="75">
                  <c:v>1437.6298053177622</c:v>
                </c:pt>
                <c:pt idx="76">
                  <c:v>1443.5378730108489</c:v>
                </c:pt>
                <c:pt idx="77">
                  <c:v>1449.4459407039355</c:v>
                </c:pt>
                <c:pt idx="78">
                  <c:v>1455.3540083970224</c:v>
                </c:pt>
                <c:pt idx="79">
                  <c:v>1461.2620760901091</c:v>
                </c:pt>
                <c:pt idx="80">
                  <c:v>1467.1701437831957</c:v>
                </c:pt>
                <c:pt idx="81">
                  <c:v>1473.0782114762824</c:v>
                </c:pt>
                <c:pt idx="82">
                  <c:v>1478.986279169369</c:v>
                </c:pt>
                <c:pt idx="83">
                  <c:v>1484.8943468624559</c:v>
                </c:pt>
                <c:pt idx="84">
                  <c:v>1490.8024145555426</c:v>
                </c:pt>
                <c:pt idx="85">
                  <c:v>1496.7104822486292</c:v>
                </c:pt>
                <c:pt idx="86">
                  <c:v>1502.6185499417159</c:v>
                </c:pt>
                <c:pt idx="87">
                  <c:v>1508.5266176348025</c:v>
                </c:pt>
                <c:pt idx="88">
                  <c:v>1514.4346853278894</c:v>
                </c:pt>
                <c:pt idx="89">
                  <c:v>1520.342753020976</c:v>
                </c:pt>
                <c:pt idx="90">
                  <c:v>1526.2508207140627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FD-4D36-8476-C7EC45928D05}"/>
            </c:ext>
          </c:extLst>
        </c:ser>
        <c:ser>
          <c:idx val="2"/>
          <c:order val="2"/>
          <c:tx>
            <c:v>Tmax</c:v>
          </c:tx>
          <c:marker>
            <c:symbol val="none"/>
          </c:marker>
          <c:xVal>
            <c:numRef>
              <c:f>'10 - Cruise Plots'!$U$53:$U$163</c:f>
              <c:numCache>
                <c:formatCode>General</c:formatCode>
                <c:ptCount val="11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1.01</c:v>
                </c:pt>
                <c:pt idx="92">
                  <c:v>1.02</c:v>
                </c:pt>
                <c:pt idx="93">
                  <c:v>1.03</c:v>
                </c:pt>
                <c:pt idx="94">
                  <c:v>1.04</c:v>
                </c:pt>
                <c:pt idx="95">
                  <c:v>1.05</c:v>
                </c:pt>
                <c:pt idx="96">
                  <c:v>1.06</c:v>
                </c:pt>
                <c:pt idx="97">
                  <c:v>1.07</c:v>
                </c:pt>
                <c:pt idx="98">
                  <c:v>1.08</c:v>
                </c:pt>
                <c:pt idx="99">
                  <c:v>1.0900000000000001</c:v>
                </c:pt>
                <c:pt idx="100">
                  <c:v>1.1000000000000001</c:v>
                </c:pt>
                <c:pt idx="101">
                  <c:v>1.1100000000000001</c:v>
                </c:pt>
                <c:pt idx="102">
                  <c:v>1.1200000000000001</c:v>
                </c:pt>
                <c:pt idx="103">
                  <c:v>1.1299999999999999</c:v>
                </c:pt>
                <c:pt idx="104">
                  <c:v>1.1399999999999999</c:v>
                </c:pt>
                <c:pt idx="105">
                  <c:v>1.1499999999999999</c:v>
                </c:pt>
                <c:pt idx="106">
                  <c:v>1.1599999999999999</c:v>
                </c:pt>
                <c:pt idx="107">
                  <c:v>1.17</c:v>
                </c:pt>
                <c:pt idx="108">
                  <c:v>1.18</c:v>
                </c:pt>
                <c:pt idx="109">
                  <c:v>1.19</c:v>
                </c:pt>
                <c:pt idx="110">
                  <c:v>1.2</c:v>
                </c:pt>
              </c:numCache>
            </c:numRef>
          </c:xVal>
          <c:yVal>
            <c:numRef>
              <c:f>'10 - Cruise Plots'!$X$53:$X$163</c:f>
              <c:numCache>
                <c:formatCode>General</c:formatCode>
                <c:ptCount val="111"/>
                <c:pt idx="0">
                  <c:v>1501.6338719928681</c:v>
                </c:pt>
                <c:pt idx="1">
                  <c:v>1516.4040412255847</c:v>
                </c:pt>
                <c:pt idx="2">
                  <c:v>1531.1742104583016</c:v>
                </c:pt>
                <c:pt idx="3">
                  <c:v>1545.9443796910182</c:v>
                </c:pt>
                <c:pt idx="4">
                  <c:v>1560.714548923735</c:v>
                </c:pt>
                <c:pt idx="5">
                  <c:v>1575.4847181564517</c:v>
                </c:pt>
                <c:pt idx="6">
                  <c:v>1590.2548873891685</c:v>
                </c:pt>
                <c:pt idx="7">
                  <c:v>1605.0250566218854</c:v>
                </c:pt>
                <c:pt idx="8">
                  <c:v>1619.795225854602</c:v>
                </c:pt>
                <c:pt idx="9">
                  <c:v>1634.5653950873186</c:v>
                </c:pt>
                <c:pt idx="10">
                  <c:v>1649.3355643200355</c:v>
                </c:pt>
                <c:pt idx="11">
                  <c:v>1664.1057335527521</c:v>
                </c:pt>
                <c:pt idx="12">
                  <c:v>1678.875902785469</c:v>
                </c:pt>
                <c:pt idx="13">
                  <c:v>1693.6460720181858</c:v>
                </c:pt>
                <c:pt idx="14">
                  <c:v>1708.4162412509024</c:v>
                </c:pt>
                <c:pt idx="15">
                  <c:v>1723.1864104836191</c:v>
                </c:pt>
                <c:pt idx="16">
                  <c:v>1737.9565797163359</c:v>
                </c:pt>
                <c:pt idx="17">
                  <c:v>1752.7267489490528</c:v>
                </c:pt>
                <c:pt idx="18">
                  <c:v>1767.4969181817694</c:v>
                </c:pt>
                <c:pt idx="19">
                  <c:v>1782.267087414486</c:v>
                </c:pt>
                <c:pt idx="20">
                  <c:v>1797.0372566472029</c:v>
                </c:pt>
                <c:pt idx="21">
                  <c:v>1811.8074258799197</c:v>
                </c:pt>
                <c:pt idx="22">
                  <c:v>1826.5775951126363</c:v>
                </c:pt>
                <c:pt idx="23">
                  <c:v>1841.3477643453532</c:v>
                </c:pt>
                <c:pt idx="24">
                  <c:v>1856.1179335780698</c:v>
                </c:pt>
                <c:pt idx="25">
                  <c:v>1870.8881028107864</c:v>
                </c:pt>
                <c:pt idx="26">
                  <c:v>1885.6582720435033</c:v>
                </c:pt>
                <c:pt idx="27">
                  <c:v>1900.4284412762199</c:v>
                </c:pt>
                <c:pt idx="28">
                  <c:v>1915.1986105089368</c:v>
                </c:pt>
                <c:pt idx="29">
                  <c:v>1929.9687797416534</c:v>
                </c:pt>
                <c:pt idx="30">
                  <c:v>1944.7389489743703</c:v>
                </c:pt>
                <c:pt idx="31">
                  <c:v>1959.5091182070869</c:v>
                </c:pt>
                <c:pt idx="32">
                  <c:v>1974.2792874398037</c:v>
                </c:pt>
                <c:pt idx="33">
                  <c:v>1989.0494566725204</c:v>
                </c:pt>
                <c:pt idx="34">
                  <c:v>2003.8196259052372</c:v>
                </c:pt>
                <c:pt idx="35">
                  <c:v>2018.5897951379538</c:v>
                </c:pt>
                <c:pt idx="36">
                  <c:v>2033.3599643706707</c:v>
                </c:pt>
                <c:pt idx="37">
                  <c:v>2048.1301336033875</c:v>
                </c:pt>
                <c:pt idx="38">
                  <c:v>2062.9003028361039</c:v>
                </c:pt>
                <c:pt idx="39">
                  <c:v>2077.6704720688208</c:v>
                </c:pt>
                <c:pt idx="40">
                  <c:v>2092.4406413015377</c:v>
                </c:pt>
                <c:pt idx="41">
                  <c:v>2107.2108105342545</c:v>
                </c:pt>
                <c:pt idx="42">
                  <c:v>2121.9809797669709</c:v>
                </c:pt>
                <c:pt idx="43">
                  <c:v>2136.7511489996878</c:v>
                </c:pt>
                <c:pt idx="44">
                  <c:v>2151.5213182324046</c:v>
                </c:pt>
                <c:pt idx="45">
                  <c:v>2166.2914874651215</c:v>
                </c:pt>
                <c:pt idx="46">
                  <c:v>2181.0616566978379</c:v>
                </c:pt>
                <c:pt idx="47">
                  <c:v>2195.8318259305547</c:v>
                </c:pt>
                <c:pt idx="48">
                  <c:v>2210.6019951632716</c:v>
                </c:pt>
                <c:pt idx="49">
                  <c:v>2225.372164395988</c:v>
                </c:pt>
                <c:pt idx="50">
                  <c:v>2240.1423336287048</c:v>
                </c:pt>
                <c:pt idx="51">
                  <c:v>2254.9125028614217</c:v>
                </c:pt>
                <c:pt idx="52">
                  <c:v>2269.6826720941385</c:v>
                </c:pt>
                <c:pt idx="53">
                  <c:v>2284.4528413268554</c:v>
                </c:pt>
                <c:pt idx="54">
                  <c:v>2299.2230105595718</c:v>
                </c:pt>
                <c:pt idx="55">
                  <c:v>2313.9931797922886</c:v>
                </c:pt>
                <c:pt idx="56">
                  <c:v>2328.7633490250055</c:v>
                </c:pt>
                <c:pt idx="57">
                  <c:v>2343.5335182577223</c:v>
                </c:pt>
                <c:pt idx="58">
                  <c:v>2358.3036874904392</c:v>
                </c:pt>
                <c:pt idx="59">
                  <c:v>2373.0738567231556</c:v>
                </c:pt>
                <c:pt idx="60">
                  <c:v>2387.8440259558724</c:v>
                </c:pt>
                <c:pt idx="61">
                  <c:v>2402.6141951885893</c:v>
                </c:pt>
                <c:pt idx="62">
                  <c:v>2417.3843644213057</c:v>
                </c:pt>
                <c:pt idx="63">
                  <c:v>2432.1545336540225</c:v>
                </c:pt>
                <c:pt idx="64">
                  <c:v>2446.9247028867394</c:v>
                </c:pt>
                <c:pt idx="65">
                  <c:v>2461.6948721194558</c:v>
                </c:pt>
                <c:pt idx="66">
                  <c:v>2476.4650413521726</c:v>
                </c:pt>
                <c:pt idx="67">
                  <c:v>2491.2352105848895</c:v>
                </c:pt>
                <c:pt idx="68">
                  <c:v>2506.0053798176064</c:v>
                </c:pt>
                <c:pt idx="69">
                  <c:v>2520.7755490503228</c:v>
                </c:pt>
                <c:pt idx="70">
                  <c:v>2535.5457182830396</c:v>
                </c:pt>
                <c:pt idx="71">
                  <c:v>2550.3158875157565</c:v>
                </c:pt>
                <c:pt idx="72">
                  <c:v>2565.0860567484729</c:v>
                </c:pt>
                <c:pt idx="73">
                  <c:v>2579.8562259811897</c:v>
                </c:pt>
                <c:pt idx="74">
                  <c:v>2594.6263952139066</c:v>
                </c:pt>
                <c:pt idx="75">
                  <c:v>2609.396564446623</c:v>
                </c:pt>
                <c:pt idx="76">
                  <c:v>2624.1667336793398</c:v>
                </c:pt>
                <c:pt idx="77">
                  <c:v>2638.9369029120567</c:v>
                </c:pt>
                <c:pt idx="78">
                  <c:v>2653.7070721447735</c:v>
                </c:pt>
                <c:pt idx="79">
                  <c:v>2668.4772413774899</c:v>
                </c:pt>
                <c:pt idx="80">
                  <c:v>2683.2474106102068</c:v>
                </c:pt>
                <c:pt idx="81">
                  <c:v>2698.0175798429236</c:v>
                </c:pt>
                <c:pt idx="82">
                  <c:v>2712.7877490756405</c:v>
                </c:pt>
                <c:pt idx="83">
                  <c:v>2727.5579183083573</c:v>
                </c:pt>
                <c:pt idx="84">
                  <c:v>2742.3280875410737</c:v>
                </c:pt>
                <c:pt idx="85">
                  <c:v>2757.0982567737906</c:v>
                </c:pt>
                <c:pt idx="86">
                  <c:v>2771.8684260065074</c:v>
                </c:pt>
                <c:pt idx="87">
                  <c:v>2786.6385952392238</c:v>
                </c:pt>
                <c:pt idx="88">
                  <c:v>2801.4087644719407</c:v>
                </c:pt>
                <c:pt idx="89">
                  <c:v>2816.1789337046575</c:v>
                </c:pt>
                <c:pt idx="90">
                  <c:v>2830.9491029373744</c:v>
                </c:pt>
                <c:pt idx="91">
                  <c:v>2845.7192721700912</c:v>
                </c:pt>
                <c:pt idx="92">
                  <c:v>2860.4894414028076</c:v>
                </c:pt>
                <c:pt idx="93">
                  <c:v>2875.2596106355245</c:v>
                </c:pt>
                <c:pt idx="94">
                  <c:v>2890.0297798682413</c:v>
                </c:pt>
                <c:pt idx="95">
                  <c:v>2904.7999491009577</c:v>
                </c:pt>
                <c:pt idx="96">
                  <c:v>2919.5701183336746</c:v>
                </c:pt>
                <c:pt idx="97">
                  <c:v>2934.3402875663915</c:v>
                </c:pt>
                <c:pt idx="98">
                  <c:v>2949.1104567991083</c:v>
                </c:pt>
                <c:pt idx="99">
                  <c:v>2963.8806260318247</c:v>
                </c:pt>
                <c:pt idx="100">
                  <c:v>2978.6507952645416</c:v>
                </c:pt>
                <c:pt idx="101">
                  <c:v>2993.4209644972584</c:v>
                </c:pt>
                <c:pt idx="102">
                  <c:v>3008.1911337299753</c:v>
                </c:pt>
                <c:pt idx="103">
                  <c:v>3022.9613029626917</c:v>
                </c:pt>
                <c:pt idx="104">
                  <c:v>3037.7314721954085</c:v>
                </c:pt>
                <c:pt idx="105">
                  <c:v>3052.5016414281254</c:v>
                </c:pt>
                <c:pt idx="106">
                  <c:v>3067.2718106608422</c:v>
                </c:pt>
                <c:pt idx="107">
                  <c:v>3082.0419798935586</c:v>
                </c:pt>
                <c:pt idx="108">
                  <c:v>3096.8121491262755</c:v>
                </c:pt>
                <c:pt idx="109">
                  <c:v>3111.5823183589923</c:v>
                </c:pt>
                <c:pt idx="110">
                  <c:v>3126.3524875917092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FD-4D36-8476-C7EC45928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502736"/>
        <c:axId val="1545504176"/>
      </c:scatterChart>
      <c:valAx>
        <c:axId val="1545502736"/>
        <c:scaling>
          <c:orientation val="minMax"/>
          <c:max val="1.2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Mach Number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45504176"/>
        <c:crosses val="autoZero"/>
        <c:crossBetween val="midCat"/>
      </c:valAx>
      <c:valAx>
        <c:axId val="15455041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Thrust/Drag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4550273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Specific Range vs Mach Number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Sea Level</c:v>
          </c:tx>
          <c:marker>
            <c:symbol val="none"/>
          </c:marker>
          <c:xVal>
            <c:numRef>
              <c:f>'10 - Cruise Plots'!$Z$54:$Z$164</c:f>
              <c:numCache>
                <c:formatCode>General</c:formatCode>
                <c:ptCount val="11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1.01</c:v>
                </c:pt>
                <c:pt idx="92">
                  <c:v>1.02</c:v>
                </c:pt>
                <c:pt idx="93">
                  <c:v>1.03</c:v>
                </c:pt>
                <c:pt idx="94">
                  <c:v>1.04</c:v>
                </c:pt>
                <c:pt idx="95">
                  <c:v>1.05</c:v>
                </c:pt>
                <c:pt idx="96">
                  <c:v>1.06</c:v>
                </c:pt>
                <c:pt idx="97">
                  <c:v>1.07</c:v>
                </c:pt>
                <c:pt idx="98">
                  <c:v>1.08</c:v>
                </c:pt>
                <c:pt idx="99">
                  <c:v>1.0900000000000001</c:v>
                </c:pt>
                <c:pt idx="100">
                  <c:v>1.1000000000000001</c:v>
                </c:pt>
                <c:pt idx="101">
                  <c:v>1.1100000000000001</c:v>
                </c:pt>
                <c:pt idx="102">
                  <c:v>1.1200000000000001</c:v>
                </c:pt>
                <c:pt idx="103">
                  <c:v>1.1299999999999999</c:v>
                </c:pt>
                <c:pt idx="104">
                  <c:v>1.1399999999999999</c:v>
                </c:pt>
                <c:pt idx="105">
                  <c:v>1.1499999999999999</c:v>
                </c:pt>
                <c:pt idx="106">
                  <c:v>1.1599999999999999</c:v>
                </c:pt>
                <c:pt idx="107">
                  <c:v>1.17</c:v>
                </c:pt>
                <c:pt idx="108">
                  <c:v>1.18</c:v>
                </c:pt>
                <c:pt idx="109">
                  <c:v>1.19</c:v>
                </c:pt>
                <c:pt idx="110">
                  <c:v>1.2</c:v>
                </c:pt>
              </c:numCache>
            </c:numRef>
          </c:xVal>
          <c:yVal>
            <c:numRef>
              <c:f>'10 - Cruise Plots'!$AA$54:$AA$164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6.4270718777698091E-2</c:v>
                </c:pt>
                <c:pt idx="14">
                  <c:v>7.7982057542015065E-2</c:v>
                </c:pt>
                <c:pt idx="15">
                  <c:v>9.1758411776301896E-2</c:v>
                </c:pt>
                <c:pt idx="16">
                  <c:v>0.10828186324910632</c:v>
                </c:pt>
                <c:pt idx="17">
                  <c:v>0.12361748533592724</c:v>
                </c:pt>
                <c:pt idx="18">
                  <c:v>0.14293614492937046</c:v>
                </c:pt>
                <c:pt idx="19">
                  <c:v>0.1581008109649682</c:v>
                </c:pt>
                <c:pt idx="20">
                  <c:v>0.17344062461512275</c:v>
                </c:pt>
                <c:pt idx="21">
                  <c:v>0.1911805834252685</c:v>
                </c:pt>
                <c:pt idx="22">
                  <c:v>0.20773103979935059</c:v>
                </c:pt>
                <c:pt idx="23">
                  <c:v>0.22162985765600574</c:v>
                </c:pt>
                <c:pt idx="24">
                  <c:v>0.23372901730309337</c:v>
                </c:pt>
                <c:pt idx="25">
                  <c:v>0.23964056055845445</c:v>
                </c:pt>
                <c:pt idx="26">
                  <c:v>0.2454914233270073</c:v>
                </c:pt>
                <c:pt idx="27">
                  <c:v>0.24948720775580147</c:v>
                </c:pt>
                <c:pt idx="28">
                  <c:v>0.25221812304946495</c:v>
                </c:pt>
                <c:pt idx="29">
                  <c:v>0.25477606711110518</c:v>
                </c:pt>
                <c:pt idx="30">
                  <c:v>0.25716728142376927</c:v>
                </c:pt>
                <c:pt idx="31">
                  <c:v>0.25939798779655382</c:v>
                </c:pt>
                <c:pt idx="32">
                  <c:v>0.26147436443608746</c:v>
                </c:pt>
                <c:pt idx="33">
                  <c:v>0.26340252479657478</c:v>
                </c:pt>
                <c:pt idx="34">
                  <c:v>0.26518849904709818</c:v>
                </c:pt>
                <c:pt idx="35">
                  <c:v>0.26554574057318825</c:v>
                </c:pt>
                <c:pt idx="36">
                  <c:v>0.26418063821385901</c:v>
                </c:pt>
                <c:pt idx="37">
                  <c:v>0.26275318814806964</c:v>
                </c:pt>
                <c:pt idx="38">
                  <c:v>0.26127105456751004</c:v>
                </c:pt>
                <c:pt idx="39">
                  <c:v>0.25974126393955971</c:v>
                </c:pt>
                <c:pt idx="40">
                  <c:v>0.25817025071354466</c:v>
                </c:pt>
                <c:pt idx="41">
                  <c:v>0.25656390063737577</c:v>
                </c:pt>
                <c:pt idx="42">
                  <c:v>0.25492759164055973</c:v>
                </c:pt>
                <c:pt idx="43">
                  <c:v>0.2532662322826631</c:v>
                </c:pt>
                <c:pt idx="44">
                  <c:v>0.25158429779985186</c:v>
                </c:pt>
                <c:pt idx="45">
                  <c:v>0.24988586380775177</c:v>
                </c:pt>
                <c:pt idx="46">
                  <c:v>0.24817463773790688</c:v>
                </c:pt>
                <c:pt idx="47">
                  <c:v>0.24645398809877656</c:v>
                </c:pt>
                <c:pt idx="48">
                  <c:v>0.24472697166148449</c:v>
                </c:pt>
                <c:pt idx="49">
                  <c:v>0.24299635867627317</c:v>
                </c:pt>
                <c:pt idx="50">
                  <c:v>0.24126465622855645</c:v>
                </c:pt>
                <c:pt idx="51">
                  <c:v>0.23953412984416614</c:v>
                </c:pt>
                <c:pt idx="52">
                  <c:v>0.23780682345239312</c:v>
                </c:pt>
                <c:pt idx="53">
                  <c:v>0.2360845778131048</c:v>
                </c:pt>
                <c:pt idx="54">
                  <c:v>0.23326000047655721</c:v>
                </c:pt>
                <c:pt idx="55">
                  <c:v>0.23048578483784063</c:v>
                </c:pt>
                <c:pt idx="56">
                  <c:v>0.22777761026284601</c:v>
                </c:pt>
                <c:pt idx="57">
                  <c:v>0.22513348740846109</c:v>
                </c:pt>
                <c:pt idx="58">
                  <c:v>0.22255148459644516</c:v>
                </c:pt>
                <c:pt idx="59">
                  <c:v>0.22002972784962854</c:v>
                </c:pt>
                <c:pt idx="60">
                  <c:v>0.2175664005917341</c:v>
                </c:pt>
                <c:pt idx="61">
                  <c:v>0.21515974307248456</c:v>
                </c:pt>
                <c:pt idx="62">
                  <c:v>0.21280805157025071</c:v>
                </c:pt>
                <c:pt idx="63">
                  <c:v>0.21050967741648191</c:v>
                </c:pt>
                <c:pt idx="64">
                  <c:v>0.20826302587932682</c:v>
                </c:pt>
                <c:pt idx="65">
                  <c:v>0.20606655493802523</c:v>
                </c:pt>
                <c:pt idx="66">
                  <c:v>0.20391877397468519</c:v>
                </c:pt>
                <c:pt idx="67">
                  <c:v>0.20181824240581986</c:v>
                </c:pt>
                <c:pt idx="68">
                  <c:v>0.19976356827241185</c:v>
                </c:pt>
                <c:pt idx="69">
                  <c:v>0.1977534068041876</c:v>
                </c:pt>
                <c:pt idx="70">
                  <c:v>0.19578645897116595</c:v>
                </c:pt>
                <c:pt idx="71">
                  <c:v>0.19260560917754807</c:v>
                </c:pt>
                <c:pt idx="72">
                  <c:v>0.18949981500770219</c:v>
                </c:pt>
                <c:pt idx="73">
                  <c:v>0.18646689028501875</c:v>
                </c:pt>
                <c:pt idx="74">
                  <c:v>0.18350471585538172</c:v>
                </c:pt>
                <c:pt idx="75">
                  <c:v>0.18061123818480493</c:v>
                </c:pt>
                <c:pt idx="76">
                  <c:v>0.1764283206740615</c:v>
                </c:pt>
                <c:pt idx="77">
                  <c:v>0.17238373218598022</c:v>
                </c:pt>
                <c:pt idx="78">
                  <c:v>0.16847173908253441</c:v>
                </c:pt>
                <c:pt idx="79">
                  <c:v>0.16468688122039701</c:v>
                </c:pt>
                <c:pt idx="80">
                  <c:v>0.161023958136842</c:v>
                </c:pt>
                <c:pt idx="81">
                  <c:v>0.15699746550134352</c:v>
                </c:pt>
                <c:pt idx="82">
                  <c:v>0.15311790615666668</c:v>
                </c:pt>
                <c:pt idx="83">
                  <c:v>0.1472547344395996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A-4CE4-9C7E-EE74827C5396}"/>
            </c:ext>
          </c:extLst>
        </c:ser>
        <c:ser>
          <c:idx val="1"/>
          <c:order val="1"/>
          <c:tx>
            <c:v>h=10k</c:v>
          </c:tx>
          <c:marker>
            <c:symbol val="none"/>
          </c:marker>
          <c:xVal>
            <c:numRef>
              <c:f>'10 - Cruise Plots'!$Z$54:$Z$164</c:f>
              <c:numCache>
                <c:formatCode>General</c:formatCode>
                <c:ptCount val="11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1.01</c:v>
                </c:pt>
                <c:pt idx="92">
                  <c:v>1.02</c:v>
                </c:pt>
                <c:pt idx="93">
                  <c:v>1.03</c:v>
                </c:pt>
                <c:pt idx="94">
                  <c:v>1.04</c:v>
                </c:pt>
                <c:pt idx="95">
                  <c:v>1.05</c:v>
                </c:pt>
                <c:pt idx="96">
                  <c:v>1.06</c:v>
                </c:pt>
                <c:pt idx="97">
                  <c:v>1.07</c:v>
                </c:pt>
                <c:pt idx="98">
                  <c:v>1.08</c:v>
                </c:pt>
                <c:pt idx="99">
                  <c:v>1.0900000000000001</c:v>
                </c:pt>
                <c:pt idx="100">
                  <c:v>1.1000000000000001</c:v>
                </c:pt>
                <c:pt idx="101">
                  <c:v>1.1100000000000001</c:v>
                </c:pt>
                <c:pt idx="102">
                  <c:v>1.1200000000000001</c:v>
                </c:pt>
                <c:pt idx="103">
                  <c:v>1.1299999999999999</c:v>
                </c:pt>
                <c:pt idx="104">
                  <c:v>1.1399999999999999</c:v>
                </c:pt>
                <c:pt idx="105">
                  <c:v>1.1499999999999999</c:v>
                </c:pt>
                <c:pt idx="106">
                  <c:v>1.1599999999999999</c:v>
                </c:pt>
                <c:pt idx="107">
                  <c:v>1.17</c:v>
                </c:pt>
                <c:pt idx="108">
                  <c:v>1.18</c:v>
                </c:pt>
                <c:pt idx="109">
                  <c:v>1.19</c:v>
                </c:pt>
                <c:pt idx="110">
                  <c:v>1.2</c:v>
                </c:pt>
              </c:numCache>
            </c:numRef>
          </c:xVal>
          <c:yVal>
            <c:numRef>
              <c:f>'10 - Cruise Plots'!$AB$54:$AB$164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6.9349367485344371E-2</c:v>
                </c:pt>
                <c:pt idx="18">
                  <c:v>8.0920420916768654E-2</c:v>
                </c:pt>
                <c:pt idx="19">
                  <c:v>9.4825110403457438E-2</c:v>
                </c:pt>
                <c:pt idx="20">
                  <c:v>0.108474121039738</c:v>
                </c:pt>
                <c:pt idx="21">
                  <c:v>0.12586073507121445</c:v>
                </c:pt>
                <c:pt idx="22">
                  <c:v>0.14019898325578628</c:v>
                </c:pt>
                <c:pt idx="23">
                  <c:v>0.1572079871752913</c:v>
                </c:pt>
                <c:pt idx="24">
                  <c:v>0.17782907832980538</c:v>
                </c:pt>
                <c:pt idx="25">
                  <c:v>0.19151347227449433</c:v>
                </c:pt>
                <c:pt idx="26">
                  <c:v>0.20682049791958315</c:v>
                </c:pt>
                <c:pt idx="27">
                  <c:v>0.22407655539873139</c:v>
                </c:pt>
                <c:pt idx="28">
                  <c:v>0.24365307328886898</c:v>
                </c:pt>
                <c:pt idx="29">
                  <c:v>0.25704292684373869</c:v>
                </c:pt>
                <c:pt idx="30">
                  <c:v>0.27141632531332383</c:v>
                </c:pt>
                <c:pt idx="31">
                  <c:v>0.28315728155787112</c:v>
                </c:pt>
                <c:pt idx="32">
                  <c:v>0.28919729332179739</c:v>
                </c:pt>
                <c:pt idx="33">
                  <c:v>0.2951949123882614</c:v>
                </c:pt>
                <c:pt idx="34">
                  <c:v>0.30077820465634381</c:v>
                </c:pt>
                <c:pt idx="35">
                  <c:v>0.30372778804336498</c:v>
                </c:pt>
                <c:pt idx="36">
                  <c:v>0.30653376070483734</c:v>
                </c:pt>
                <c:pt idx="37">
                  <c:v>0.30920032437053629</c:v>
                </c:pt>
                <c:pt idx="38">
                  <c:v>0.31173167953464692</c:v>
                </c:pt>
                <c:pt idx="39">
                  <c:v>0.31413201342684849</c:v>
                </c:pt>
                <c:pt idx="40">
                  <c:v>0.31640548910105815</c:v>
                </c:pt>
                <c:pt idx="41">
                  <c:v>0.3185562355918366</c:v>
                </c:pt>
                <c:pt idx="42">
                  <c:v>0.32058833908601575</c:v>
                </c:pt>
                <c:pt idx="43">
                  <c:v>0.3225058350554863</c:v>
                </c:pt>
                <c:pt idx="44">
                  <c:v>0.32351088674539985</c:v>
                </c:pt>
                <c:pt idx="45">
                  <c:v>0.32225180175570173</c:v>
                </c:pt>
                <c:pt idx="46">
                  <c:v>0.32093764594007279</c:v>
                </c:pt>
                <c:pt idx="47">
                  <c:v>0.31957387962426914</c:v>
                </c:pt>
                <c:pt idx="48">
                  <c:v>0.31816558892120511</c:v>
                </c:pt>
                <c:pt idx="49">
                  <c:v>0.31671750769372475</c:v>
                </c:pt>
                <c:pt idx="50">
                  <c:v>0.31523403862201188</c:v>
                </c:pt>
                <c:pt idx="51">
                  <c:v>0.31371927334810557</c:v>
                </c:pt>
                <c:pt idx="52">
                  <c:v>0.31217701168395562</c:v>
                </c:pt>
                <c:pt idx="53">
                  <c:v>0.31061077988097746</c:v>
                </c:pt>
                <c:pt idx="54">
                  <c:v>0.3090238479684333</c:v>
                </c:pt>
                <c:pt idx="55">
                  <c:v>0.30741924617551164</c:v>
                </c:pt>
                <c:pt idx="56">
                  <c:v>0.30579978045794209</c:v>
                </c:pt>
                <c:pt idx="57">
                  <c:v>0.30416804715460771</c:v>
                </c:pt>
                <c:pt idx="58">
                  <c:v>0.30252644680310631</c:v>
                </c:pt>
                <c:pt idx="59">
                  <c:v>0.3008771971457489</c:v>
                </c:pt>
                <c:pt idx="60">
                  <c:v>0.29922234535921455</c:v>
                </c:pt>
                <c:pt idx="61">
                  <c:v>0.29756377954215329</c:v>
                </c:pt>
                <c:pt idx="62">
                  <c:v>0.29590323949555047</c:v>
                </c:pt>
                <c:pt idx="63">
                  <c:v>0.29424232683073959</c:v>
                </c:pt>
                <c:pt idx="64">
                  <c:v>0.29258251443966987</c:v>
                </c:pt>
                <c:pt idx="65">
                  <c:v>0.29092515536145441</c:v>
                </c:pt>
                <c:pt idx="66">
                  <c:v>0.28925729106000775</c:v>
                </c:pt>
                <c:pt idx="67">
                  <c:v>0.28644018165747692</c:v>
                </c:pt>
                <c:pt idx="68">
                  <c:v>0.28367933983579613</c:v>
                </c:pt>
                <c:pt idx="69">
                  <c:v>0.28097336920383803</c:v>
                </c:pt>
                <c:pt idx="70">
                  <c:v>0.27832090495283579</c:v>
                </c:pt>
                <c:pt idx="71">
                  <c:v>0.27397334610614088</c:v>
                </c:pt>
                <c:pt idx="72">
                  <c:v>0.26972063364172494</c:v>
                </c:pt>
                <c:pt idx="73">
                  <c:v>0.2655604275406806</c:v>
                </c:pt>
                <c:pt idx="74">
                  <c:v>0.26149043065612182</c:v>
                </c:pt>
                <c:pt idx="75">
                  <c:v>0.25750839050906804</c:v>
                </c:pt>
                <c:pt idx="76">
                  <c:v>0.25170639654284838</c:v>
                </c:pt>
                <c:pt idx="77">
                  <c:v>0.24608750846515495</c:v>
                </c:pt>
                <c:pt idx="78">
                  <c:v>0.24064470616006942</c:v>
                </c:pt>
                <c:pt idx="79">
                  <c:v>0.23537126081657178</c:v>
                </c:pt>
                <c:pt idx="80">
                  <c:v>0.23026072414264775</c:v>
                </c:pt>
                <c:pt idx="81">
                  <c:v>0.22462184813015293</c:v>
                </c:pt>
                <c:pt idx="82">
                  <c:v>0.21918223392363112</c:v>
                </c:pt>
                <c:pt idx="83">
                  <c:v>0.2109368559974398</c:v>
                </c:pt>
                <c:pt idx="84">
                  <c:v>0.20317003517417676</c:v>
                </c:pt>
                <c:pt idx="85">
                  <c:v>0.1859639739896973</c:v>
                </c:pt>
                <c:pt idx="86">
                  <c:v>0.17119232013889593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A-4CE4-9C7E-EE74827C5396}"/>
            </c:ext>
          </c:extLst>
        </c:ser>
        <c:ser>
          <c:idx val="2"/>
          <c:order val="2"/>
          <c:tx>
            <c:v>h=20k</c:v>
          </c:tx>
          <c:marker>
            <c:symbol val="none"/>
          </c:marker>
          <c:xVal>
            <c:numRef>
              <c:f>'10 - Cruise Plots'!$Z$54:$Z$164</c:f>
              <c:numCache>
                <c:formatCode>General</c:formatCode>
                <c:ptCount val="11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1.01</c:v>
                </c:pt>
                <c:pt idx="92">
                  <c:v>1.02</c:v>
                </c:pt>
                <c:pt idx="93">
                  <c:v>1.03</c:v>
                </c:pt>
                <c:pt idx="94">
                  <c:v>1.04</c:v>
                </c:pt>
                <c:pt idx="95">
                  <c:v>1.05</c:v>
                </c:pt>
                <c:pt idx="96">
                  <c:v>1.06</c:v>
                </c:pt>
                <c:pt idx="97">
                  <c:v>1.07</c:v>
                </c:pt>
                <c:pt idx="98">
                  <c:v>1.08</c:v>
                </c:pt>
                <c:pt idx="99">
                  <c:v>1.0900000000000001</c:v>
                </c:pt>
                <c:pt idx="100">
                  <c:v>1.1000000000000001</c:v>
                </c:pt>
                <c:pt idx="101">
                  <c:v>1.1100000000000001</c:v>
                </c:pt>
                <c:pt idx="102">
                  <c:v>1.1200000000000001</c:v>
                </c:pt>
                <c:pt idx="103">
                  <c:v>1.1299999999999999</c:v>
                </c:pt>
                <c:pt idx="104">
                  <c:v>1.1399999999999999</c:v>
                </c:pt>
                <c:pt idx="105">
                  <c:v>1.1499999999999999</c:v>
                </c:pt>
                <c:pt idx="106">
                  <c:v>1.1599999999999999</c:v>
                </c:pt>
                <c:pt idx="107">
                  <c:v>1.17</c:v>
                </c:pt>
                <c:pt idx="108">
                  <c:v>1.18</c:v>
                </c:pt>
                <c:pt idx="109">
                  <c:v>1.19</c:v>
                </c:pt>
                <c:pt idx="110">
                  <c:v>1.2</c:v>
                </c:pt>
              </c:numCache>
            </c:numRef>
          </c:xVal>
          <c:yVal>
            <c:numRef>
              <c:f>'10 - Cruise Plots'!$AC$54:$AC$164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9.5821959183969727E-2</c:v>
                </c:pt>
                <c:pt idx="25">
                  <c:v>0.10989496594533564</c:v>
                </c:pt>
                <c:pt idx="26">
                  <c:v>0.12282879455531197</c:v>
                </c:pt>
                <c:pt idx="27">
                  <c:v>0.13761416094741286</c:v>
                </c:pt>
                <c:pt idx="28">
                  <c:v>0.15540409319042445</c:v>
                </c:pt>
                <c:pt idx="29">
                  <c:v>0.16957680902539318</c:v>
                </c:pt>
                <c:pt idx="30">
                  <c:v>0.18599237478380248</c:v>
                </c:pt>
                <c:pt idx="31">
                  <c:v>0.20524785631259729</c:v>
                </c:pt>
                <c:pt idx="32">
                  <c:v>0.22352779333934217</c:v>
                </c:pt>
                <c:pt idx="33">
                  <c:v>0.23768791706124393</c:v>
                </c:pt>
                <c:pt idx="34">
                  <c:v>0.25323228996003067</c:v>
                </c:pt>
                <c:pt idx="35">
                  <c:v>0.27038729904942971</c:v>
                </c:pt>
                <c:pt idx="36">
                  <c:v>0.28943099435437997</c:v>
                </c:pt>
                <c:pt idx="37">
                  <c:v>0.30624656596080824</c:v>
                </c:pt>
                <c:pt idx="38">
                  <c:v>0.3201458878701206</c:v>
                </c:pt>
                <c:pt idx="39">
                  <c:v>0.33490049413093503</c:v>
                </c:pt>
                <c:pt idx="40">
                  <c:v>0.34753596806982262</c:v>
                </c:pt>
                <c:pt idx="41">
                  <c:v>0.35374746222759945</c:v>
                </c:pt>
                <c:pt idx="42">
                  <c:v>0.35993296152313276</c:v>
                </c:pt>
                <c:pt idx="43">
                  <c:v>0.36609319963964415</c:v>
                </c:pt>
                <c:pt idx="44">
                  <c:v>0.37124976294921647</c:v>
                </c:pt>
                <c:pt idx="45">
                  <c:v>0.37434295106775095</c:v>
                </c:pt>
                <c:pt idx="46">
                  <c:v>0.37732247755755549</c:v>
                </c:pt>
                <c:pt idx="47">
                  <c:v>0.38019108337389901</c:v>
                </c:pt>
                <c:pt idx="48">
                  <c:v>0.38295150811174333</c:v>
                </c:pt>
                <c:pt idx="49">
                  <c:v>0.38560648480490056</c:v>
                </c:pt>
                <c:pt idx="50">
                  <c:v>0.3881587351259812</c:v>
                </c:pt>
                <c:pt idx="51">
                  <c:v>0.39061096497212022</c:v>
                </c:pt>
                <c:pt idx="52">
                  <c:v>0.39296586042089671</c:v>
                </c:pt>
                <c:pt idx="53">
                  <c:v>0.39522608404046616</c:v>
                </c:pt>
                <c:pt idx="54">
                  <c:v>0.39739427153766654</c:v>
                </c:pt>
                <c:pt idx="55">
                  <c:v>0.39947302872774615</c:v>
                </c:pt>
                <c:pt idx="56">
                  <c:v>0.40064015185294144</c:v>
                </c:pt>
                <c:pt idx="57">
                  <c:v>0.39950639546198963</c:v>
                </c:pt>
                <c:pt idx="58">
                  <c:v>0.39832588824927295</c:v>
                </c:pt>
                <c:pt idx="59">
                  <c:v>0.39710233406213258</c:v>
                </c:pt>
                <c:pt idx="60">
                  <c:v>0.39583923064795656</c:v>
                </c:pt>
                <c:pt idx="61">
                  <c:v>0.3945398794462901</c:v>
                </c:pt>
                <c:pt idx="62">
                  <c:v>0.39320739507015012</c:v>
                </c:pt>
                <c:pt idx="63">
                  <c:v>0.39184471446540409</c:v>
                </c:pt>
                <c:pt idx="64">
                  <c:v>0.39045460574088547</c:v>
                </c:pt>
                <c:pt idx="65">
                  <c:v>0.38903967666518918</c:v>
                </c:pt>
                <c:pt idx="66">
                  <c:v>0.38760238282888948</c:v>
                </c:pt>
                <c:pt idx="67">
                  <c:v>0.38614503547328888</c:v>
                </c:pt>
                <c:pt idx="68">
                  <c:v>0.38466980898879949</c:v>
                </c:pt>
                <c:pt idx="69">
                  <c:v>0.38317874808771057</c:v>
                </c:pt>
                <c:pt idx="70">
                  <c:v>0.38167377465747154</c:v>
                </c:pt>
                <c:pt idx="71">
                  <c:v>0.37793600694355045</c:v>
                </c:pt>
                <c:pt idx="72">
                  <c:v>0.37419538449872314</c:v>
                </c:pt>
                <c:pt idx="73">
                  <c:v>0.37045538244092269</c:v>
                </c:pt>
                <c:pt idx="74">
                  <c:v>0.36671923898119069</c:v>
                </c:pt>
                <c:pt idx="75">
                  <c:v>0.36298996672897932</c:v>
                </c:pt>
                <c:pt idx="76">
                  <c:v>0.35668355086793174</c:v>
                </c:pt>
                <c:pt idx="77">
                  <c:v>0.35047996614950339</c:v>
                </c:pt>
                <c:pt idx="78">
                  <c:v>0.34438049069270615</c:v>
                </c:pt>
                <c:pt idx="79">
                  <c:v>0.33838604640719261</c:v>
                </c:pt>
                <c:pt idx="80">
                  <c:v>0.33249723222725769</c:v>
                </c:pt>
                <c:pt idx="81">
                  <c:v>0.32572772022581437</c:v>
                </c:pt>
                <c:pt idx="82">
                  <c:v>0.31912421354724946</c:v>
                </c:pt>
                <c:pt idx="83">
                  <c:v>0.30836566010879418</c:v>
                </c:pt>
                <c:pt idx="84">
                  <c:v>0.29730938715605615</c:v>
                </c:pt>
                <c:pt idx="85">
                  <c:v>0.27267911219519214</c:v>
                </c:pt>
                <c:pt idx="86">
                  <c:v>0.25145310421223166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4A-4CE4-9C7E-EE74827C5396}"/>
            </c:ext>
          </c:extLst>
        </c:ser>
        <c:ser>
          <c:idx val="3"/>
          <c:order val="3"/>
          <c:tx>
            <c:v>h=30k</c:v>
          </c:tx>
          <c:marker>
            <c:symbol val="none"/>
          </c:marker>
          <c:xVal>
            <c:numRef>
              <c:f>'10 - Cruise Plots'!$Z$54:$Z$164</c:f>
              <c:numCache>
                <c:formatCode>General</c:formatCode>
                <c:ptCount val="11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1.01</c:v>
                </c:pt>
                <c:pt idx="92">
                  <c:v>1.02</c:v>
                </c:pt>
                <c:pt idx="93">
                  <c:v>1.03</c:v>
                </c:pt>
                <c:pt idx="94">
                  <c:v>1.04</c:v>
                </c:pt>
                <c:pt idx="95">
                  <c:v>1.05</c:v>
                </c:pt>
                <c:pt idx="96">
                  <c:v>1.06</c:v>
                </c:pt>
                <c:pt idx="97">
                  <c:v>1.07</c:v>
                </c:pt>
                <c:pt idx="98">
                  <c:v>1.08</c:v>
                </c:pt>
                <c:pt idx="99">
                  <c:v>1.0900000000000001</c:v>
                </c:pt>
                <c:pt idx="100">
                  <c:v>1.1000000000000001</c:v>
                </c:pt>
                <c:pt idx="101">
                  <c:v>1.1100000000000001</c:v>
                </c:pt>
                <c:pt idx="102">
                  <c:v>1.1200000000000001</c:v>
                </c:pt>
                <c:pt idx="103">
                  <c:v>1.1299999999999999</c:v>
                </c:pt>
                <c:pt idx="104">
                  <c:v>1.1399999999999999</c:v>
                </c:pt>
                <c:pt idx="105">
                  <c:v>1.1499999999999999</c:v>
                </c:pt>
                <c:pt idx="106">
                  <c:v>1.1599999999999999</c:v>
                </c:pt>
                <c:pt idx="107">
                  <c:v>1.17</c:v>
                </c:pt>
                <c:pt idx="108">
                  <c:v>1.18</c:v>
                </c:pt>
                <c:pt idx="109">
                  <c:v>1.19</c:v>
                </c:pt>
                <c:pt idx="110">
                  <c:v>1.2</c:v>
                </c:pt>
              </c:numCache>
            </c:numRef>
          </c:xVal>
          <c:yVal>
            <c:numRef>
              <c:f>'10 - Cruise Plots'!$AD$54:$AD$164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0.17104511122238786</c:v>
                </c:pt>
                <c:pt idx="37">
                  <c:v>0.1887863509130894</c:v>
                </c:pt>
                <c:pt idx="38">
                  <c:v>0.20380643765134784</c:v>
                </c:pt>
                <c:pt idx="39">
                  <c:v>0.21909652590769438</c:v>
                </c:pt>
                <c:pt idx="40">
                  <c:v>0.23637822102208025</c:v>
                </c:pt>
                <c:pt idx="41">
                  <c:v>0.25608000532280351</c:v>
                </c:pt>
                <c:pt idx="42">
                  <c:v>0.27573920277715375</c:v>
                </c:pt>
                <c:pt idx="43">
                  <c:v>0.28966808376599645</c:v>
                </c:pt>
                <c:pt idx="44">
                  <c:v>0.30466965963282339</c:v>
                </c:pt>
                <c:pt idx="45">
                  <c:v>0.32088085541416728</c:v>
                </c:pt>
                <c:pt idx="46">
                  <c:v>0.33846266614129245</c:v>
                </c:pt>
                <c:pt idx="47">
                  <c:v>0.35760569955752414</c:v>
                </c:pt>
                <c:pt idx="48">
                  <c:v>0.37702569371072148</c:v>
                </c:pt>
                <c:pt idx="49">
                  <c:v>0.3908031358706</c:v>
                </c:pt>
                <c:pt idx="50">
                  <c:v>0.4052595439651222</c:v>
                </c:pt>
                <c:pt idx="51">
                  <c:v>0.42045226611793934</c:v>
                </c:pt>
                <c:pt idx="52">
                  <c:v>0.43457183935106286</c:v>
                </c:pt>
                <c:pt idx="53">
                  <c:v>0.44100933504475814</c:v>
                </c:pt>
                <c:pt idx="54">
                  <c:v>0.44743562130805276</c:v>
                </c:pt>
                <c:pt idx="55">
                  <c:v>0.45385144411401379</c:v>
                </c:pt>
                <c:pt idx="56">
                  <c:v>0.46025757132165418</c:v>
                </c:pt>
                <c:pt idx="57">
                  <c:v>0.46594135925276342</c:v>
                </c:pt>
                <c:pt idx="58">
                  <c:v>0.46926947215771952</c:v>
                </c:pt>
                <c:pt idx="59">
                  <c:v>0.47251006249510713</c:v>
                </c:pt>
                <c:pt idx="60">
                  <c:v>0.47566485871980596</c:v>
                </c:pt>
                <c:pt idx="61">
                  <c:v>0.47873558849158487</c:v>
                </c:pt>
                <c:pt idx="62">
                  <c:v>0.48172397657307575</c:v>
                </c:pt>
                <c:pt idx="63">
                  <c:v>0.48463174286024213</c:v>
                </c:pt>
                <c:pt idx="64">
                  <c:v>0.48746060054122664</c:v>
                </c:pt>
                <c:pt idx="65">
                  <c:v>0.49021225437933647</c:v>
                </c:pt>
                <c:pt idx="66">
                  <c:v>0.49288839911585036</c:v>
                </c:pt>
                <c:pt idx="67">
                  <c:v>0.49549071798827271</c:v>
                </c:pt>
                <c:pt idx="68">
                  <c:v>0.4980208813596213</c:v>
                </c:pt>
                <c:pt idx="69">
                  <c:v>0.50048054545432719</c:v>
                </c:pt>
                <c:pt idx="70">
                  <c:v>0.50287135119632975</c:v>
                </c:pt>
                <c:pt idx="71">
                  <c:v>0.50265855832456552</c:v>
                </c:pt>
                <c:pt idx="72">
                  <c:v>0.50157762959734109</c:v>
                </c:pt>
                <c:pt idx="73">
                  <c:v>0.49802541193388927</c:v>
                </c:pt>
                <c:pt idx="74">
                  <c:v>0.49442202692195897</c:v>
                </c:pt>
                <c:pt idx="75">
                  <c:v>0.49077261012458229</c:v>
                </c:pt>
                <c:pt idx="76">
                  <c:v>0.48391144211953652</c:v>
                </c:pt>
                <c:pt idx="77">
                  <c:v>0.47709116189053158</c:v>
                </c:pt>
                <c:pt idx="78">
                  <c:v>0.47031760032767916</c:v>
                </c:pt>
                <c:pt idx="79">
                  <c:v>0.4635960540184883</c:v>
                </c:pt>
                <c:pt idx="80">
                  <c:v>0.45693131473128479</c:v>
                </c:pt>
                <c:pt idx="81">
                  <c:v>0.44899965877478343</c:v>
                </c:pt>
                <c:pt idx="82">
                  <c:v>0.44120270770459302</c:v>
                </c:pt>
                <c:pt idx="83">
                  <c:v>0.42821881422539199</c:v>
                </c:pt>
                <c:pt idx="84">
                  <c:v>0.41575104452258993</c:v>
                </c:pt>
                <c:pt idx="85">
                  <c:v>0.38553994980160772</c:v>
                </c:pt>
                <c:pt idx="86">
                  <c:v>0.35893595502033665</c:v>
                </c:pt>
                <c:pt idx="87">
                  <c:v>0.30190453622232777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4A-4CE4-9C7E-EE74827C5396}"/>
            </c:ext>
          </c:extLst>
        </c:ser>
        <c:ser>
          <c:idx val="4"/>
          <c:order val="4"/>
          <c:tx>
            <c:v>h=40k</c:v>
          </c:tx>
          <c:marker>
            <c:symbol val="none"/>
          </c:marker>
          <c:xVal>
            <c:numRef>
              <c:f>'10 - Cruise Plots'!$Z$54:$Z$164</c:f>
              <c:numCache>
                <c:formatCode>General</c:formatCode>
                <c:ptCount val="11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1.01</c:v>
                </c:pt>
                <c:pt idx="92">
                  <c:v>1.02</c:v>
                </c:pt>
                <c:pt idx="93">
                  <c:v>1.03</c:v>
                </c:pt>
                <c:pt idx="94">
                  <c:v>1.04</c:v>
                </c:pt>
                <c:pt idx="95">
                  <c:v>1.05</c:v>
                </c:pt>
                <c:pt idx="96">
                  <c:v>1.06</c:v>
                </c:pt>
                <c:pt idx="97">
                  <c:v>1.07</c:v>
                </c:pt>
                <c:pt idx="98">
                  <c:v>1.08</c:v>
                </c:pt>
                <c:pt idx="99">
                  <c:v>1.0900000000000001</c:v>
                </c:pt>
                <c:pt idx="100">
                  <c:v>1.1000000000000001</c:v>
                </c:pt>
                <c:pt idx="101">
                  <c:v>1.1100000000000001</c:v>
                </c:pt>
                <c:pt idx="102">
                  <c:v>1.1200000000000001</c:v>
                </c:pt>
                <c:pt idx="103">
                  <c:v>1.1299999999999999</c:v>
                </c:pt>
                <c:pt idx="104">
                  <c:v>1.1399999999999999</c:v>
                </c:pt>
                <c:pt idx="105">
                  <c:v>1.1499999999999999</c:v>
                </c:pt>
                <c:pt idx="106">
                  <c:v>1.1599999999999999</c:v>
                </c:pt>
                <c:pt idx="107">
                  <c:v>1.17</c:v>
                </c:pt>
                <c:pt idx="108">
                  <c:v>1.18</c:v>
                </c:pt>
                <c:pt idx="109">
                  <c:v>1.19</c:v>
                </c:pt>
                <c:pt idx="110">
                  <c:v>1.2</c:v>
                </c:pt>
              </c:numCache>
            </c:numRef>
          </c:xVal>
          <c:yVal>
            <c:numRef>
              <c:f>'10 - Cruise Plots'!$AE$54:$AE$164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0.31342125848990998</c:v>
                </c:pt>
                <c:pt idx="55">
                  <c:v>0.33451694446760127</c:v>
                </c:pt>
                <c:pt idx="56">
                  <c:v>0.35281352423013751</c:v>
                </c:pt>
                <c:pt idx="57">
                  <c:v>0.36694016906236776</c:v>
                </c:pt>
                <c:pt idx="58">
                  <c:v>0.38192792995080083</c:v>
                </c:pt>
                <c:pt idx="59">
                  <c:v>0.39786301025844967</c:v>
                </c:pt>
                <c:pt idx="60">
                  <c:v>0.41484338654219921</c:v>
                </c:pt>
                <c:pt idx="61">
                  <c:v>0.43330849156333562</c:v>
                </c:pt>
                <c:pt idx="62">
                  <c:v>0.45279652654907415</c:v>
                </c:pt>
                <c:pt idx="63">
                  <c:v>0.4733822638132395</c:v>
                </c:pt>
                <c:pt idx="64">
                  <c:v>0.48901463206730406</c:v>
                </c:pt>
                <c:pt idx="65">
                  <c:v>0.50336894478456617</c:v>
                </c:pt>
                <c:pt idx="66">
                  <c:v>0.51830182366103905</c:v>
                </c:pt>
                <c:pt idx="67">
                  <c:v>0.53385284010455458</c:v>
                </c:pt>
                <c:pt idx="68">
                  <c:v>0.55006517377403352</c:v>
                </c:pt>
                <c:pt idx="69">
                  <c:v>0.55971986400095464</c:v>
                </c:pt>
                <c:pt idx="70">
                  <c:v>0.56646653794371304</c:v>
                </c:pt>
                <c:pt idx="71">
                  <c:v>0.57117772649486886</c:v>
                </c:pt>
                <c:pt idx="72">
                  <c:v>0.57575993622739929</c:v>
                </c:pt>
                <c:pt idx="73">
                  <c:v>0.58021117204870143</c:v>
                </c:pt>
                <c:pt idx="74">
                  <c:v>0.58452955092618997</c:v>
                </c:pt>
                <c:pt idx="75">
                  <c:v>0.58742048110292167</c:v>
                </c:pt>
                <c:pt idx="76">
                  <c:v>0.58535413035168626</c:v>
                </c:pt>
                <c:pt idx="77">
                  <c:v>0.58310873811764841</c:v>
                </c:pt>
                <c:pt idx="78">
                  <c:v>0.58069180075377957</c:v>
                </c:pt>
                <c:pt idx="79">
                  <c:v>0.57811083384999007</c:v>
                </c:pt>
                <c:pt idx="80">
                  <c:v>0.57537334990712585</c:v>
                </c:pt>
                <c:pt idx="81">
                  <c:v>0.5708671679682934</c:v>
                </c:pt>
                <c:pt idx="82">
                  <c:v>0.56626569999349585</c:v>
                </c:pt>
                <c:pt idx="83">
                  <c:v>0.5559977838448914</c:v>
                </c:pt>
                <c:pt idx="84">
                  <c:v>0.54583076604797776</c:v>
                </c:pt>
                <c:pt idx="85">
                  <c:v>0.51560578228286502</c:v>
                </c:pt>
                <c:pt idx="86">
                  <c:v>0.48797672096567496</c:v>
                </c:pt>
                <c:pt idx="87">
                  <c:v>0.4222039692947091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4A-4CE4-9C7E-EE74827C5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812912"/>
        <c:axId val="795827312"/>
      </c:scatterChart>
      <c:valAx>
        <c:axId val="79581291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Mach Number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5827312"/>
        <c:crosses val="autoZero"/>
        <c:crossBetween val="midCat"/>
      </c:valAx>
      <c:valAx>
        <c:axId val="7958273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Specific Range</a:t>
                </a:r>
                <a:r>
                  <a:rPr lang="en-US" baseline="0"/>
                  <a:t> (NM/lb)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581291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T-38A Rate of Climb vs Mach Number</a:t>
            </a:r>
          </a:p>
          <a:p>
            <a:pPr>
              <a:defRPr/>
            </a:pPr>
            <a:r>
              <a:rPr lang="en-U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Military Thrust - Weight 10,000 lbs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96917985639516"/>
          <c:y val="0.17728372956663019"/>
          <c:w val="0.67876215669448969"/>
          <c:h val="0.66689711197320867"/>
        </c:manualLayout>
      </c:layout>
      <c:scatterChart>
        <c:scatterStyle val="smoothMarker"/>
        <c:varyColors val="0"/>
        <c:ser>
          <c:idx val="0"/>
          <c:order val="0"/>
          <c:tx>
            <c:v>Sea Level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'11 - Climb RoC Calcs'!$I$7:$I$84</c:f>
              <c:numCache>
                <c:formatCode>General</c:formatCode>
                <c:ptCount val="78"/>
                <c:pt idx="0">
                  <c:v>0.23</c:v>
                </c:pt>
                <c:pt idx="1">
                  <c:v>0.24</c:v>
                </c:pt>
                <c:pt idx="2">
                  <c:v>0.25</c:v>
                </c:pt>
                <c:pt idx="3">
                  <c:v>0.26</c:v>
                </c:pt>
                <c:pt idx="4">
                  <c:v>0.27</c:v>
                </c:pt>
                <c:pt idx="5">
                  <c:v>0.28000000000000003</c:v>
                </c:pt>
                <c:pt idx="6">
                  <c:v>0.28999999999999998</c:v>
                </c:pt>
                <c:pt idx="7">
                  <c:v>0.3</c:v>
                </c:pt>
                <c:pt idx="8">
                  <c:v>0.31</c:v>
                </c:pt>
                <c:pt idx="9">
                  <c:v>0.32</c:v>
                </c:pt>
                <c:pt idx="10">
                  <c:v>0.33</c:v>
                </c:pt>
                <c:pt idx="11">
                  <c:v>0.34</c:v>
                </c:pt>
                <c:pt idx="12">
                  <c:v>0.35</c:v>
                </c:pt>
                <c:pt idx="13">
                  <c:v>0.36</c:v>
                </c:pt>
                <c:pt idx="14">
                  <c:v>0.37</c:v>
                </c:pt>
                <c:pt idx="15">
                  <c:v>0.38</c:v>
                </c:pt>
                <c:pt idx="16">
                  <c:v>0.39</c:v>
                </c:pt>
                <c:pt idx="17">
                  <c:v>0.4</c:v>
                </c:pt>
                <c:pt idx="18">
                  <c:v>0.41</c:v>
                </c:pt>
                <c:pt idx="19">
                  <c:v>0.42</c:v>
                </c:pt>
                <c:pt idx="20">
                  <c:v>0.43</c:v>
                </c:pt>
                <c:pt idx="21">
                  <c:v>0.44</c:v>
                </c:pt>
                <c:pt idx="22">
                  <c:v>0.45</c:v>
                </c:pt>
                <c:pt idx="23">
                  <c:v>0.46</c:v>
                </c:pt>
                <c:pt idx="24">
                  <c:v>0.47</c:v>
                </c:pt>
                <c:pt idx="25">
                  <c:v>0.48</c:v>
                </c:pt>
                <c:pt idx="26">
                  <c:v>0.49</c:v>
                </c:pt>
                <c:pt idx="27">
                  <c:v>0.5</c:v>
                </c:pt>
                <c:pt idx="28">
                  <c:v>0.51</c:v>
                </c:pt>
                <c:pt idx="29">
                  <c:v>0.52</c:v>
                </c:pt>
                <c:pt idx="30">
                  <c:v>0.53</c:v>
                </c:pt>
                <c:pt idx="31">
                  <c:v>0.54</c:v>
                </c:pt>
                <c:pt idx="32">
                  <c:v>0.55000000000000004</c:v>
                </c:pt>
                <c:pt idx="33">
                  <c:v>0.56000000000000005</c:v>
                </c:pt>
                <c:pt idx="34">
                  <c:v>0.56999999999999995</c:v>
                </c:pt>
                <c:pt idx="35">
                  <c:v>0.57999999999999996</c:v>
                </c:pt>
                <c:pt idx="36">
                  <c:v>0.59</c:v>
                </c:pt>
                <c:pt idx="37">
                  <c:v>0.6</c:v>
                </c:pt>
                <c:pt idx="38">
                  <c:v>0.61</c:v>
                </c:pt>
                <c:pt idx="39">
                  <c:v>0.62</c:v>
                </c:pt>
                <c:pt idx="40">
                  <c:v>0.63</c:v>
                </c:pt>
                <c:pt idx="41">
                  <c:v>0.64</c:v>
                </c:pt>
                <c:pt idx="42">
                  <c:v>0.65</c:v>
                </c:pt>
                <c:pt idx="43">
                  <c:v>0.66</c:v>
                </c:pt>
                <c:pt idx="44">
                  <c:v>0.67</c:v>
                </c:pt>
                <c:pt idx="45">
                  <c:v>0.68</c:v>
                </c:pt>
                <c:pt idx="46">
                  <c:v>0.69</c:v>
                </c:pt>
                <c:pt idx="47">
                  <c:v>0.7</c:v>
                </c:pt>
                <c:pt idx="48">
                  <c:v>0.71</c:v>
                </c:pt>
                <c:pt idx="49">
                  <c:v>0.72</c:v>
                </c:pt>
                <c:pt idx="50">
                  <c:v>0.73</c:v>
                </c:pt>
                <c:pt idx="51">
                  <c:v>0.74</c:v>
                </c:pt>
                <c:pt idx="52">
                  <c:v>0.75</c:v>
                </c:pt>
                <c:pt idx="53">
                  <c:v>0.76</c:v>
                </c:pt>
                <c:pt idx="54">
                  <c:v>0.77</c:v>
                </c:pt>
                <c:pt idx="55">
                  <c:v>0.78</c:v>
                </c:pt>
                <c:pt idx="56">
                  <c:v>0.79</c:v>
                </c:pt>
                <c:pt idx="57">
                  <c:v>0.8</c:v>
                </c:pt>
                <c:pt idx="58">
                  <c:v>0.81</c:v>
                </c:pt>
                <c:pt idx="59">
                  <c:v>0.82</c:v>
                </c:pt>
                <c:pt idx="60">
                  <c:v>0.83</c:v>
                </c:pt>
                <c:pt idx="61">
                  <c:v>0.84</c:v>
                </c:pt>
                <c:pt idx="62">
                  <c:v>0.85</c:v>
                </c:pt>
                <c:pt idx="63">
                  <c:v>0.86</c:v>
                </c:pt>
                <c:pt idx="64">
                  <c:v>0.87</c:v>
                </c:pt>
                <c:pt idx="65">
                  <c:v>0.88</c:v>
                </c:pt>
                <c:pt idx="66">
                  <c:v>0.89</c:v>
                </c:pt>
                <c:pt idx="67">
                  <c:v>0.9</c:v>
                </c:pt>
                <c:pt idx="68">
                  <c:v>0.91</c:v>
                </c:pt>
                <c:pt idx="69">
                  <c:v>0.92</c:v>
                </c:pt>
                <c:pt idx="70">
                  <c:v>0.93</c:v>
                </c:pt>
                <c:pt idx="71">
                  <c:v>0.94</c:v>
                </c:pt>
                <c:pt idx="72">
                  <c:v>0.95</c:v>
                </c:pt>
                <c:pt idx="73">
                  <c:v>0.96</c:v>
                </c:pt>
                <c:pt idx="74">
                  <c:v>0.97</c:v>
                </c:pt>
                <c:pt idx="75">
                  <c:v>0.98</c:v>
                </c:pt>
                <c:pt idx="76">
                  <c:v>0.99</c:v>
                </c:pt>
                <c:pt idx="77">
                  <c:v>1</c:v>
                </c:pt>
              </c:numCache>
            </c:numRef>
          </c:xVal>
          <c:yVal>
            <c:numRef>
              <c:f>'11 - Climb RoC Calcs'!$O$7:$O$84</c:f>
              <c:numCache>
                <c:formatCode>General</c:formatCode>
                <c:ptCount val="78"/>
                <c:pt idx="0">
                  <c:v>2652.5740367525714</c:v>
                </c:pt>
                <c:pt idx="1">
                  <c:v>3262.8010191945391</c:v>
                </c:pt>
                <c:pt idx="2">
                  <c:v>3764.0592106023087</c:v>
                </c:pt>
                <c:pt idx="3">
                  <c:v>4263.1917677783194</c:v>
                </c:pt>
                <c:pt idx="4">
                  <c:v>4672.404204119427</c:v>
                </c:pt>
                <c:pt idx="5">
                  <c:v>5109.1748706765693</c:v>
                </c:pt>
                <c:pt idx="6">
                  <c:v>5446.2650929060292</c:v>
                </c:pt>
                <c:pt idx="7">
                  <c:v>5769.5580896817164</c:v>
                </c:pt>
                <c:pt idx="8">
                  <c:v>6106.4439254939662</c:v>
                </c:pt>
                <c:pt idx="9">
                  <c:v>6417.3676147609949</c:v>
                </c:pt>
                <c:pt idx="10">
                  <c:v>6695.7753295716284</c:v>
                </c:pt>
                <c:pt idx="11">
                  <c:v>6955.1560419972511</c:v>
                </c:pt>
                <c:pt idx="12">
                  <c:v>7160.7870770932186</c:v>
                </c:pt>
                <c:pt idx="13">
                  <c:v>7366.360696341264</c:v>
                </c:pt>
                <c:pt idx="14">
                  <c:v>7555.9500911497817</c:v>
                </c:pt>
                <c:pt idx="15">
                  <c:v>7733.9284887544272</c:v>
                </c:pt>
                <c:pt idx="16">
                  <c:v>7909.6812700476557</c:v>
                </c:pt>
                <c:pt idx="17">
                  <c:v>8083.1515515871106</c:v>
                </c:pt>
                <c:pt idx="18">
                  <c:v>8254.2832596591488</c:v>
                </c:pt>
                <c:pt idx="19">
                  <c:v>8423.0211302788466</c:v>
                </c:pt>
                <c:pt idx="20">
                  <c:v>8589.3107091899965</c:v>
                </c:pt>
                <c:pt idx="21">
                  <c:v>8753.0983518651028</c:v>
                </c:pt>
                <c:pt idx="22">
                  <c:v>8899.3252930601375</c:v>
                </c:pt>
                <c:pt idx="23">
                  <c:v>9022.3103575503392</c:v>
                </c:pt>
                <c:pt idx="24">
                  <c:v>9140.3094405333923</c:v>
                </c:pt>
                <c:pt idx="25">
                  <c:v>9253.2215283518708</c:v>
                </c:pt>
                <c:pt idx="26">
                  <c:v>9360.9464170770625</c:v>
                </c:pt>
                <c:pt idx="27">
                  <c:v>9463.3847125089742</c:v>
                </c:pt>
                <c:pt idx="28">
                  <c:v>9560.4378301763318</c:v>
                </c:pt>
                <c:pt idx="29">
                  <c:v>9652.0079953365712</c:v>
                </c:pt>
                <c:pt idx="30">
                  <c:v>9737.9982429758584</c:v>
                </c:pt>
                <c:pt idx="31">
                  <c:v>9818.3124178090566</c:v>
                </c:pt>
                <c:pt idx="32">
                  <c:v>9892.8551742797681</c:v>
                </c:pt>
                <c:pt idx="33">
                  <c:v>9961.5319765602908</c:v>
                </c:pt>
                <c:pt idx="34">
                  <c:v>10024.249098551652</c:v>
                </c:pt>
                <c:pt idx="35">
                  <c:v>10080.913623883602</c:v>
                </c:pt>
                <c:pt idx="36">
                  <c:v>10131.433445914594</c:v>
                </c:pt>
                <c:pt idx="37">
                  <c:v>10175.717267731801</c:v>
                </c:pt>
                <c:pt idx="38">
                  <c:v>10213.674602151114</c:v>
                </c:pt>
                <c:pt idx="39">
                  <c:v>10245.215771717149</c:v>
                </c:pt>
                <c:pt idx="40">
                  <c:v>10270.251908703227</c:v>
                </c:pt>
                <c:pt idx="41">
                  <c:v>10254.937347042023</c:v>
                </c:pt>
                <c:pt idx="42">
                  <c:v>10230.810220670868</c:v>
                </c:pt>
                <c:pt idx="43">
                  <c:v>10198.271555455942</c:v>
                </c:pt>
                <c:pt idx="44">
                  <c:v>10157.210418563031</c:v>
                </c:pt>
                <c:pt idx="45">
                  <c:v>10107.516686886644</c:v>
                </c:pt>
                <c:pt idx="46">
                  <c:v>10049.081047050016</c:v>
                </c:pt>
                <c:pt idx="47">
                  <c:v>9981.7949954050782</c:v>
                </c:pt>
                <c:pt idx="48">
                  <c:v>9905.5508380324936</c:v>
                </c:pt>
                <c:pt idx="49">
                  <c:v>9820.2416907416446</c:v>
                </c:pt>
                <c:pt idx="50">
                  <c:v>9725.761479070612</c:v>
                </c:pt>
                <c:pt idx="51">
                  <c:v>9622.0049382862144</c:v>
                </c:pt>
                <c:pt idx="52">
                  <c:v>9508.8676133839781</c:v>
                </c:pt>
                <c:pt idx="53">
                  <c:v>9386.2458590881433</c:v>
                </c:pt>
                <c:pt idx="54">
                  <c:v>9254.036839851673</c:v>
                </c:pt>
                <c:pt idx="55">
                  <c:v>9112.1385298562436</c:v>
                </c:pt>
                <c:pt idx="56">
                  <c:v>8960.4497130122454</c:v>
                </c:pt>
                <c:pt idx="57">
                  <c:v>8798.8699829587931</c:v>
                </c:pt>
                <c:pt idx="58">
                  <c:v>8537.649109936583</c:v>
                </c:pt>
                <c:pt idx="59">
                  <c:v>8259.6158301106989</c:v>
                </c:pt>
                <c:pt idx="60">
                  <c:v>7964.4231747259646</c:v>
                </c:pt>
                <c:pt idx="61">
                  <c:v>7651.7209361123532</c:v>
                </c:pt>
                <c:pt idx="62">
                  <c:v>7321.1556676849559</c:v>
                </c:pt>
                <c:pt idx="63">
                  <c:v>6842.4603053631827</c:v>
                </c:pt>
                <c:pt idx="64">
                  <c:v>6336.0705182596739</c:v>
                </c:pt>
                <c:pt idx="65">
                  <c:v>5801.3061342522806</c:v>
                </c:pt>
                <c:pt idx="66">
                  <c:v>5237.4788839316752</c:v>
                </c:pt>
                <c:pt idx="67">
                  <c:v>4643.8924006013713</c:v>
                </c:pt>
                <c:pt idx="68">
                  <c:v>3954.4522169606767</c:v>
                </c:pt>
                <c:pt idx="69">
                  <c:v>3229.5585086514038</c:v>
                </c:pt>
                <c:pt idx="70">
                  <c:v>2129.1264797986582</c:v>
                </c:pt>
                <c:pt idx="71">
                  <c:v>969.38851129429895</c:v>
                </c:pt>
                <c:pt idx="72">
                  <c:v>-1697.5852973714827</c:v>
                </c:pt>
                <c:pt idx="73">
                  <c:v>-4519.3860433196987</c:v>
                </c:pt>
                <c:pt idx="74">
                  <c:v>-11737.766899437882</c:v>
                </c:pt>
                <c:pt idx="75">
                  <c:v>-19384.805054732813</c:v>
                </c:pt>
                <c:pt idx="76">
                  <c:v>-23793.800664262915</c:v>
                </c:pt>
                <c:pt idx="77">
                  <c:v>-28431.935083278007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04-49B4-978C-92FAB88D6A71}"/>
            </c:ext>
          </c:extLst>
        </c:ser>
        <c:ser>
          <c:idx val="1"/>
          <c:order val="1"/>
          <c:tx>
            <c:v>5,000 ft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'11 - Climb RoC Calcs'!$Q$9:$Q$84</c:f>
              <c:numCache>
                <c:formatCode>General</c:formatCode>
                <c:ptCount val="76"/>
                <c:pt idx="0">
                  <c:v>0.25</c:v>
                </c:pt>
                <c:pt idx="1">
                  <c:v>0.26</c:v>
                </c:pt>
                <c:pt idx="2">
                  <c:v>0.27</c:v>
                </c:pt>
                <c:pt idx="3">
                  <c:v>0.28000000000000003</c:v>
                </c:pt>
                <c:pt idx="4">
                  <c:v>0.28999999999999998</c:v>
                </c:pt>
                <c:pt idx="5">
                  <c:v>0.3</c:v>
                </c:pt>
                <c:pt idx="6">
                  <c:v>0.31</c:v>
                </c:pt>
                <c:pt idx="7">
                  <c:v>0.32</c:v>
                </c:pt>
                <c:pt idx="8">
                  <c:v>0.33</c:v>
                </c:pt>
                <c:pt idx="9">
                  <c:v>0.34</c:v>
                </c:pt>
                <c:pt idx="10">
                  <c:v>0.35</c:v>
                </c:pt>
                <c:pt idx="11">
                  <c:v>0.36</c:v>
                </c:pt>
                <c:pt idx="12">
                  <c:v>0.37</c:v>
                </c:pt>
                <c:pt idx="13">
                  <c:v>0.38</c:v>
                </c:pt>
                <c:pt idx="14">
                  <c:v>0.39</c:v>
                </c:pt>
                <c:pt idx="15">
                  <c:v>0.4</c:v>
                </c:pt>
                <c:pt idx="16">
                  <c:v>0.41</c:v>
                </c:pt>
                <c:pt idx="17">
                  <c:v>0.42</c:v>
                </c:pt>
                <c:pt idx="18">
                  <c:v>0.43</c:v>
                </c:pt>
                <c:pt idx="19">
                  <c:v>0.44</c:v>
                </c:pt>
                <c:pt idx="20">
                  <c:v>0.45</c:v>
                </c:pt>
                <c:pt idx="21">
                  <c:v>0.46</c:v>
                </c:pt>
                <c:pt idx="22">
                  <c:v>0.47</c:v>
                </c:pt>
                <c:pt idx="23">
                  <c:v>0.48</c:v>
                </c:pt>
                <c:pt idx="24">
                  <c:v>0.49</c:v>
                </c:pt>
                <c:pt idx="25">
                  <c:v>0.5</c:v>
                </c:pt>
                <c:pt idx="26">
                  <c:v>0.51</c:v>
                </c:pt>
                <c:pt idx="27">
                  <c:v>0.52</c:v>
                </c:pt>
                <c:pt idx="28">
                  <c:v>0.53</c:v>
                </c:pt>
                <c:pt idx="29">
                  <c:v>0.54</c:v>
                </c:pt>
                <c:pt idx="30">
                  <c:v>0.55000000000000004</c:v>
                </c:pt>
                <c:pt idx="31">
                  <c:v>0.56000000000000005</c:v>
                </c:pt>
                <c:pt idx="32">
                  <c:v>0.56999999999999995</c:v>
                </c:pt>
                <c:pt idx="33">
                  <c:v>0.57999999999999996</c:v>
                </c:pt>
                <c:pt idx="34">
                  <c:v>0.59</c:v>
                </c:pt>
                <c:pt idx="35">
                  <c:v>0.6</c:v>
                </c:pt>
                <c:pt idx="36">
                  <c:v>0.61</c:v>
                </c:pt>
                <c:pt idx="37">
                  <c:v>0.62</c:v>
                </c:pt>
                <c:pt idx="38">
                  <c:v>0.63</c:v>
                </c:pt>
                <c:pt idx="39">
                  <c:v>0.64</c:v>
                </c:pt>
                <c:pt idx="40">
                  <c:v>0.65</c:v>
                </c:pt>
                <c:pt idx="41">
                  <c:v>0.66</c:v>
                </c:pt>
                <c:pt idx="42">
                  <c:v>0.67</c:v>
                </c:pt>
                <c:pt idx="43">
                  <c:v>0.68</c:v>
                </c:pt>
                <c:pt idx="44">
                  <c:v>0.69</c:v>
                </c:pt>
                <c:pt idx="45">
                  <c:v>0.7</c:v>
                </c:pt>
                <c:pt idx="46">
                  <c:v>0.71</c:v>
                </c:pt>
                <c:pt idx="47">
                  <c:v>0.72</c:v>
                </c:pt>
                <c:pt idx="48">
                  <c:v>0.73</c:v>
                </c:pt>
                <c:pt idx="49">
                  <c:v>0.74</c:v>
                </c:pt>
                <c:pt idx="50">
                  <c:v>0.75</c:v>
                </c:pt>
                <c:pt idx="51">
                  <c:v>0.76</c:v>
                </c:pt>
                <c:pt idx="52">
                  <c:v>0.77</c:v>
                </c:pt>
                <c:pt idx="53">
                  <c:v>0.78</c:v>
                </c:pt>
                <c:pt idx="54">
                  <c:v>0.79</c:v>
                </c:pt>
                <c:pt idx="55">
                  <c:v>0.8</c:v>
                </c:pt>
                <c:pt idx="56">
                  <c:v>0.81</c:v>
                </c:pt>
                <c:pt idx="57">
                  <c:v>0.82</c:v>
                </c:pt>
                <c:pt idx="58">
                  <c:v>0.83</c:v>
                </c:pt>
                <c:pt idx="59">
                  <c:v>0.84</c:v>
                </c:pt>
                <c:pt idx="60">
                  <c:v>0.85</c:v>
                </c:pt>
                <c:pt idx="61">
                  <c:v>0.86</c:v>
                </c:pt>
                <c:pt idx="62">
                  <c:v>0.87</c:v>
                </c:pt>
                <c:pt idx="63">
                  <c:v>0.88</c:v>
                </c:pt>
                <c:pt idx="64">
                  <c:v>0.89</c:v>
                </c:pt>
                <c:pt idx="65">
                  <c:v>0.9</c:v>
                </c:pt>
                <c:pt idx="66">
                  <c:v>0.91</c:v>
                </c:pt>
                <c:pt idx="67">
                  <c:v>0.92</c:v>
                </c:pt>
                <c:pt idx="68">
                  <c:v>0.93</c:v>
                </c:pt>
                <c:pt idx="69">
                  <c:v>0.94</c:v>
                </c:pt>
                <c:pt idx="70">
                  <c:v>0.95</c:v>
                </c:pt>
                <c:pt idx="71">
                  <c:v>0.96</c:v>
                </c:pt>
                <c:pt idx="72">
                  <c:v>0.97</c:v>
                </c:pt>
                <c:pt idx="73">
                  <c:v>0.98</c:v>
                </c:pt>
                <c:pt idx="74">
                  <c:v>0.99</c:v>
                </c:pt>
                <c:pt idx="75">
                  <c:v>1</c:v>
                </c:pt>
              </c:numCache>
            </c:numRef>
          </c:xVal>
          <c:yVal>
            <c:numRef>
              <c:f>'11 - Climb RoC Calcs'!$W$9:$W$84</c:f>
              <c:numCache>
                <c:formatCode>General</c:formatCode>
                <c:ptCount val="76"/>
                <c:pt idx="0">
                  <c:v>1998.8653001642238</c:v>
                </c:pt>
                <c:pt idx="1">
                  <c:v>2594.8939552093739</c:v>
                </c:pt>
                <c:pt idx="2">
                  <c:v>3071.5822925281641</c:v>
                </c:pt>
                <c:pt idx="3">
                  <c:v>3566.8434036897556</c:v>
                </c:pt>
                <c:pt idx="4">
                  <c:v>3966.5573361214506</c:v>
                </c:pt>
                <c:pt idx="5">
                  <c:v>4357.8690685241872</c:v>
                </c:pt>
                <c:pt idx="6">
                  <c:v>4759.0948274234843</c:v>
                </c:pt>
                <c:pt idx="7">
                  <c:v>5045.9918323846741</c:v>
                </c:pt>
                <c:pt idx="8">
                  <c:v>5345.2048698663075</c:v>
                </c:pt>
                <c:pt idx="9">
                  <c:v>5657.1013781154679</c:v>
                </c:pt>
                <c:pt idx="10">
                  <c:v>5945.5759964842791</c:v>
                </c:pt>
                <c:pt idx="11">
                  <c:v>6199.3498321707966</c:v>
                </c:pt>
                <c:pt idx="12">
                  <c:v>6453.9809374596171</c:v>
                </c:pt>
                <c:pt idx="13">
                  <c:v>6637.9906187217584</c:v>
                </c:pt>
                <c:pt idx="14">
                  <c:v>6822.4188641276851</c:v>
                </c:pt>
                <c:pt idx="15">
                  <c:v>7004.4191351840836</c:v>
                </c:pt>
                <c:pt idx="16">
                  <c:v>7163.8484544983894</c:v>
                </c:pt>
                <c:pt idx="17">
                  <c:v>7321.7898796460895</c:v>
                </c:pt>
                <c:pt idx="18">
                  <c:v>7478.1988877044587</c:v>
                </c:pt>
                <c:pt idx="19">
                  <c:v>7633.0316178016556</c:v>
                </c:pt>
                <c:pt idx="20">
                  <c:v>7786.2448711167426</c:v>
                </c:pt>
                <c:pt idx="21">
                  <c:v>7937.7961108796717</c:v>
                </c:pt>
                <c:pt idx="22">
                  <c:v>8087.6434623712867</c:v>
                </c:pt>
                <c:pt idx="23">
                  <c:v>8235.7457129233444</c:v>
                </c:pt>
                <c:pt idx="24">
                  <c:v>8377.0749763170443</c:v>
                </c:pt>
                <c:pt idx="25">
                  <c:v>8487.3272535225897</c:v>
                </c:pt>
                <c:pt idx="26">
                  <c:v>8593.6458550402749</c:v>
                </c:pt>
                <c:pt idx="27">
                  <c:v>8695.9508382244494</c:v>
                </c:pt>
                <c:pt idx="28">
                  <c:v>8794.1629224803619</c:v>
                </c:pt>
                <c:pt idx="29">
                  <c:v>8888.2034892641532</c:v>
                </c:pt>
                <c:pt idx="30">
                  <c:v>8977.9945820828561</c:v>
                </c:pt>
                <c:pt idx="31">
                  <c:v>9063.4589064944066</c:v>
                </c:pt>
                <c:pt idx="32">
                  <c:v>9144.5198301076343</c:v>
                </c:pt>
                <c:pt idx="33">
                  <c:v>9221.1013825822592</c:v>
                </c:pt>
                <c:pt idx="34">
                  <c:v>9293.1282556289079</c:v>
                </c:pt>
                <c:pt idx="35">
                  <c:v>9360.5258030090899</c:v>
                </c:pt>
                <c:pt idx="36">
                  <c:v>9423.2200405352178</c:v>
                </c:pt>
                <c:pt idx="37">
                  <c:v>9481.1376460705978</c:v>
                </c:pt>
                <c:pt idx="38">
                  <c:v>9534.2059595294359</c:v>
                </c:pt>
                <c:pt idx="39">
                  <c:v>9582.3529828768242</c:v>
                </c:pt>
                <c:pt idx="40">
                  <c:v>9625.5073801287599</c:v>
                </c:pt>
                <c:pt idx="41">
                  <c:v>9663.5984773521304</c:v>
                </c:pt>
                <c:pt idx="42">
                  <c:v>9696.5562626647225</c:v>
                </c:pt>
                <c:pt idx="43">
                  <c:v>9724.3113862352184</c:v>
                </c:pt>
                <c:pt idx="44">
                  <c:v>9746.7951602831909</c:v>
                </c:pt>
                <c:pt idx="45">
                  <c:v>9733.1602671416804</c:v>
                </c:pt>
                <c:pt idx="46">
                  <c:v>9709.9384753553422</c:v>
                </c:pt>
                <c:pt idx="47">
                  <c:v>9679.7743175858577</c:v>
                </c:pt>
                <c:pt idx="48">
                  <c:v>9642.5810651658994</c:v>
                </c:pt>
                <c:pt idx="49">
                  <c:v>9598.272651479032</c:v>
                </c:pt>
                <c:pt idx="50">
                  <c:v>9546.7636719597122</c:v>
                </c:pt>
                <c:pt idx="51">
                  <c:v>9487.9693840933032</c:v>
                </c:pt>
                <c:pt idx="52">
                  <c:v>9421.8057074160533</c:v>
                </c:pt>
                <c:pt idx="53">
                  <c:v>9348.1892235151136</c:v>
                </c:pt>
                <c:pt idx="54">
                  <c:v>9267.0371760285234</c:v>
                </c:pt>
                <c:pt idx="55">
                  <c:v>9178.2674706452217</c:v>
                </c:pt>
                <c:pt idx="56">
                  <c:v>9008.4984688476416</c:v>
                </c:pt>
                <c:pt idx="57">
                  <c:v>8825.4526532682412</c:v>
                </c:pt>
                <c:pt idx="58">
                  <c:v>8628.8463350982256</c:v>
                </c:pt>
                <c:pt idx="59">
                  <c:v>8418.3931773252316</c:v>
                </c:pt>
                <c:pt idx="60">
                  <c:v>8193.804194733304</c:v>
                </c:pt>
                <c:pt idx="61">
                  <c:v>7848.3801933978839</c:v>
                </c:pt>
                <c:pt idx="62">
                  <c:v>7480.7775937553079</c:v>
                </c:pt>
                <c:pt idx="63">
                  <c:v>7090.4402730532302</c:v>
                </c:pt>
                <c:pt idx="64">
                  <c:v>6676.8054880303562</c:v>
                </c:pt>
                <c:pt idx="65">
                  <c:v>6239.3038749164216</c:v>
                </c:pt>
                <c:pt idx="66">
                  <c:v>5723.593416674641</c:v>
                </c:pt>
                <c:pt idx="67">
                  <c:v>5179.3537267082947</c:v>
                </c:pt>
                <c:pt idx="68">
                  <c:v>4328.5244632985678</c:v>
                </c:pt>
                <c:pt idx="69">
                  <c:v>3429.6637418329246</c:v>
                </c:pt>
                <c:pt idx="70">
                  <c:v>1298.914219071753</c:v>
                </c:pt>
                <c:pt idx="71">
                  <c:v>-957.96669906895363</c:v>
                </c:pt>
                <c:pt idx="72">
                  <c:v>-6809.6600687435403</c:v>
                </c:pt>
                <c:pt idx="73">
                  <c:v>-13011.385239708346</c:v>
                </c:pt>
                <c:pt idx="74">
                  <c:v>-16565.720062567409</c:v>
                </c:pt>
                <c:pt idx="75">
                  <c:v>-20306.967311029584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04-49B4-978C-92FAB88D6A71}"/>
            </c:ext>
          </c:extLst>
        </c:ser>
        <c:ser>
          <c:idx val="2"/>
          <c:order val="2"/>
          <c:tx>
            <c:v>10,000 ft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'11 - Climb RoC Calcs'!$Y$11:$Y$84</c:f>
              <c:numCache>
                <c:formatCode>General</c:formatCode>
                <c:ptCount val="74"/>
                <c:pt idx="0">
                  <c:v>0.27</c:v>
                </c:pt>
                <c:pt idx="1">
                  <c:v>0.28000000000000003</c:v>
                </c:pt>
                <c:pt idx="2">
                  <c:v>0.28999999999999998</c:v>
                </c:pt>
                <c:pt idx="3">
                  <c:v>0.3</c:v>
                </c:pt>
                <c:pt idx="4">
                  <c:v>0.31</c:v>
                </c:pt>
                <c:pt idx="5">
                  <c:v>0.32</c:v>
                </c:pt>
                <c:pt idx="6">
                  <c:v>0.33</c:v>
                </c:pt>
                <c:pt idx="7">
                  <c:v>0.34</c:v>
                </c:pt>
                <c:pt idx="8">
                  <c:v>0.35</c:v>
                </c:pt>
                <c:pt idx="9">
                  <c:v>0.36</c:v>
                </c:pt>
                <c:pt idx="10">
                  <c:v>0.37</c:v>
                </c:pt>
                <c:pt idx="11">
                  <c:v>0.38</c:v>
                </c:pt>
                <c:pt idx="12">
                  <c:v>0.39</c:v>
                </c:pt>
                <c:pt idx="13">
                  <c:v>0.4</c:v>
                </c:pt>
                <c:pt idx="14">
                  <c:v>0.41</c:v>
                </c:pt>
                <c:pt idx="15">
                  <c:v>0.42</c:v>
                </c:pt>
                <c:pt idx="16">
                  <c:v>0.43</c:v>
                </c:pt>
                <c:pt idx="17">
                  <c:v>0.44</c:v>
                </c:pt>
                <c:pt idx="18">
                  <c:v>0.45</c:v>
                </c:pt>
                <c:pt idx="19">
                  <c:v>0.46</c:v>
                </c:pt>
                <c:pt idx="20">
                  <c:v>0.47</c:v>
                </c:pt>
                <c:pt idx="21">
                  <c:v>0.48</c:v>
                </c:pt>
                <c:pt idx="22">
                  <c:v>0.49</c:v>
                </c:pt>
                <c:pt idx="23">
                  <c:v>0.5</c:v>
                </c:pt>
                <c:pt idx="24">
                  <c:v>0.51</c:v>
                </c:pt>
                <c:pt idx="25">
                  <c:v>0.52</c:v>
                </c:pt>
                <c:pt idx="26">
                  <c:v>0.53</c:v>
                </c:pt>
                <c:pt idx="27">
                  <c:v>0.54</c:v>
                </c:pt>
                <c:pt idx="28">
                  <c:v>0.55000000000000004</c:v>
                </c:pt>
                <c:pt idx="29">
                  <c:v>0.56000000000000005</c:v>
                </c:pt>
                <c:pt idx="30">
                  <c:v>0.56999999999999995</c:v>
                </c:pt>
                <c:pt idx="31">
                  <c:v>0.57999999999999996</c:v>
                </c:pt>
                <c:pt idx="32">
                  <c:v>0.59</c:v>
                </c:pt>
                <c:pt idx="33">
                  <c:v>0.6</c:v>
                </c:pt>
                <c:pt idx="34">
                  <c:v>0.61</c:v>
                </c:pt>
                <c:pt idx="35">
                  <c:v>0.62</c:v>
                </c:pt>
                <c:pt idx="36">
                  <c:v>0.63</c:v>
                </c:pt>
                <c:pt idx="37">
                  <c:v>0.64</c:v>
                </c:pt>
                <c:pt idx="38">
                  <c:v>0.65</c:v>
                </c:pt>
                <c:pt idx="39">
                  <c:v>0.66</c:v>
                </c:pt>
                <c:pt idx="40">
                  <c:v>0.67</c:v>
                </c:pt>
                <c:pt idx="41">
                  <c:v>0.68</c:v>
                </c:pt>
                <c:pt idx="42">
                  <c:v>0.69</c:v>
                </c:pt>
                <c:pt idx="43">
                  <c:v>0.7</c:v>
                </c:pt>
                <c:pt idx="44">
                  <c:v>0.71</c:v>
                </c:pt>
                <c:pt idx="45">
                  <c:v>0.72</c:v>
                </c:pt>
                <c:pt idx="46">
                  <c:v>0.73</c:v>
                </c:pt>
                <c:pt idx="47">
                  <c:v>0.74</c:v>
                </c:pt>
                <c:pt idx="48">
                  <c:v>0.75</c:v>
                </c:pt>
                <c:pt idx="49">
                  <c:v>0.76</c:v>
                </c:pt>
                <c:pt idx="50">
                  <c:v>0.77</c:v>
                </c:pt>
                <c:pt idx="51">
                  <c:v>0.78</c:v>
                </c:pt>
                <c:pt idx="52">
                  <c:v>0.79</c:v>
                </c:pt>
                <c:pt idx="53">
                  <c:v>0.8</c:v>
                </c:pt>
                <c:pt idx="54">
                  <c:v>0.81</c:v>
                </c:pt>
                <c:pt idx="55">
                  <c:v>0.82</c:v>
                </c:pt>
                <c:pt idx="56">
                  <c:v>0.83</c:v>
                </c:pt>
                <c:pt idx="57">
                  <c:v>0.84</c:v>
                </c:pt>
                <c:pt idx="58">
                  <c:v>0.85</c:v>
                </c:pt>
                <c:pt idx="59">
                  <c:v>0.86</c:v>
                </c:pt>
                <c:pt idx="60">
                  <c:v>0.87</c:v>
                </c:pt>
                <c:pt idx="61">
                  <c:v>0.88</c:v>
                </c:pt>
                <c:pt idx="62">
                  <c:v>0.89</c:v>
                </c:pt>
                <c:pt idx="63">
                  <c:v>0.9</c:v>
                </c:pt>
                <c:pt idx="64">
                  <c:v>0.91</c:v>
                </c:pt>
                <c:pt idx="65">
                  <c:v>0.92</c:v>
                </c:pt>
                <c:pt idx="66">
                  <c:v>0.93</c:v>
                </c:pt>
                <c:pt idx="67">
                  <c:v>0.94</c:v>
                </c:pt>
                <c:pt idx="68">
                  <c:v>0.95</c:v>
                </c:pt>
                <c:pt idx="69">
                  <c:v>0.96</c:v>
                </c:pt>
                <c:pt idx="70">
                  <c:v>0.97</c:v>
                </c:pt>
                <c:pt idx="71">
                  <c:v>0.98</c:v>
                </c:pt>
                <c:pt idx="72">
                  <c:v>0.99</c:v>
                </c:pt>
                <c:pt idx="73">
                  <c:v>1</c:v>
                </c:pt>
              </c:numCache>
            </c:numRef>
          </c:xVal>
          <c:yVal>
            <c:numRef>
              <c:f>'11 - Climb RoC Calcs'!$AE$11:$AE$84</c:f>
              <c:numCache>
                <c:formatCode>General</c:formatCode>
                <c:ptCount val="74"/>
                <c:pt idx="0">
                  <c:v>1194.3028281820491</c:v>
                </c:pt>
                <c:pt idx="1">
                  <c:v>1730.044623493354</c:v>
                </c:pt>
                <c:pt idx="2">
                  <c:v>2265.4074402161177</c:v>
                </c:pt>
                <c:pt idx="3">
                  <c:v>2704.8760344440752</c:v>
                </c:pt>
                <c:pt idx="4">
                  <c:v>3180.5537253853145</c:v>
                </c:pt>
                <c:pt idx="5">
                  <c:v>3528.0152999797388</c:v>
                </c:pt>
                <c:pt idx="6">
                  <c:v>3894.3652558301142</c:v>
                </c:pt>
                <c:pt idx="7">
                  <c:v>4281.3569239548688</c:v>
                </c:pt>
                <c:pt idx="8">
                  <c:v>4543.1395084948717</c:v>
                </c:pt>
                <c:pt idx="9">
                  <c:v>4816.2241175776162</c:v>
                </c:pt>
                <c:pt idx="10">
                  <c:v>5100.9106033340877</c:v>
                </c:pt>
                <c:pt idx="11">
                  <c:v>5397.0439697411593</c:v>
                </c:pt>
                <c:pt idx="12">
                  <c:v>5626.1464891315009</c:v>
                </c:pt>
                <c:pt idx="13">
                  <c:v>5861.5450339799545</c:v>
                </c:pt>
                <c:pt idx="14">
                  <c:v>6073.0282973499689</c:v>
                </c:pt>
                <c:pt idx="15">
                  <c:v>6238.0689888967554</c:v>
                </c:pt>
                <c:pt idx="16">
                  <c:v>6403.8618672084194</c:v>
                </c:pt>
                <c:pt idx="17">
                  <c:v>6567.2867201415065</c:v>
                </c:pt>
                <c:pt idx="18">
                  <c:v>6709.2994174147261</c:v>
                </c:pt>
                <c:pt idx="19">
                  <c:v>6850.3721923507501</c:v>
                </c:pt>
                <c:pt idx="20">
                  <c:v>6990.4710563343715</c:v>
                </c:pt>
                <c:pt idx="21">
                  <c:v>7129.5625581197992</c:v>
                </c:pt>
                <c:pt idx="22">
                  <c:v>7267.6137838306431</c:v>
                </c:pt>
                <c:pt idx="23">
                  <c:v>7404.5923569599317</c:v>
                </c:pt>
                <c:pt idx="24">
                  <c:v>7540.4664383700992</c:v>
                </c:pt>
                <c:pt idx="25">
                  <c:v>7675.2047262929946</c:v>
                </c:pt>
                <c:pt idx="26">
                  <c:v>7808.7764563298706</c:v>
                </c:pt>
                <c:pt idx="27">
                  <c:v>7932.4147839568432</c:v>
                </c:pt>
                <c:pt idx="28">
                  <c:v>8029.8438651323822</c:v>
                </c:pt>
                <c:pt idx="29">
                  <c:v>8124.1701120939952</c:v>
                </c:pt>
                <c:pt idx="30">
                  <c:v>8215.3313243324301</c:v>
                </c:pt>
                <c:pt idx="31">
                  <c:v>8303.26583870785</c:v>
                </c:pt>
                <c:pt idx="32">
                  <c:v>8387.9125294498317</c:v>
                </c:pt>
                <c:pt idx="33">
                  <c:v>8469.2108081573442</c:v>
                </c:pt>
                <c:pt idx="34">
                  <c:v>8547.1006237987876</c:v>
                </c:pt>
                <c:pt idx="35">
                  <c:v>8621.5224627119624</c:v>
                </c:pt>
                <c:pt idx="36">
                  <c:v>8692.41734860408</c:v>
                </c:pt>
                <c:pt idx="37">
                  <c:v>8759.7268425517595</c:v>
                </c:pt>
                <c:pt idx="38">
                  <c:v>8823.3930430010423</c:v>
                </c:pt>
                <c:pt idx="39">
                  <c:v>8883.3585857673606</c:v>
                </c:pt>
                <c:pt idx="40">
                  <c:v>8939.5666440355762</c:v>
                </c:pt>
                <c:pt idx="41">
                  <c:v>8991.9609283599493</c:v>
                </c:pt>
                <c:pt idx="42">
                  <c:v>9040.4856866641585</c:v>
                </c:pt>
                <c:pt idx="43">
                  <c:v>9085.0857042412827</c:v>
                </c:pt>
                <c:pt idx="44">
                  <c:v>9125.7063037538192</c:v>
                </c:pt>
                <c:pt idx="45">
                  <c:v>9162.2933452336765</c:v>
                </c:pt>
                <c:pt idx="46">
                  <c:v>9194.7932260821672</c:v>
                </c:pt>
                <c:pt idx="47">
                  <c:v>9223.1528810700165</c:v>
                </c:pt>
                <c:pt idx="48">
                  <c:v>9247.3197823373648</c:v>
                </c:pt>
                <c:pt idx="49">
                  <c:v>9266.8576478127234</c:v>
                </c:pt>
                <c:pt idx="50">
                  <c:v>9249.5058999046687</c:v>
                </c:pt>
                <c:pt idx="51">
                  <c:v>9226.5139937692838</c:v>
                </c:pt>
                <c:pt idx="52">
                  <c:v>9197.8147582302809</c:v>
                </c:pt>
                <c:pt idx="53">
                  <c:v>9163.341559480763</c:v>
                </c:pt>
                <c:pt idx="54">
                  <c:v>9063.5324392467683</c:v>
                </c:pt>
                <c:pt idx="55">
                  <c:v>8953.3559668632279</c:v>
                </c:pt>
                <c:pt idx="56">
                  <c:v>8832.5818795377945</c:v>
                </c:pt>
                <c:pt idx="57">
                  <c:v>8700.9777650004908</c:v>
                </c:pt>
                <c:pt idx="58">
                  <c:v>8558.3090615036817</c:v>
                </c:pt>
                <c:pt idx="59">
                  <c:v>8317.7779349059729</c:v>
                </c:pt>
                <c:pt idx="60">
                  <c:v>8059.6496245527223</c:v>
                </c:pt>
                <c:pt idx="61">
                  <c:v>7783.4727401392283</c:v>
                </c:pt>
                <c:pt idx="62">
                  <c:v>7488.7905176666709</c:v>
                </c:pt>
                <c:pt idx="63">
                  <c:v>7175.1408194421338</c:v>
                </c:pt>
                <c:pt idx="64">
                  <c:v>6798.1094985844984</c:v>
                </c:pt>
                <c:pt idx="65">
                  <c:v>6398.3196221791341</c:v>
                </c:pt>
                <c:pt idx="66">
                  <c:v>5750.0768775113338</c:v>
                </c:pt>
                <c:pt idx="67">
                  <c:v>5063.2461298418721</c:v>
                </c:pt>
                <c:pt idx="68">
                  <c:v>3376.9213118650509</c:v>
                </c:pt>
                <c:pt idx="69">
                  <c:v>1588.6168127768553</c:v>
                </c:pt>
                <c:pt idx="70">
                  <c:v>-3117.6490283624339</c:v>
                </c:pt>
                <c:pt idx="71">
                  <c:v>-8107.6398731662748</c:v>
                </c:pt>
                <c:pt idx="72">
                  <c:v>-10948.981606156987</c:v>
                </c:pt>
                <c:pt idx="73">
                  <c:v>-13941.659822780199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04-49B4-978C-92FAB88D6A71}"/>
            </c:ext>
          </c:extLst>
        </c:ser>
        <c:ser>
          <c:idx val="3"/>
          <c:order val="3"/>
          <c:tx>
            <c:v>15,000 ft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'11 - Climb RoC Calcs'!$AG$14:$AG$84</c:f>
              <c:numCache>
                <c:formatCode>General</c:formatCode>
                <c:ptCount val="71"/>
                <c:pt idx="0">
                  <c:v>0.3</c:v>
                </c:pt>
                <c:pt idx="1">
                  <c:v>0.31</c:v>
                </c:pt>
                <c:pt idx="2">
                  <c:v>0.32</c:v>
                </c:pt>
                <c:pt idx="3">
                  <c:v>0.33</c:v>
                </c:pt>
                <c:pt idx="4">
                  <c:v>0.34</c:v>
                </c:pt>
                <c:pt idx="5">
                  <c:v>0.35</c:v>
                </c:pt>
                <c:pt idx="6">
                  <c:v>0.36</c:v>
                </c:pt>
                <c:pt idx="7">
                  <c:v>0.37</c:v>
                </c:pt>
                <c:pt idx="8">
                  <c:v>0.38</c:v>
                </c:pt>
                <c:pt idx="9">
                  <c:v>0.39</c:v>
                </c:pt>
                <c:pt idx="10">
                  <c:v>0.4</c:v>
                </c:pt>
                <c:pt idx="11">
                  <c:v>0.41</c:v>
                </c:pt>
                <c:pt idx="12">
                  <c:v>0.42</c:v>
                </c:pt>
                <c:pt idx="13">
                  <c:v>0.43</c:v>
                </c:pt>
                <c:pt idx="14">
                  <c:v>0.44</c:v>
                </c:pt>
                <c:pt idx="15">
                  <c:v>0.45</c:v>
                </c:pt>
                <c:pt idx="16">
                  <c:v>0.46</c:v>
                </c:pt>
                <c:pt idx="17">
                  <c:v>0.47</c:v>
                </c:pt>
                <c:pt idx="18">
                  <c:v>0.48</c:v>
                </c:pt>
                <c:pt idx="19">
                  <c:v>0.49</c:v>
                </c:pt>
                <c:pt idx="20">
                  <c:v>0.5</c:v>
                </c:pt>
                <c:pt idx="21">
                  <c:v>0.51</c:v>
                </c:pt>
                <c:pt idx="22">
                  <c:v>0.52</c:v>
                </c:pt>
                <c:pt idx="23">
                  <c:v>0.53</c:v>
                </c:pt>
                <c:pt idx="24">
                  <c:v>0.54</c:v>
                </c:pt>
                <c:pt idx="25">
                  <c:v>0.55000000000000004</c:v>
                </c:pt>
                <c:pt idx="26">
                  <c:v>0.56000000000000005</c:v>
                </c:pt>
                <c:pt idx="27">
                  <c:v>0.56999999999999995</c:v>
                </c:pt>
                <c:pt idx="28">
                  <c:v>0.57999999999999996</c:v>
                </c:pt>
                <c:pt idx="29">
                  <c:v>0.59</c:v>
                </c:pt>
                <c:pt idx="30">
                  <c:v>0.6</c:v>
                </c:pt>
                <c:pt idx="31">
                  <c:v>0.61</c:v>
                </c:pt>
                <c:pt idx="32">
                  <c:v>0.62</c:v>
                </c:pt>
                <c:pt idx="33">
                  <c:v>0.63</c:v>
                </c:pt>
                <c:pt idx="34">
                  <c:v>0.64</c:v>
                </c:pt>
                <c:pt idx="35">
                  <c:v>0.65</c:v>
                </c:pt>
                <c:pt idx="36">
                  <c:v>0.66</c:v>
                </c:pt>
                <c:pt idx="37">
                  <c:v>0.67</c:v>
                </c:pt>
                <c:pt idx="38">
                  <c:v>0.68</c:v>
                </c:pt>
                <c:pt idx="39">
                  <c:v>0.69</c:v>
                </c:pt>
                <c:pt idx="40">
                  <c:v>0.7</c:v>
                </c:pt>
                <c:pt idx="41">
                  <c:v>0.71</c:v>
                </c:pt>
                <c:pt idx="42">
                  <c:v>0.72</c:v>
                </c:pt>
                <c:pt idx="43">
                  <c:v>0.73</c:v>
                </c:pt>
                <c:pt idx="44">
                  <c:v>0.74</c:v>
                </c:pt>
                <c:pt idx="45">
                  <c:v>0.75</c:v>
                </c:pt>
                <c:pt idx="46">
                  <c:v>0.76</c:v>
                </c:pt>
                <c:pt idx="47">
                  <c:v>0.77</c:v>
                </c:pt>
                <c:pt idx="48">
                  <c:v>0.78</c:v>
                </c:pt>
                <c:pt idx="49">
                  <c:v>0.79</c:v>
                </c:pt>
                <c:pt idx="50">
                  <c:v>0.8</c:v>
                </c:pt>
                <c:pt idx="51">
                  <c:v>0.81</c:v>
                </c:pt>
                <c:pt idx="52">
                  <c:v>0.82</c:v>
                </c:pt>
                <c:pt idx="53">
                  <c:v>0.83</c:v>
                </c:pt>
                <c:pt idx="54">
                  <c:v>0.84</c:v>
                </c:pt>
                <c:pt idx="55">
                  <c:v>0.85</c:v>
                </c:pt>
                <c:pt idx="56">
                  <c:v>0.86</c:v>
                </c:pt>
                <c:pt idx="57">
                  <c:v>0.87</c:v>
                </c:pt>
                <c:pt idx="58">
                  <c:v>0.88</c:v>
                </c:pt>
                <c:pt idx="59">
                  <c:v>0.89</c:v>
                </c:pt>
                <c:pt idx="60">
                  <c:v>0.9</c:v>
                </c:pt>
                <c:pt idx="61">
                  <c:v>0.91</c:v>
                </c:pt>
                <c:pt idx="62">
                  <c:v>0.92</c:v>
                </c:pt>
                <c:pt idx="63">
                  <c:v>0.93</c:v>
                </c:pt>
                <c:pt idx="64">
                  <c:v>0.94</c:v>
                </c:pt>
                <c:pt idx="65">
                  <c:v>0.95</c:v>
                </c:pt>
                <c:pt idx="66">
                  <c:v>0.96</c:v>
                </c:pt>
                <c:pt idx="67">
                  <c:v>0.97</c:v>
                </c:pt>
                <c:pt idx="68">
                  <c:v>0.98</c:v>
                </c:pt>
                <c:pt idx="69">
                  <c:v>0.99</c:v>
                </c:pt>
                <c:pt idx="70">
                  <c:v>1</c:v>
                </c:pt>
              </c:numCache>
            </c:numRef>
          </c:xVal>
          <c:yVal>
            <c:numRef>
              <c:f>'11 - Climb RoC Calcs'!$AM$14:$AM$84</c:f>
              <c:numCache>
                <c:formatCode>General</c:formatCode>
                <c:ptCount val="71"/>
                <c:pt idx="0">
                  <c:v>648.05964888834899</c:v>
                </c:pt>
                <c:pt idx="1">
                  <c:v>1157.320729259472</c:v>
                </c:pt>
                <c:pt idx="2">
                  <c:v>1658.6097592042508</c:v>
                </c:pt>
                <c:pt idx="3">
                  <c:v>2064.9452119816669</c:v>
                </c:pt>
                <c:pt idx="4">
                  <c:v>2503.4810684094696</c:v>
                </c:pt>
                <c:pt idx="5">
                  <c:v>2851.4729944317446</c:v>
                </c:pt>
                <c:pt idx="6">
                  <c:v>3180.8907964709369</c:v>
                </c:pt>
                <c:pt idx="7">
                  <c:v>3530.7524660707622</c:v>
                </c:pt>
                <c:pt idx="8">
                  <c:v>3831.1563614496486</c:v>
                </c:pt>
                <c:pt idx="9">
                  <c:v>4070.0699031090699</c:v>
                </c:pt>
                <c:pt idx="10">
                  <c:v>4319.2488304182825</c:v>
                </c:pt>
                <c:pt idx="11">
                  <c:v>4578.9363537018571</c:v>
                </c:pt>
                <c:pt idx="12">
                  <c:v>4844.9805359901648</c:v>
                </c:pt>
                <c:pt idx="13">
                  <c:v>5048.2139081105761</c:v>
                </c:pt>
                <c:pt idx="14">
                  <c:v>5257.1753003104259</c:v>
                </c:pt>
                <c:pt idx="15">
                  <c:v>5459.4407008837989</c:v>
                </c:pt>
                <c:pt idx="16">
                  <c:v>5600.0153145832637</c:v>
                </c:pt>
                <c:pt idx="17">
                  <c:v>5741.4003502803798</c:v>
                </c:pt>
                <c:pt idx="18">
                  <c:v>5883.5992970912384</c:v>
                </c:pt>
                <c:pt idx="19">
                  <c:v>6012.8168295709256</c:v>
                </c:pt>
                <c:pt idx="20">
                  <c:v>6131.2708008638001</c:v>
                </c:pt>
                <c:pt idx="21">
                  <c:v>6249.0303302710481</c:v>
                </c:pt>
                <c:pt idx="22">
                  <c:v>6366.0702096051145</c:v>
                </c:pt>
                <c:pt idx="23">
                  <c:v>6482.3656634370263</c:v>
                </c:pt>
                <c:pt idx="24">
                  <c:v>6597.8923490963998</c:v>
                </c:pt>
                <c:pt idx="25">
                  <c:v>6712.6263566714342</c:v>
                </c:pt>
                <c:pt idx="26">
                  <c:v>6826.5442090089082</c:v>
                </c:pt>
                <c:pt idx="27">
                  <c:v>6939.6228617141933</c:v>
                </c:pt>
                <c:pt idx="28">
                  <c:v>7051.8397031512395</c:v>
                </c:pt>
                <c:pt idx="29">
                  <c:v>7163.1725544425872</c:v>
                </c:pt>
                <c:pt idx="30">
                  <c:v>7251.4759972635475</c:v>
                </c:pt>
                <c:pt idx="31">
                  <c:v>7327.3345106988609</c:v>
                </c:pt>
                <c:pt idx="32">
                  <c:v>7400.5952018036351</c:v>
                </c:pt>
                <c:pt idx="33">
                  <c:v>7471.2105753232063</c:v>
                </c:pt>
                <c:pt idx="34">
                  <c:v>7539.1335687614919</c:v>
                </c:pt>
                <c:pt idx="35">
                  <c:v>7604.3175523809987</c:v>
                </c:pt>
                <c:pt idx="36">
                  <c:v>7666.7163292028126</c:v>
                </c:pt>
                <c:pt idx="37">
                  <c:v>7726.2841350066092</c:v>
                </c:pt>
                <c:pt idx="38">
                  <c:v>7782.9756383306485</c:v>
                </c:pt>
                <c:pt idx="39">
                  <c:v>7836.7459404717711</c:v>
                </c:pt>
                <c:pt idx="40">
                  <c:v>7887.5505754854057</c:v>
                </c:pt>
                <c:pt idx="41">
                  <c:v>7935.3455101855661</c:v>
                </c:pt>
                <c:pt idx="42">
                  <c:v>7980.087144144848</c:v>
                </c:pt>
                <c:pt idx="43">
                  <c:v>8021.7323096944347</c:v>
                </c:pt>
                <c:pt idx="44">
                  <c:v>8060.2382719240877</c:v>
                </c:pt>
                <c:pt idx="45">
                  <c:v>8095.5627286821637</c:v>
                </c:pt>
                <c:pt idx="46">
                  <c:v>8127.6638105755956</c:v>
                </c:pt>
                <c:pt idx="47">
                  <c:v>8156.5000809699013</c:v>
                </c:pt>
                <c:pt idx="48">
                  <c:v>8182.0305359891918</c:v>
                </c:pt>
                <c:pt idx="49">
                  <c:v>8204.2146045161517</c:v>
                </c:pt>
                <c:pt idx="50">
                  <c:v>8223.0121481920578</c:v>
                </c:pt>
                <c:pt idx="51">
                  <c:v>8190.4697832954853</c:v>
                </c:pt>
                <c:pt idx="52">
                  <c:v>8150.8687566410717</c:v>
                </c:pt>
                <c:pt idx="53">
                  <c:v>8104.0371548810672</c:v>
                </c:pt>
                <c:pt idx="54">
                  <c:v>8046.0919833778653</c:v>
                </c:pt>
                <c:pt idx="55">
                  <c:v>7951.8544027297694</c:v>
                </c:pt>
                <c:pt idx="56">
                  <c:v>7778.8047834867266</c:v>
                </c:pt>
                <c:pt idx="57">
                  <c:v>7591.7741451822249</c:v>
                </c:pt>
                <c:pt idx="58">
                  <c:v>7390.3989706051707</c:v>
                </c:pt>
                <c:pt idx="59">
                  <c:v>7174.3114149586063</c:v>
                </c:pt>
                <c:pt idx="60">
                  <c:v>6943.1393058597414</c:v>
                </c:pt>
                <c:pt idx="61">
                  <c:v>6660.8040204161834</c:v>
                </c:pt>
                <c:pt idx="62">
                  <c:v>6360.3242912192736</c:v>
                </c:pt>
                <c:pt idx="63">
                  <c:v>5859.9421889035393</c:v>
                </c:pt>
                <c:pt idx="64">
                  <c:v>5328.6677469853303</c:v>
                </c:pt>
                <c:pt idx="65">
                  <c:v>3992.6564896891832</c:v>
                </c:pt>
                <c:pt idx="66">
                  <c:v>2574.7018050886409</c:v>
                </c:pt>
                <c:pt idx="67">
                  <c:v>-1193.5368592756131</c:v>
                </c:pt>
                <c:pt idx="68">
                  <c:v>-5190.0949117574919</c:v>
                </c:pt>
                <c:pt idx="69">
                  <c:v>-7456.6768915009197</c:v>
                </c:pt>
                <c:pt idx="70">
                  <c:v>-9844.9734689761754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604-49B4-978C-92FAB88D6A71}"/>
            </c:ext>
          </c:extLst>
        </c:ser>
        <c:ser>
          <c:idx val="4"/>
          <c:order val="4"/>
          <c:tx>
            <c:v>20,000 ft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'11 - Climb RoC Calcs'!$AO$17:$AO$84</c:f>
              <c:numCache>
                <c:formatCode>General</c:formatCode>
                <c:ptCount val="68"/>
                <c:pt idx="0">
                  <c:v>0.33</c:v>
                </c:pt>
                <c:pt idx="1">
                  <c:v>0.34</c:v>
                </c:pt>
                <c:pt idx="2">
                  <c:v>0.35</c:v>
                </c:pt>
                <c:pt idx="3">
                  <c:v>0.36</c:v>
                </c:pt>
                <c:pt idx="4">
                  <c:v>0.37</c:v>
                </c:pt>
                <c:pt idx="5">
                  <c:v>0.38</c:v>
                </c:pt>
                <c:pt idx="6">
                  <c:v>0.39</c:v>
                </c:pt>
                <c:pt idx="7">
                  <c:v>0.4</c:v>
                </c:pt>
                <c:pt idx="8">
                  <c:v>0.41</c:v>
                </c:pt>
                <c:pt idx="9">
                  <c:v>0.42</c:v>
                </c:pt>
                <c:pt idx="10">
                  <c:v>0.43</c:v>
                </c:pt>
                <c:pt idx="11">
                  <c:v>0.44</c:v>
                </c:pt>
                <c:pt idx="12">
                  <c:v>0.45</c:v>
                </c:pt>
                <c:pt idx="13">
                  <c:v>0.46</c:v>
                </c:pt>
                <c:pt idx="14">
                  <c:v>0.47</c:v>
                </c:pt>
                <c:pt idx="15">
                  <c:v>0.48</c:v>
                </c:pt>
                <c:pt idx="16">
                  <c:v>0.49</c:v>
                </c:pt>
                <c:pt idx="17">
                  <c:v>0.5</c:v>
                </c:pt>
                <c:pt idx="18">
                  <c:v>0.51</c:v>
                </c:pt>
                <c:pt idx="19">
                  <c:v>0.52</c:v>
                </c:pt>
                <c:pt idx="20">
                  <c:v>0.53</c:v>
                </c:pt>
                <c:pt idx="21">
                  <c:v>0.54</c:v>
                </c:pt>
                <c:pt idx="22">
                  <c:v>0.55000000000000004</c:v>
                </c:pt>
                <c:pt idx="23">
                  <c:v>0.56000000000000005</c:v>
                </c:pt>
                <c:pt idx="24">
                  <c:v>0.56999999999999995</c:v>
                </c:pt>
                <c:pt idx="25">
                  <c:v>0.57999999999999996</c:v>
                </c:pt>
                <c:pt idx="26">
                  <c:v>0.59</c:v>
                </c:pt>
                <c:pt idx="27">
                  <c:v>0.6</c:v>
                </c:pt>
                <c:pt idx="28">
                  <c:v>0.61</c:v>
                </c:pt>
                <c:pt idx="29">
                  <c:v>0.62</c:v>
                </c:pt>
                <c:pt idx="30">
                  <c:v>0.63</c:v>
                </c:pt>
                <c:pt idx="31">
                  <c:v>0.64</c:v>
                </c:pt>
                <c:pt idx="32">
                  <c:v>0.65</c:v>
                </c:pt>
                <c:pt idx="33">
                  <c:v>0.66</c:v>
                </c:pt>
                <c:pt idx="34">
                  <c:v>0.67</c:v>
                </c:pt>
                <c:pt idx="35">
                  <c:v>0.68</c:v>
                </c:pt>
                <c:pt idx="36">
                  <c:v>0.69</c:v>
                </c:pt>
                <c:pt idx="37">
                  <c:v>0.7</c:v>
                </c:pt>
                <c:pt idx="38">
                  <c:v>0.71</c:v>
                </c:pt>
                <c:pt idx="39">
                  <c:v>0.72</c:v>
                </c:pt>
                <c:pt idx="40">
                  <c:v>0.73</c:v>
                </c:pt>
                <c:pt idx="41">
                  <c:v>0.74</c:v>
                </c:pt>
                <c:pt idx="42">
                  <c:v>0.75</c:v>
                </c:pt>
                <c:pt idx="43">
                  <c:v>0.76</c:v>
                </c:pt>
                <c:pt idx="44">
                  <c:v>0.77</c:v>
                </c:pt>
                <c:pt idx="45">
                  <c:v>0.78</c:v>
                </c:pt>
                <c:pt idx="46">
                  <c:v>0.79</c:v>
                </c:pt>
                <c:pt idx="47">
                  <c:v>0.8</c:v>
                </c:pt>
                <c:pt idx="48">
                  <c:v>0.81</c:v>
                </c:pt>
                <c:pt idx="49">
                  <c:v>0.82</c:v>
                </c:pt>
                <c:pt idx="50">
                  <c:v>0.83</c:v>
                </c:pt>
                <c:pt idx="51">
                  <c:v>0.84</c:v>
                </c:pt>
                <c:pt idx="52">
                  <c:v>0.85</c:v>
                </c:pt>
                <c:pt idx="53">
                  <c:v>0.86</c:v>
                </c:pt>
                <c:pt idx="54">
                  <c:v>0.87</c:v>
                </c:pt>
                <c:pt idx="55">
                  <c:v>0.88</c:v>
                </c:pt>
                <c:pt idx="56">
                  <c:v>0.89</c:v>
                </c:pt>
                <c:pt idx="57">
                  <c:v>0.9</c:v>
                </c:pt>
                <c:pt idx="58">
                  <c:v>0.91</c:v>
                </c:pt>
                <c:pt idx="59">
                  <c:v>0.92</c:v>
                </c:pt>
                <c:pt idx="60">
                  <c:v>0.93</c:v>
                </c:pt>
                <c:pt idx="61">
                  <c:v>0.94</c:v>
                </c:pt>
                <c:pt idx="62">
                  <c:v>0.95</c:v>
                </c:pt>
                <c:pt idx="63">
                  <c:v>0.96</c:v>
                </c:pt>
                <c:pt idx="64">
                  <c:v>0.97</c:v>
                </c:pt>
                <c:pt idx="65">
                  <c:v>0.98</c:v>
                </c:pt>
                <c:pt idx="66">
                  <c:v>0.99</c:v>
                </c:pt>
                <c:pt idx="67">
                  <c:v>1</c:v>
                </c:pt>
              </c:numCache>
            </c:numRef>
          </c:xVal>
          <c:yVal>
            <c:numRef>
              <c:f>'11 - Climb RoC Calcs'!$AU$17:$AU$84</c:f>
              <c:numCache>
                <c:formatCode>General</c:formatCode>
                <c:ptCount val="68"/>
                <c:pt idx="0">
                  <c:v>-122.98820965551256</c:v>
                </c:pt>
                <c:pt idx="1">
                  <c:v>343.91009768477687</c:v>
                </c:pt>
                <c:pt idx="2">
                  <c:v>852.45201319537352</c:v>
                </c:pt>
                <c:pt idx="3">
                  <c:v>1240.8308452751055</c:v>
                </c:pt>
                <c:pt idx="4">
                  <c:v>1633.0744702233642</c:v>
                </c:pt>
                <c:pt idx="5">
                  <c:v>2046.3874011868775</c:v>
                </c:pt>
                <c:pt idx="6">
                  <c:v>2334.8647145571267</c:v>
                </c:pt>
                <c:pt idx="7">
                  <c:v>2641.1417372099286</c:v>
                </c:pt>
                <c:pt idx="8">
                  <c:v>2965.6545855942632</c:v>
                </c:pt>
                <c:pt idx="9">
                  <c:v>3248.2377428970385</c:v>
                </c:pt>
                <c:pt idx="10">
                  <c:v>3461.7298605877459</c:v>
                </c:pt>
                <c:pt idx="11">
                  <c:v>3684.3664002543674</c:v>
                </c:pt>
                <c:pt idx="12">
                  <c:v>3916.3429577052348</c:v>
                </c:pt>
                <c:pt idx="13">
                  <c:v>4157.8554743243176</c:v>
                </c:pt>
                <c:pt idx="14">
                  <c:v>4370.0162916803692</c:v>
                </c:pt>
                <c:pt idx="15">
                  <c:v>4552.5520059914697</c:v>
                </c:pt>
                <c:pt idx="16">
                  <c:v>4740.2994915737936</c:v>
                </c:pt>
                <c:pt idx="17">
                  <c:v>4909.6273223561111</c:v>
                </c:pt>
                <c:pt idx="18">
                  <c:v>5029.0824003058578</c:v>
                </c:pt>
                <c:pt idx="19">
                  <c:v>5149.3701798996044</c:v>
                </c:pt>
                <c:pt idx="20">
                  <c:v>5270.4951752190627</c:v>
                </c:pt>
                <c:pt idx="21">
                  <c:v>5384.6665636951266</c:v>
                </c:pt>
                <c:pt idx="22">
                  <c:v>5483.0585123978271</c:v>
                </c:pt>
                <c:pt idx="23">
                  <c:v>5580.9668867565233</c:v>
                </c:pt>
                <c:pt idx="24">
                  <c:v>5678.3732848687532</c:v>
                </c:pt>
                <c:pt idx="25">
                  <c:v>5775.2596504076882</c:v>
                </c:pt>
                <c:pt idx="26">
                  <c:v>5871.608272622133</c:v>
                </c:pt>
                <c:pt idx="27">
                  <c:v>5967.4017863365216</c:v>
                </c:pt>
                <c:pt idx="28">
                  <c:v>6062.6231719509278</c:v>
                </c:pt>
                <c:pt idx="29">
                  <c:v>6157.2557554410478</c:v>
                </c:pt>
                <c:pt idx="30">
                  <c:v>6251.2832083582243</c:v>
                </c:pt>
                <c:pt idx="31">
                  <c:v>6344.6895478294227</c:v>
                </c:pt>
                <c:pt idx="32">
                  <c:v>6437.4591365572478</c:v>
                </c:pt>
                <c:pt idx="33">
                  <c:v>6521.1491065401706</c:v>
                </c:pt>
                <c:pt idx="34">
                  <c:v>6580.3946354485352</c:v>
                </c:pt>
                <c:pt idx="35">
                  <c:v>6637.5114772115221</c:v>
                </c:pt>
                <c:pt idx="36">
                  <c:v>6692.4637783571952</c:v>
                </c:pt>
                <c:pt idx="37">
                  <c:v>6745.2160309892533</c:v>
                </c:pt>
                <c:pt idx="38">
                  <c:v>6795.7330727870258</c:v>
                </c:pt>
                <c:pt idx="39">
                  <c:v>6843.9800870054823</c:v>
                </c:pt>
                <c:pt idx="40">
                  <c:v>6889.9226024752215</c:v>
                </c:pt>
                <c:pt idx="41">
                  <c:v>6933.5264936024678</c:v>
                </c:pt>
                <c:pt idx="42">
                  <c:v>6974.7579803690924</c:v>
                </c:pt>
                <c:pt idx="43">
                  <c:v>7013.5836283325907</c:v>
                </c:pt>
                <c:pt idx="44">
                  <c:v>7049.9703486260905</c:v>
                </c:pt>
                <c:pt idx="45">
                  <c:v>7083.8853979583591</c:v>
                </c:pt>
                <c:pt idx="46">
                  <c:v>7115.2963786137952</c:v>
                </c:pt>
                <c:pt idx="47">
                  <c:v>7144.1712384524208</c:v>
                </c:pt>
                <c:pt idx="48">
                  <c:v>7132.217216736829</c:v>
                </c:pt>
                <c:pt idx="49">
                  <c:v>7114.7947209677268</c:v>
                </c:pt>
                <c:pt idx="50">
                  <c:v>7091.7664712248597</c:v>
                </c:pt>
                <c:pt idx="51">
                  <c:v>7062.9938052854477</c:v>
                </c:pt>
                <c:pt idx="52">
                  <c:v>7028.3366786241768</c:v>
                </c:pt>
                <c:pt idx="53">
                  <c:v>6931.3239141105742</c:v>
                </c:pt>
                <c:pt idx="54">
                  <c:v>6824.3185169444632</c:v>
                </c:pt>
                <c:pt idx="55">
                  <c:v>6707.0455125945909</c:v>
                </c:pt>
                <c:pt idx="56">
                  <c:v>6579.2265398884911</c:v>
                </c:pt>
                <c:pt idx="57">
                  <c:v>6440.5798510124969</c:v>
                </c:pt>
                <c:pt idx="58">
                  <c:v>6261.8537669067309</c:v>
                </c:pt>
                <c:pt idx="59">
                  <c:v>6070.023029977041</c:v>
                </c:pt>
                <c:pt idx="60">
                  <c:v>5718.6128622882725</c:v>
                </c:pt>
                <c:pt idx="61">
                  <c:v>5312.903022327926</c:v>
                </c:pt>
                <c:pt idx="62">
                  <c:v>4264.7341499823933</c:v>
                </c:pt>
                <c:pt idx="63">
                  <c:v>3151.2866676567633</c:v>
                </c:pt>
                <c:pt idx="64">
                  <c:v>160.63649932498186</c:v>
                </c:pt>
                <c:pt idx="65">
                  <c:v>-3012.1910919311836</c:v>
                </c:pt>
                <c:pt idx="66">
                  <c:v>-4803.988021836235</c:v>
                </c:pt>
                <c:pt idx="67">
                  <c:v>-6692.8455919407888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604-49B4-978C-92FAB88D6A71}"/>
            </c:ext>
          </c:extLst>
        </c:ser>
        <c:ser>
          <c:idx val="5"/>
          <c:order val="5"/>
          <c:tx>
            <c:v>25,000 ft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'11 - Climb RoC Calcs'!$AW$21:$AW$84</c:f>
              <c:numCache>
                <c:formatCode>General</c:formatCode>
                <c:ptCount val="64"/>
                <c:pt idx="0">
                  <c:v>0.37</c:v>
                </c:pt>
                <c:pt idx="1">
                  <c:v>0.38</c:v>
                </c:pt>
                <c:pt idx="2">
                  <c:v>0.39</c:v>
                </c:pt>
                <c:pt idx="3">
                  <c:v>0.4</c:v>
                </c:pt>
                <c:pt idx="4">
                  <c:v>0.41</c:v>
                </c:pt>
                <c:pt idx="5">
                  <c:v>0.42</c:v>
                </c:pt>
                <c:pt idx="6">
                  <c:v>0.43</c:v>
                </c:pt>
                <c:pt idx="7">
                  <c:v>0.44</c:v>
                </c:pt>
                <c:pt idx="8">
                  <c:v>0.45</c:v>
                </c:pt>
                <c:pt idx="9">
                  <c:v>0.46</c:v>
                </c:pt>
                <c:pt idx="10">
                  <c:v>0.47</c:v>
                </c:pt>
                <c:pt idx="11">
                  <c:v>0.48</c:v>
                </c:pt>
                <c:pt idx="12">
                  <c:v>0.49</c:v>
                </c:pt>
                <c:pt idx="13">
                  <c:v>0.5</c:v>
                </c:pt>
                <c:pt idx="14">
                  <c:v>0.51</c:v>
                </c:pt>
                <c:pt idx="15">
                  <c:v>0.52</c:v>
                </c:pt>
                <c:pt idx="16">
                  <c:v>0.53</c:v>
                </c:pt>
                <c:pt idx="17">
                  <c:v>0.54</c:v>
                </c:pt>
                <c:pt idx="18">
                  <c:v>0.55000000000000004</c:v>
                </c:pt>
                <c:pt idx="19">
                  <c:v>0.56000000000000005</c:v>
                </c:pt>
                <c:pt idx="20">
                  <c:v>0.56999999999999995</c:v>
                </c:pt>
                <c:pt idx="21">
                  <c:v>0.57999999999999996</c:v>
                </c:pt>
                <c:pt idx="22">
                  <c:v>0.59</c:v>
                </c:pt>
                <c:pt idx="23">
                  <c:v>0.6</c:v>
                </c:pt>
                <c:pt idx="24">
                  <c:v>0.61</c:v>
                </c:pt>
                <c:pt idx="25">
                  <c:v>0.62</c:v>
                </c:pt>
                <c:pt idx="26">
                  <c:v>0.63</c:v>
                </c:pt>
                <c:pt idx="27">
                  <c:v>0.64</c:v>
                </c:pt>
                <c:pt idx="28">
                  <c:v>0.65</c:v>
                </c:pt>
                <c:pt idx="29">
                  <c:v>0.66</c:v>
                </c:pt>
                <c:pt idx="30">
                  <c:v>0.67</c:v>
                </c:pt>
                <c:pt idx="31">
                  <c:v>0.68</c:v>
                </c:pt>
                <c:pt idx="32">
                  <c:v>0.69</c:v>
                </c:pt>
                <c:pt idx="33">
                  <c:v>0.7</c:v>
                </c:pt>
                <c:pt idx="34">
                  <c:v>0.71</c:v>
                </c:pt>
                <c:pt idx="35">
                  <c:v>0.72</c:v>
                </c:pt>
                <c:pt idx="36">
                  <c:v>0.73</c:v>
                </c:pt>
                <c:pt idx="37">
                  <c:v>0.74</c:v>
                </c:pt>
                <c:pt idx="38">
                  <c:v>0.75</c:v>
                </c:pt>
                <c:pt idx="39">
                  <c:v>0.76</c:v>
                </c:pt>
                <c:pt idx="40">
                  <c:v>0.77</c:v>
                </c:pt>
                <c:pt idx="41">
                  <c:v>0.78</c:v>
                </c:pt>
                <c:pt idx="42">
                  <c:v>0.79</c:v>
                </c:pt>
                <c:pt idx="43">
                  <c:v>0.8</c:v>
                </c:pt>
                <c:pt idx="44">
                  <c:v>0.81</c:v>
                </c:pt>
                <c:pt idx="45">
                  <c:v>0.82</c:v>
                </c:pt>
                <c:pt idx="46">
                  <c:v>0.83</c:v>
                </c:pt>
                <c:pt idx="47">
                  <c:v>0.84</c:v>
                </c:pt>
                <c:pt idx="48">
                  <c:v>0.85</c:v>
                </c:pt>
                <c:pt idx="49">
                  <c:v>0.86</c:v>
                </c:pt>
                <c:pt idx="50">
                  <c:v>0.87</c:v>
                </c:pt>
                <c:pt idx="51">
                  <c:v>0.88</c:v>
                </c:pt>
                <c:pt idx="52">
                  <c:v>0.89</c:v>
                </c:pt>
                <c:pt idx="53">
                  <c:v>0.9</c:v>
                </c:pt>
                <c:pt idx="54">
                  <c:v>0.91</c:v>
                </c:pt>
                <c:pt idx="55">
                  <c:v>0.92</c:v>
                </c:pt>
                <c:pt idx="56">
                  <c:v>0.93</c:v>
                </c:pt>
                <c:pt idx="57">
                  <c:v>0.94</c:v>
                </c:pt>
                <c:pt idx="58">
                  <c:v>0.95</c:v>
                </c:pt>
                <c:pt idx="59">
                  <c:v>0.96</c:v>
                </c:pt>
                <c:pt idx="60">
                  <c:v>0.97</c:v>
                </c:pt>
                <c:pt idx="61">
                  <c:v>0.98</c:v>
                </c:pt>
                <c:pt idx="62">
                  <c:v>0.99</c:v>
                </c:pt>
                <c:pt idx="63">
                  <c:v>1</c:v>
                </c:pt>
              </c:numCache>
            </c:numRef>
          </c:xVal>
          <c:yVal>
            <c:numRef>
              <c:f>'11 - Climb RoC Calcs'!$BC$21:$BC$84</c:f>
              <c:numCache>
                <c:formatCode>General</c:formatCode>
                <c:ptCount val="64"/>
                <c:pt idx="0">
                  <c:v>-701.37520208630269</c:v>
                </c:pt>
                <c:pt idx="1">
                  <c:v>-253.40609131035683</c:v>
                </c:pt>
                <c:pt idx="2">
                  <c:v>231.45698955986001</c:v>
                </c:pt>
                <c:pt idx="3">
                  <c:v>588.1158362001222</c:v>
                </c:pt>
                <c:pt idx="4">
                  <c:v>952.19406279058478</c:v>
                </c:pt>
                <c:pt idx="5">
                  <c:v>1341.7016092500169</c:v>
                </c:pt>
                <c:pt idx="6">
                  <c:v>1636.8091559064078</c:v>
                </c:pt>
                <c:pt idx="7">
                  <c:v>1912.627992804622</c:v>
                </c:pt>
                <c:pt idx="8">
                  <c:v>2204.4034148120172</c:v>
                </c:pt>
                <c:pt idx="9">
                  <c:v>2512.4818736841189</c:v>
                </c:pt>
                <c:pt idx="10">
                  <c:v>2733.9597306061946</c:v>
                </c:pt>
                <c:pt idx="11">
                  <c:v>2928.0164406320168</c:v>
                </c:pt>
                <c:pt idx="12">
                  <c:v>3130.2295125799678</c:v>
                </c:pt>
                <c:pt idx="13">
                  <c:v>3340.7550821662294</c:v>
                </c:pt>
                <c:pt idx="14">
                  <c:v>3559.7495585495681</c:v>
                </c:pt>
                <c:pt idx="15">
                  <c:v>3767.1307175770826</c:v>
                </c:pt>
                <c:pt idx="16">
                  <c:v>3928.0097871998878</c:v>
                </c:pt>
                <c:pt idx="17">
                  <c:v>4093.5352413598084</c:v>
                </c:pt>
                <c:pt idx="18">
                  <c:v>4263.7835756200711</c:v>
                </c:pt>
                <c:pt idx="19">
                  <c:v>4385.6952047633249</c:v>
                </c:pt>
                <c:pt idx="20">
                  <c:v>4486.9744846106923</c:v>
                </c:pt>
                <c:pt idx="21">
                  <c:v>4589.0822923493279</c:v>
                </c:pt>
                <c:pt idx="22">
                  <c:v>4692.0238404785123</c:v>
                </c:pt>
                <c:pt idx="23">
                  <c:v>4789.4399661802545</c:v>
                </c:pt>
                <c:pt idx="24">
                  <c:v>4870.3079333897103</c:v>
                </c:pt>
                <c:pt idx="25">
                  <c:v>4950.8541068047371</c:v>
                </c:pt>
                <c:pt idx="26">
                  <c:v>5031.0655662631843</c:v>
                </c:pt>
                <c:pt idx="27">
                  <c:v>5110.9296650454835</c:v>
                </c:pt>
                <c:pt idx="28">
                  <c:v>5190.4340298746483</c:v>
                </c:pt>
                <c:pt idx="29">
                  <c:v>5269.5665609162834</c:v>
                </c:pt>
                <c:pt idx="30">
                  <c:v>5348.3154317785766</c:v>
                </c:pt>
                <c:pt idx="31">
                  <c:v>5426.669089512302</c:v>
                </c:pt>
                <c:pt idx="32">
                  <c:v>5504.6162546108153</c:v>
                </c:pt>
                <c:pt idx="33">
                  <c:v>5582.1459210100602</c:v>
                </c:pt>
                <c:pt idx="34">
                  <c:v>5659.2473560885655</c:v>
                </c:pt>
                <c:pt idx="35">
                  <c:v>5735.9101006674473</c:v>
                </c:pt>
                <c:pt idx="36">
                  <c:v>5812.1239690104039</c:v>
                </c:pt>
                <c:pt idx="37">
                  <c:v>5861.3935594100594</c:v>
                </c:pt>
                <c:pt idx="38">
                  <c:v>5904.4918738833649</c:v>
                </c:pt>
                <c:pt idx="39">
                  <c:v>5945.8306334489544</c:v>
                </c:pt>
                <c:pt idx="40">
                  <c:v>5985.3836559792971</c:v>
                </c:pt>
                <c:pt idx="41">
                  <c:v>6023.125032789434</c:v>
                </c:pt>
                <c:pt idx="42">
                  <c:v>6059.0291286370029</c:v>
                </c:pt>
                <c:pt idx="43">
                  <c:v>6093.0705817222151</c:v>
                </c:pt>
                <c:pt idx="44">
                  <c:v>6094.9495951562421</c:v>
                </c:pt>
                <c:pt idx="45">
                  <c:v>6092.6456915575982</c:v>
                </c:pt>
                <c:pt idx="46">
                  <c:v>6086.0502458592828</c:v>
                </c:pt>
                <c:pt idx="47">
                  <c:v>6075.0535392239663</c:v>
                </c:pt>
                <c:pt idx="48">
                  <c:v>6059.5447590439699</c:v>
                </c:pt>
                <c:pt idx="49">
                  <c:v>5994.2346971050147</c:v>
                </c:pt>
                <c:pt idx="50">
                  <c:v>5921.1478210657406</c:v>
                </c:pt>
                <c:pt idx="51">
                  <c:v>5840.0665526610564</c:v>
                </c:pt>
                <c:pt idx="52">
                  <c:v>5750.7706338885364</c:v>
                </c:pt>
                <c:pt idx="53">
                  <c:v>5653.0371270084188</c:v>
                </c:pt>
                <c:pt idx="54">
                  <c:v>5522.759199058698</c:v>
                </c:pt>
                <c:pt idx="55">
                  <c:v>5382.2208985474099</c:v>
                </c:pt>
                <c:pt idx="56">
                  <c:v>5116.5948141310537</c:v>
                </c:pt>
                <c:pt idx="57">
                  <c:v>4832.6897103076644</c:v>
                </c:pt>
                <c:pt idx="58">
                  <c:v>4041.5629915257782</c:v>
                </c:pt>
                <c:pt idx="59">
                  <c:v>3199.9369210570198</c:v>
                </c:pt>
                <c:pt idx="60">
                  <c:v>872.8315914512109</c:v>
                </c:pt>
                <c:pt idx="61">
                  <c:v>-1597.0426561119712</c:v>
                </c:pt>
                <c:pt idx="62">
                  <c:v>-2973.8301691903184</c:v>
                </c:pt>
                <c:pt idx="63">
                  <c:v>-4425.7736488637729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604-49B4-978C-92FAB88D6A71}"/>
            </c:ext>
          </c:extLst>
        </c:ser>
        <c:ser>
          <c:idx val="6"/>
          <c:order val="6"/>
          <c:tx>
            <c:v>30,000 ft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'11 - Climb RoC Calcs'!$BE$25:$BE$84</c:f>
              <c:numCache>
                <c:formatCode>General</c:formatCode>
                <c:ptCount val="60"/>
                <c:pt idx="0">
                  <c:v>0.41</c:v>
                </c:pt>
                <c:pt idx="1">
                  <c:v>0.42</c:v>
                </c:pt>
                <c:pt idx="2">
                  <c:v>0.43</c:v>
                </c:pt>
                <c:pt idx="3">
                  <c:v>0.44</c:v>
                </c:pt>
                <c:pt idx="4">
                  <c:v>0.45</c:v>
                </c:pt>
                <c:pt idx="5">
                  <c:v>0.46</c:v>
                </c:pt>
                <c:pt idx="6">
                  <c:v>0.47</c:v>
                </c:pt>
                <c:pt idx="7">
                  <c:v>0.48</c:v>
                </c:pt>
                <c:pt idx="8">
                  <c:v>0.49</c:v>
                </c:pt>
                <c:pt idx="9">
                  <c:v>0.5</c:v>
                </c:pt>
                <c:pt idx="10">
                  <c:v>0.51</c:v>
                </c:pt>
                <c:pt idx="11">
                  <c:v>0.52</c:v>
                </c:pt>
                <c:pt idx="12">
                  <c:v>0.53</c:v>
                </c:pt>
                <c:pt idx="13">
                  <c:v>0.54</c:v>
                </c:pt>
                <c:pt idx="14">
                  <c:v>0.55000000000000004</c:v>
                </c:pt>
                <c:pt idx="15">
                  <c:v>0.56000000000000005</c:v>
                </c:pt>
                <c:pt idx="16">
                  <c:v>0.56999999999999995</c:v>
                </c:pt>
                <c:pt idx="17">
                  <c:v>0.57999999999999996</c:v>
                </c:pt>
                <c:pt idx="18">
                  <c:v>0.59</c:v>
                </c:pt>
                <c:pt idx="19">
                  <c:v>0.6</c:v>
                </c:pt>
                <c:pt idx="20">
                  <c:v>0.61</c:v>
                </c:pt>
                <c:pt idx="21">
                  <c:v>0.62</c:v>
                </c:pt>
                <c:pt idx="22">
                  <c:v>0.63</c:v>
                </c:pt>
                <c:pt idx="23">
                  <c:v>0.64</c:v>
                </c:pt>
                <c:pt idx="24">
                  <c:v>0.65</c:v>
                </c:pt>
                <c:pt idx="25">
                  <c:v>0.66</c:v>
                </c:pt>
                <c:pt idx="26">
                  <c:v>0.67</c:v>
                </c:pt>
                <c:pt idx="27">
                  <c:v>0.68</c:v>
                </c:pt>
                <c:pt idx="28">
                  <c:v>0.69</c:v>
                </c:pt>
                <c:pt idx="29">
                  <c:v>0.7</c:v>
                </c:pt>
                <c:pt idx="30">
                  <c:v>0.71</c:v>
                </c:pt>
                <c:pt idx="31">
                  <c:v>0.72</c:v>
                </c:pt>
                <c:pt idx="32">
                  <c:v>0.73</c:v>
                </c:pt>
                <c:pt idx="33">
                  <c:v>0.74</c:v>
                </c:pt>
                <c:pt idx="34">
                  <c:v>0.75</c:v>
                </c:pt>
                <c:pt idx="35">
                  <c:v>0.76</c:v>
                </c:pt>
                <c:pt idx="36">
                  <c:v>0.77</c:v>
                </c:pt>
                <c:pt idx="37">
                  <c:v>0.78</c:v>
                </c:pt>
                <c:pt idx="38">
                  <c:v>0.79</c:v>
                </c:pt>
                <c:pt idx="39">
                  <c:v>0.8</c:v>
                </c:pt>
                <c:pt idx="40">
                  <c:v>0.81</c:v>
                </c:pt>
                <c:pt idx="41">
                  <c:v>0.82</c:v>
                </c:pt>
                <c:pt idx="42">
                  <c:v>0.83</c:v>
                </c:pt>
                <c:pt idx="43">
                  <c:v>0.84</c:v>
                </c:pt>
                <c:pt idx="44">
                  <c:v>0.85</c:v>
                </c:pt>
                <c:pt idx="45">
                  <c:v>0.86</c:v>
                </c:pt>
                <c:pt idx="46">
                  <c:v>0.87</c:v>
                </c:pt>
                <c:pt idx="47">
                  <c:v>0.88</c:v>
                </c:pt>
                <c:pt idx="48">
                  <c:v>0.89</c:v>
                </c:pt>
                <c:pt idx="49">
                  <c:v>0.9</c:v>
                </c:pt>
                <c:pt idx="50">
                  <c:v>0.91</c:v>
                </c:pt>
                <c:pt idx="51">
                  <c:v>0.92</c:v>
                </c:pt>
                <c:pt idx="52">
                  <c:v>0.93</c:v>
                </c:pt>
                <c:pt idx="53">
                  <c:v>0.94</c:v>
                </c:pt>
                <c:pt idx="54">
                  <c:v>0.95</c:v>
                </c:pt>
                <c:pt idx="55">
                  <c:v>0.96</c:v>
                </c:pt>
                <c:pt idx="56">
                  <c:v>0.97</c:v>
                </c:pt>
                <c:pt idx="57">
                  <c:v>0.98</c:v>
                </c:pt>
                <c:pt idx="58">
                  <c:v>0.99</c:v>
                </c:pt>
                <c:pt idx="59">
                  <c:v>1</c:v>
                </c:pt>
              </c:numCache>
            </c:numRef>
          </c:xVal>
          <c:yVal>
            <c:numRef>
              <c:f>'11 - Climb RoC Calcs'!$BK$25:$BK$84</c:f>
              <c:numCache>
                <c:formatCode>General</c:formatCode>
                <c:ptCount val="60"/>
                <c:pt idx="0">
                  <c:v>-1576.0295224705701</c:v>
                </c:pt>
                <c:pt idx="1">
                  <c:v>-1165.9853222195732</c:v>
                </c:pt>
                <c:pt idx="2">
                  <c:v>-723.93436045232329</c:v>
                </c:pt>
                <c:pt idx="3">
                  <c:v>-300.74222687484797</c:v>
                </c:pt>
                <c:pt idx="4">
                  <c:v>23.779249699329249</c:v>
                </c:pt>
                <c:pt idx="5">
                  <c:v>370.23380180749621</c:v>
                </c:pt>
                <c:pt idx="6">
                  <c:v>739.09391090480358</c:v>
                </c:pt>
                <c:pt idx="7">
                  <c:v>1009.7706763212293</c:v>
                </c:pt>
                <c:pt idx="8">
                  <c:v>1263.2397818065463</c:v>
                </c:pt>
                <c:pt idx="9">
                  <c:v>1530.6920419190326</c:v>
                </c:pt>
                <c:pt idx="10">
                  <c:v>1812.3999555981352</c:v>
                </c:pt>
                <c:pt idx="11">
                  <c:v>2070.1447594919809</c:v>
                </c:pt>
                <c:pt idx="12">
                  <c:v>2241.3541129915639</c:v>
                </c:pt>
                <c:pt idx="13">
                  <c:v>2419.6900165145416</c:v>
                </c:pt>
                <c:pt idx="14">
                  <c:v>2605.2758658070784</c:v>
                </c:pt>
                <c:pt idx="15">
                  <c:v>2798.2352708440653</c:v>
                </c:pt>
                <c:pt idx="16">
                  <c:v>2998.6920558291199</c:v>
                </c:pt>
                <c:pt idx="17">
                  <c:v>3193.8740011736841</c:v>
                </c:pt>
                <c:pt idx="18">
                  <c:v>3336.458744591444</c:v>
                </c:pt>
                <c:pt idx="19">
                  <c:v>3483.1691755962238</c:v>
                </c:pt>
                <c:pt idx="20">
                  <c:v>3634.0665100464767</c:v>
                </c:pt>
                <c:pt idx="21">
                  <c:v>3775.4705079438718</c:v>
                </c:pt>
                <c:pt idx="22">
                  <c:v>3860.2809524305703</c:v>
                </c:pt>
                <c:pt idx="23">
                  <c:v>3945.8909023582191</c:v>
                </c:pt>
                <c:pt idx="24">
                  <c:v>4032.305726834265</c:v>
                </c:pt>
                <c:pt idx="25">
                  <c:v>4119.5310091948795</c:v>
                </c:pt>
                <c:pt idx="26">
                  <c:v>4202.2414350213221</c:v>
                </c:pt>
                <c:pt idx="27">
                  <c:v>4267.979346576647</c:v>
                </c:pt>
                <c:pt idx="28">
                  <c:v>4333.5214703013062</c:v>
                </c:pt>
                <c:pt idx="29">
                  <c:v>4398.8591834890804</c:v>
                </c:pt>
                <c:pt idx="30">
                  <c:v>4463.9840776624742</c:v>
                </c:pt>
                <c:pt idx="31">
                  <c:v>4528.88795857272</c:v>
                </c:pt>
                <c:pt idx="32">
                  <c:v>4593.5628461997721</c:v>
                </c:pt>
                <c:pt idx="33">
                  <c:v>4658.0009747523145</c:v>
                </c:pt>
                <c:pt idx="34">
                  <c:v>4722.1947926677594</c:v>
                </c:pt>
                <c:pt idx="35">
                  <c:v>4786.1369626122396</c:v>
                </c:pt>
                <c:pt idx="36">
                  <c:v>4849.8203614806143</c:v>
                </c:pt>
                <c:pt idx="37">
                  <c:v>4913.2380803964725</c:v>
                </c:pt>
                <c:pt idx="38">
                  <c:v>4976.3834247121304</c:v>
                </c:pt>
                <c:pt idx="39">
                  <c:v>5039.2499140086229</c:v>
                </c:pt>
                <c:pt idx="40">
                  <c:v>5078.1125470197767</c:v>
                </c:pt>
                <c:pt idx="41">
                  <c:v>5107.944134426918</c:v>
                </c:pt>
                <c:pt idx="42">
                  <c:v>5111.949302757429</c:v>
                </c:pt>
                <c:pt idx="43">
                  <c:v>5112.6289800946206</c:v>
                </c:pt>
                <c:pt idx="44">
                  <c:v>5109.896350247288</c:v>
                </c:pt>
                <c:pt idx="45">
                  <c:v>5067.6543884189514</c:v>
                </c:pt>
                <c:pt idx="46">
                  <c:v>5019.4280504940098</c:v>
                </c:pt>
                <c:pt idx="47">
                  <c:v>4965.0468746751985</c:v>
                </c:pt>
                <c:pt idx="48">
                  <c:v>4904.3382997237404</c:v>
                </c:pt>
                <c:pt idx="49">
                  <c:v>4837.1276649593401</c:v>
                </c:pt>
                <c:pt idx="50">
                  <c:v>4743.552052634278</c:v>
                </c:pt>
                <c:pt idx="51">
                  <c:v>4642.024859620562</c:v>
                </c:pt>
                <c:pt idx="52">
                  <c:v>4442.5844948341346</c:v>
                </c:pt>
                <c:pt idx="53">
                  <c:v>4228.9103366006229</c:v>
                </c:pt>
                <c:pt idx="54">
                  <c:v>3617.9400714015169</c:v>
                </c:pt>
                <c:pt idx="55">
                  <c:v>2967.4929778106566</c:v>
                </c:pt>
                <c:pt idx="56">
                  <c:v>1151.598707821732</c:v>
                </c:pt>
                <c:pt idx="57">
                  <c:v>-776.09679283742787</c:v>
                </c:pt>
                <c:pt idx="58">
                  <c:v>-1849.1322238378607</c:v>
                </c:pt>
                <c:pt idx="59">
                  <c:v>-2981.0332518384157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604-49B4-978C-92FAB88D6A71}"/>
            </c:ext>
          </c:extLst>
        </c:ser>
        <c:ser>
          <c:idx val="7"/>
          <c:order val="7"/>
          <c:tx>
            <c:v>35,000 ft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'11 - Climb RoC Calcs'!$BM$30:$BM$84</c:f>
              <c:numCache>
                <c:formatCode>General</c:formatCode>
                <c:ptCount val="55"/>
                <c:pt idx="0">
                  <c:v>0.46</c:v>
                </c:pt>
                <c:pt idx="1">
                  <c:v>0.47</c:v>
                </c:pt>
                <c:pt idx="2">
                  <c:v>0.48</c:v>
                </c:pt>
                <c:pt idx="3">
                  <c:v>0.49</c:v>
                </c:pt>
                <c:pt idx="4">
                  <c:v>0.5</c:v>
                </c:pt>
                <c:pt idx="5">
                  <c:v>0.51</c:v>
                </c:pt>
                <c:pt idx="6">
                  <c:v>0.52</c:v>
                </c:pt>
                <c:pt idx="7">
                  <c:v>0.53</c:v>
                </c:pt>
                <c:pt idx="8">
                  <c:v>0.54</c:v>
                </c:pt>
                <c:pt idx="9">
                  <c:v>0.55000000000000004</c:v>
                </c:pt>
                <c:pt idx="10">
                  <c:v>0.56000000000000005</c:v>
                </c:pt>
                <c:pt idx="11">
                  <c:v>0.56999999999999995</c:v>
                </c:pt>
                <c:pt idx="12">
                  <c:v>0.57999999999999996</c:v>
                </c:pt>
                <c:pt idx="13">
                  <c:v>0.59</c:v>
                </c:pt>
                <c:pt idx="14">
                  <c:v>0.6</c:v>
                </c:pt>
                <c:pt idx="15">
                  <c:v>0.61</c:v>
                </c:pt>
                <c:pt idx="16">
                  <c:v>0.62</c:v>
                </c:pt>
                <c:pt idx="17">
                  <c:v>0.63</c:v>
                </c:pt>
                <c:pt idx="18">
                  <c:v>0.64</c:v>
                </c:pt>
                <c:pt idx="19">
                  <c:v>0.65</c:v>
                </c:pt>
                <c:pt idx="20">
                  <c:v>0.66</c:v>
                </c:pt>
                <c:pt idx="21">
                  <c:v>0.67</c:v>
                </c:pt>
                <c:pt idx="22">
                  <c:v>0.68</c:v>
                </c:pt>
                <c:pt idx="23">
                  <c:v>0.69</c:v>
                </c:pt>
                <c:pt idx="24">
                  <c:v>0.7</c:v>
                </c:pt>
                <c:pt idx="25">
                  <c:v>0.71</c:v>
                </c:pt>
                <c:pt idx="26">
                  <c:v>0.72</c:v>
                </c:pt>
                <c:pt idx="27">
                  <c:v>0.73</c:v>
                </c:pt>
                <c:pt idx="28">
                  <c:v>0.74</c:v>
                </c:pt>
                <c:pt idx="29">
                  <c:v>0.75</c:v>
                </c:pt>
                <c:pt idx="30">
                  <c:v>0.76</c:v>
                </c:pt>
                <c:pt idx="31">
                  <c:v>0.77</c:v>
                </c:pt>
                <c:pt idx="32">
                  <c:v>0.78</c:v>
                </c:pt>
                <c:pt idx="33">
                  <c:v>0.79</c:v>
                </c:pt>
                <c:pt idx="34">
                  <c:v>0.8</c:v>
                </c:pt>
                <c:pt idx="35">
                  <c:v>0.81</c:v>
                </c:pt>
                <c:pt idx="36">
                  <c:v>0.82</c:v>
                </c:pt>
                <c:pt idx="37">
                  <c:v>0.83</c:v>
                </c:pt>
                <c:pt idx="38">
                  <c:v>0.84</c:v>
                </c:pt>
                <c:pt idx="39">
                  <c:v>0.85</c:v>
                </c:pt>
                <c:pt idx="40">
                  <c:v>0.86</c:v>
                </c:pt>
                <c:pt idx="41">
                  <c:v>0.87</c:v>
                </c:pt>
                <c:pt idx="42">
                  <c:v>0.88</c:v>
                </c:pt>
                <c:pt idx="43">
                  <c:v>0.89</c:v>
                </c:pt>
                <c:pt idx="44">
                  <c:v>0.9</c:v>
                </c:pt>
                <c:pt idx="45">
                  <c:v>0.91</c:v>
                </c:pt>
                <c:pt idx="46">
                  <c:v>0.92</c:v>
                </c:pt>
                <c:pt idx="47">
                  <c:v>0.93</c:v>
                </c:pt>
                <c:pt idx="48">
                  <c:v>0.94</c:v>
                </c:pt>
                <c:pt idx="49">
                  <c:v>0.95</c:v>
                </c:pt>
                <c:pt idx="50">
                  <c:v>0.96</c:v>
                </c:pt>
                <c:pt idx="51">
                  <c:v>0.97</c:v>
                </c:pt>
                <c:pt idx="52">
                  <c:v>0.98</c:v>
                </c:pt>
                <c:pt idx="53">
                  <c:v>0.99</c:v>
                </c:pt>
                <c:pt idx="54">
                  <c:v>1</c:v>
                </c:pt>
              </c:numCache>
            </c:numRef>
          </c:xVal>
          <c:yVal>
            <c:numRef>
              <c:f>'11 - Climb RoC Calcs'!$BS$30:$BS$84</c:f>
              <c:numCache>
                <c:formatCode>General</c:formatCode>
                <c:ptCount val="55"/>
                <c:pt idx="0">
                  <c:v>-2387.5015105906618</c:v>
                </c:pt>
                <c:pt idx="1">
                  <c:v>-2002.8687088345678</c:v>
                </c:pt>
                <c:pt idx="2">
                  <c:v>-1590.4358180411866</c:v>
                </c:pt>
                <c:pt idx="3">
                  <c:v>-1149.6242960976601</c:v>
                </c:pt>
                <c:pt idx="4">
                  <c:v>-837.43917977025751</c:v>
                </c:pt>
                <c:pt idx="5">
                  <c:v>-523.30755541955591</c:v>
                </c:pt>
                <c:pt idx="6">
                  <c:v>-189.87385215905806</c:v>
                </c:pt>
                <c:pt idx="7">
                  <c:v>163.2291132234129</c:v>
                </c:pt>
                <c:pt idx="8">
                  <c:v>391.53332983626797</c:v>
                </c:pt>
                <c:pt idx="9">
                  <c:v>626.86815059407331</c:v>
                </c:pt>
                <c:pt idx="10">
                  <c:v>874.41367400857621</c:v>
                </c:pt>
                <c:pt idx="11">
                  <c:v>1134.3820909661315</c:v>
                </c:pt>
                <c:pt idx="12">
                  <c:v>1406.9857583866471</c:v>
                </c:pt>
                <c:pt idx="13">
                  <c:v>1571.4488765469271</c:v>
                </c:pt>
                <c:pt idx="14">
                  <c:v>1729.6041769408844</c:v>
                </c:pt>
                <c:pt idx="15">
                  <c:v>1894.0593853483017</c:v>
                </c:pt>
                <c:pt idx="16">
                  <c:v>2064.9112993331441</c:v>
                </c:pt>
                <c:pt idx="17">
                  <c:v>2242.2568824929249</c:v>
                </c:pt>
                <c:pt idx="18">
                  <c:v>2426.1932644587209</c:v>
                </c:pt>
                <c:pt idx="19">
                  <c:v>2613.5778498190662</c:v>
                </c:pt>
                <c:pt idx="20">
                  <c:v>2740.058934920427</c:v>
                </c:pt>
                <c:pt idx="21">
                  <c:v>2870.1768327914237</c:v>
                </c:pt>
                <c:pt idx="22">
                  <c:v>3003.9801497559806</c:v>
                </c:pt>
                <c:pt idx="23">
                  <c:v>3141.5176581715805</c:v>
                </c:pt>
                <c:pt idx="24">
                  <c:v>3242.6530669549261</c:v>
                </c:pt>
                <c:pt idx="25">
                  <c:v>3313.906283221233</c:v>
                </c:pt>
                <c:pt idx="26">
                  <c:v>3385.920766699563</c:v>
                </c:pt>
                <c:pt idx="27">
                  <c:v>3458.7020068744077</c:v>
                </c:pt>
                <c:pt idx="28">
                  <c:v>3532.255659263813</c:v>
                </c:pt>
                <c:pt idx="29">
                  <c:v>3606.5875454193874</c:v>
                </c:pt>
                <c:pt idx="30">
                  <c:v>3659.4082227945728</c:v>
                </c:pt>
                <c:pt idx="31">
                  <c:v>3712.0989848995669</c:v>
                </c:pt>
                <c:pt idx="32">
                  <c:v>3764.6875255700625</c:v>
                </c:pt>
                <c:pt idx="33">
                  <c:v>3817.1686562573896</c:v>
                </c:pt>
                <c:pt idx="34">
                  <c:v>3869.5373544464373</c:v>
                </c:pt>
                <c:pt idx="35">
                  <c:v>3903.4060470358118</c:v>
                </c:pt>
                <c:pt idx="36">
                  <c:v>3935.7741974064415</c:v>
                </c:pt>
                <c:pt idx="37">
                  <c:v>3966.5862258249886</c:v>
                </c:pt>
                <c:pt idx="38">
                  <c:v>3995.7858884238863</c:v>
                </c:pt>
                <c:pt idx="39">
                  <c:v>4023.3162772013366</c:v>
                </c:pt>
                <c:pt idx="40">
                  <c:v>4020.3382029890686</c:v>
                </c:pt>
                <c:pt idx="41">
                  <c:v>4013.7811696355352</c:v>
                </c:pt>
                <c:pt idx="42">
                  <c:v>4003.5277748123012</c:v>
                </c:pt>
                <c:pt idx="43">
                  <c:v>3989.4590554754959</c:v>
                </c:pt>
                <c:pt idx="44">
                  <c:v>3971.4544878658035</c:v>
                </c:pt>
                <c:pt idx="45">
                  <c:v>3933.0827967440309</c:v>
                </c:pt>
                <c:pt idx="46">
                  <c:v>3885.5692636454819</c:v>
                </c:pt>
                <c:pt idx="47">
                  <c:v>3737.2568921245938</c:v>
                </c:pt>
                <c:pt idx="48">
                  <c:v>3577.9802418918712</c:v>
                </c:pt>
                <c:pt idx="49">
                  <c:v>3110.8547643149068</c:v>
                </c:pt>
                <c:pt idx="50">
                  <c:v>2613.2009142189486</c:v>
                </c:pt>
                <c:pt idx="51">
                  <c:v>1210.5951809961496</c:v>
                </c:pt>
                <c:pt idx="52">
                  <c:v>-278.62882053400034</c:v>
                </c:pt>
                <c:pt idx="53">
                  <c:v>-1107.2349497486841</c:v>
                </c:pt>
                <c:pt idx="54">
                  <c:v>-1981.4690346389398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604-49B4-978C-92FAB88D6A71}"/>
            </c:ext>
          </c:extLst>
        </c:ser>
        <c:ser>
          <c:idx val="8"/>
          <c:order val="8"/>
          <c:tx>
            <c:v>40,000 ft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'11 - Climb RoC Calcs'!$BU$36:$BU$84</c:f>
              <c:numCache>
                <c:formatCode>General</c:formatCode>
                <c:ptCount val="49"/>
                <c:pt idx="0">
                  <c:v>0.52</c:v>
                </c:pt>
                <c:pt idx="1">
                  <c:v>0.53</c:v>
                </c:pt>
                <c:pt idx="2">
                  <c:v>0.54</c:v>
                </c:pt>
                <c:pt idx="3">
                  <c:v>0.55000000000000004</c:v>
                </c:pt>
                <c:pt idx="4">
                  <c:v>0.56000000000000005</c:v>
                </c:pt>
                <c:pt idx="5">
                  <c:v>0.56999999999999995</c:v>
                </c:pt>
                <c:pt idx="6">
                  <c:v>0.57999999999999996</c:v>
                </c:pt>
                <c:pt idx="7">
                  <c:v>0.59</c:v>
                </c:pt>
                <c:pt idx="8">
                  <c:v>0.6</c:v>
                </c:pt>
                <c:pt idx="9">
                  <c:v>0.61</c:v>
                </c:pt>
                <c:pt idx="10">
                  <c:v>0.62</c:v>
                </c:pt>
                <c:pt idx="11">
                  <c:v>0.63</c:v>
                </c:pt>
                <c:pt idx="12">
                  <c:v>0.64</c:v>
                </c:pt>
                <c:pt idx="13">
                  <c:v>0.65</c:v>
                </c:pt>
                <c:pt idx="14">
                  <c:v>0.66</c:v>
                </c:pt>
                <c:pt idx="15">
                  <c:v>0.67</c:v>
                </c:pt>
                <c:pt idx="16">
                  <c:v>0.68</c:v>
                </c:pt>
                <c:pt idx="17">
                  <c:v>0.69</c:v>
                </c:pt>
                <c:pt idx="18">
                  <c:v>0.7</c:v>
                </c:pt>
                <c:pt idx="19">
                  <c:v>0.71</c:v>
                </c:pt>
                <c:pt idx="20">
                  <c:v>0.72</c:v>
                </c:pt>
                <c:pt idx="21">
                  <c:v>0.73</c:v>
                </c:pt>
                <c:pt idx="22">
                  <c:v>0.74</c:v>
                </c:pt>
                <c:pt idx="23">
                  <c:v>0.75</c:v>
                </c:pt>
                <c:pt idx="24">
                  <c:v>0.76</c:v>
                </c:pt>
                <c:pt idx="25">
                  <c:v>0.77</c:v>
                </c:pt>
                <c:pt idx="26">
                  <c:v>0.78</c:v>
                </c:pt>
                <c:pt idx="27">
                  <c:v>0.79</c:v>
                </c:pt>
                <c:pt idx="28">
                  <c:v>0.8</c:v>
                </c:pt>
                <c:pt idx="29">
                  <c:v>0.81</c:v>
                </c:pt>
                <c:pt idx="30">
                  <c:v>0.82</c:v>
                </c:pt>
                <c:pt idx="31">
                  <c:v>0.83</c:v>
                </c:pt>
                <c:pt idx="32">
                  <c:v>0.84</c:v>
                </c:pt>
                <c:pt idx="33">
                  <c:v>0.85</c:v>
                </c:pt>
                <c:pt idx="34">
                  <c:v>0.86</c:v>
                </c:pt>
                <c:pt idx="35">
                  <c:v>0.87</c:v>
                </c:pt>
                <c:pt idx="36">
                  <c:v>0.88</c:v>
                </c:pt>
                <c:pt idx="37">
                  <c:v>0.89</c:v>
                </c:pt>
                <c:pt idx="38">
                  <c:v>0.9</c:v>
                </c:pt>
                <c:pt idx="39">
                  <c:v>0.91</c:v>
                </c:pt>
                <c:pt idx="40">
                  <c:v>0.92</c:v>
                </c:pt>
                <c:pt idx="41">
                  <c:v>0.93</c:v>
                </c:pt>
                <c:pt idx="42">
                  <c:v>0.94</c:v>
                </c:pt>
                <c:pt idx="43">
                  <c:v>0.95</c:v>
                </c:pt>
                <c:pt idx="44">
                  <c:v>0.96</c:v>
                </c:pt>
                <c:pt idx="45">
                  <c:v>0.97</c:v>
                </c:pt>
                <c:pt idx="46">
                  <c:v>0.98</c:v>
                </c:pt>
                <c:pt idx="47">
                  <c:v>0.99</c:v>
                </c:pt>
                <c:pt idx="48">
                  <c:v>1</c:v>
                </c:pt>
              </c:numCache>
            </c:numRef>
          </c:xVal>
          <c:yVal>
            <c:numRef>
              <c:f>'11 - Climb RoC Calcs'!$CA$36:$CA$84</c:f>
              <c:numCache>
                <c:formatCode>General</c:formatCode>
                <c:ptCount val="49"/>
                <c:pt idx="0">
                  <c:v>-3377.5493178638949</c:v>
                </c:pt>
                <c:pt idx="1">
                  <c:v>-3007.6675416904941</c:v>
                </c:pt>
                <c:pt idx="2">
                  <c:v>-2613.2441237973085</c:v>
                </c:pt>
                <c:pt idx="3">
                  <c:v>-2193.8254557906043</c:v>
                </c:pt>
                <c:pt idx="4">
                  <c:v>-1859.0420377998116</c:v>
                </c:pt>
                <c:pt idx="5">
                  <c:v>-1568.3865753321334</c:v>
                </c:pt>
                <c:pt idx="6">
                  <c:v>-1260.8335106221582</c:v>
                </c:pt>
                <c:pt idx="7">
                  <c:v>-936.09466725725065</c:v>
                </c:pt>
                <c:pt idx="8">
                  <c:v>-623.42895788682711</c:v>
                </c:pt>
                <c:pt idx="9">
                  <c:v>-413.82125081597252</c:v>
                </c:pt>
                <c:pt idx="10">
                  <c:v>-193.59428863210195</c:v>
                </c:pt>
                <c:pt idx="11">
                  <c:v>37.41879157970466</c:v>
                </c:pt>
                <c:pt idx="12">
                  <c:v>279.38498268990537</c:v>
                </c:pt>
                <c:pt idx="13">
                  <c:v>532.47140752449866</c:v>
                </c:pt>
                <c:pt idx="14">
                  <c:v>731.69990377724321</c:v>
                </c:pt>
                <c:pt idx="15">
                  <c:v>871.43768604706827</c:v>
                </c:pt>
                <c:pt idx="16">
                  <c:v>1016.7029353696765</c:v>
                </c:pt>
                <c:pt idx="17">
                  <c:v>1167.5723255143785</c:v>
                </c:pt>
                <c:pt idx="18">
                  <c:v>1324.1226602060365</c:v>
                </c:pt>
                <c:pt idx="19">
                  <c:v>1489.5316860228781</c:v>
                </c:pt>
                <c:pt idx="20">
                  <c:v>1658.0754541861995</c:v>
                </c:pt>
                <c:pt idx="21">
                  <c:v>1829.6557183068444</c:v>
                </c:pt>
                <c:pt idx="22">
                  <c:v>1955.3140586840577</c:v>
                </c:pt>
                <c:pt idx="23">
                  <c:v>2068.9996388094323</c:v>
                </c:pt>
                <c:pt idx="24">
                  <c:v>2185.942265215956</c:v>
                </c:pt>
                <c:pt idx="25">
                  <c:v>2306.1811519881862</c:v>
                </c:pt>
                <c:pt idx="26">
                  <c:v>2429.7556431662283</c:v>
                </c:pt>
                <c:pt idx="27">
                  <c:v>2506.3667276822657</c:v>
                </c:pt>
                <c:pt idx="28">
                  <c:v>2563.1708560939364</c:v>
                </c:pt>
                <c:pt idx="29">
                  <c:v>2606.2893207678458</c:v>
                </c:pt>
                <c:pt idx="30">
                  <c:v>2649.0368493418441</c:v>
                </c:pt>
                <c:pt idx="31">
                  <c:v>2691.3790766975021</c:v>
                </c:pt>
                <c:pt idx="32">
                  <c:v>2733.2811178942261</c:v>
                </c:pt>
                <c:pt idx="33">
                  <c:v>2765.1925865685321</c:v>
                </c:pt>
                <c:pt idx="34">
                  <c:v>2760.0058963277302</c:v>
                </c:pt>
                <c:pt idx="35">
                  <c:v>2752.0565487835888</c:v>
                </c:pt>
                <c:pt idx="36">
                  <c:v>2741.2526523729157</c:v>
                </c:pt>
                <c:pt idx="37">
                  <c:v>2727.5010939504291</c:v>
                </c:pt>
                <c:pt idx="38">
                  <c:v>2710.7075387887676</c:v>
                </c:pt>
                <c:pt idx="39">
                  <c:v>2676.3189722549992</c:v>
                </c:pt>
                <c:pt idx="40">
                  <c:v>2638.0866042453658</c:v>
                </c:pt>
                <c:pt idx="41">
                  <c:v>2541.4550417034116</c:v>
                </c:pt>
                <c:pt idx="42">
                  <c:v>2437.2031967320372</c:v>
                </c:pt>
                <c:pt idx="43">
                  <c:v>2092.9750234506182</c:v>
                </c:pt>
                <c:pt idx="44">
                  <c:v>1725.848582788984</c:v>
                </c:pt>
                <c:pt idx="45">
                  <c:v>648.92849145305001</c:v>
                </c:pt>
                <c:pt idx="46">
                  <c:v>-494.60082625349594</c:v>
                </c:pt>
                <c:pt idx="47">
                  <c:v>-1122.1827532387854</c:v>
                </c:pt>
                <c:pt idx="48">
                  <c:v>-1784.0670035456092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604-49B4-978C-92FAB88D6A71}"/>
            </c:ext>
          </c:extLst>
        </c:ser>
        <c:ser>
          <c:idx val="18"/>
          <c:order val="9"/>
          <c:tx>
            <c:v>Max RoC's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'11 - Climb Summary'!$E$14:$E$22</c:f>
              <c:numCache>
                <c:formatCode>0.0000</c:formatCode>
                <c:ptCount val="9"/>
                <c:pt idx="0">
                  <c:v>0.63120463531621274</c:v>
                </c:pt>
                <c:pt idx="1">
                  <c:v>0.69122497334412147</c:v>
                </c:pt>
                <c:pt idx="2">
                  <c:v>0.76029630529664027</c:v>
                </c:pt>
                <c:pt idx="3">
                  <c:v>0.79866139017356619</c:v>
                </c:pt>
                <c:pt idx="4">
                  <c:v>0.80207216527601477</c:v>
                </c:pt>
                <c:pt idx="5">
                  <c:v>0.80949211260790221</c:v>
                </c:pt>
                <c:pt idx="6">
                  <c:v>0.83699184100503643</c:v>
                </c:pt>
                <c:pt idx="7">
                  <c:v>0.85402385308192297</c:v>
                </c:pt>
                <c:pt idx="8">
                  <c:v>0.85360190090492871</c:v>
                </c:pt>
              </c:numCache>
            </c:numRef>
          </c:xVal>
          <c:yVal>
            <c:numRef>
              <c:f>'11 - Climb Summary'!$D$14:$D$22</c:f>
              <c:numCache>
                <c:formatCode>0.00</c:formatCode>
                <c:ptCount val="9"/>
                <c:pt idx="0">
                  <c:v>10270.544682527354</c:v>
                </c:pt>
                <c:pt idx="1">
                  <c:v>9747.0661513640662</c:v>
                </c:pt>
                <c:pt idx="2">
                  <c:v>9266.873841768087</c:v>
                </c:pt>
                <c:pt idx="3">
                  <c:v>8223.4721220107749</c:v>
                </c:pt>
                <c:pt idx="4">
                  <c:v>7145.0478077824373</c:v>
                </c:pt>
                <c:pt idx="5">
                  <c:v>6094.9549900651837</c:v>
                </c:pt>
                <c:pt idx="6">
                  <c:v>5112.7833702836087</c:v>
                </c:pt>
                <c:pt idx="7">
                  <c:v>4025.7861498670973</c:v>
                </c:pt>
                <c:pt idx="8">
                  <c:v>2767.5990866591164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66-44F9-B5B4-7DFB7F9ED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0903247"/>
        <c:axId val="1710909487"/>
      </c:scatterChart>
      <c:valAx>
        <c:axId val="1710903247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0909487"/>
        <c:crosses val="autoZero"/>
        <c:crossBetween val="midCat"/>
      </c:valAx>
      <c:valAx>
        <c:axId val="171090948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Rate of Climb [ft/min]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0903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068148353920244"/>
          <c:y val="0.17389806249101983"/>
          <c:w val="0.13648891696028956"/>
          <c:h val="0.572701597979927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T-38A Climb Schedule</a:t>
            </a:r>
          </a:p>
          <a:p>
            <a:pPr>
              <a:defRPr/>
            </a:pPr>
            <a:r>
              <a:rPr lang="en-US" sz="1100"/>
              <a:t>Military</a:t>
            </a:r>
            <a:r>
              <a:rPr lang="en-US" sz="1100" baseline="0"/>
              <a:t> Thrust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RoC's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'11 - Climb Summary'!$E$14:$E$22</c:f>
              <c:numCache>
                <c:formatCode>0.0000</c:formatCode>
                <c:ptCount val="9"/>
                <c:pt idx="0">
                  <c:v>0.63120463531621274</c:v>
                </c:pt>
                <c:pt idx="1">
                  <c:v>0.69122497334412147</c:v>
                </c:pt>
                <c:pt idx="2">
                  <c:v>0.76029630529664027</c:v>
                </c:pt>
                <c:pt idx="3">
                  <c:v>0.79866139017356619</c:v>
                </c:pt>
                <c:pt idx="4">
                  <c:v>0.80207216527601477</c:v>
                </c:pt>
                <c:pt idx="5">
                  <c:v>0.80949211260790221</c:v>
                </c:pt>
                <c:pt idx="6">
                  <c:v>0.83699184100503643</c:v>
                </c:pt>
                <c:pt idx="7">
                  <c:v>0.85402385308192297</c:v>
                </c:pt>
                <c:pt idx="8">
                  <c:v>0.85360190090492871</c:v>
                </c:pt>
              </c:numCache>
            </c:numRef>
          </c:xVal>
          <c:yVal>
            <c:numRef>
              <c:f>'11 - Climb Summary'!$C$14:$C$22</c:f>
              <c:numCache>
                <c:formatCode>General</c:formatCode>
                <c:ptCount val="9"/>
                <c:pt idx="0">
                  <c:v>0</c:v>
                </c:pt>
                <c:pt idx="1">
                  <c:v>5000</c:v>
                </c:pt>
                <c:pt idx="2">
                  <c:v>10000</c:v>
                </c:pt>
                <c:pt idx="3">
                  <c:v>15000</c:v>
                </c:pt>
                <c:pt idx="4">
                  <c:v>20000</c:v>
                </c:pt>
                <c:pt idx="5">
                  <c:v>25000</c:v>
                </c:pt>
                <c:pt idx="6">
                  <c:v>30000</c:v>
                </c:pt>
                <c:pt idx="7">
                  <c:v>35000</c:v>
                </c:pt>
                <c:pt idx="8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70-4930-8695-CD5A2AF75B53}"/>
            </c:ext>
          </c:extLst>
        </c:ser>
        <c:ser>
          <c:idx val="1"/>
          <c:order val="1"/>
          <c:tx>
            <c:v>Climb Schedule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'11 - Climb RoC Calcs'!$E$8:$E$58</c:f>
              <c:numCache>
                <c:formatCode>0.0000</c:formatCode>
                <c:ptCount val="51"/>
                <c:pt idx="0">
                  <c:v>0.74987047238021276</c:v>
                </c:pt>
                <c:pt idx="1">
                  <c:v>0.75246162489308566</c:v>
                </c:pt>
                <c:pt idx="2">
                  <c:v>0.75507982531078732</c:v>
                </c:pt>
                <c:pt idx="3">
                  <c:v>0.7577255475006397</c:v>
                </c:pt>
                <c:pt idx="4">
                  <c:v>0.76039927703473642</c:v>
                </c:pt>
                <c:pt idx="5">
                  <c:v>0.76310151156430617</c:v>
                </c:pt>
                <c:pt idx="6">
                  <c:v>0.76583276120881061</c:v>
                </c:pt>
                <c:pt idx="7">
                  <c:v>0.76859354896047472</c:v>
                </c:pt>
                <c:pt idx="8">
                  <c:v>0.77138441110497524</c:v>
                </c:pt>
                <c:pt idx="9">
                  <c:v>0.77420589765905279</c:v>
                </c:pt>
                <c:pt idx="10">
                  <c:v>0.77705857282586432</c:v>
                </c:pt>
                <c:pt idx="11">
                  <c:v>0.7799430154689273</c:v>
                </c:pt>
                <c:pt idx="12">
                  <c:v>0.78285981960556006</c:v>
                </c:pt>
                <c:pt idx="13">
                  <c:v>0.78580959492077573</c:v>
                </c:pt>
                <c:pt idx="14">
                  <c:v>0.78879296730263848</c:v>
                </c:pt>
                <c:pt idx="15">
                  <c:v>0.79181057940014499</c:v>
                </c:pt>
                <c:pt idx="16">
                  <c:v>0.79486309120476828</c:v>
                </c:pt>
                <c:pt idx="17">
                  <c:v>0.79795118065685133</c:v>
                </c:pt>
                <c:pt idx="18">
                  <c:v>0.80107554427812055</c:v>
                </c:pt>
                <c:pt idx="19">
                  <c:v>0.80423689783165564</c:v>
                </c:pt>
                <c:pt idx="20">
                  <c:v>0.80743597701073733</c:v>
                </c:pt>
                <c:pt idx="21">
                  <c:v>0.81067353815808096</c:v>
                </c:pt>
                <c:pt idx="22">
                  <c:v>0.81395035901704571</c:v>
                </c:pt>
                <c:pt idx="23">
                  <c:v>0.81726723951651925</c:v>
                </c:pt>
                <c:pt idx="24">
                  <c:v>0.82062500259127613</c:v>
                </c:pt>
                <c:pt idx="25">
                  <c:v>0.82402449503971698</c:v>
                </c:pt>
                <c:pt idx="26">
                  <c:v>0.82746658842102272</c:v>
                </c:pt>
                <c:pt idx="27">
                  <c:v>0.83095217999387561</c:v>
                </c:pt>
                <c:pt idx="28">
                  <c:v>0.83448219369905352</c:v>
                </c:pt>
                <c:pt idx="29">
                  <c:v>0.83805758118832807</c:v>
                </c:pt>
                <c:pt idx="30">
                  <c:v>0.84167932290227865</c:v>
                </c:pt>
                <c:pt idx="31">
                  <c:v>0.84534842919979214</c:v>
                </c:pt>
                <c:pt idx="32">
                  <c:v>0.84906594154219472</c:v>
                </c:pt>
                <c:pt idx="33">
                  <c:v>0.85283293373518276</c:v>
                </c:pt>
                <c:pt idx="34">
                  <c:v>0.85665051323189823</c:v>
                </c:pt>
                <c:pt idx="35">
                  <c:v>0.86051982250075543</c:v>
                </c:pt>
                <c:pt idx="36">
                  <c:v>0.86444204046184447</c:v>
                </c:pt>
                <c:pt idx="37">
                  <c:v>0.86477889421258736</c:v>
                </c:pt>
                <c:pt idx="38">
                  <c:v>0.86477889421258736</c:v>
                </c:pt>
                <c:pt idx="39">
                  <c:v>0.86477889421258736</c:v>
                </c:pt>
                <c:pt idx="40">
                  <c:v>0.86477889421258736</c:v>
                </c:pt>
                <c:pt idx="41">
                  <c:v>0.86477889421258736</c:v>
                </c:pt>
                <c:pt idx="42">
                  <c:v>0.86477889421258736</c:v>
                </c:pt>
                <c:pt idx="43">
                  <c:v>0.86477889421258736</c:v>
                </c:pt>
                <c:pt idx="44">
                  <c:v>0.86477889421258736</c:v>
                </c:pt>
                <c:pt idx="45">
                  <c:v>0.86477889421258736</c:v>
                </c:pt>
                <c:pt idx="46">
                  <c:v>0.86477889421258736</c:v>
                </c:pt>
                <c:pt idx="47">
                  <c:v>0.86477889421258736</c:v>
                </c:pt>
                <c:pt idx="48">
                  <c:v>0.86477889421258736</c:v>
                </c:pt>
                <c:pt idx="49">
                  <c:v>0.86477889421258736</c:v>
                </c:pt>
                <c:pt idx="50">
                  <c:v>0.86477889421258736</c:v>
                </c:pt>
              </c:numCache>
            </c:numRef>
          </c:xVal>
          <c:yVal>
            <c:numRef>
              <c:f>'11 - Climb RoC Calcs'!$D$8:$D$58</c:f>
              <c:numCache>
                <c:formatCode>#,##0</c:formatCode>
                <c:ptCount val="5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70-4930-8695-CD5A2AF75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4369568"/>
        <c:axId val="1624371968"/>
      </c:scatterChart>
      <c:valAx>
        <c:axId val="1624369568"/>
        <c:scaling>
          <c:orientation val="minMax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371968"/>
        <c:crosses val="autoZero"/>
        <c:crossBetween val="midCat"/>
      </c:valAx>
      <c:valAx>
        <c:axId val="162437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[ft]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369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T-38A Rate of Climb vs Mach Number</a:t>
            </a:r>
          </a:p>
          <a:p>
            <a:pPr>
              <a:defRPr/>
            </a:pPr>
            <a:r>
              <a:rPr lang="en-U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Maximum A/B Thrust  - Weight 10,000 lbs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96917985639516"/>
          <c:y val="0.17728372956663019"/>
          <c:w val="0.67876215669448969"/>
          <c:h val="0.66689711197320867"/>
        </c:manualLayout>
      </c:layout>
      <c:scatterChart>
        <c:scatterStyle val="smoothMarker"/>
        <c:varyColors val="0"/>
        <c:ser>
          <c:idx val="0"/>
          <c:order val="0"/>
          <c:tx>
            <c:v>Sea Level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'11 - Climb RoC Calcs'!$I$94:$I$231</c:f>
              <c:numCache>
                <c:formatCode>General</c:formatCode>
                <c:ptCount val="138"/>
                <c:pt idx="0">
                  <c:v>0.23</c:v>
                </c:pt>
                <c:pt idx="1">
                  <c:v>0.24</c:v>
                </c:pt>
                <c:pt idx="2">
                  <c:v>0.25</c:v>
                </c:pt>
                <c:pt idx="3">
                  <c:v>0.26</c:v>
                </c:pt>
                <c:pt idx="4">
                  <c:v>0.27</c:v>
                </c:pt>
                <c:pt idx="5">
                  <c:v>0.28000000000000003</c:v>
                </c:pt>
                <c:pt idx="6">
                  <c:v>0.28999999999999998</c:v>
                </c:pt>
                <c:pt idx="7">
                  <c:v>0.3</c:v>
                </c:pt>
                <c:pt idx="8">
                  <c:v>0.31</c:v>
                </c:pt>
                <c:pt idx="9">
                  <c:v>0.32</c:v>
                </c:pt>
                <c:pt idx="10">
                  <c:v>0.33</c:v>
                </c:pt>
                <c:pt idx="11">
                  <c:v>0.34</c:v>
                </c:pt>
                <c:pt idx="12">
                  <c:v>0.35</c:v>
                </c:pt>
                <c:pt idx="13">
                  <c:v>0.36</c:v>
                </c:pt>
                <c:pt idx="14">
                  <c:v>0.37</c:v>
                </c:pt>
                <c:pt idx="15">
                  <c:v>0.38</c:v>
                </c:pt>
                <c:pt idx="16">
                  <c:v>0.39</c:v>
                </c:pt>
                <c:pt idx="17">
                  <c:v>0.4</c:v>
                </c:pt>
                <c:pt idx="18">
                  <c:v>0.41</c:v>
                </c:pt>
                <c:pt idx="19">
                  <c:v>0.42</c:v>
                </c:pt>
                <c:pt idx="20">
                  <c:v>0.43</c:v>
                </c:pt>
                <c:pt idx="21">
                  <c:v>0.44</c:v>
                </c:pt>
                <c:pt idx="22">
                  <c:v>0.45</c:v>
                </c:pt>
                <c:pt idx="23">
                  <c:v>0.46</c:v>
                </c:pt>
                <c:pt idx="24">
                  <c:v>0.47</c:v>
                </c:pt>
                <c:pt idx="25">
                  <c:v>0.48</c:v>
                </c:pt>
                <c:pt idx="26">
                  <c:v>0.49</c:v>
                </c:pt>
                <c:pt idx="27">
                  <c:v>0.5</c:v>
                </c:pt>
                <c:pt idx="28">
                  <c:v>0.51</c:v>
                </c:pt>
                <c:pt idx="29">
                  <c:v>0.52</c:v>
                </c:pt>
                <c:pt idx="30">
                  <c:v>0.53</c:v>
                </c:pt>
                <c:pt idx="31">
                  <c:v>0.54</c:v>
                </c:pt>
                <c:pt idx="32">
                  <c:v>0.55000000000000004</c:v>
                </c:pt>
                <c:pt idx="33">
                  <c:v>0.56000000000000005</c:v>
                </c:pt>
                <c:pt idx="34">
                  <c:v>0.56999999999999995</c:v>
                </c:pt>
                <c:pt idx="35">
                  <c:v>0.57999999999999996</c:v>
                </c:pt>
                <c:pt idx="36">
                  <c:v>0.59</c:v>
                </c:pt>
                <c:pt idx="37">
                  <c:v>0.6</c:v>
                </c:pt>
                <c:pt idx="38">
                  <c:v>0.61</c:v>
                </c:pt>
                <c:pt idx="39">
                  <c:v>0.62</c:v>
                </c:pt>
                <c:pt idx="40">
                  <c:v>0.63</c:v>
                </c:pt>
                <c:pt idx="41">
                  <c:v>0.64</c:v>
                </c:pt>
                <c:pt idx="42">
                  <c:v>0.65</c:v>
                </c:pt>
                <c:pt idx="43">
                  <c:v>0.66</c:v>
                </c:pt>
                <c:pt idx="44">
                  <c:v>0.67</c:v>
                </c:pt>
                <c:pt idx="45">
                  <c:v>0.68</c:v>
                </c:pt>
                <c:pt idx="46">
                  <c:v>0.69</c:v>
                </c:pt>
                <c:pt idx="47">
                  <c:v>0.7</c:v>
                </c:pt>
                <c:pt idx="48">
                  <c:v>0.71</c:v>
                </c:pt>
                <c:pt idx="49">
                  <c:v>0.72</c:v>
                </c:pt>
                <c:pt idx="50">
                  <c:v>0.73</c:v>
                </c:pt>
                <c:pt idx="51">
                  <c:v>0.74</c:v>
                </c:pt>
                <c:pt idx="52">
                  <c:v>0.75</c:v>
                </c:pt>
                <c:pt idx="53">
                  <c:v>0.76</c:v>
                </c:pt>
                <c:pt idx="54">
                  <c:v>0.77</c:v>
                </c:pt>
                <c:pt idx="55">
                  <c:v>0.78</c:v>
                </c:pt>
                <c:pt idx="56">
                  <c:v>0.79</c:v>
                </c:pt>
                <c:pt idx="57">
                  <c:v>0.8</c:v>
                </c:pt>
                <c:pt idx="58">
                  <c:v>0.81</c:v>
                </c:pt>
                <c:pt idx="59">
                  <c:v>0.82</c:v>
                </c:pt>
                <c:pt idx="60">
                  <c:v>0.83</c:v>
                </c:pt>
                <c:pt idx="61">
                  <c:v>0.84</c:v>
                </c:pt>
                <c:pt idx="62">
                  <c:v>0.85</c:v>
                </c:pt>
                <c:pt idx="63">
                  <c:v>0.86</c:v>
                </c:pt>
                <c:pt idx="64">
                  <c:v>0.87</c:v>
                </c:pt>
                <c:pt idx="65">
                  <c:v>0.88</c:v>
                </c:pt>
                <c:pt idx="66">
                  <c:v>0.89</c:v>
                </c:pt>
                <c:pt idx="67">
                  <c:v>0.9</c:v>
                </c:pt>
                <c:pt idx="68">
                  <c:v>0.91</c:v>
                </c:pt>
                <c:pt idx="69">
                  <c:v>0.92</c:v>
                </c:pt>
                <c:pt idx="70">
                  <c:v>0.93</c:v>
                </c:pt>
                <c:pt idx="71">
                  <c:v>0.94</c:v>
                </c:pt>
                <c:pt idx="72">
                  <c:v>0.95</c:v>
                </c:pt>
                <c:pt idx="73">
                  <c:v>0.96</c:v>
                </c:pt>
                <c:pt idx="74">
                  <c:v>0.97</c:v>
                </c:pt>
                <c:pt idx="75">
                  <c:v>0.98</c:v>
                </c:pt>
                <c:pt idx="76">
                  <c:v>0.99</c:v>
                </c:pt>
                <c:pt idx="77">
                  <c:v>1</c:v>
                </c:pt>
                <c:pt idx="78">
                  <c:v>1.01</c:v>
                </c:pt>
                <c:pt idx="79">
                  <c:v>1.02</c:v>
                </c:pt>
                <c:pt idx="80">
                  <c:v>1.03</c:v>
                </c:pt>
                <c:pt idx="81">
                  <c:v>1.04</c:v>
                </c:pt>
                <c:pt idx="82">
                  <c:v>1.05</c:v>
                </c:pt>
                <c:pt idx="83">
                  <c:v>1.06</c:v>
                </c:pt>
                <c:pt idx="84">
                  <c:v>1.07</c:v>
                </c:pt>
                <c:pt idx="85">
                  <c:v>1.08</c:v>
                </c:pt>
                <c:pt idx="86">
                  <c:v>1.0900000000000001</c:v>
                </c:pt>
                <c:pt idx="87">
                  <c:v>1.1000000000000001</c:v>
                </c:pt>
                <c:pt idx="88">
                  <c:v>1.1100000000000001</c:v>
                </c:pt>
                <c:pt idx="89">
                  <c:v>1.1200000000000001</c:v>
                </c:pt>
                <c:pt idx="90">
                  <c:v>1.1299999999999999</c:v>
                </c:pt>
                <c:pt idx="91">
                  <c:v>1.1399999999999999</c:v>
                </c:pt>
                <c:pt idx="92">
                  <c:v>1.1499999999999999</c:v>
                </c:pt>
                <c:pt idx="93">
                  <c:v>1.1599999999999999</c:v>
                </c:pt>
                <c:pt idx="94">
                  <c:v>1.17</c:v>
                </c:pt>
                <c:pt idx="95">
                  <c:v>1.18</c:v>
                </c:pt>
                <c:pt idx="96">
                  <c:v>1.19</c:v>
                </c:pt>
                <c:pt idx="97">
                  <c:v>1.2</c:v>
                </c:pt>
                <c:pt idx="98">
                  <c:v>1.21</c:v>
                </c:pt>
                <c:pt idx="99">
                  <c:v>1.22</c:v>
                </c:pt>
                <c:pt idx="100">
                  <c:v>1.23</c:v>
                </c:pt>
                <c:pt idx="101">
                  <c:v>1.24</c:v>
                </c:pt>
                <c:pt idx="102">
                  <c:v>1.25</c:v>
                </c:pt>
                <c:pt idx="103">
                  <c:v>1.26</c:v>
                </c:pt>
                <c:pt idx="104">
                  <c:v>1.27</c:v>
                </c:pt>
                <c:pt idx="105">
                  <c:v>1.28</c:v>
                </c:pt>
                <c:pt idx="106">
                  <c:v>1.29</c:v>
                </c:pt>
                <c:pt idx="107">
                  <c:v>1.3</c:v>
                </c:pt>
                <c:pt idx="108">
                  <c:v>1.31</c:v>
                </c:pt>
                <c:pt idx="109">
                  <c:v>1.32</c:v>
                </c:pt>
                <c:pt idx="110">
                  <c:v>1.33</c:v>
                </c:pt>
                <c:pt idx="111">
                  <c:v>1.34</c:v>
                </c:pt>
                <c:pt idx="112">
                  <c:v>1.35</c:v>
                </c:pt>
                <c:pt idx="113">
                  <c:v>1.36</c:v>
                </c:pt>
                <c:pt idx="114">
                  <c:v>1.37</c:v>
                </c:pt>
                <c:pt idx="115">
                  <c:v>1.38</c:v>
                </c:pt>
                <c:pt idx="116">
                  <c:v>1.39</c:v>
                </c:pt>
                <c:pt idx="117">
                  <c:v>1.4</c:v>
                </c:pt>
                <c:pt idx="118">
                  <c:v>1.41</c:v>
                </c:pt>
                <c:pt idx="119">
                  <c:v>1.42</c:v>
                </c:pt>
                <c:pt idx="120">
                  <c:v>1.43</c:v>
                </c:pt>
                <c:pt idx="121">
                  <c:v>1.44</c:v>
                </c:pt>
                <c:pt idx="122">
                  <c:v>1.45</c:v>
                </c:pt>
                <c:pt idx="123">
                  <c:v>1.46</c:v>
                </c:pt>
                <c:pt idx="124">
                  <c:v>1.47</c:v>
                </c:pt>
                <c:pt idx="125">
                  <c:v>1.48</c:v>
                </c:pt>
                <c:pt idx="126">
                  <c:v>1.49</c:v>
                </c:pt>
                <c:pt idx="127">
                  <c:v>1.5</c:v>
                </c:pt>
                <c:pt idx="128">
                  <c:v>1.51</c:v>
                </c:pt>
                <c:pt idx="129">
                  <c:v>1.52</c:v>
                </c:pt>
                <c:pt idx="130">
                  <c:v>1.53</c:v>
                </c:pt>
                <c:pt idx="131">
                  <c:v>1.54</c:v>
                </c:pt>
                <c:pt idx="132">
                  <c:v>1.55</c:v>
                </c:pt>
                <c:pt idx="133">
                  <c:v>1.56</c:v>
                </c:pt>
                <c:pt idx="134">
                  <c:v>1.57</c:v>
                </c:pt>
                <c:pt idx="135">
                  <c:v>1.58</c:v>
                </c:pt>
                <c:pt idx="136">
                  <c:v>1.59</c:v>
                </c:pt>
                <c:pt idx="137">
                  <c:v>1.6</c:v>
                </c:pt>
              </c:numCache>
            </c:numRef>
          </c:xVal>
          <c:yVal>
            <c:numRef>
              <c:f>'11 - Climb RoC Calcs'!$O$94:$O$231</c:f>
              <c:numCache>
                <c:formatCode>General</c:formatCode>
                <c:ptCount val="138"/>
                <c:pt idx="0">
                  <c:v>5980.4881967525716</c:v>
                </c:pt>
                <c:pt idx="1">
                  <c:v>6767.5608591945384</c:v>
                </c:pt>
                <c:pt idx="2">
                  <c:v>7448.3442106023085</c:v>
                </c:pt>
                <c:pt idx="3">
                  <c:v>8129.6814077783201</c:v>
                </c:pt>
                <c:pt idx="4">
                  <c:v>8723.7779641194265</c:v>
                </c:pt>
                <c:pt idx="5">
                  <c:v>9348.1122306765701</c:v>
                </c:pt>
                <c:pt idx="6">
                  <c:v>9875.4455329060293</c:v>
                </c:pt>
                <c:pt idx="7">
                  <c:v>10391.661089681716</c:v>
                </c:pt>
                <c:pt idx="8">
                  <c:v>10924.148965493967</c:v>
                </c:pt>
                <c:pt idx="9">
                  <c:v>11433.354174760996</c:v>
                </c:pt>
                <c:pt idx="10">
                  <c:v>11912.722889571627</c:v>
                </c:pt>
                <c:pt idx="11">
                  <c:v>12375.744081997251</c:v>
                </c:pt>
                <c:pt idx="12">
                  <c:v>12787.695077093216</c:v>
                </c:pt>
                <c:pt idx="13">
                  <c:v>13202.268136341263</c:v>
                </c:pt>
                <c:pt idx="14">
                  <c:v>13603.536451149779</c:v>
                </c:pt>
                <c:pt idx="15">
                  <c:v>13995.873248754429</c:v>
                </c:pt>
                <c:pt idx="16">
                  <c:v>14388.663910047657</c:v>
                </c:pt>
                <c:pt idx="17">
                  <c:v>14781.851551587111</c:v>
                </c:pt>
                <c:pt idx="18">
                  <c:v>15175.380099659151</c:v>
                </c:pt>
                <c:pt idx="19">
                  <c:v>15569.194290278849</c:v>
                </c:pt>
                <c:pt idx="20">
                  <c:v>15963.239669189996</c:v>
                </c:pt>
                <c:pt idx="21">
                  <c:v>16357.462591865102</c:v>
                </c:pt>
                <c:pt idx="22">
                  <c:v>16736.80429306014</c:v>
                </c:pt>
                <c:pt idx="23">
                  <c:v>17095.58359755034</c:v>
                </c:pt>
                <c:pt idx="24">
                  <c:v>17452.056400533394</c:v>
                </c:pt>
                <c:pt idx="25">
                  <c:v>17806.121688351872</c:v>
                </c:pt>
                <c:pt idx="26">
                  <c:v>18157.679257077067</c:v>
                </c:pt>
                <c:pt idx="27">
                  <c:v>18506.629712508977</c:v>
                </c:pt>
                <c:pt idx="28">
                  <c:v>18852.874470176332</c:v>
                </c:pt>
                <c:pt idx="29">
                  <c:v>19196.315755336575</c:v>
                </c:pt>
                <c:pt idx="30">
                  <c:v>19536.856602975859</c:v>
                </c:pt>
                <c:pt idx="31">
                  <c:v>19874.400857809058</c:v>
                </c:pt>
                <c:pt idx="32">
                  <c:v>20208.853174279768</c:v>
                </c:pt>
                <c:pt idx="33">
                  <c:v>20540.119016560289</c:v>
                </c:pt>
                <c:pt idx="34">
                  <c:v>20868.104658551652</c:v>
                </c:pt>
                <c:pt idx="35">
                  <c:v>21192.7171838836</c:v>
                </c:pt>
                <c:pt idx="36">
                  <c:v>21513.864485914593</c:v>
                </c:pt>
                <c:pt idx="37">
                  <c:v>21831.455267731799</c:v>
                </c:pt>
                <c:pt idx="38">
                  <c:v>22145.399042151115</c:v>
                </c:pt>
                <c:pt idx="39">
                  <c:v>22455.606131717148</c:v>
                </c:pt>
                <c:pt idx="40">
                  <c:v>22761.987668703227</c:v>
                </c:pt>
                <c:pt idx="41">
                  <c:v>23030.697987042029</c:v>
                </c:pt>
                <c:pt idx="42">
                  <c:v>23293.275220670868</c:v>
                </c:pt>
                <c:pt idx="43">
                  <c:v>23550.120395455942</c:v>
                </c:pt>
                <c:pt idx="44">
                  <c:v>23801.122578563027</c:v>
                </c:pt>
                <c:pt idx="45">
                  <c:v>24046.171646886643</c:v>
                </c:pt>
                <c:pt idx="46">
                  <c:v>24285.158287050017</c:v>
                </c:pt>
                <c:pt idx="47">
                  <c:v>24517.973995405078</c:v>
                </c:pt>
                <c:pt idx="48">
                  <c:v>24744.51107803249</c:v>
                </c:pt>
                <c:pt idx="49">
                  <c:v>24964.662650741644</c:v>
                </c:pt>
                <c:pt idx="50">
                  <c:v>25178.322639070611</c:v>
                </c:pt>
                <c:pt idx="51">
                  <c:v>25385.385778286214</c:v>
                </c:pt>
                <c:pt idx="52">
                  <c:v>25585.747613383977</c:v>
                </c:pt>
                <c:pt idx="53">
                  <c:v>25779.304499088143</c:v>
                </c:pt>
                <c:pt idx="54">
                  <c:v>25965.953599851673</c:v>
                </c:pt>
                <c:pt idx="55">
                  <c:v>26145.592889856245</c:v>
                </c:pt>
                <c:pt idx="56">
                  <c:v>26318.121153012245</c:v>
                </c:pt>
                <c:pt idx="57">
                  <c:v>26483.437982958796</c:v>
                </c:pt>
                <c:pt idx="58">
                  <c:v>26551.793149936591</c:v>
                </c:pt>
                <c:pt idx="59">
                  <c:v>26606.015390110704</c:v>
                </c:pt>
                <c:pt idx="60">
                  <c:v>26645.757734725965</c:v>
                </c:pt>
                <c:pt idx="61">
                  <c:v>26670.669976112349</c:v>
                </c:pt>
                <c:pt idx="62">
                  <c:v>26680.398667684953</c:v>
                </c:pt>
                <c:pt idx="63">
                  <c:v>26544.67674536318</c:v>
                </c:pt>
                <c:pt idx="64">
                  <c:v>26383.939878259669</c:v>
                </c:pt>
                <c:pt idx="65">
                  <c:v>26197.507894252281</c:v>
                </c:pt>
                <c:pt idx="66">
                  <c:v>25984.692523931673</c:v>
                </c:pt>
                <c:pt idx="67">
                  <c:v>25744.797400601372</c:v>
                </c:pt>
                <c:pt idx="68">
                  <c:v>25411.728056960681</c:v>
                </c:pt>
                <c:pt idx="69">
                  <c:v>25045.884668651401</c:v>
                </c:pt>
                <c:pt idx="70">
                  <c:v>24307.18243979866</c:v>
                </c:pt>
                <c:pt idx="71">
                  <c:v>23511.8537512943</c:v>
                </c:pt>
                <c:pt idx="72">
                  <c:v>21211.968702628517</c:v>
                </c:pt>
                <c:pt idx="73">
                  <c:v>18759.936196680297</c:v>
                </c:pt>
                <c:pt idx="74">
                  <c:v>11914.00306056212</c:v>
                </c:pt>
                <c:pt idx="75">
                  <c:v>4642.0921052671911</c:v>
                </c:pt>
                <c:pt idx="76">
                  <c:v>610.90317573708251</c:v>
                </c:pt>
                <c:pt idx="77">
                  <c:v>-3646.7450832780028</c:v>
                </c:pt>
                <c:pt idx="78">
                  <c:v>-6402.5513683624486</c:v>
                </c:pt>
                <c:pt idx="79">
                  <c:v>-9293.42173749426</c:v>
                </c:pt>
                <c:pt idx="80">
                  <c:v>-11865.39743849924</c:v>
                </c:pt>
                <c:pt idx="81">
                  <c:v>-14552.300635598815</c:v>
                </c:pt>
                <c:pt idx="82">
                  <c:v>-16875.678194394644</c:v>
                </c:pt>
                <c:pt idx="83">
                  <c:v>-19291.42879333255</c:v>
                </c:pt>
                <c:pt idx="84">
                  <c:v>-21805.115011464237</c:v>
                </c:pt>
                <c:pt idx="85">
                  <c:v>-24415.219049059484</c:v>
                </c:pt>
                <c:pt idx="86">
                  <c:v>-26905.297214928723</c:v>
                </c:pt>
                <c:pt idx="87">
                  <c:v>-29483.715818923982</c:v>
                </c:pt>
                <c:pt idx="88">
                  <c:v>-31920.00304756657</c:v>
                </c:pt>
                <c:pt idx="89">
                  <c:v>-34435.488061118282</c:v>
                </c:pt>
                <c:pt idx="90">
                  <c:v>-37031.588896994435</c:v>
                </c:pt>
                <c:pt idx="91">
                  <c:v>-39709.735738541356</c:v>
                </c:pt>
                <c:pt idx="92">
                  <c:v>-42471.370915035805</c:v>
                </c:pt>
                <c:pt idx="93">
                  <c:v>-45153.744718683833</c:v>
                </c:pt>
                <c:pt idx="94">
                  <c:v>-47914.178343384418</c:v>
                </c:pt>
                <c:pt idx="95">
                  <c:v>-50753.937395122099</c:v>
                </c:pt>
                <c:pt idx="96">
                  <c:v>-53674.297196625797</c:v>
                </c:pt>
                <c:pt idx="97">
                  <c:v>-56676.542787369224</c:v>
                </c:pt>
                <c:pt idx="98">
                  <c:v>-59429.180335720135</c:v>
                </c:pt>
                <c:pt idx="99">
                  <c:v>-62249.799873303782</c:v>
                </c:pt>
                <c:pt idx="100">
                  <c:v>-65139.308093850806</c:v>
                </c:pt>
                <c:pt idx="101">
                  <c:v>-68098.616954328638</c:v>
                </c:pt>
                <c:pt idx="102">
                  <c:v>-71128.643674941224</c:v>
                </c:pt>
                <c:pt idx="103">
                  <c:v>-74230.310739129272</c:v>
                </c:pt>
                <c:pt idx="104">
                  <c:v>-77404.545893570044</c:v>
                </c:pt>
                <c:pt idx="105">
                  <c:v>-80652.282148177619</c:v>
                </c:pt>
                <c:pt idx="106">
                  <c:v>-83974.457776102572</c:v>
                </c:pt>
                <c:pt idx="107">
                  <c:v>-87372.016313732296</c:v>
                </c:pt>
                <c:pt idx="108">
                  <c:v>-90618.363580592297</c:v>
                </c:pt>
                <c:pt idx="109">
                  <c:v>-93931.495045480639</c:v>
                </c:pt>
                <c:pt idx="110">
                  <c:v>-97312.129545065662</c:v>
                </c:pt>
                <c:pt idx="111">
                  <c:v>-100760.98875006635</c:v>
                </c:pt>
                <c:pt idx="112">
                  <c:v>-104278.79716525199</c:v>
                </c:pt>
                <c:pt idx="113">
                  <c:v>-107866.28212944252</c:v>
                </c:pt>
                <c:pt idx="114">
                  <c:v>-111524.17381550842</c:v>
                </c:pt>
                <c:pt idx="115">
                  <c:v>-115253.20523037047</c:v>
                </c:pt>
                <c:pt idx="116">
                  <c:v>-119054.11221500028</c:v>
                </c:pt>
                <c:pt idx="117">
                  <c:v>-122927.63344441977</c:v>
                </c:pt>
                <c:pt idx="118">
                  <c:v>-126543.49084845974</c:v>
                </c:pt>
                <c:pt idx="119">
                  <c:v>-130219.26227349133</c:v>
                </c:pt>
                <c:pt idx="120">
                  <c:v>-133955.39307030867</c:v>
                </c:pt>
                <c:pt idx="121">
                  <c:v>-137752.32858970613</c:v>
                </c:pt>
                <c:pt idx="122">
                  <c:v>-141610.51418247784</c:v>
                </c:pt>
                <c:pt idx="123">
                  <c:v>-145530.39519941813</c:v>
                </c:pt>
                <c:pt idx="124">
                  <c:v>-149512.41699132137</c:v>
                </c:pt>
                <c:pt idx="125">
                  <c:v>-153557.02490898178</c:v>
                </c:pt>
                <c:pt idx="126">
                  <c:v>-157664.66430319357</c:v>
                </c:pt>
                <c:pt idx="127">
                  <c:v>-161835.78052475106</c:v>
                </c:pt>
                <c:pt idx="128">
                  <c:v>-166070.81892444834</c:v>
                </c:pt>
                <c:pt idx="129">
                  <c:v>-170370.22485307988</c:v>
                </c:pt>
                <c:pt idx="130">
                  <c:v>-174734.44366143996</c:v>
                </c:pt>
                <c:pt idx="131">
                  <c:v>-179163.92070032275</c:v>
                </c:pt>
                <c:pt idx="132">
                  <c:v>-183659.10132052249</c:v>
                </c:pt>
                <c:pt idx="133">
                  <c:v>-188220.4308728335</c:v>
                </c:pt>
                <c:pt idx="134">
                  <c:v>-192848.35470805009</c:v>
                </c:pt>
                <c:pt idx="135">
                  <c:v>-197543.31817696648</c:v>
                </c:pt>
                <c:pt idx="136">
                  <c:v>-202305.76663037681</c:v>
                </c:pt>
                <c:pt idx="137">
                  <c:v>-207136.14541907559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B12-45B7-8702-50A1A245C030}"/>
            </c:ext>
          </c:extLst>
        </c:ser>
        <c:ser>
          <c:idx val="1"/>
          <c:order val="1"/>
          <c:tx>
            <c:v>5,000 ft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'11 - Climb RoC Calcs'!$Q$96:$Q$231</c:f>
              <c:numCache>
                <c:formatCode>General</c:formatCode>
                <c:ptCount val="136"/>
                <c:pt idx="0">
                  <c:v>0.25</c:v>
                </c:pt>
                <c:pt idx="1">
                  <c:v>0.26</c:v>
                </c:pt>
                <c:pt idx="2">
                  <c:v>0.27</c:v>
                </c:pt>
                <c:pt idx="3">
                  <c:v>0.28000000000000003</c:v>
                </c:pt>
                <c:pt idx="4">
                  <c:v>0.28999999999999998</c:v>
                </c:pt>
                <c:pt idx="5">
                  <c:v>0.3</c:v>
                </c:pt>
                <c:pt idx="6">
                  <c:v>0.31</c:v>
                </c:pt>
                <c:pt idx="7">
                  <c:v>0.32</c:v>
                </c:pt>
                <c:pt idx="8">
                  <c:v>0.33</c:v>
                </c:pt>
                <c:pt idx="9">
                  <c:v>0.34</c:v>
                </c:pt>
                <c:pt idx="10">
                  <c:v>0.35</c:v>
                </c:pt>
                <c:pt idx="11">
                  <c:v>0.36</c:v>
                </c:pt>
                <c:pt idx="12">
                  <c:v>0.37</c:v>
                </c:pt>
                <c:pt idx="13">
                  <c:v>0.38</c:v>
                </c:pt>
                <c:pt idx="14">
                  <c:v>0.39</c:v>
                </c:pt>
                <c:pt idx="15">
                  <c:v>0.4</c:v>
                </c:pt>
                <c:pt idx="16">
                  <c:v>0.41</c:v>
                </c:pt>
                <c:pt idx="17">
                  <c:v>0.42</c:v>
                </c:pt>
                <c:pt idx="18">
                  <c:v>0.43</c:v>
                </c:pt>
                <c:pt idx="19">
                  <c:v>0.44</c:v>
                </c:pt>
                <c:pt idx="20">
                  <c:v>0.45</c:v>
                </c:pt>
                <c:pt idx="21">
                  <c:v>0.46</c:v>
                </c:pt>
                <c:pt idx="22">
                  <c:v>0.47</c:v>
                </c:pt>
                <c:pt idx="23">
                  <c:v>0.48</c:v>
                </c:pt>
                <c:pt idx="24">
                  <c:v>0.49</c:v>
                </c:pt>
                <c:pt idx="25">
                  <c:v>0.5</c:v>
                </c:pt>
                <c:pt idx="26">
                  <c:v>0.51</c:v>
                </c:pt>
                <c:pt idx="27">
                  <c:v>0.52</c:v>
                </c:pt>
                <c:pt idx="28">
                  <c:v>0.53</c:v>
                </c:pt>
                <c:pt idx="29">
                  <c:v>0.54</c:v>
                </c:pt>
                <c:pt idx="30">
                  <c:v>0.55000000000000004</c:v>
                </c:pt>
                <c:pt idx="31">
                  <c:v>0.56000000000000005</c:v>
                </c:pt>
                <c:pt idx="32">
                  <c:v>0.56999999999999995</c:v>
                </c:pt>
                <c:pt idx="33">
                  <c:v>0.57999999999999996</c:v>
                </c:pt>
                <c:pt idx="34">
                  <c:v>0.59</c:v>
                </c:pt>
                <c:pt idx="35">
                  <c:v>0.6</c:v>
                </c:pt>
                <c:pt idx="36">
                  <c:v>0.61</c:v>
                </c:pt>
                <c:pt idx="37">
                  <c:v>0.62</c:v>
                </c:pt>
                <c:pt idx="38">
                  <c:v>0.63</c:v>
                </c:pt>
                <c:pt idx="39">
                  <c:v>0.64</c:v>
                </c:pt>
                <c:pt idx="40">
                  <c:v>0.65</c:v>
                </c:pt>
                <c:pt idx="41">
                  <c:v>0.66</c:v>
                </c:pt>
                <c:pt idx="42">
                  <c:v>0.67</c:v>
                </c:pt>
                <c:pt idx="43">
                  <c:v>0.68</c:v>
                </c:pt>
                <c:pt idx="44">
                  <c:v>0.69</c:v>
                </c:pt>
                <c:pt idx="45">
                  <c:v>0.7</c:v>
                </c:pt>
                <c:pt idx="46">
                  <c:v>0.71</c:v>
                </c:pt>
                <c:pt idx="47">
                  <c:v>0.72</c:v>
                </c:pt>
                <c:pt idx="48">
                  <c:v>0.73</c:v>
                </c:pt>
                <c:pt idx="49">
                  <c:v>0.74</c:v>
                </c:pt>
                <c:pt idx="50">
                  <c:v>0.75</c:v>
                </c:pt>
                <c:pt idx="51">
                  <c:v>0.76</c:v>
                </c:pt>
                <c:pt idx="52">
                  <c:v>0.77</c:v>
                </c:pt>
                <c:pt idx="53">
                  <c:v>0.78</c:v>
                </c:pt>
                <c:pt idx="54">
                  <c:v>0.79</c:v>
                </c:pt>
                <c:pt idx="55">
                  <c:v>0.8</c:v>
                </c:pt>
                <c:pt idx="56">
                  <c:v>0.81</c:v>
                </c:pt>
                <c:pt idx="57">
                  <c:v>0.82</c:v>
                </c:pt>
                <c:pt idx="58">
                  <c:v>0.83</c:v>
                </c:pt>
                <c:pt idx="59">
                  <c:v>0.84</c:v>
                </c:pt>
                <c:pt idx="60">
                  <c:v>0.85</c:v>
                </c:pt>
                <c:pt idx="61">
                  <c:v>0.86</c:v>
                </c:pt>
                <c:pt idx="62">
                  <c:v>0.87</c:v>
                </c:pt>
                <c:pt idx="63">
                  <c:v>0.88</c:v>
                </c:pt>
                <c:pt idx="64">
                  <c:v>0.89</c:v>
                </c:pt>
                <c:pt idx="65">
                  <c:v>0.9</c:v>
                </c:pt>
                <c:pt idx="66">
                  <c:v>0.91</c:v>
                </c:pt>
                <c:pt idx="67">
                  <c:v>0.92</c:v>
                </c:pt>
                <c:pt idx="68">
                  <c:v>0.93</c:v>
                </c:pt>
                <c:pt idx="69">
                  <c:v>0.94</c:v>
                </c:pt>
                <c:pt idx="70">
                  <c:v>0.95</c:v>
                </c:pt>
                <c:pt idx="71">
                  <c:v>0.96</c:v>
                </c:pt>
                <c:pt idx="72">
                  <c:v>0.97</c:v>
                </c:pt>
                <c:pt idx="73">
                  <c:v>0.98</c:v>
                </c:pt>
                <c:pt idx="74">
                  <c:v>0.99</c:v>
                </c:pt>
                <c:pt idx="75">
                  <c:v>1</c:v>
                </c:pt>
                <c:pt idx="76">
                  <c:v>1.01</c:v>
                </c:pt>
                <c:pt idx="77">
                  <c:v>1.02</c:v>
                </c:pt>
                <c:pt idx="78">
                  <c:v>1.03</c:v>
                </c:pt>
                <c:pt idx="79">
                  <c:v>1.04</c:v>
                </c:pt>
                <c:pt idx="80">
                  <c:v>1.05</c:v>
                </c:pt>
                <c:pt idx="81">
                  <c:v>1.06</c:v>
                </c:pt>
                <c:pt idx="82">
                  <c:v>1.07</c:v>
                </c:pt>
                <c:pt idx="83">
                  <c:v>1.08</c:v>
                </c:pt>
                <c:pt idx="84">
                  <c:v>1.0900000000000001</c:v>
                </c:pt>
                <c:pt idx="85">
                  <c:v>1.1000000000000001</c:v>
                </c:pt>
                <c:pt idx="86">
                  <c:v>1.1100000000000001</c:v>
                </c:pt>
                <c:pt idx="87">
                  <c:v>1.1200000000000001</c:v>
                </c:pt>
                <c:pt idx="88">
                  <c:v>1.1299999999999999</c:v>
                </c:pt>
                <c:pt idx="89">
                  <c:v>1.1399999999999999</c:v>
                </c:pt>
                <c:pt idx="90">
                  <c:v>1.1499999999999999</c:v>
                </c:pt>
                <c:pt idx="91">
                  <c:v>1.1599999999999999</c:v>
                </c:pt>
                <c:pt idx="92">
                  <c:v>1.17</c:v>
                </c:pt>
                <c:pt idx="93">
                  <c:v>1.18</c:v>
                </c:pt>
                <c:pt idx="94">
                  <c:v>1.19</c:v>
                </c:pt>
                <c:pt idx="95">
                  <c:v>1.2</c:v>
                </c:pt>
                <c:pt idx="96">
                  <c:v>1.21</c:v>
                </c:pt>
                <c:pt idx="97">
                  <c:v>1.22</c:v>
                </c:pt>
                <c:pt idx="98">
                  <c:v>1.23</c:v>
                </c:pt>
                <c:pt idx="99">
                  <c:v>1.24</c:v>
                </c:pt>
                <c:pt idx="100">
                  <c:v>1.25</c:v>
                </c:pt>
                <c:pt idx="101">
                  <c:v>1.26</c:v>
                </c:pt>
                <c:pt idx="102">
                  <c:v>1.27</c:v>
                </c:pt>
                <c:pt idx="103">
                  <c:v>1.28</c:v>
                </c:pt>
                <c:pt idx="104">
                  <c:v>1.29</c:v>
                </c:pt>
                <c:pt idx="105">
                  <c:v>1.3</c:v>
                </c:pt>
                <c:pt idx="106">
                  <c:v>1.31</c:v>
                </c:pt>
                <c:pt idx="107">
                  <c:v>1.32</c:v>
                </c:pt>
                <c:pt idx="108">
                  <c:v>1.33</c:v>
                </c:pt>
                <c:pt idx="109">
                  <c:v>1.34</c:v>
                </c:pt>
                <c:pt idx="110">
                  <c:v>1.35</c:v>
                </c:pt>
                <c:pt idx="111">
                  <c:v>1.36</c:v>
                </c:pt>
                <c:pt idx="112">
                  <c:v>1.37</c:v>
                </c:pt>
                <c:pt idx="113">
                  <c:v>1.38</c:v>
                </c:pt>
                <c:pt idx="114">
                  <c:v>1.39</c:v>
                </c:pt>
                <c:pt idx="115">
                  <c:v>1.4</c:v>
                </c:pt>
                <c:pt idx="116">
                  <c:v>1.41</c:v>
                </c:pt>
                <c:pt idx="117">
                  <c:v>1.42</c:v>
                </c:pt>
                <c:pt idx="118">
                  <c:v>1.43</c:v>
                </c:pt>
                <c:pt idx="119">
                  <c:v>1.44</c:v>
                </c:pt>
                <c:pt idx="120">
                  <c:v>1.45</c:v>
                </c:pt>
                <c:pt idx="121">
                  <c:v>1.46</c:v>
                </c:pt>
                <c:pt idx="122">
                  <c:v>1.47</c:v>
                </c:pt>
                <c:pt idx="123">
                  <c:v>1.48</c:v>
                </c:pt>
                <c:pt idx="124">
                  <c:v>1.49</c:v>
                </c:pt>
                <c:pt idx="125">
                  <c:v>1.5</c:v>
                </c:pt>
                <c:pt idx="126">
                  <c:v>1.51</c:v>
                </c:pt>
                <c:pt idx="127">
                  <c:v>1.52</c:v>
                </c:pt>
                <c:pt idx="128">
                  <c:v>1.53</c:v>
                </c:pt>
                <c:pt idx="129">
                  <c:v>1.54</c:v>
                </c:pt>
                <c:pt idx="130">
                  <c:v>1.55</c:v>
                </c:pt>
                <c:pt idx="131">
                  <c:v>1.56</c:v>
                </c:pt>
                <c:pt idx="132">
                  <c:v>1.57</c:v>
                </c:pt>
                <c:pt idx="133">
                  <c:v>1.58</c:v>
                </c:pt>
                <c:pt idx="134">
                  <c:v>1.59</c:v>
                </c:pt>
                <c:pt idx="135">
                  <c:v>1.6</c:v>
                </c:pt>
              </c:numCache>
            </c:numRef>
          </c:xVal>
          <c:yVal>
            <c:numRef>
              <c:f>'11 - Climb RoC Calcs'!$W$96:$W$231</c:f>
              <c:numCache>
                <c:formatCode>General</c:formatCode>
                <c:ptCount val="136"/>
                <c:pt idx="0">
                  <c:v>5189.3523474725062</c:v>
                </c:pt>
                <c:pt idx="1">
                  <c:v>5945.4441926955051</c:v>
                </c:pt>
                <c:pt idx="2">
                  <c:v>6584.6913900602613</c:v>
                </c:pt>
                <c:pt idx="3">
                  <c:v>7245.007031135935</c:v>
                </c:pt>
                <c:pt idx="4">
                  <c:v>7812.2711633498284</c:v>
                </c:pt>
                <c:pt idx="5">
                  <c:v>8373.6287654028783</c:v>
                </c:pt>
                <c:pt idx="6">
                  <c:v>8947.3960638206081</c:v>
                </c:pt>
                <c:pt idx="7">
                  <c:v>9409.3302781683469</c:v>
                </c:pt>
                <c:pt idx="8">
                  <c:v>9886.0761949046446</c:v>
                </c:pt>
                <c:pt idx="9">
                  <c:v>10378.001252276588</c:v>
                </c:pt>
                <c:pt idx="10">
                  <c:v>10849.0000896363</c:v>
                </c:pt>
                <c:pt idx="11">
                  <c:v>11287.79381418183</c:v>
                </c:pt>
                <c:pt idx="12">
                  <c:v>11729.940478197785</c:v>
                </c:pt>
                <c:pt idx="13">
                  <c:v>12103.961388055173</c:v>
                </c:pt>
                <c:pt idx="14">
                  <c:v>12480.896531924469</c:v>
                </c:pt>
                <c:pt idx="15">
                  <c:v>12857.899371312347</c:v>
                </c:pt>
                <c:pt idx="16">
                  <c:v>13214.826928826251</c:v>
                </c:pt>
                <c:pt idx="17">
                  <c:v>13572.76226204167</c:v>
                </c:pt>
                <c:pt idx="18">
                  <c:v>13931.660848035868</c:v>
                </c:pt>
                <c:pt idx="19">
                  <c:v>14291.478825937018</c:v>
                </c:pt>
                <c:pt idx="20">
                  <c:v>14652.172996924168</c:v>
                </c:pt>
                <c:pt idx="21">
                  <c:v>15013.700824227277</c:v>
                </c:pt>
                <c:pt idx="22">
                  <c:v>15376.020433127194</c:v>
                </c:pt>
                <c:pt idx="23">
                  <c:v>15739.090610955667</c:v>
                </c:pt>
                <c:pt idx="24">
                  <c:v>16097.883471493902</c:v>
                </c:pt>
                <c:pt idx="25">
                  <c:v>16428.095015712097</c:v>
                </c:pt>
                <c:pt idx="26">
                  <c:v>16756.868554110544</c:v>
                </c:pt>
                <c:pt idx="27">
                  <c:v>17084.124144043602</c:v>
                </c:pt>
                <c:pt idx="28">
                  <c:v>17409.782504916515</c:v>
                </c:pt>
                <c:pt idx="29">
                  <c:v>17733.765018185426</c:v>
                </c:pt>
                <c:pt idx="30">
                  <c:v>18055.993727357356</c:v>
                </c:pt>
                <c:pt idx="31">
                  <c:v>18376.391337990262</c:v>
                </c:pt>
                <c:pt idx="32">
                  <c:v>18694.88121769295</c:v>
                </c:pt>
                <c:pt idx="33">
                  <c:v>19011.387396125159</c:v>
                </c:pt>
                <c:pt idx="34">
                  <c:v>19325.834564997505</c:v>
                </c:pt>
                <c:pt idx="35">
                  <c:v>19638.148078071506</c:v>
                </c:pt>
                <c:pt idx="36">
                  <c:v>19948.253951159564</c:v>
                </c:pt>
                <c:pt idx="37">
                  <c:v>20256.078862124996</c:v>
                </c:pt>
                <c:pt idx="38">
                  <c:v>20561.550150882002</c:v>
                </c:pt>
                <c:pt idx="39">
                  <c:v>20864.595819395669</c:v>
                </c:pt>
                <c:pt idx="40">
                  <c:v>21165.144531682014</c:v>
                </c:pt>
                <c:pt idx="41">
                  <c:v>21463.125613807897</c:v>
                </c:pt>
                <c:pt idx="42">
                  <c:v>21758.469053891124</c:v>
                </c:pt>
                <c:pt idx="43">
                  <c:v>22051.105502100374</c:v>
                </c:pt>
                <c:pt idx="44">
                  <c:v>22340.966270655208</c:v>
                </c:pt>
                <c:pt idx="45">
                  <c:v>22597.204041888683</c:v>
                </c:pt>
                <c:pt idx="46">
                  <c:v>22846.35058434544</c:v>
                </c:pt>
                <c:pt idx="47">
                  <c:v>23091.050430687174</c:v>
                </c:pt>
                <c:pt idx="48">
                  <c:v>23331.216852246551</c:v>
                </c:pt>
                <c:pt idx="49">
                  <c:v>23566.763782407128</c:v>
                </c:pt>
                <c:pt idx="50">
                  <c:v>23797.605816603384</c:v>
                </c:pt>
                <c:pt idx="51">
                  <c:v>24023.658212320657</c:v>
                </c:pt>
                <c:pt idx="52">
                  <c:v>24244.836889095201</c:v>
                </c:pt>
                <c:pt idx="53">
                  <c:v>24461.058428514178</c:v>
                </c:pt>
                <c:pt idx="54">
                  <c:v>24672.240074215624</c:v>
                </c:pt>
                <c:pt idx="55">
                  <c:v>24878.29973188847</c:v>
                </c:pt>
                <c:pt idx="56">
                  <c:v>25005.855763015155</c:v>
                </c:pt>
                <c:pt idx="57">
                  <c:v>25122.63065022814</c:v>
                </c:pt>
                <c:pt idx="58">
                  <c:v>25228.340704718623</c:v>
                </c:pt>
                <c:pt idx="59">
                  <c:v>25322.69958947425</c:v>
                </c:pt>
                <c:pt idx="60">
                  <c:v>25405.418319279062</c:v>
                </c:pt>
                <c:pt idx="61">
                  <c:v>25369.797700208488</c:v>
                </c:pt>
                <c:pt idx="62">
                  <c:v>25314.494152698884</c:v>
                </c:pt>
                <c:pt idx="63">
                  <c:v>25238.951553997882</c:v>
                </c:pt>
                <c:pt idx="64">
                  <c:v>25142.607160844222</c:v>
                </c:pt>
                <c:pt idx="65">
                  <c:v>25024.891609467595</c:v>
                </c:pt>
                <c:pt idx="66">
                  <c:v>24831.462882831253</c:v>
                </c:pt>
                <c:pt idx="67">
                  <c:v>24612.00059433846</c:v>
                </c:pt>
                <c:pt idx="68">
                  <c:v>24088.444402270394</c:v>
                </c:pt>
                <c:pt idx="69">
                  <c:v>23519.35242201453</c:v>
                </c:pt>
                <c:pt idx="70">
                  <c:v>21720.867310331258</c:v>
                </c:pt>
                <c:pt idx="71">
                  <c:v>19798.746473136573</c:v>
                </c:pt>
                <c:pt idx="72">
                  <c:v>14284.308854276122</c:v>
                </c:pt>
                <c:pt idx="73">
                  <c:v>8422.3351039935642</c:v>
                </c:pt>
                <c:pt idx="74">
                  <c:v>5210.2473716848726</c:v>
                </c:pt>
                <c:pt idx="75">
                  <c:v>1813.74288364118</c:v>
                </c:pt>
                <c:pt idx="76">
                  <c:v>-354.64188402326459</c:v>
                </c:pt>
                <c:pt idx="77">
                  <c:v>-2632.727825759132</c:v>
                </c:pt>
                <c:pt idx="78">
                  <c:v>-4649.9182681197299</c:v>
                </c:pt>
                <c:pt idx="79">
                  <c:v>-6760.3568506144766</c:v>
                </c:pt>
                <c:pt idx="80">
                  <c:v>-8574.0112620423042</c:v>
                </c:pt>
                <c:pt idx="81">
                  <c:v>-10462.494936526638</c:v>
                </c:pt>
                <c:pt idx="82">
                  <c:v>-12430.947427632282</c:v>
                </c:pt>
                <c:pt idx="83">
                  <c:v>-14477.547332364864</c:v>
                </c:pt>
                <c:pt idx="84">
                  <c:v>-16425.325825698779</c:v>
                </c:pt>
                <c:pt idx="85">
                  <c:v>-18444.647499120991</c:v>
                </c:pt>
                <c:pt idx="86">
                  <c:v>-20346.828411392991</c:v>
                </c:pt>
                <c:pt idx="87">
                  <c:v>-22313.072859722728</c:v>
                </c:pt>
                <c:pt idx="88">
                  <c:v>-24344.540260741134</c:v>
                </c:pt>
                <c:pt idx="89">
                  <c:v>-26442.399961842722</c:v>
                </c:pt>
                <c:pt idx="90">
                  <c:v>-28607.831241185366</c:v>
                </c:pt>
                <c:pt idx="91">
                  <c:v>-30706.740622708119</c:v>
                </c:pt>
                <c:pt idx="92">
                  <c:v>-32868.765428625476</c:v>
                </c:pt>
                <c:pt idx="93">
                  <c:v>-35094.940444487343</c:v>
                </c:pt>
                <c:pt idx="94">
                  <c:v>-37386.308400454393</c:v>
                </c:pt>
                <c:pt idx="95">
                  <c:v>-39743.919971297975</c:v>
                </c:pt>
                <c:pt idx="96">
                  <c:v>-41896.070101429024</c:v>
                </c:pt>
                <c:pt idx="97">
                  <c:v>-44103.084757258883</c:v>
                </c:pt>
                <c:pt idx="98">
                  <c:v>-46365.705270277962</c:v>
                </c:pt>
                <c:pt idx="99">
                  <c:v>-48684.677275307571</c:v>
                </c:pt>
                <c:pt idx="100">
                  <c:v>-51060.750710499633</c:v>
                </c:pt>
                <c:pt idx="101">
                  <c:v>-53494.679817337099</c:v>
                </c:pt>
                <c:pt idx="102">
                  <c:v>-55987.223140633607</c:v>
                </c:pt>
                <c:pt idx="103">
                  <c:v>-58539.143528533736</c:v>
                </c:pt>
                <c:pt idx="104">
                  <c:v>-61151.208132512758</c:v>
                </c:pt>
                <c:pt idx="105">
                  <c:v>-63824.188407376889</c:v>
                </c:pt>
                <c:pt idx="106">
                  <c:v>-66372.816278756261</c:v>
                </c:pt>
                <c:pt idx="107">
                  <c:v>-68975.329337047049</c:v>
                </c:pt>
                <c:pt idx="108">
                  <c:v>-71632.31531793192</c:v>
                </c:pt>
                <c:pt idx="109">
                  <c:v>-74344.364274271575</c:v>
                </c:pt>
                <c:pt idx="110">
                  <c:v>-77112.068576104924</c:v>
                </c:pt>
                <c:pt idx="111">
                  <c:v>-79936.022910648971</c:v>
                </c:pt>
                <c:pt idx="112">
                  <c:v>-82816.824282298854</c:v>
                </c:pt>
                <c:pt idx="113">
                  <c:v>-85755.072012627861</c:v>
                </c:pt>
                <c:pt idx="114">
                  <c:v>-88751.367740387446</c:v>
                </c:pt>
                <c:pt idx="115">
                  <c:v>-91806.315421507214</c:v>
                </c:pt>
                <c:pt idx="116">
                  <c:v>-94649.872895421839</c:v>
                </c:pt>
                <c:pt idx="117">
                  <c:v>-97541.698357838352</c:v>
                </c:pt>
                <c:pt idx="118">
                  <c:v>-100482.15593674927</c:v>
                </c:pt>
                <c:pt idx="119">
                  <c:v>-103471.60976014718</c:v>
                </c:pt>
                <c:pt idx="120">
                  <c:v>-106510.42395602487</c:v>
                </c:pt>
                <c:pt idx="121">
                  <c:v>-109598.9626523747</c:v>
                </c:pt>
                <c:pt idx="122">
                  <c:v>-112737.58997718949</c:v>
                </c:pt>
                <c:pt idx="123">
                  <c:v>-115926.67005846174</c:v>
                </c:pt>
                <c:pt idx="124">
                  <c:v>-119166.56702418416</c:v>
                </c:pt>
                <c:pt idx="125">
                  <c:v>-122457.64500234919</c:v>
                </c:pt>
                <c:pt idx="126">
                  <c:v>-125800.26812094951</c:v>
                </c:pt>
                <c:pt idx="127">
                  <c:v>-129194.80050797779</c:v>
                </c:pt>
                <c:pt idx="128">
                  <c:v>-132641.60629142658</c:v>
                </c:pt>
                <c:pt idx="129">
                  <c:v>-136141.0495992885</c:v>
                </c:pt>
                <c:pt idx="130">
                  <c:v>-139693.49455955625</c:v>
                </c:pt>
                <c:pt idx="131">
                  <c:v>-143299.30530022222</c:v>
                </c:pt>
                <c:pt idx="132">
                  <c:v>-146958.84594927914</c:v>
                </c:pt>
                <c:pt idx="133">
                  <c:v>-150672.48063471974</c:v>
                </c:pt>
                <c:pt idx="134">
                  <c:v>-154440.57348453638</c:v>
                </c:pt>
                <c:pt idx="135">
                  <c:v>-158263.48862672193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B12-45B7-8702-50A1A245C030}"/>
            </c:ext>
          </c:extLst>
        </c:ser>
        <c:ser>
          <c:idx val="2"/>
          <c:order val="2"/>
          <c:tx>
            <c:v>10,000 ft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'11 - Climb RoC Calcs'!$Y$98:$Y$231</c:f>
              <c:numCache>
                <c:formatCode>General</c:formatCode>
                <c:ptCount val="134"/>
                <c:pt idx="0">
                  <c:v>0.27</c:v>
                </c:pt>
                <c:pt idx="1">
                  <c:v>0.28000000000000003</c:v>
                </c:pt>
                <c:pt idx="2">
                  <c:v>0.28999999999999998</c:v>
                </c:pt>
                <c:pt idx="3">
                  <c:v>0.3</c:v>
                </c:pt>
                <c:pt idx="4">
                  <c:v>0.31</c:v>
                </c:pt>
                <c:pt idx="5">
                  <c:v>0.32</c:v>
                </c:pt>
                <c:pt idx="6">
                  <c:v>0.33</c:v>
                </c:pt>
                <c:pt idx="7">
                  <c:v>0.34</c:v>
                </c:pt>
                <c:pt idx="8">
                  <c:v>0.35</c:v>
                </c:pt>
                <c:pt idx="9">
                  <c:v>0.36</c:v>
                </c:pt>
                <c:pt idx="10">
                  <c:v>0.37</c:v>
                </c:pt>
                <c:pt idx="11">
                  <c:v>0.38</c:v>
                </c:pt>
                <c:pt idx="12">
                  <c:v>0.39</c:v>
                </c:pt>
                <c:pt idx="13">
                  <c:v>0.4</c:v>
                </c:pt>
                <c:pt idx="14">
                  <c:v>0.41</c:v>
                </c:pt>
                <c:pt idx="15">
                  <c:v>0.42</c:v>
                </c:pt>
                <c:pt idx="16">
                  <c:v>0.43</c:v>
                </c:pt>
                <c:pt idx="17">
                  <c:v>0.44</c:v>
                </c:pt>
                <c:pt idx="18">
                  <c:v>0.45</c:v>
                </c:pt>
                <c:pt idx="19">
                  <c:v>0.46</c:v>
                </c:pt>
                <c:pt idx="20">
                  <c:v>0.47</c:v>
                </c:pt>
                <c:pt idx="21">
                  <c:v>0.48</c:v>
                </c:pt>
                <c:pt idx="22">
                  <c:v>0.49</c:v>
                </c:pt>
                <c:pt idx="23">
                  <c:v>0.5</c:v>
                </c:pt>
                <c:pt idx="24">
                  <c:v>0.51</c:v>
                </c:pt>
                <c:pt idx="25">
                  <c:v>0.52</c:v>
                </c:pt>
                <c:pt idx="26">
                  <c:v>0.53</c:v>
                </c:pt>
                <c:pt idx="27">
                  <c:v>0.54</c:v>
                </c:pt>
                <c:pt idx="28">
                  <c:v>0.55000000000000004</c:v>
                </c:pt>
                <c:pt idx="29">
                  <c:v>0.56000000000000005</c:v>
                </c:pt>
                <c:pt idx="30">
                  <c:v>0.56999999999999995</c:v>
                </c:pt>
                <c:pt idx="31">
                  <c:v>0.57999999999999996</c:v>
                </c:pt>
                <c:pt idx="32">
                  <c:v>0.59</c:v>
                </c:pt>
                <c:pt idx="33">
                  <c:v>0.6</c:v>
                </c:pt>
                <c:pt idx="34">
                  <c:v>0.61</c:v>
                </c:pt>
                <c:pt idx="35">
                  <c:v>0.62</c:v>
                </c:pt>
                <c:pt idx="36">
                  <c:v>0.63</c:v>
                </c:pt>
                <c:pt idx="37">
                  <c:v>0.64</c:v>
                </c:pt>
                <c:pt idx="38">
                  <c:v>0.65</c:v>
                </c:pt>
                <c:pt idx="39">
                  <c:v>0.66</c:v>
                </c:pt>
                <c:pt idx="40">
                  <c:v>0.67</c:v>
                </c:pt>
                <c:pt idx="41">
                  <c:v>0.68</c:v>
                </c:pt>
                <c:pt idx="42">
                  <c:v>0.69</c:v>
                </c:pt>
                <c:pt idx="43">
                  <c:v>0.7</c:v>
                </c:pt>
                <c:pt idx="44">
                  <c:v>0.71</c:v>
                </c:pt>
                <c:pt idx="45">
                  <c:v>0.72</c:v>
                </c:pt>
                <c:pt idx="46">
                  <c:v>0.73</c:v>
                </c:pt>
                <c:pt idx="47">
                  <c:v>0.74</c:v>
                </c:pt>
                <c:pt idx="48">
                  <c:v>0.75</c:v>
                </c:pt>
                <c:pt idx="49">
                  <c:v>0.76</c:v>
                </c:pt>
                <c:pt idx="50">
                  <c:v>0.77</c:v>
                </c:pt>
                <c:pt idx="51">
                  <c:v>0.78</c:v>
                </c:pt>
                <c:pt idx="52">
                  <c:v>0.79</c:v>
                </c:pt>
                <c:pt idx="53">
                  <c:v>0.8</c:v>
                </c:pt>
                <c:pt idx="54">
                  <c:v>0.81</c:v>
                </c:pt>
                <c:pt idx="55">
                  <c:v>0.82</c:v>
                </c:pt>
                <c:pt idx="56">
                  <c:v>0.83</c:v>
                </c:pt>
                <c:pt idx="57">
                  <c:v>0.84</c:v>
                </c:pt>
                <c:pt idx="58">
                  <c:v>0.85</c:v>
                </c:pt>
                <c:pt idx="59">
                  <c:v>0.86</c:v>
                </c:pt>
                <c:pt idx="60">
                  <c:v>0.87</c:v>
                </c:pt>
                <c:pt idx="61">
                  <c:v>0.88</c:v>
                </c:pt>
                <c:pt idx="62">
                  <c:v>0.89</c:v>
                </c:pt>
                <c:pt idx="63">
                  <c:v>0.9</c:v>
                </c:pt>
                <c:pt idx="64">
                  <c:v>0.91</c:v>
                </c:pt>
                <c:pt idx="65">
                  <c:v>0.92</c:v>
                </c:pt>
                <c:pt idx="66">
                  <c:v>0.93</c:v>
                </c:pt>
                <c:pt idx="67">
                  <c:v>0.94</c:v>
                </c:pt>
                <c:pt idx="68">
                  <c:v>0.95</c:v>
                </c:pt>
                <c:pt idx="69">
                  <c:v>0.96</c:v>
                </c:pt>
                <c:pt idx="70">
                  <c:v>0.97</c:v>
                </c:pt>
                <c:pt idx="71">
                  <c:v>0.98</c:v>
                </c:pt>
                <c:pt idx="72">
                  <c:v>0.99</c:v>
                </c:pt>
                <c:pt idx="73">
                  <c:v>1</c:v>
                </c:pt>
                <c:pt idx="74">
                  <c:v>1.01</c:v>
                </c:pt>
                <c:pt idx="75">
                  <c:v>1.02</c:v>
                </c:pt>
                <c:pt idx="76">
                  <c:v>1.03</c:v>
                </c:pt>
                <c:pt idx="77">
                  <c:v>1.04</c:v>
                </c:pt>
                <c:pt idx="78">
                  <c:v>1.05</c:v>
                </c:pt>
                <c:pt idx="79">
                  <c:v>1.06</c:v>
                </c:pt>
                <c:pt idx="80">
                  <c:v>1.07</c:v>
                </c:pt>
                <c:pt idx="81">
                  <c:v>1.08</c:v>
                </c:pt>
                <c:pt idx="82">
                  <c:v>1.0900000000000001</c:v>
                </c:pt>
                <c:pt idx="83">
                  <c:v>1.1000000000000001</c:v>
                </c:pt>
                <c:pt idx="84">
                  <c:v>1.1100000000000001</c:v>
                </c:pt>
                <c:pt idx="85">
                  <c:v>1.1200000000000001</c:v>
                </c:pt>
                <c:pt idx="86">
                  <c:v>1.1299999999999999</c:v>
                </c:pt>
                <c:pt idx="87">
                  <c:v>1.1399999999999999</c:v>
                </c:pt>
                <c:pt idx="88">
                  <c:v>1.1499999999999999</c:v>
                </c:pt>
                <c:pt idx="89">
                  <c:v>1.1599999999999999</c:v>
                </c:pt>
                <c:pt idx="90">
                  <c:v>1.17</c:v>
                </c:pt>
                <c:pt idx="91">
                  <c:v>1.18</c:v>
                </c:pt>
                <c:pt idx="92">
                  <c:v>1.19</c:v>
                </c:pt>
                <c:pt idx="93">
                  <c:v>1.2</c:v>
                </c:pt>
                <c:pt idx="94">
                  <c:v>1.21</c:v>
                </c:pt>
                <c:pt idx="95">
                  <c:v>1.22</c:v>
                </c:pt>
                <c:pt idx="96">
                  <c:v>1.23</c:v>
                </c:pt>
                <c:pt idx="97">
                  <c:v>1.24</c:v>
                </c:pt>
                <c:pt idx="98">
                  <c:v>1.25</c:v>
                </c:pt>
                <c:pt idx="99">
                  <c:v>1.26</c:v>
                </c:pt>
                <c:pt idx="100">
                  <c:v>1.27</c:v>
                </c:pt>
                <c:pt idx="101">
                  <c:v>1.28</c:v>
                </c:pt>
                <c:pt idx="102">
                  <c:v>1.29</c:v>
                </c:pt>
                <c:pt idx="103">
                  <c:v>1.3</c:v>
                </c:pt>
                <c:pt idx="104">
                  <c:v>1.31</c:v>
                </c:pt>
                <c:pt idx="105">
                  <c:v>1.32</c:v>
                </c:pt>
                <c:pt idx="106">
                  <c:v>1.33</c:v>
                </c:pt>
                <c:pt idx="107">
                  <c:v>1.34</c:v>
                </c:pt>
                <c:pt idx="108">
                  <c:v>1.35</c:v>
                </c:pt>
                <c:pt idx="109">
                  <c:v>1.36</c:v>
                </c:pt>
                <c:pt idx="110">
                  <c:v>1.37</c:v>
                </c:pt>
                <c:pt idx="111">
                  <c:v>1.38</c:v>
                </c:pt>
                <c:pt idx="112">
                  <c:v>1.39</c:v>
                </c:pt>
                <c:pt idx="113">
                  <c:v>1.4</c:v>
                </c:pt>
                <c:pt idx="114">
                  <c:v>1.41</c:v>
                </c:pt>
                <c:pt idx="115">
                  <c:v>1.42</c:v>
                </c:pt>
                <c:pt idx="116">
                  <c:v>1.43</c:v>
                </c:pt>
                <c:pt idx="117">
                  <c:v>1.44</c:v>
                </c:pt>
                <c:pt idx="118">
                  <c:v>1.45</c:v>
                </c:pt>
                <c:pt idx="119">
                  <c:v>1.46</c:v>
                </c:pt>
                <c:pt idx="120">
                  <c:v>1.47</c:v>
                </c:pt>
                <c:pt idx="121">
                  <c:v>1.48</c:v>
                </c:pt>
                <c:pt idx="122">
                  <c:v>1.49</c:v>
                </c:pt>
                <c:pt idx="123">
                  <c:v>1.5</c:v>
                </c:pt>
                <c:pt idx="124">
                  <c:v>1.51</c:v>
                </c:pt>
                <c:pt idx="125">
                  <c:v>1.52</c:v>
                </c:pt>
                <c:pt idx="126">
                  <c:v>1.53</c:v>
                </c:pt>
                <c:pt idx="127">
                  <c:v>1.54</c:v>
                </c:pt>
                <c:pt idx="128">
                  <c:v>1.55</c:v>
                </c:pt>
                <c:pt idx="129">
                  <c:v>1.56</c:v>
                </c:pt>
                <c:pt idx="130">
                  <c:v>1.57</c:v>
                </c:pt>
                <c:pt idx="131">
                  <c:v>1.58</c:v>
                </c:pt>
                <c:pt idx="132">
                  <c:v>1.59</c:v>
                </c:pt>
                <c:pt idx="133">
                  <c:v>1.6</c:v>
                </c:pt>
              </c:numCache>
            </c:numRef>
          </c:xVal>
          <c:yVal>
            <c:numRef>
              <c:f>'11 - Climb RoC Calcs'!$AE$98:$AE$231</c:f>
              <c:numCache>
                <c:formatCode>General</c:formatCode>
                <c:ptCount val="134"/>
                <c:pt idx="0">
                  <c:v>4220.6638469067584</c:v>
                </c:pt>
                <c:pt idx="1">
                  <c:v>4900.5726287242896</c:v>
                </c:pt>
                <c:pt idx="2">
                  <c:v>5582.393827765296</c:v>
                </c:pt>
                <c:pt idx="3">
                  <c:v>6170.6122001235181</c:v>
                </c:pt>
                <c:pt idx="4">
                  <c:v>6797.3310650070398</c:v>
                </c:pt>
                <c:pt idx="5">
                  <c:v>7298.1252093557669</c:v>
                </c:pt>
                <c:pt idx="6">
                  <c:v>7820.0991307724653</c:v>
                </c:pt>
                <c:pt idx="7">
                  <c:v>8365.0061602755613</c:v>
                </c:pt>
                <c:pt idx="8">
                  <c:v>8786.9955020059242</c:v>
                </c:pt>
                <c:pt idx="9">
                  <c:v>9222.5782640910529</c:v>
                </c:pt>
                <c:pt idx="10">
                  <c:v>9672.0542986619239</c:v>
                </c:pt>
                <c:pt idx="11">
                  <c:v>10135.268609695413</c:v>
                </c:pt>
                <c:pt idx="12">
                  <c:v>10533.743469524194</c:v>
                </c:pt>
                <c:pt idx="13">
                  <c:v>10940.805750623103</c:v>
                </c:pt>
                <c:pt idx="14">
                  <c:v>11326.244146055598</c:v>
                </c:pt>
                <c:pt idx="15">
                  <c:v>11667.531365476883</c:v>
                </c:pt>
                <c:pt idx="16">
                  <c:v>12011.862167475063</c:v>
                </c:pt>
                <c:pt idx="17">
                  <c:v>12356.116339906686</c:v>
                </c:pt>
                <c:pt idx="18">
                  <c:v>12681.249752490459</c:v>
                </c:pt>
                <c:pt idx="19">
                  <c:v>13007.734638549056</c:v>
                </c:pt>
                <c:pt idx="20">
                  <c:v>13335.537009467273</c:v>
                </c:pt>
                <c:pt idx="21">
                  <c:v>13664.623413999314</c:v>
                </c:pt>
                <c:pt idx="22">
                  <c:v>13994.96093826879</c:v>
                </c:pt>
                <c:pt idx="23">
                  <c:v>14326.517205768734</c:v>
                </c:pt>
                <c:pt idx="24">
                  <c:v>14659.260377361576</c:v>
                </c:pt>
                <c:pt idx="25">
                  <c:v>14993.15915127916</c:v>
                </c:pt>
                <c:pt idx="26">
                  <c:v>15328.18276312275</c:v>
                </c:pt>
                <c:pt idx="27">
                  <c:v>15655.564368368456</c:v>
                </c:pt>
                <c:pt idx="28">
                  <c:v>15959.028122974745</c:v>
                </c:pt>
                <c:pt idx="29">
                  <c:v>16261.680439179128</c:v>
                </c:pt>
                <c:pt idx="30">
                  <c:v>16563.459116472353</c:v>
                </c:pt>
                <c:pt idx="31">
                  <c:v>16864.302491714581</c:v>
                </c:pt>
                <c:pt idx="32">
                  <c:v>17164.149439135388</c:v>
                </c:pt>
                <c:pt idx="33">
                  <c:v>17462.939370333748</c:v>
                </c:pt>
                <c:pt idx="34">
                  <c:v>17760.612234278058</c:v>
                </c:pt>
                <c:pt idx="35">
                  <c:v>18057.108517306118</c:v>
                </c:pt>
                <c:pt idx="36">
                  <c:v>18352.369243125144</c:v>
                </c:pt>
                <c:pt idx="37">
                  <c:v>18646.335972811754</c:v>
                </c:pt>
                <c:pt idx="38">
                  <c:v>18938.950804811979</c:v>
                </c:pt>
                <c:pt idx="39">
                  <c:v>19230.156374941263</c:v>
                </c:pt>
                <c:pt idx="40">
                  <c:v>19519.895856384461</c:v>
                </c:pt>
                <c:pt idx="41">
                  <c:v>19808.112959695838</c:v>
                </c:pt>
                <c:pt idx="42">
                  <c:v>20094.751932799067</c:v>
                </c:pt>
                <c:pt idx="43">
                  <c:v>20379.757560987233</c:v>
                </c:pt>
                <c:pt idx="44">
                  <c:v>20663.075166922834</c:v>
                </c:pt>
                <c:pt idx="45">
                  <c:v>20944.650610637767</c:v>
                </c:pt>
                <c:pt idx="46">
                  <c:v>21224.43028953336</c:v>
                </c:pt>
                <c:pt idx="47">
                  <c:v>21502.361138380329</c:v>
                </c:pt>
                <c:pt idx="48">
                  <c:v>21778.390629318816</c:v>
                </c:pt>
                <c:pt idx="49">
                  <c:v>22052.082480277339</c:v>
                </c:pt>
                <c:pt idx="50">
                  <c:v>22291.176113664464</c:v>
                </c:pt>
                <c:pt idx="51">
                  <c:v>22526.920984636276</c:v>
                </c:pt>
                <c:pt idx="52">
                  <c:v>22759.249922016494</c:v>
                </c:pt>
                <c:pt idx="53">
                  <c:v>22988.096291998212</c:v>
                </c:pt>
                <c:pt idx="54">
                  <c:v>23153.898136307471</c:v>
                </c:pt>
                <c:pt idx="55">
                  <c:v>23311.624024279208</c:v>
                </c:pt>
                <c:pt idx="56">
                  <c:v>23461.043693121068</c:v>
                </c:pt>
                <c:pt idx="57">
                  <c:v>23601.924730563082</c:v>
                </c:pt>
                <c:pt idx="58">
                  <c:v>23734.032574857603</c:v>
                </c:pt>
                <c:pt idx="59">
                  <c:v>23770.569391863246</c:v>
                </c:pt>
                <c:pt idx="60">
                  <c:v>23791.800420925374</c:v>
                </c:pt>
                <c:pt idx="61">
                  <c:v>23797.274271739276</c:v>
                </c:pt>
                <c:pt idx="62">
                  <c:v>23786.534180306127</c:v>
                </c:pt>
                <c:pt idx="63">
                  <c:v>23759.118008933023</c:v>
                </c:pt>
                <c:pt idx="64">
                  <c:v>23670.611610738841</c:v>
                </c:pt>
                <c:pt idx="65">
                  <c:v>23561.638052808947</c:v>
                </c:pt>
                <c:pt idx="66">
                  <c:v>23206.503022428635</c:v>
                </c:pt>
                <c:pt idx="67">
                  <c:v>22815.071384858678</c:v>
                </c:pt>
                <c:pt idx="68">
                  <c:v>21426.437072793389</c:v>
                </c:pt>
                <c:pt idx="69">
                  <c:v>19938.114475428742</c:v>
                </c:pt>
                <c:pt idx="70">
                  <c:v>15534.121931825021</c:v>
                </c:pt>
                <c:pt idx="71">
                  <c:v>10848.695780368766</c:v>
                </c:pt>
                <c:pt idx="72">
                  <c:v>8314.2101365376584</c:v>
                </c:pt>
                <c:pt idx="73">
                  <c:v>5630.6794048860766</c:v>
                </c:pt>
                <c:pt idx="74">
                  <c:v>3944.056203967928</c:v>
                </c:pt>
                <c:pt idx="75">
                  <c:v>2169.0213859430423</c:v>
                </c:pt>
                <c:pt idx="76">
                  <c:v>605.80104660457914</c:v>
                </c:pt>
                <c:pt idx="77">
                  <c:v>-1032.487626518672</c:v>
                </c:pt>
                <c:pt idx="78">
                  <c:v>-2430.4431061874216</c:v>
                </c:pt>
                <c:pt idx="79">
                  <c:v>-3888.5392271674164</c:v>
                </c:pt>
                <c:pt idx="80">
                  <c:v>-5411.5475985734311</c:v>
                </c:pt>
                <c:pt idx="81">
                  <c:v>-6997.4010817456428</c:v>
                </c:pt>
                <c:pt idx="82">
                  <c:v>-8502.4587062055452</c:v>
                </c:pt>
                <c:pt idx="83">
                  <c:v>-10065.00095865931</c:v>
                </c:pt>
                <c:pt idx="84">
                  <c:v>-11531.629056352929</c:v>
                </c:pt>
                <c:pt idx="85">
                  <c:v>-13049.666264708678</c:v>
                </c:pt>
                <c:pt idx="86">
                  <c:v>-14620.053651906392</c:v>
                </c:pt>
                <c:pt idx="87">
                  <c:v>-16243.740346667269</c:v>
                </c:pt>
                <c:pt idx="88">
                  <c:v>-17921.683538253419</c:v>
                </c:pt>
                <c:pt idx="89">
                  <c:v>-19544.002364652635</c:v>
                </c:pt>
                <c:pt idx="90">
                  <c:v>-21216.942801292134</c:v>
                </c:pt>
                <c:pt idx="91">
                  <c:v>-22941.344756560386</c:v>
                </c:pt>
                <c:pt idx="92">
                  <c:v>-24718.054587278672</c:v>
                </c:pt>
                <c:pt idx="93">
                  <c:v>-26547.925098701231</c:v>
                </c:pt>
                <c:pt idx="94">
                  <c:v>-28209.741929519791</c:v>
                </c:pt>
                <c:pt idx="95">
                  <c:v>-29915.47211737981</c:v>
                </c:pt>
                <c:pt idx="96">
                  <c:v>-31665.717381678562</c:v>
                </c:pt>
                <c:pt idx="97">
                  <c:v>-33461.082934714461</c:v>
                </c:pt>
                <c:pt idx="98">
                  <c:v>-35302.177481687097</c:v>
                </c:pt>
                <c:pt idx="99">
                  <c:v>-37189.61322069724</c:v>
                </c:pt>
                <c:pt idx="100">
                  <c:v>-39124.00584274681</c:v>
                </c:pt>
                <c:pt idx="101">
                  <c:v>-41105.974531738888</c:v>
                </c:pt>
                <c:pt idx="102">
                  <c:v>-43136.141964477792</c:v>
                </c:pt>
                <c:pt idx="103">
                  <c:v>-45215.134310668916</c:v>
                </c:pt>
                <c:pt idx="104">
                  <c:v>-47192.57431602852</c:v>
                </c:pt>
                <c:pt idx="105">
                  <c:v>-49213.132774729274</c:v>
                </c:pt>
                <c:pt idx="106">
                  <c:v>-51277.286736465277</c:v>
                </c:pt>
                <c:pt idx="107">
                  <c:v>-53385.5151317235</c:v>
                </c:pt>
                <c:pt idx="108">
                  <c:v>-55538.298771783877</c:v>
                </c:pt>
                <c:pt idx="109">
                  <c:v>-57736.120348719225</c:v>
                </c:pt>
                <c:pt idx="110">
                  <c:v>-59979.464435395421</c:v>
                </c:pt>
                <c:pt idx="111">
                  <c:v>-62268.817485471103</c:v>
                </c:pt>
                <c:pt idx="112">
                  <c:v>-64604.667833398031</c:v>
                </c:pt>
                <c:pt idx="113">
                  <c:v>-66987.505694420819</c:v>
                </c:pt>
                <c:pt idx="114">
                  <c:v>-69198.14490392484</c:v>
                </c:pt>
                <c:pt idx="115">
                  <c:v>-71447.343233617372</c:v>
                </c:pt>
                <c:pt idx="116">
                  <c:v>-73735.396236674133</c:v>
                </c:pt>
                <c:pt idx="117">
                  <c:v>-76062.599466270869</c:v>
                </c:pt>
                <c:pt idx="118">
                  <c:v>-78429.248475583168</c:v>
                </c:pt>
                <c:pt idx="119">
                  <c:v>-80835.638817786807</c:v>
                </c:pt>
                <c:pt idx="120">
                  <c:v>-83282.066046057487</c:v>
                </c:pt>
                <c:pt idx="121">
                  <c:v>-85768.825713570914</c:v>
                </c:pt>
                <c:pt idx="122">
                  <c:v>-88296.213373502789</c:v>
                </c:pt>
                <c:pt idx="123">
                  <c:v>-90864.524579028759</c:v>
                </c:pt>
                <c:pt idx="124">
                  <c:v>-93474.054883324628</c:v>
                </c:pt>
                <c:pt idx="125">
                  <c:v>-96125.099839565926</c:v>
                </c:pt>
                <c:pt idx="126">
                  <c:v>-98817.955000928574</c:v>
                </c:pt>
                <c:pt idx="127">
                  <c:v>-101552.91592058813</c:v>
                </c:pt>
                <c:pt idx="128">
                  <c:v>-104330.27815172034</c:v>
                </c:pt>
                <c:pt idx="129">
                  <c:v>-107150.33724750088</c:v>
                </c:pt>
                <c:pt idx="130">
                  <c:v>-110013.3887611055</c:v>
                </c:pt>
                <c:pt idx="131">
                  <c:v>-112919.72824570989</c:v>
                </c:pt>
                <c:pt idx="132">
                  <c:v>-115869.65125448968</c:v>
                </c:pt>
                <c:pt idx="133">
                  <c:v>-118863.45334062069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B12-45B7-8702-50A1A245C030}"/>
            </c:ext>
          </c:extLst>
        </c:ser>
        <c:ser>
          <c:idx val="3"/>
          <c:order val="3"/>
          <c:tx>
            <c:v>15,000 ft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'11 - Climb RoC Calcs'!$AG$101:$AG$231</c:f>
              <c:numCache>
                <c:formatCode>General</c:formatCode>
                <c:ptCount val="131"/>
                <c:pt idx="0">
                  <c:v>0.3</c:v>
                </c:pt>
                <c:pt idx="1">
                  <c:v>0.31</c:v>
                </c:pt>
                <c:pt idx="2">
                  <c:v>0.32</c:v>
                </c:pt>
                <c:pt idx="3">
                  <c:v>0.33</c:v>
                </c:pt>
                <c:pt idx="4">
                  <c:v>0.34</c:v>
                </c:pt>
                <c:pt idx="5">
                  <c:v>0.35</c:v>
                </c:pt>
                <c:pt idx="6">
                  <c:v>0.36</c:v>
                </c:pt>
                <c:pt idx="7">
                  <c:v>0.37</c:v>
                </c:pt>
                <c:pt idx="8">
                  <c:v>0.38</c:v>
                </c:pt>
                <c:pt idx="9">
                  <c:v>0.39</c:v>
                </c:pt>
                <c:pt idx="10">
                  <c:v>0.4</c:v>
                </c:pt>
                <c:pt idx="11">
                  <c:v>0.41</c:v>
                </c:pt>
                <c:pt idx="12">
                  <c:v>0.42</c:v>
                </c:pt>
                <c:pt idx="13">
                  <c:v>0.43</c:v>
                </c:pt>
                <c:pt idx="14">
                  <c:v>0.44</c:v>
                </c:pt>
                <c:pt idx="15">
                  <c:v>0.45</c:v>
                </c:pt>
                <c:pt idx="16">
                  <c:v>0.46</c:v>
                </c:pt>
                <c:pt idx="17">
                  <c:v>0.47</c:v>
                </c:pt>
                <c:pt idx="18">
                  <c:v>0.48</c:v>
                </c:pt>
                <c:pt idx="19">
                  <c:v>0.49</c:v>
                </c:pt>
                <c:pt idx="20">
                  <c:v>0.5</c:v>
                </c:pt>
                <c:pt idx="21">
                  <c:v>0.51</c:v>
                </c:pt>
                <c:pt idx="22">
                  <c:v>0.52</c:v>
                </c:pt>
                <c:pt idx="23">
                  <c:v>0.53</c:v>
                </c:pt>
                <c:pt idx="24">
                  <c:v>0.54</c:v>
                </c:pt>
                <c:pt idx="25">
                  <c:v>0.55000000000000004</c:v>
                </c:pt>
                <c:pt idx="26">
                  <c:v>0.56000000000000005</c:v>
                </c:pt>
                <c:pt idx="27">
                  <c:v>0.56999999999999995</c:v>
                </c:pt>
                <c:pt idx="28">
                  <c:v>0.57999999999999996</c:v>
                </c:pt>
                <c:pt idx="29">
                  <c:v>0.59</c:v>
                </c:pt>
                <c:pt idx="30">
                  <c:v>0.6</c:v>
                </c:pt>
                <c:pt idx="31">
                  <c:v>0.61</c:v>
                </c:pt>
                <c:pt idx="32">
                  <c:v>0.62</c:v>
                </c:pt>
                <c:pt idx="33">
                  <c:v>0.63</c:v>
                </c:pt>
                <c:pt idx="34">
                  <c:v>0.64</c:v>
                </c:pt>
                <c:pt idx="35">
                  <c:v>0.65</c:v>
                </c:pt>
                <c:pt idx="36">
                  <c:v>0.66</c:v>
                </c:pt>
                <c:pt idx="37">
                  <c:v>0.67</c:v>
                </c:pt>
                <c:pt idx="38">
                  <c:v>0.68</c:v>
                </c:pt>
                <c:pt idx="39">
                  <c:v>0.69</c:v>
                </c:pt>
                <c:pt idx="40">
                  <c:v>0.7</c:v>
                </c:pt>
                <c:pt idx="41">
                  <c:v>0.71</c:v>
                </c:pt>
                <c:pt idx="42">
                  <c:v>0.72</c:v>
                </c:pt>
                <c:pt idx="43">
                  <c:v>0.73</c:v>
                </c:pt>
                <c:pt idx="44">
                  <c:v>0.74</c:v>
                </c:pt>
                <c:pt idx="45">
                  <c:v>0.75</c:v>
                </c:pt>
                <c:pt idx="46">
                  <c:v>0.76</c:v>
                </c:pt>
                <c:pt idx="47">
                  <c:v>0.77</c:v>
                </c:pt>
                <c:pt idx="48">
                  <c:v>0.78</c:v>
                </c:pt>
                <c:pt idx="49">
                  <c:v>0.79</c:v>
                </c:pt>
                <c:pt idx="50">
                  <c:v>0.8</c:v>
                </c:pt>
                <c:pt idx="51">
                  <c:v>0.81</c:v>
                </c:pt>
                <c:pt idx="52">
                  <c:v>0.82</c:v>
                </c:pt>
                <c:pt idx="53">
                  <c:v>0.83</c:v>
                </c:pt>
                <c:pt idx="54">
                  <c:v>0.84</c:v>
                </c:pt>
                <c:pt idx="55">
                  <c:v>0.85</c:v>
                </c:pt>
                <c:pt idx="56">
                  <c:v>0.86</c:v>
                </c:pt>
                <c:pt idx="57">
                  <c:v>0.87</c:v>
                </c:pt>
                <c:pt idx="58">
                  <c:v>0.88</c:v>
                </c:pt>
                <c:pt idx="59">
                  <c:v>0.89</c:v>
                </c:pt>
                <c:pt idx="60">
                  <c:v>0.9</c:v>
                </c:pt>
                <c:pt idx="61">
                  <c:v>0.91</c:v>
                </c:pt>
                <c:pt idx="62">
                  <c:v>0.92</c:v>
                </c:pt>
                <c:pt idx="63">
                  <c:v>0.93</c:v>
                </c:pt>
                <c:pt idx="64">
                  <c:v>0.94</c:v>
                </c:pt>
                <c:pt idx="65">
                  <c:v>0.95</c:v>
                </c:pt>
                <c:pt idx="66">
                  <c:v>0.96</c:v>
                </c:pt>
                <c:pt idx="67">
                  <c:v>0.97</c:v>
                </c:pt>
                <c:pt idx="68">
                  <c:v>0.98</c:v>
                </c:pt>
                <c:pt idx="69">
                  <c:v>0.99</c:v>
                </c:pt>
                <c:pt idx="70">
                  <c:v>1</c:v>
                </c:pt>
                <c:pt idx="71">
                  <c:v>1.01</c:v>
                </c:pt>
                <c:pt idx="72">
                  <c:v>1.02</c:v>
                </c:pt>
                <c:pt idx="73">
                  <c:v>1.03</c:v>
                </c:pt>
                <c:pt idx="74">
                  <c:v>1.04</c:v>
                </c:pt>
                <c:pt idx="75">
                  <c:v>1.05</c:v>
                </c:pt>
                <c:pt idx="76">
                  <c:v>1.06</c:v>
                </c:pt>
                <c:pt idx="77">
                  <c:v>1.07</c:v>
                </c:pt>
                <c:pt idx="78">
                  <c:v>1.08</c:v>
                </c:pt>
                <c:pt idx="79">
                  <c:v>1.0900000000000001</c:v>
                </c:pt>
                <c:pt idx="80">
                  <c:v>1.1000000000000001</c:v>
                </c:pt>
                <c:pt idx="81">
                  <c:v>1.1100000000000001</c:v>
                </c:pt>
                <c:pt idx="82">
                  <c:v>1.1200000000000001</c:v>
                </c:pt>
                <c:pt idx="83">
                  <c:v>1.1299999999999999</c:v>
                </c:pt>
                <c:pt idx="84">
                  <c:v>1.1399999999999999</c:v>
                </c:pt>
                <c:pt idx="85">
                  <c:v>1.1499999999999999</c:v>
                </c:pt>
                <c:pt idx="86">
                  <c:v>1.1599999999999999</c:v>
                </c:pt>
                <c:pt idx="87">
                  <c:v>1.17</c:v>
                </c:pt>
                <c:pt idx="88">
                  <c:v>1.18</c:v>
                </c:pt>
                <c:pt idx="89">
                  <c:v>1.19</c:v>
                </c:pt>
                <c:pt idx="90">
                  <c:v>1.2</c:v>
                </c:pt>
                <c:pt idx="91">
                  <c:v>1.21</c:v>
                </c:pt>
                <c:pt idx="92">
                  <c:v>1.22</c:v>
                </c:pt>
                <c:pt idx="93">
                  <c:v>1.23</c:v>
                </c:pt>
                <c:pt idx="94">
                  <c:v>1.24</c:v>
                </c:pt>
                <c:pt idx="95">
                  <c:v>1.25</c:v>
                </c:pt>
                <c:pt idx="96">
                  <c:v>1.26</c:v>
                </c:pt>
                <c:pt idx="97">
                  <c:v>1.27</c:v>
                </c:pt>
                <c:pt idx="98">
                  <c:v>1.28</c:v>
                </c:pt>
                <c:pt idx="99">
                  <c:v>1.29</c:v>
                </c:pt>
                <c:pt idx="100">
                  <c:v>1.3</c:v>
                </c:pt>
                <c:pt idx="101">
                  <c:v>1.31</c:v>
                </c:pt>
                <c:pt idx="102">
                  <c:v>1.32</c:v>
                </c:pt>
                <c:pt idx="103">
                  <c:v>1.33</c:v>
                </c:pt>
                <c:pt idx="104">
                  <c:v>1.34</c:v>
                </c:pt>
                <c:pt idx="105">
                  <c:v>1.35</c:v>
                </c:pt>
                <c:pt idx="106">
                  <c:v>1.36</c:v>
                </c:pt>
                <c:pt idx="107">
                  <c:v>1.37</c:v>
                </c:pt>
                <c:pt idx="108">
                  <c:v>1.38</c:v>
                </c:pt>
                <c:pt idx="109">
                  <c:v>1.39</c:v>
                </c:pt>
                <c:pt idx="110">
                  <c:v>1.4</c:v>
                </c:pt>
                <c:pt idx="111">
                  <c:v>1.41</c:v>
                </c:pt>
                <c:pt idx="112">
                  <c:v>1.42</c:v>
                </c:pt>
                <c:pt idx="113">
                  <c:v>1.43</c:v>
                </c:pt>
                <c:pt idx="114">
                  <c:v>1.44</c:v>
                </c:pt>
                <c:pt idx="115">
                  <c:v>1.45</c:v>
                </c:pt>
                <c:pt idx="116">
                  <c:v>1.46</c:v>
                </c:pt>
                <c:pt idx="117">
                  <c:v>1.47</c:v>
                </c:pt>
                <c:pt idx="118">
                  <c:v>1.48</c:v>
                </c:pt>
                <c:pt idx="119">
                  <c:v>1.49</c:v>
                </c:pt>
                <c:pt idx="120">
                  <c:v>1.5</c:v>
                </c:pt>
                <c:pt idx="121">
                  <c:v>1.51</c:v>
                </c:pt>
                <c:pt idx="122">
                  <c:v>1.52</c:v>
                </c:pt>
                <c:pt idx="123">
                  <c:v>1.53</c:v>
                </c:pt>
                <c:pt idx="124">
                  <c:v>1.54</c:v>
                </c:pt>
                <c:pt idx="125">
                  <c:v>1.55</c:v>
                </c:pt>
                <c:pt idx="126">
                  <c:v>1.56</c:v>
                </c:pt>
                <c:pt idx="127">
                  <c:v>1.57</c:v>
                </c:pt>
                <c:pt idx="128">
                  <c:v>1.58</c:v>
                </c:pt>
                <c:pt idx="129">
                  <c:v>1.59</c:v>
                </c:pt>
                <c:pt idx="130">
                  <c:v>1.6</c:v>
                </c:pt>
              </c:numCache>
            </c:numRef>
          </c:xVal>
          <c:yVal>
            <c:numRef>
              <c:f>'11 - Climb RoC Calcs'!$AM$101:$AM$231</c:f>
              <c:numCache>
                <c:formatCode>General</c:formatCode>
                <c:ptCount val="131"/>
                <c:pt idx="0">
                  <c:v>3617.9445650388943</c:v>
                </c:pt>
                <c:pt idx="1">
                  <c:v>4258.3755625399999</c:v>
                </c:pt>
                <c:pt idx="2">
                  <c:v>4892.910235631427</c:v>
                </c:pt>
                <c:pt idx="3">
                  <c:v>5434.5670575721542</c:v>
                </c:pt>
                <c:pt idx="4">
                  <c:v>6010.5000091799302</c:v>
                </c:pt>
                <c:pt idx="5">
                  <c:v>6497.9647563988456</c:v>
                </c:pt>
                <c:pt idx="6">
                  <c:v>6968.9311056513416</c:v>
                </c:pt>
                <c:pt idx="7">
                  <c:v>7462.4170484811348</c:v>
                </c:pt>
                <c:pt idx="8">
                  <c:v>7908.5209431066542</c:v>
                </c:pt>
                <c:pt idx="9">
                  <c:v>8295.2102100293741</c:v>
                </c:pt>
                <c:pt idx="10">
                  <c:v>8694.2405886185497</c:v>
                </c:pt>
                <c:pt idx="11">
                  <c:v>9105.8552891987474</c:v>
                </c:pt>
                <c:pt idx="12">
                  <c:v>9525.9023748003474</c:v>
                </c:pt>
                <c:pt idx="13">
                  <c:v>9885.2143762507112</c:v>
                </c:pt>
                <c:pt idx="14">
                  <c:v>10252.330123797181</c:v>
                </c:pt>
                <c:pt idx="15">
                  <c:v>10614.825605733839</c:v>
                </c:pt>
                <c:pt idx="16">
                  <c:v>10917.70602681325</c:v>
                </c:pt>
                <c:pt idx="17">
                  <c:v>11223.47259590698</c:v>
                </c:pt>
                <c:pt idx="18">
                  <c:v>11532.128802131112</c:v>
                </c:pt>
                <c:pt idx="19">
                  <c:v>11829.879320040745</c:v>
                </c:pt>
                <c:pt idx="20">
                  <c:v>12118.942002780221</c:v>
                </c:pt>
                <c:pt idx="21">
                  <c:v>12409.385969650739</c:v>
                </c:pt>
                <c:pt idx="22">
                  <c:v>12701.186012464741</c:v>
                </c:pt>
                <c:pt idx="23">
                  <c:v>12994.317355793251</c:v>
                </c:pt>
                <c:pt idx="24">
                  <c:v>13288.755656965888</c:v>
                </c:pt>
                <c:pt idx="25">
                  <c:v>13584.477006070849</c:v>
                </c:pt>
                <c:pt idx="26">
                  <c:v>13881.457925954914</c:v>
                </c:pt>
                <c:pt idx="27">
                  <c:v>14179.675372223452</c:v>
                </c:pt>
                <c:pt idx="28">
                  <c:v>14479.10673324042</c:v>
                </c:pt>
                <c:pt idx="29">
                  <c:v>14779.729830128354</c:v>
                </c:pt>
                <c:pt idx="30">
                  <c:v>15059.399244562561</c:v>
                </c:pt>
                <c:pt idx="31">
                  <c:v>15328.699455627788</c:v>
                </c:pt>
                <c:pt idx="32">
                  <c:v>15597.47757037914</c:v>
                </c:pt>
                <c:pt idx="33">
                  <c:v>15865.686093561953</c:v>
                </c:pt>
                <c:pt idx="34">
                  <c:v>16133.277962680149</c:v>
                </c:pt>
                <c:pt idx="35">
                  <c:v>16400.206547996222</c:v>
                </c:pt>
                <c:pt idx="36">
                  <c:v>16666.425652531274</c:v>
                </c:pt>
                <c:pt idx="37">
                  <c:v>16931.889512064969</c:v>
                </c:pt>
                <c:pt idx="38">
                  <c:v>17196.552795135569</c:v>
                </c:pt>
                <c:pt idx="39">
                  <c:v>17460.370603039926</c:v>
                </c:pt>
                <c:pt idx="40">
                  <c:v>17723.298469833451</c:v>
                </c:pt>
                <c:pt idx="41">
                  <c:v>17985.292362330169</c:v>
                </c:pt>
                <c:pt idx="42">
                  <c:v>18246.308680102669</c:v>
                </c:pt>
                <c:pt idx="43">
                  <c:v>18506.30425548214</c:v>
                </c:pt>
                <c:pt idx="44">
                  <c:v>18765.236353558339</c:v>
                </c:pt>
                <c:pt idx="45">
                  <c:v>19023.062672179633</c:v>
                </c:pt>
                <c:pt idx="46">
                  <c:v>19279.741341952948</c:v>
                </c:pt>
                <c:pt idx="47">
                  <c:v>19535.230926243796</c:v>
                </c:pt>
                <c:pt idx="48">
                  <c:v>19789.490421176284</c:v>
                </c:pt>
                <c:pt idx="49">
                  <c:v>20042.479255633123</c:v>
                </c:pt>
                <c:pt idx="50">
                  <c:v>20294.15729125556</c:v>
                </c:pt>
                <c:pt idx="51">
                  <c:v>20496.571144322188</c:v>
                </c:pt>
                <c:pt idx="52">
                  <c:v>20694.002061647643</c:v>
                </c:pt>
                <c:pt idx="53">
                  <c:v>20886.278129884169</c:v>
                </c:pt>
                <c:pt idx="54">
                  <c:v>21069.51635439416</c:v>
                </c:pt>
                <c:pt idx="55">
                  <c:v>21218.537895775924</c:v>
                </c:pt>
                <c:pt idx="56">
                  <c:v>21290.823124579401</c:v>
                </c:pt>
                <c:pt idx="57">
                  <c:v>21351.203060338088</c:v>
                </c:pt>
                <c:pt idx="58">
                  <c:v>21399.314185840882</c:v>
                </c:pt>
                <c:pt idx="59">
                  <c:v>21434.788656290839</c:v>
                </c:pt>
                <c:pt idx="60">
                  <c:v>21457.254299305147</c:v>
                </c:pt>
                <c:pt idx="61">
                  <c:v>21430.632491991437</c:v>
                </c:pt>
                <c:pt idx="62">
                  <c:v>21387.941966941038</c:v>
                </c:pt>
                <c:pt idx="63">
                  <c:v>21147.424794788472</c:v>
                </c:pt>
                <c:pt idx="64">
                  <c:v>20878.091009050098</c:v>
                </c:pt>
                <c:pt idx="65">
                  <c:v>19806.096133950447</c:v>
                </c:pt>
                <c:pt idx="66">
                  <c:v>18654.233557563079</c:v>
                </c:pt>
                <c:pt idx="67">
                  <c:v>15154.162727428653</c:v>
                </c:pt>
                <c:pt idx="68">
                  <c:v>11427.848235193262</c:v>
                </c:pt>
                <c:pt idx="69">
                  <c:v>9433.5855417129987</c:v>
                </c:pt>
                <c:pt idx="70">
                  <c:v>7319.6839765175655</c:v>
                </c:pt>
                <c:pt idx="71">
                  <c:v>6008.4364838987658</c:v>
                </c:pt>
                <c:pt idx="72">
                  <c:v>4626.3685659849934</c:v>
                </c:pt>
                <c:pt idx="73">
                  <c:v>3414.6746134002174</c:v>
                </c:pt>
                <c:pt idx="74">
                  <c:v>2142.8945741213129</c:v>
                </c:pt>
                <c:pt idx="75">
                  <c:v>1063.8352136074577</c:v>
                </c:pt>
                <c:pt idx="76">
                  <c:v>-63.311305969261284</c:v>
                </c:pt>
                <c:pt idx="77">
                  <c:v>-1242.9965182776202</c:v>
                </c:pt>
                <c:pt idx="78">
                  <c:v>-2472.9582550721252</c:v>
                </c:pt>
                <c:pt idx="79">
                  <c:v>-3637.5184336745233</c:v>
                </c:pt>
                <c:pt idx="80">
                  <c:v>-4848.0381895651444</c:v>
                </c:pt>
                <c:pt idx="81">
                  <c:v>-5980.7285681179983</c:v>
                </c:pt>
                <c:pt idx="82">
                  <c:v>-7154.4811883258644</c:v>
                </c:pt>
                <c:pt idx="83">
                  <c:v>-8370.0539186601018</c:v>
                </c:pt>
                <c:pt idx="84">
                  <c:v>-9628.2111189708739</c:v>
                </c:pt>
                <c:pt idx="85">
                  <c:v>-10929.723640487067</c:v>
                </c:pt>
                <c:pt idx="86">
                  <c:v>-12185.045305136284</c:v>
                </c:pt>
                <c:pt idx="87">
                  <c:v>-13480.776807560322</c:v>
                </c:pt>
                <c:pt idx="88">
                  <c:v>-14817.594549427011</c:v>
                </c:pt>
                <c:pt idx="89">
                  <c:v>-16196.180125507131</c:v>
                </c:pt>
                <c:pt idx="90">
                  <c:v>-17617.220323674534</c:v>
                </c:pt>
                <c:pt idx="91">
                  <c:v>-18901.876561630623</c:v>
                </c:pt>
                <c:pt idx="92">
                  <c:v>-20221.528913945323</c:v>
                </c:pt>
                <c:pt idx="93">
                  <c:v>-21576.661962043814</c:v>
                </c:pt>
                <c:pt idx="94">
                  <c:v>-22967.763100282016</c:v>
                </c:pt>
                <c:pt idx="95">
                  <c:v>-24395.3225359467</c:v>
                </c:pt>
                <c:pt idx="96">
                  <c:v>-25859.833289255421</c:v>
                </c:pt>
                <c:pt idx="97">
                  <c:v>-27361.791193356545</c:v>
                </c:pt>
                <c:pt idx="98">
                  <c:v>-28901.694894329226</c:v>
                </c:pt>
                <c:pt idx="99">
                  <c:v>-30480.045851183408</c:v>
                </c:pt>
                <c:pt idx="100">
                  <c:v>-32097.348335859853</c:v>
                </c:pt>
                <c:pt idx="101">
                  <c:v>-33632.499348316094</c:v>
                </c:pt>
                <c:pt idx="102">
                  <c:v>-35202.006316994593</c:v>
                </c:pt>
                <c:pt idx="103">
                  <c:v>-36806.253423328868</c:v>
                </c:pt>
                <c:pt idx="104">
                  <c:v>-38445.626363407559</c:v>
                </c:pt>
                <c:pt idx="105">
                  <c:v>-40120.512347974167</c:v>
                </c:pt>
                <c:pt idx="106">
                  <c:v>-41831.300102427434</c:v>
                </c:pt>
                <c:pt idx="107">
                  <c:v>-43578.379866821029</c:v>
                </c:pt>
                <c:pt idx="108">
                  <c:v>-45362.14339586367</c:v>
                </c:pt>
                <c:pt idx="109">
                  <c:v>-47182.983958919249</c:v>
                </c:pt>
                <c:pt idx="110">
                  <c:v>-49041.296340006513</c:v>
                </c:pt>
                <c:pt idx="111">
                  <c:v>-50760.563803073521</c:v>
                </c:pt>
                <c:pt idx="112">
                  <c:v>-52510.515464119737</c:v>
                </c:pt>
                <c:pt idx="113">
                  <c:v>-54291.38934036679</c:v>
                </c:pt>
                <c:pt idx="114">
                  <c:v>-56103.423449036207</c:v>
                </c:pt>
                <c:pt idx="115">
                  <c:v>-57946.855807349537</c:v>
                </c:pt>
                <c:pt idx="116">
                  <c:v>-59821.924432528329</c:v>
                </c:pt>
                <c:pt idx="117">
                  <c:v>-61728.867341794132</c:v>
                </c:pt>
                <c:pt idx="118">
                  <c:v>-63667.922552368545</c:v>
                </c:pt>
                <c:pt idx="119">
                  <c:v>-65639.328081473082</c:v>
                </c:pt>
                <c:pt idx="120">
                  <c:v>-67643.321946329306</c:v>
                </c:pt>
                <c:pt idx="121">
                  <c:v>-69680.142164158795</c:v>
                </c:pt>
                <c:pt idx="122">
                  <c:v>-71750.026752183068</c:v>
                </c:pt>
                <c:pt idx="123">
                  <c:v>-73853.213727623719</c:v>
                </c:pt>
                <c:pt idx="124">
                  <c:v>-75989.941107702223</c:v>
                </c:pt>
                <c:pt idx="125">
                  <c:v>-78160.446909640246</c:v>
                </c:pt>
                <c:pt idx="126">
                  <c:v>-80364.969150659264</c:v>
                </c:pt>
                <c:pt idx="127">
                  <c:v>-82603.745847980841</c:v>
                </c:pt>
                <c:pt idx="128">
                  <c:v>-84877.015018826554</c:v>
                </c:pt>
                <c:pt idx="129">
                  <c:v>-87185.014680417968</c:v>
                </c:pt>
                <c:pt idx="130">
                  <c:v>-89527.98284997663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9B12-45B7-8702-50A1A245C030}"/>
            </c:ext>
          </c:extLst>
        </c:ser>
        <c:ser>
          <c:idx val="4"/>
          <c:order val="4"/>
          <c:tx>
            <c:v>20,000 ft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'11 - Climb RoC Calcs'!$AO$104:$AO$231</c:f>
              <c:numCache>
                <c:formatCode>General</c:formatCode>
                <c:ptCount val="128"/>
                <c:pt idx="0">
                  <c:v>0.33</c:v>
                </c:pt>
                <c:pt idx="1">
                  <c:v>0.34</c:v>
                </c:pt>
                <c:pt idx="2">
                  <c:v>0.35</c:v>
                </c:pt>
                <c:pt idx="3">
                  <c:v>0.36</c:v>
                </c:pt>
                <c:pt idx="4">
                  <c:v>0.37</c:v>
                </c:pt>
                <c:pt idx="5">
                  <c:v>0.38</c:v>
                </c:pt>
                <c:pt idx="6">
                  <c:v>0.39</c:v>
                </c:pt>
                <c:pt idx="7">
                  <c:v>0.4</c:v>
                </c:pt>
                <c:pt idx="8">
                  <c:v>0.41</c:v>
                </c:pt>
                <c:pt idx="9">
                  <c:v>0.42</c:v>
                </c:pt>
                <c:pt idx="10">
                  <c:v>0.43</c:v>
                </c:pt>
                <c:pt idx="11">
                  <c:v>0.44</c:v>
                </c:pt>
                <c:pt idx="12">
                  <c:v>0.45</c:v>
                </c:pt>
                <c:pt idx="13">
                  <c:v>0.46</c:v>
                </c:pt>
                <c:pt idx="14">
                  <c:v>0.47</c:v>
                </c:pt>
                <c:pt idx="15">
                  <c:v>0.48</c:v>
                </c:pt>
                <c:pt idx="16">
                  <c:v>0.49</c:v>
                </c:pt>
                <c:pt idx="17">
                  <c:v>0.5</c:v>
                </c:pt>
                <c:pt idx="18">
                  <c:v>0.51</c:v>
                </c:pt>
                <c:pt idx="19">
                  <c:v>0.52</c:v>
                </c:pt>
                <c:pt idx="20">
                  <c:v>0.53</c:v>
                </c:pt>
                <c:pt idx="21">
                  <c:v>0.54</c:v>
                </c:pt>
                <c:pt idx="22">
                  <c:v>0.55000000000000004</c:v>
                </c:pt>
                <c:pt idx="23">
                  <c:v>0.56000000000000005</c:v>
                </c:pt>
                <c:pt idx="24">
                  <c:v>0.56999999999999995</c:v>
                </c:pt>
                <c:pt idx="25">
                  <c:v>0.57999999999999996</c:v>
                </c:pt>
                <c:pt idx="26">
                  <c:v>0.59</c:v>
                </c:pt>
                <c:pt idx="27">
                  <c:v>0.6</c:v>
                </c:pt>
                <c:pt idx="28">
                  <c:v>0.61</c:v>
                </c:pt>
                <c:pt idx="29">
                  <c:v>0.62</c:v>
                </c:pt>
                <c:pt idx="30">
                  <c:v>0.63</c:v>
                </c:pt>
                <c:pt idx="31">
                  <c:v>0.64</c:v>
                </c:pt>
                <c:pt idx="32">
                  <c:v>0.65</c:v>
                </c:pt>
                <c:pt idx="33">
                  <c:v>0.66</c:v>
                </c:pt>
                <c:pt idx="34">
                  <c:v>0.67</c:v>
                </c:pt>
                <c:pt idx="35">
                  <c:v>0.68</c:v>
                </c:pt>
                <c:pt idx="36">
                  <c:v>0.69</c:v>
                </c:pt>
                <c:pt idx="37">
                  <c:v>0.7</c:v>
                </c:pt>
                <c:pt idx="38">
                  <c:v>0.71</c:v>
                </c:pt>
                <c:pt idx="39">
                  <c:v>0.72</c:v>
                </c:pt>
                <c:pt idx="40">
                  <c:v>0.73</c:v>
                </c:pt>
                <c:pt idx="41">
                  <c:v>0.74</c:v>
                </c:pt>
                <c:pt idx="42">
                  <c:v>0.75</c:v>
                </c:pt>
                <c:pt idx="43">
                  <c:v>0.76</c:v>
                </c:pt>
                <c:pt idx="44">
                  <c:v>0.77</c:v>
                </c:pt>
                <c:pt idx="45">
                  <c:v>0.78</c:v>
                </c:pt>
                <c:pt idx="46">
                  <c:v>0.79</c:v>
                </c:pt>
                <c:pt idx="47">
                  <c:v>0.8</c:v>
                </c:pt>
                <c:pt idx="48">
                  <c:v>0.81</c:v>
                </c:pt>
                <c:pt idx="49">
                  <c:v>0.82</c:v>
                </c:pt>
                <c:pt idx="50">
                  <c:v>0.83</c:v>
                </c:pt>
                <c:pt idx="51">
                  <c:v>0.84</c:v>
                </c:pt>
                <c:pt idx="52">
                  <c:v>0.85</c:v>
                </c:pt>
                <c:pt idx="53">
                  <c:v>0.86</c:v>
                </c:pt>
                <c:pt idx="54">
                  <c:v>0.87</c:v>
                </c:pt>
                <c:pt idx="55">
                  <c:v>0.88</c:v>
                </c:pt>
                <c:pt idx="56">
                  <c:v>0.89</c:v>
                </c:pt>
                <c:pt idx="57">
                  <c:v>0.9</c:v>
                </c:pt>
                <c:pt idx="58">
                  <c:v>0.91</c:v>
                </c:pt>
                <c:pt idx="59">
                  <c:v>0.92</c:v>
                </c:pt>
                <c:pt idx="60">
                  <c:v>0.93</c:v>
                </c:pt>
                <c:pt idx="61">
                  <c:v>0.94</c:v>
                </c:pt>
                <c:pt idx="62">
                  <c:v>0.95</c:v>
                </c:pt>
                <c:pt idx="63">
                  <c:v>0.96</c:v>
                </c:pt>
                <c:pt idx="64">
                  <c:v>0.97</c:v>
                </c:pt>
                <c:pt idx="65">
                  <c:v>0.98</c:v>
                </c:pt>
                <c:pt idx="66">
                  <c:v>0.99</c:v>
                </c:pt>
                <c:pt idx="67">
                  <c:v>1</c:v>
                </c:pt>
                <c:pt idx="68">
                  <c:v>1.01</c:v>
                </c:pt>
                <c:pt idx="69">
                  <c:v>1.02</c:v>
                </c:pt>
                <c:pt idx="70">
                  <c:v>1.03</c:v>
                </c:pt>
                <c:pt idx="71">
                  <c:v>1.04</c:v>
                </c:pt>
                <c:pt idx="72">
                  <c:v>1.05</c:v>
                </c:pt>
                <c:pt idx="73">
                  <c:v>1.06</c:v>
                </c:pt>
                <c:pt idx="74">
                  <c:v>1.07</c:v>
                </c:pt>
                <c:pt idx="75">
                  <c:v>1.08</c:v>
                </c:pt>
                <c:pt idx="76">
                  <c:v>1.0900000000000001</c:v>
                </c:pt>
                <c:pt idx="77">
                  <c:v>1.1000000000000001</c:v>
                </c:pt>
                <c:pt idx="78">
                  <c:v>1.1100000000000001</c:v>
                </c:pt>
                <c:pt idx="79">
                  <c:v>1.1200000000000001</c:v>
                </c:pt>
                <c:pt idx="80">
                  <c:v>1.1299999999999999</c:v>
                </c:pt>
                <c:pt idx="81">
                  <c:v>1.1399999999999999</c:v>
                </c:pt>
                <c:pt idx="82">
                  <c:v>1.1499999999999999</c:v>
                </c:pt>
                <c:pt idx="83">
                  <c:v>1.1599999999999999</c:v>
                </c:pt>
                <c:pt idx="84">
                  <c:v>1.17</c:v>
                </c:pt>
                <c:pt idx="85">
                  <c:v>1.18</c:v>
                </c:pt>
                <c:pt idx="86">
                  <c:v>1.19</c:v>
                </c:pt>
                <c:pt idx="87">
                  <c:v>1.2</c:v>
                </c:pt>
                <c:pt idx="88">
                  <c:v>1.21</c:v>
                </c:pt>
                <c:pt idx="89">
                  <c:v>1.22</c:v>
                </c:pt>
                <c:pt idx="90">
                  <c:v>1.23</c:v>
                </c:pt>
                <c:pt idx="91">
                  <c:v>1.24</c:v>
                </c:pt>
                <c:pt idx="92">
                  <c:v>1.25</c:v>
                </c:pt>
                <c:pt idx="93">
                  <c:v>1.26</c:v>
                </c:pt>
                <c:pt idx="94">
                  <c:v>1.27</c:v>
                </c:pt>
                <c:pt idx="95">
                  <c:v>1.28</c:v>
                </c:pt>
                <c:pt idx="96">
                  <c:v>1.29</c:v>
                </c:pt>
                <c:pt idx="97">
                  <c:v>1.3</c:v>
                </c:pt>
                <c:pt idx="98">
                  <c:v>1.31</c:v>
                </c:pt>
                <c:pt idx="99">
                  <c:v>1.32</c:v>
                </c:pt>
                <c:pt idx="100">
                  <c:v>1.33</c:v>
                </c:pt>
                <c:pt idx="101">
                  <c:v>1.34</c:v>
                </c:pt>
                <c:pt idx="102">
                  <c:v>1.35</c:v>
                </c:pt>
                <c:pt idx="103">
                  <c:v>1.36</c:v>
                </c:pt>
                <c:pt idx="104">
                  <c:v>1.37</c:v>
                </c:pt>
                <c:pt idx="105">
                  <c:v>1.38</c:v>
                </c:pt>
                <c:pt idx="106">
                  <c:v>1.39</c:v>
                </c:pt>
                <c:pt idx="107">
                  <c:v>1.4</c:v>
                </c:pt>
                <c:pt idx="108">
                  <c:v>1.41</c:v>
                </c:pt>
                <c:pt idx="109">
                  <c:v>1.42</c:v>
                </c:pt>
                <c:pt idx="110">
                  <c:v>1.43</c:v>
                </c:pt>
                <c:pt idx="111">
                  <c:v>1.44</c:v>
                </c:pt>
                <c:pt idx="112">
                  <c:v>1.45</c:v>
                </c:pt>
                <c:pt idx="113">
                  <c:v>1.46</c:v>
                </c:pt>
                <c:pt idx="114">
                  <c:v>1.47</c:v>
                </c:pt>
                <c:pt idx="115">
                  <c:v>1.48</c:v>
                </c:pt>
                <c:pt idx="116">
                  <c:v>1.49</c:v>
                </c:pt>
                <c:pt idx="117">
                  <c:v>1.5</c:v>
                </c:pt>
                <c:pt idx="118">
                  <c:v>1.51</c:v>
                </c:pt>
                <c:pt idx="119">
                  <c:v>1.52</c:v>
                </c:pt>
                <c:pt idx="120">
                  <c:v>1.53</c:v>
                </c:pt>
                <c:pt idx="121">
                  <c:v>1.54</c:v>
                </c:pt>
                <c:pt idx="122">
                  <c:v>1.55</c:v>
                </c:pt>
                <c:pt idx="123">
                  <c:v>1.56</c:v>
                </c:pt>
                <c:pt idx="124">
                  <c:v>1.57</c:v>
                </c:pt>
                <c:pt idx="125">
                  <c:v>1.58</c:v>
                </c:pt>
                <c:pt idx="126">
                  <c:v>1.59</c:v>
                </c:pt>
                <c:pt idx="127">
                  <c:v>1.6</c:v>
                </c:pt>
              </c:numCache>
            </c:numRef>
          </c:xVal>
          <c:yVal>
            <c:numRef>
              <c:f>'11 - Climb RoC Calcs'!$AU$104:$AU$231</c:f>
              <c:numCache>
                <c:formatCode>General</c:formatCode>
                <c:ptCount val="128"/>
                <c:pt idx="0">
                  <c:v>2747.2334329624855</c:v>
                </c:pt>
                <c:pt idx="1">
                  <c:v>3332.6636207767438</c:v>
                </c:pt>
                <c:pt idx="2">
                  <c:v>3961.5936207060927</c:v>
                </c:pt>
                <c:pt idx="3">
                  <c:v>4472.2167411493583</c:v>
                </c:pt>
                <c:pt idx="4">
                  <c:v>4988.5608584059346</c:v>
                </c:pt>
                <c:pt idx="5">
                  <c:v>5527.8304856225486</c:v>
                </c:pt>
                <c:pt idx="6">
                  <c:v>5944.1206991906793</c:v>
                </c:pt>
                <c:pt idx="7">
                  <c:v>6380.0668259861459</c:v>
                </c:pt>
                <c:pt idx="8">
                  <c:v>6836.1049824579268</c:v>
                </c:pt>
                <c:pt idx="9">
                  <c:v>7252.06965179293</c:v>
                </c:pt>
                <c:pt idx="10">
                  <c:v>7600.7994854606513</c:v>
                </c:pt>
                <c:pt idx="11">
                  <c:v>7960.5299450490666</c:v>
                </c:pt>
                <c:pt idx="12">
                  <c:v>8331.456626366511</c:v>
                </c:pt>
                <c:pt idx="13">
                  <c:v>8713.7754707969525</c:v>
                </c:pt>
                <c:pt idx="14">
                  <c:v>9068.5988199091462</c:v>
                </c:pt>
                <c:pt idx="15">
                  <c:v>9395.6532699211712</c:v>
                </c:pt>
                <c:pt idx="16">
                  <c:v>9729.7756951492029</c:v>
                </c:pt>
                <c:pt idx="17">
                  <c:v>10047.334669522012</c:v>
                </c:pt>
                <c:pt idx="18">
                  <c:v>10316.877095007028</c:v>
                </c:pt>
                <c:pt idx="19">
                  <c:v>10589.108426080831</c:v>
                </c:pt>
                <c:pt idx="20">
                  <c:v>10864.033176825127</c:v>
                </c:pt>
                <c:pt idx="21">
                  <c:v>11133.860524670812</c:v>
                </c:pt>
                <c:pt idx="22">
                  <c:v>11389.764636687914</c:v>
                </c:pt>
                <c:pt idx="23">
                  <c:v>11647.041378305792</c:v>
                </c:pt>
                <c:pt idx="24">
                  <c:v>11905.672347621994</c:v>
                </c:pt>
                <c:pt idx="25">
                  <c:v>12165.639488309678</c:v>
                </c:pt>
                <c:pt idx="26">
                  <c:v>12426.925089617651</c:v>
                </c:pt>
                <c:pt idx="27">
                  <c:v>12689.511786370358</c:v>
                </c:pt>
                <c:pt idx="28">
                  <c:v>12953.382558967864</c:v>
                </c:pt>
                <c:pt idx="29">
                  <c:v>13218.520733385862</c:v>
                </c:pt>
                <c:pt idx="30">
                  <c:v>13484.909981175701</c:v>
                </c:pt>
                <c:pt idx="31">
                  <c:v>13752.534319464346</c:v>
                </c:pt>
                <c:pt idx="32">
                  <c:v>14021.378110954398</c:v>
                </c:pt>
                <c:pt idx="33">
                  <c:v>14282.998487644332</c:v>
                </c:pt>
                <c:pt idx="34">
                  <c:v>14522.030627204484</c:v>
                </c:pt>
                <c:pt idx="35">
                  <c:v>14760.790283564049</c:v>
                </c:pt>
                <c:pt idx="36">
                  <c:v>14999.241603251079</c:v>
                </c:pt>
                <c:pt idx="37">
                  <c:v>15237.349078369278</c:v>
                </c:pt>
                <c:pt idx="38">
                  <c:v>15475.07754659797</c:v>
                </c:pt>
                <c:pt idx="39">
                  <c:v>15712.392191192132</c:v>
                </c:pt>
                <c:pt idx="40">
                  <c:v>15949.258540982361</c:v>
                </c:pt>
                <c:pt idx="41">
                  <c:v>16185.642470374873</c:v>
                </c:pt>
                <c:pt idx="42">
                  <c:v>16421.510199351556</c:v>
                </c:pt>
                <c:pt idx="43">
                  <c:v>16656.828293469887</c:v>
                </c:pt>
                <c:pt idx="44">
                  <c:v>16891.563663863002</c:v>
                </c:pt>
                <c:pt idx="45">
                  <c:v>17125.683567239674</c:v>
                </c:pt>
                <c:pt idx="46">
                  <c:v>17359.155605884291</c:v>
                </c:pt>
                <c:pt idx="47">
                  <c:v>17591.947727656887</c:v>
                </c:pt>
                <c:pt idx="48">
                  <c:v>17785.76717182004</c:v>
                </c:pt>
                <c:pt idx="49">
                  <c:v>17975.974345874467</c:v>
                </c:pt>
                <c:pt idx="50">
                  <c:v>18162.431969899913</c:v>
                </c:pt>
                <c:pt idx="51">
                  <c:v>18345.001381673595</c:v>
                </c:pt>
                <c:pt idx="52">
                  <c:v>18523.5425366702</c:v>
                </c:pt>
                <c:pt idx="53">
                  <c:v>18641.584257759259</c:v>
                </c:pt>
                <c:pt idx="54">
                  <c:v>18751.489550140592</c:v>
                </c:pt>
                <c:pt idx="55">
                  <c:v>18852.983439282943</c:v>
                </c:pt>
                <c:pt idx="56">
                  <c:v>18945.787564013848</c:v>
                </c:pt>
                <c:pt idx="57">
                  <c:v>19029.620176519649</c:v>
                </c:pt>
                <c:pt idx="58">
                  <c:v>19075.229597740461</c:v>
                </c:pt>
                <c:pt idx="59">
                  <c:v>19109.59057008212</c:v>
                </c:pt>
                <c:pt idx="60">
                  <c:v>18986.228315609489</c:v>
                </c:pt>
                <c:pt idx="61">
                  <c:v>18810.422592810068</c:v>
                </c:pt>
                <c:pt idx="62">
                  <c:v>17994.014041570234</c:v>
                </c:pt>
                <c:pt idx="63">
                  <c:v>17114.183084295091</c:v>
                </c:pt>
                <c:pt idx="64">
                  <c:v>14359.005644958579</c:v>
                </c:pt>
                <c:pt idx="65">
                  <c:v>11423.506986642467</c:v>
                </c:pt>
                <c:pt idx="66">
                  <c:v>9870.8951936222456</c:v>
                </c:pt>
                <c:pt idx="67">
                  <c:v>8223.0789643473108</c:v>
                </c:pt>
                <c:pt idx="68">
                  <c:v>7215.9639614499165</c:v>
                </c:pt>
                <c:pt idx="69">
                  <c:v>6152.6165187397874</c:v>
                </c:pt>
                <c:pt idx="70">
                  <c:v>5225.045373988145</c:v>
                </c:pt>
                <c:pt idx="71">
                  <c:v>4249.8020502290556</c:v>
                </c:pt>
                <c:pt idx="72">
                  <c:v>3427.5501802724198</c:v>
                </c:pt>
                <c:pt idx="73">
                  <c:v>2567.1846661224913</c:v>
                </c:pt>
                <c:pt idx="74">
                  <c:v>1664.5327073121994</c:v>
                </c:pt>
                <c:pt idx="75">
                  <c:v>722.00725279580979</c:v>
                </c:pt>
                <c:pt idx="76">
                  <c:v>-168.01796279528918</c:v>
                </c:pt>
                <c:pt idx="77">
                  <c:v>-1094.469413162449</c:v>
                </c:pt>
                <c:pt idx="78">
                  <c:v>-1958.2400280891325</c:v>
                </c:pt>
                <c:pt idx="79">
                  <c:v>-2854.5215316263502</c:v>
                </c:pt>
                <c:pt idx="80">
                  <c:v>-3783.9191131015173</c:v>
                </c:pt>
                <c:pt idx="81">
                  <c:v>-4747.0431454766485</c:v>
                </c:pt>
                <c:pt idx="82">
                  <c:v>-5744.5091853481817</c:v>
                </c:pt>
                <c:pt idx="83">
                  <c:v>-6703.7388192501139</c:v>
                </c:pt>
                <c:pt idx="84">
                  <c:v>-7694.9398860372648</c:v>
                </c:pt>
                <c:pt idx="85">
                  <c:v>-8718.6525204242098</c:v>
                </c:pt>
                <c:pt idx="86">
                  <c:v>-9775.421004033069</c:v>
                </c:pt>
                <c:pt idx="87">
                  <c:v>-10865.793765393566</c:v>
                </c:pt>
                <c:pt idx="88">
                  <c:v>-11846.261862763087</c:v>
                </c:pt>
                <c:pt idx="89">
                  <c:v>-12854.366758255705</c:v>
                </c:pt>
                <c:pt idx="90">
                  <c:v>-13890.495410186548</c:v>
                </c:pt>
                <c:pt idx="91">
                  <c:v>-14955.037023112434</c:v>
                </c:pt>
                <c:pt idx="92">
                  <c:v>-16048.383047831729</c:v>
                </c:pt>
                <c:pt idx="93">
                  <c:v>-17170.927181384479</c:v>
                </c:pt>
                <c:pt idx="94">
                  <c:v>-18323.065367052288</c:v>
                </c:pt>
                <c:pt idx="95">
                  <c:v>-19505.195794358366</c:v>
                </c:pt>
                <c:pt idx="96">
                  <c:v>-20717.718899067615</c:v>
                </c:pt>
                <c:pt idx="97">
                  <c:v>-21961.037363186471</c:v>
                </c:pt>
                <c:pt idx="98">
                  <c:v>-23138.44543113888</c:v>
                </c:pt>
                <c:pt idx="99">
                  <c:v>-24342.979104459107</c:v>
                </c:pt>
                <c:pt idx="100">
                  <c:v>-25574.94516791543</c:v>
                </c:pt>
                <c:pt idx="101">
                  <c:v>-26834.651615790866</c:v>
                </c:pt>
                <c:pt idx="102">
                  <c:v>-28122.407651883113</c:v>
                </c:pt>
                <c:pt idx="103">
                  <c:v>-29438.523689504611</c:v>
                </c:pt>
                <c:pt idx="104">
                  <c:v>-30783.311351482509</c:v>
                </c:pt>
                <c:pt idx="105">
                  <c:v>-32157.083470158665</c:v>
                </c:pt>
                <c:pt idx="106">
                  <c:v>-33560.154087389703</c:v>
                </c:pt>
                <c:pt idx="107">
                  <c:v>-34992.83845454688</c:v>
                </c:pt>
                <c:pt idx="108">
                  <c:v>-36314.180655379183</c:v>
                </c:pt>
                <c:pt idx="109">
                  <c:v>-37659.716410721288</c:v>
                </c:pt>
                <c:pt idx="110">
                  <c:v>-39029.635787171377</c:v>
                </c:pt>
                <c:pt idx="111">
                  <c:v>-40424.128851327674</c:v>
                </c:pt>
                <c:pt idx="112">
                  <c:v>-41843.385669788375</c:v>
                </c:pt>
                <c:pt idx="113">
                  <c:v>-43287.596309151646</c:v>
                </c:pt>
                <c:pt idx="114">
                  <c:v>-44756.950836015778</c:v>
                </c:pt>
                <c:pt idx="115">
                  <c:v>-46251.639316978952</c:v>
                </c:pt>
                <c:pt idx="116">
                  <c:v>-47771.851818639319</c:v>
                </c:pt>
                <c:pt idx="117">
                  <c:v>-49317.778407595106</c:v>
                </c:pt>
                <c:pt idx="118">
                  <c:v>-50889.609150444558</c:v>
                </c:pt>
                <c:pt idx="119">
                  <c:v>-52487.534113785849</c:v>
                </c:pt>
                <c:pt idx="120">
                  <c:v>-54111.743364217196</c:v>
                </c:pt>
                <c:pt idx="121">
                  <c:v>-55762.426968336775</c:v>
                </c:pt>
                <c:pt idx="122">
                  <c:v>-57439.774992742838</c:v>
                </c:pt>
                <c:pt idx="123">
                  <c:v>-59143.977504033552</c:v>
                </c:pt>
                <c:pt idx="124">
                  <c:v>-60875.224568807134</c:v>
                </c:pt>
                <c:pt idx="125">
                  <c:v>-62633.70625366181</c:v>
                </c:pt>
                <c:pt idx="126">
                  <c:v>-64419.612625195754</c:v>
                </c:pt>
                <c:pt idx="127">
                  <c:v>-66233.133750007197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9B12-45B7-8702-50A1A245C030}"/>
            </c:ext>
          </c:extLst>
        </c:ser>
        <c:ser>
          <c:idx val="5"/>
          <c:order val="5"/>
          <c:tx>
            <c:v>25,000 ft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'11 - Climb RoC Calcs'!$AW$108:$AW$231</c:f>
              <c:numCache>
                <c:formatCode>General</c:formatCode>
                <c:ptCount val="124"/>
                <c:pt idx="0">
                  <c:v>0.37</c:v>
                </c:pt>
                <c:pt idx="1">
                  <c:v>0.38</c:v>
                </c:pt>
                <c:pt idx="2">
                  <c:v>0.39</c:v>
                </c:pt>
                <c:pt idx="3">
                  <c:v>0.4</c:v>
                </c:pt>
                <c:pt idx="4">
                  <c:v>0.41</c:v>
                </c:pt>
                <c:pt idx="5">
                  <c:v>0.42</c:v>
                </c:pt>
                <c:pt idx="6">
                  <c:v>0.43</c:v>
                </c:pt>
                <c:pt idx="7">
                  <c:v>0.44</c:v>
                </c:pt>
                <c:pt idx="8">
                  <c:v>0.45</c:v>
                </c:pt>
                <c:pt idx="9">
                  <c:v>0.46</c:v>
                </c:pt>
                <c:pt idx="10">
                  <c:v>0.47</c:v>
                </c:pt>
                <c:pt idx="11">
                  <c:v>0.48</c:v>
                </c:pt>
                <c:pt idx="12">
                  <c:v>0.49</c:v>
                </c:pt>
                <c:pt idx="13">
                  <c:v>0.5</c:v>
                </c:pt>
                <c:pt idx="14">
                  <c:v>0.51</c:v>
                </c:pt>
                <c:pt idx="15">
                  <c:v>0.52</c:v>
                </c:pt>
                <c:pt idx="16">
                  <c:v>0.53</c:v>
                </c:pt>
                <c:pt idx="17">
                  <c:v>0.54</c:v>
                </c:pt>
                <c:pt idx="18">
                  <c:v>0.55000000000000004</c:v>
                </c:pt>
                <c:pt idx="19">
                  <c:v>0.56000000000000005</c:v>
                </c:pt>
                <c:pt idx="20">
                  <c:v>0.56999999999999995</c:v>
                </c:pt>
                <c:pt idx="21">
                  <c:v>0.57999999999999996</c:v>
                </c:pt>
                <c:pt idx="22">
                  <c:v>0.59</c:v>
                </c:pt>
                <c:pt idx="23">
                  <c:v>0.6</c:v>
                </c:pt>
                <c:pt idx="24">
                  <c:v>0.61</c:v>
                </c:pt>
                <c:pt idx="25">
                  <c:v>0.62</c:v>
                </c:pt>
                <c:pt idx="26">
                  <c:v>0.63</c:v>
                </c:pt>
                <c:pt idx="27">
                  <c:v>0.64</c:v>
                </c:pt>
                <c:pt idx="28">
                  <c:v>0.65</c:v>
                </c:pt>
                <c:pt idx="29">
                  <c:v>0.66</c:v>
                </c:pt>
                <c:pt idx="30">
                  <c:v>0.67</c:v>
                </c:pt>
                <c:pt idx="31">
                  <c:v>0.68</c:v>
                </c:pt>
                <c:pt idx="32">
                  <c:v>0.69</c:v>
                </c:pt>
                <c:pt idx="33">
                  <c:v>0.7</c:v>
                </c:pt>
                <c:pt idx="34">
                  <c:v>0.71</c:v>
                </c:pt>
                <c:pt idx="35">
                  <c:v>0.72</c:v>
                </c:pt>
                <c:pt idx="36">
                  <c:v>0.73</c:v>
                </c:pt>
                <c:pt idx="37">
                  <c:v>0.74</c:v>
                </c:pt>
                <c:pt idx="38">
                  <c:v>0.75</c:v>
                </c:pt>
                <c:pt idx="39">
                  <c:v>0.76</c:v>
                </c:pt>
                <c:pt idx="40">
                  <c:v>0.77</c:v>
                </c:pt>
                <c:pt idx="41">
                  <c:v>0.78</c:v>
                </c:pt>
                <c:pt idx="42">
                  <c:v>0.79</c:v>
                </c:pt>
                <c:pt idx="43">
                  <c:v>0.8</c:v>
                </c:pt>
                <c:pt idx="44">
                  <c:v>0.81</c:v>
                </c:pt>
                <c:pt idx="45">
                  <c:v>0.82</c:v>
                </c:pt>
                <c:pt idx="46">
                  <c:v>0.83</c:v>
                </c:pt>
                <c:pt idx="47">
                  <c:v>0.84</c:v>
                </c:pt>
                <c:pt idx="48">
                  <c:v>0.85</c:v>
                </c:pt>
                <c:pt idx="49">
                  <c:v>0.86</c:v>
                </c:pt>
                <c:pt idx="50">
                  <c:v>0.87</c:v>
                </c:pt>
                <c:pt idx="51">
                  <c:v>0.88</c:v>
                </c:pt>
                <c:pt idx="52">
                  <c:v>0.89</c:v>
                </c:pt>
                <c:pt idx="53">
                  <c:v>0.9</c:v>
                </c:pt>
                <c:pt idx="54">
                  <c:v>0.91</c:v>
                </c:pt>
                <c:pt idx="55">
                  <c:v>0.92</c:v>
                </c:pt>
                <c:pt idx="56">
                  <c:v>0.93</c:v>
                </c:pt>
                <c:pt idx="57">
                  <c:v>0.94</c:v>
                </c:pt>
                <c:pt idx="58">
                  <c:v>0.95</c:v>
                </c:pt>
                <c:pt idx="59">
                  <c:v>0.96</c:v>
                </c:pt>
                <c:pt idx="60">
                  <c:v>0.97</c:v>
                </c:pt>
                <c:pt idx="61">
                  <c:v>0.98</c:v>
                </c:pt>
                <c:pt idx="62">
                  <c:v>0.99</c:v>
                </c:pt>
                <c:pt idx="63">
                  <c:v>1</c:v>
                </c:pt>
                <c:pt idx="64">
                  <c:v>1.01</c:v>
                </c:pt>
                <c:pt idx="65">
                  <c:v>1.02</c:v>
                </c:pt>
                <c:pt idx="66">
                  <c:v>1.03</c:v>
                </c:pt>
                <c:pt idx="67">
                  <c:v>1.04</c:v>
                </c:pt>
                <c:pt idx="68">
                  <c:v>1.05</c:v>
                </c:pt>
                <c:pt idx="69">
                  <c:v>1.06</c:v>
                </c:pt>
                <c:pt idx="70">
                  <c:v>1.07</c:v>
                </c:pt>
                <c:pt idx="71">
                  <c:v>1.08</c:v>
                </c:pt>
                <c:pt idx="72">
                  <c:v>1.0900000000000001</c:v>
                </c:pt>
                <c:pt idx="73">
                  <c:v>1.1000000000000001</c:v>
                </c:pt>
                <c:pt idx="74">
                  <c:v>1.1100000000000001</c:v>
                </c:pt>
                <c:pt idx="75">
                  <c:v>1.1200000000000001</c:v>
                </c:pt>
                <c:pt idx="76">
                  <c:v>1.1299999999999999</c:v>
                </c:pt>
                <c:pt idx="77">
                  <c:v>1.1399999999999999</c:v>
                </c:pt>
                <c:pt idx="78">
                  <c:v>1.1499999999999999</c:v>
                </c:pt>
                <c:pt idx="79">
                  <c:v>1.1599999999999999</c:v>
                </c:pt>
                <c:pt idx="80">
                  <c:v>1.17</c:v>
                </c:pt>
                <c:pt idx="81">
                  <c:v>1.18</c:v>
                </c:pt>
                <c:pt idx="82">
                  <c:v>1.19</c:v>
                </c:pt>
                <c:pt idx="83">
                  <c:v>1.2</c:v>
                </c:pt>
                <c:pt idx="84">
                  <c:v>1.21</c:v>
                </c:pt>
                <c:pt idx="85">
                  <c:v>1.22</c:v>
                </c:pt>
                <c:pt idx="86">
                  <c:v>1.23</c:v>
                </c:pt>
                <c:pt idx="87">
                  <c:v>1.24</c:v>
                </c:pt>
                <c:pt idx="88">
                  <c:v>1.25</c:v>
                </c:pt>
                <c:pt idx="89">
                  <c:v>1.26</c:v>
                </c:pt>
                <c:pt idx="90">
                  <c:v>1.27</c:v>
                </c:pt>
                <c:pt idx="91">
                  <c:v>1.28</c:v>
                </c:pt>
                <c:pt idx="92">
                  <c:v>1.29</c:v>
                </c:pt>
                <c:pt idx="93">
                  <c:v>1.3</c:v>
                </c:pt>
                <c:pt idx="94">
                  <c:v>1.31</c:v>
                </c:pt>
                <c:pt idx="95">
                  <c:v>1.32</c:v>
                </c:pt>
                <c:pt idx="96">
                  <c:v>1.33</c:v>
                </c:pt>
                <c:pt idx="97">
                  <c:v>1.34</c:v>
                </c:pt>
                <c:pt idx="98">
                  <c:v>1.35</c:v>
                </c:pt>
                <c:pt idx="99">
                  <c:v>1.36</c:v>
                </c:pt>
                <c:pt idx="100">
                  <c:v>1.37</c:v>
                </c:pt>
                <c:pt idx="101">
                  <c:v>1.38</c:v>
                </c:pt>
                <c:pt idx="102">
                  <c:v>1.39</c:v>
                </c:pt>
                <c:pt idx="103">
                  <c:v>1.4</c:v>
                </c:pt>
                <c:pt idx="104">
                  <c:v>1.41</c:v>
                </c:pt>
                <c:pt idx="105">
                  <c:v>1.42</c:v>
                </c:pt>
                <c:pt idx="106">
                  <c:v>1.43</c:v>
                </c:pt>
                <c:pt idx="107">
                  <c:v>1.44</c:v>
                </c:pt>
                <c:pt idx="108">
                  <c:v>1.45</c:v>
                </c:pt>
                <c:pt idx="109">
                  <c:v>1.46</c:v>
                </c:pt>
                <c:pt idx="110">
                  <c:v>1.47</c:v>
                </c:pt>
                <c:pt idx="111">
                  <c:v>1.48</c:v>
                </c:pt>
                <c:pt idx="112">
                  <c:v>1.49</c:v>
                </c:pt>
                <c:pt idx="113">
                  <c:v>1.5</c:v>
                </c:pt>
                <c:pt idx="114">
                  <c:v>1.51</c:v>
                </c:pt>
                <c:pt idx="115">
                  <c:v>1.52</c:v>
                </c:pt>
                <c:pt idx="116">
                  <c:v>1.53</c:v>
                </c:pt>
                <c:pt idx="117">
                  <c:v>1.54</c:v>
                </c:pt>
                <c:pt idx="118">
                  <c:v>1.55</c:v>
                </c:pt>
                <c:pt idx="119">
                  <c:v>1.56</c:v>
                </c:pt>
                <c:pt idx="120">
                  <c:v>1.57</c:v>
                </c:pt>
                <c:pt idx="121">
                  <c:v>1.58</c:v>
                </c:pt>
                <c:pt idx="122">
                  <c:v>1.59</c:v>
                </c:pt>
                <c:pt idx="123">
                  <c:v>1.6</c:v>
                </c:pt>
              </c:numCache>
            </c:numRef>
          </c:xVal>
          <c:yVal>
            <c:numRef>
              <c:f>'11 - Climb RoC Calcs'!$BC$108:$BC$231</c:f>
              <c:numCache>
                <c:formatCode>General</c:formatCode>
                <c:ptCount val="124"/>
                <c:pt idx="0">
                  <c:v>2138.7191044412752</c:v>
                </c:pt>
                <c:pt idx="1">
                  <c:v>2694.5883066934539</c:v>
                </c:pt>
                <c:pt idx="2">
                  <c:v>3288.9904677711884</c:v>
                </c:pt>
                <c:pt idx="3">
                  <c:v>3756.8273833502521</c:v>
                </c:pt>
                <c:pt idx="4">
                  <c:v>4233.7226676108012</c:v>
                </c:pt>
                <c:pt idx="5">
                  <c:v>4737.6862604716043</c:v>
                </c:pt>
                <c:pt idx="6">
                  <c:v>5148.8888422606515</c:v>
                </c:pt>
                <c:pt idx="7">
                  <c:v>5542.4417030228051</c:v>
                </c:pt>
                <c:pt idx="8">
                  <c:v>5953.5901376254242</c:v>
                </c:pt>
                <c:pt idx="9">
                  <c:v>6382.6805978240382</c:v>
                </c:pt>
                <c:pt idx="10">
                  <c:v>6726.8094448039037</c:v>
                </c:pt>
                <c:pt idx="11">
                  <c:v>7045.1561336188061</c:v>
                </c:pt>
                <c:pt idx="12">
                  <c:v>7373.2981730871188</c:v>
                </c:pt>
                <c:pt idx="13">
                  <c:v>7711.3916989250283</c:v>
                </c:pt>
                <c:pt idx="14">
                  <c:v>8059.5931202912998</c:v>
                </c:pt>
                <c:pt idx="15">
                  <c:v>8397.8202130330301</c:v>
                </c:pt>
                <c:pt idx="16">
                  <c:v>8691.1842051013373</c:v>
                </c:pt>
                <c:pt idx="17">
                  <c:v>8990.8335704380443</c:v>
                </c:pt>
                <c:pt idx="18">
                  <c:v>9296.8448046063786</c:v>
                </c:pt>
                <c:pt idx="19">
                  <c:v>9556.1583223889866</c:v>
                </c:pt>
                <c:pt idx="20">
                  <c:v>9796.4784796069926</c:v>
                </c:pt>
                <c:pt idx="21">
                  <c:v>10039.266153447552</c:v>
                </c:pt>
                <c:pt idx="22">
                  <c:v>10284.526556409943</c:v>
                </c:pt>
                <c:pt idx="23">
                  <c:v>10525.900525676177</c:v>
                </c:pt>
                <c:pt idx="24">
                  <c:v>10752.365325181412</c:v>
                </c:pt>
                <c:pt idx="25">
                  <c:v>10980.1473196235</c:v>
                </c:pt>
                <c:pt idx="26">
                  <c:v>11209.233588840298</c:v>
                </c:pt>
                <c:pt idx="27">
                  <c:v>11439.611486112224</c:v>
                </c:pt>
                <c:pt idx="28">
                  <c:v>11671.268638162306</c:v>
                </c:pt>
                <c:pt idx="29">
                  <c:v>11904.192945156143</c:v>
                </c:pt>
                <c:pt idx="30">
                  <c:v>12138.372580701922</c:v>
                </c:pt>
                <c:pt idx="31">
                  <c:v>12373.795991850415</c:v>
                </c:pt>
                <c:pt idx="32">
                  <c:v>12610.451899094982</c:v>
                </c:pt>
                <c:pt idx="33">
                  <c:v>12848.329296371567</c:v>
                </c:pt>
                <c:pt idx="34">
                  <c:v>13087.417451058696</c:v>
                </c:pt>
                <c:pt idx="35">
                  <c:v>13327.705903977481</c:v>
                </c:pt>
                <c:pt idx="36">
                  <c:v>13569.184469391632</c:v>
                </c:pt>
                <c:pt idx="37">
                  <c:v>13785.357745593765</c:v>
                </c:pt>
                <c:pt idx="38">
                  <c:v>13996.998734600833</c:v>
                </c:pt>
                <c:pt idx="39">
                  <c:v>14208.519157431465</c:v>
                </c:pt>
                <c:pt idx="40">
                  <c:v>14419.892831958136</c:v>
                </c:pt>
                <c:pt idx="41">
                  <c:v>14631.09384949589</c:v>
                </c:pt>
                <c:pt idx="42">
                  <c:v>14842.096574802363</c:v>
                </c:pt>
                <c:pt idx="43">
                  <c:v>15052.875646077751</c:v>
                </c:pt>
                <c:pt idx="44">
                  <c:v>15233.131266433254</c:v>
                </c:pt>
                <c:pt idx="45">
                  <c:v>15410.842958487356</c:v>
                </c:pt>
                <c:pt idx="46">
                  <c:v>15585.902097173081</c:v>
                </c:pt>
                <c:pt idx="47">
                  <c:v>15758.198963653087</c:v>
                </c:pt>
                <c:pt idx="48">
                  <c:v>15927.622745319697</c:v>
                </c:pt>
                <c:pt idx="49">
                  <c:v>16048.884233958632</c:v>
                </c:pt>
                <c:pt idx="50">
                  <c:v>16164.007897228536</c:v>
                </c:pt>
                <c:pt idx="51">
                  <c:v>16272.776156864318</c:v>
                </c:pt>
                <c:pt idx="52">
                  <c:v>16374.968754863536</c:v>
                </c:pt>
                <c:pt idx="53">
                  <c:v>16470.36275348645</c:v>
                </c:pt>
                <c:pt idx="54">
                  <c:v>16534.851319771049</c:v>
                </c:pt>
                <c:pt idx="55">
                  <c:v>16590.718502225354</c:v>
                </c:pt>
                <c:pt idx="56">
                  <c:v>16523.13688950588</c:v>
                </c:pt>
                <c:pt idx="57">
                  <c:v>16438.915246110661</c:v>
                </c:pt>
                <c:pt idx="58">
                  <c:v>15849.11097648822</c:v>
                </c:pt>
                <c:pt idx="59">
                  <c:v>15210.446343910202</c:v>
                </c:pt>
                <c:pt idx="60">
                  <c:v>13087.941440926412</c:v>
                </c:pt>
                <c:pt idx="61">
                  <c:v>10824.306608716539</c:v>
                </c:pt>
                <c:pt idx="62">
                  <c:v>9655.3974997227779</c:v>
                </c:pt>
                <c:pt idx="63">
                  <c:v>8412.9714128652013</c:v>
                </c:pt>
                <c:pt idx="64">
                  <c:v>7678.4858821722119</c:v>
                </c:pt>
                <c:pt idx="65">
                  <c:v>6901.6189587764575</c:v>
                </c:pt>
                <c:pt idx="66">
                  <c:v>6233.6937553292437</c:v>
                </c:pt>
                <c:pt idx="67">
                  <c:v>5510.9569943368706</c:v>
                </c:pt>
                <c:pt idx="68">
                  <c:v>4893.1833003900419</c:v>
                </c:pt>
                <c:pt idx="69">
                  <c:v>4245.4837482083603</c:v>
                </c:pt>
                <c:pt idx="70">
                  <c:v>3563.9288147948341</c:v>
                </c:pt>
                <c:pt idx="71">
                  <c:v>2851.0437776112581</c:v>
                </c:pt>
                <c:pt idx="72">
                  <c:v>2179.9209220738526</c:v>
                </c:pt>
                <c:pt idx="73">
                  <c:v>1480.1956664887407</c:v>
                </c:pt>
                <c:pt idx="74">
                  <c:v>830.54863838556764</c:v>
                </c:pt>
                <c:pt idx="75">
                  <c:v>155.40198760667869</c:v>
                </c:pt>
                <c:pt idx="76">
                  <c:v>-545.72315217532389</c:v>
                </c:pt>
                <c:pt idx="77">
                  <c:v>-1273.3097489266852</c:v>
                </c:pt>
                <c:pt idx="78">
                  <c:v>-2027.844872252392</c:v>
                </c:pt>
                <c:pt idx="79">
                  <c:v>-2750.8107838017036</c:v>
                </c:pt>
                <c:pt idx="80">
                  <c:v>-3498.8306914794689</c:v>
                </c:pt>
                <c:pt idx="81">
                  <c:v>-4272.3319860464762</c:v>
                </c:pt>
                <c:pt idx="82">
                  <c:v>-5071.7453395744924</c:v>
                </c:pt>
                <c:pt idx="83">
                  <c:v>-5897.504705446313</c:v>
                </c:pt>
                <c:pt idx="84">
                  <c:v>-6635.3463417973717</c:v>
                </c:pt>
                <c:pt idx="85">
                  <c:v>-7394.8003877930387</c:v>
                </c:pt>
                <c:pt idx="86">
                  <c:v>-8176.1730307681528</c:v>
                </c:pt>
                <c:pt idx="87">
                  <c:v>-8979.7722354343496</c:v>
                </c:pt>
                <c:pt idx="88">
                  <c:v>-9805.9077438800687</c:v>
                </c:pt>
                <c:pt idx="89">
                  <c:v>-10654.891075570617</c:v>
                </c:pt>
                <c:pt idx="90">
                  <c:v>-11527.035527347987</c:v>
                </c:pt>
                <c:pt idx="91">
                  <c:v>-12422.656173431082</c:v>
                </c:pt>
                <c:pt idx="92">
                  <c:v>-13342.069865415551</c:v>
                </c:pt>
                <c:pt idx="93">
                  <c:v>-14285.595232273874</c:v>
                </c:pt>
                <c:pt idx="94">
                  <c:v>-15176.712203488558</c:v>
                </c:pt>
                <c:pt idx="95">
                  <c:v>-16089.037094403604</c:v>
                </c:pt>
                <c:pt idx="96">
                  <c:v>-17022.812653674067</c:v>
                </c:pt>
                <c:pt idx="97">
                  <c:v>-17978.282587004069</c:v>
                </c:pt>
                <c:pt idx="98">
                  <c:v>-18955.691557146733</c:v>
                </c:pt>
                <c:pt idx="99">
                  <c:v>-19955.285183904321</c:v>
                </c:pt>
                <c:pt idx="100">
                  <c:v>-20977.310044128029</c:v>
                </c:pt>
                <c:pt idx="101">
                  <c:v>-22022.01367171821</c:v>
                </c:pt>
                <c:pt idx="102">
                  <c:v>-23089.644557624197</c:v>
                </c:pt>
                <c:pt idx="103">
                  <c:v>-24180.452149844408</c:v>
                </c:pt>
                <c:pt idx="104">
                  <c:v>-25182.902687155074</c:v>
                </c:pt>
                <c:pt idx="105">
                  <c:v>-26204.241109158073</c:v>
                </c:pt>
                <c:pt idx="106">
                  <c:v>-27244.617809275223</c:v>
                </c:pt>
                <c:pt idx="107">
                  <c:v>-28304.18318092847</c:v>
                </c:pt>
                <c:pt idx="108">
                  <c:v>-29383.087617539699</c:v>
                </c:pt>
                <c:pt idx="109">
                  <c:v>-30481.481512530761</c:v>
                </c:pt>
                <c:pt idx="110">
                  <c:v>-31599.515259323609</c:v>
                </c:pt>
                <c:pt idx="111">
                  <c:v>-32737.33925134009</c:v>
                </c:pt>
                <c:pt idx="112">
                  <c:v>-33895.10388200212</c:v>
                </c:pt>
                <c:pt idx="113">
                  <c:v>-35072.959544731602</c:v>
                </c:pt>
                <c:pt idx="114">
                  <c:v>-36271.056632950378</c:v>
                </c:pt>
                <c:pt idx="115">
                  <c:v>-37489.545540080377</c:v>
                </c:pt>
                <c:pt idx="116">
                  <c:v>-38728.576659543476</c:v>
                </c:pt>
                <c:pt idx="117">
                  <c:v>-39988.300384761584</c:v>
                </c:pt>
                <c:pt idx="118">
                  <c:v>-41268.867109156563</c:v>
                </c:pt>
                <c:pt idx="119">
                  <c:v>-42570.427226150343</c:v>
                </c:pt>
                <c:pt idx="120">
                  <c:v>-43893.131129164787</c:v>
                </c:pt>
                <c:pt idx="121">
                  <c:v>-45237.12921162181</c:v>
                </c:pt>
                <c:pt idx="122">
                  <c:v>-46602.571866943261</c:v>
                </c:pt>
                <c:pt idx="123">
                  <c:v>-47989.609488551097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9B12-45B7-8702-50A1A245C030}"/>
            </c:ext>
          </c:extLst>
        </c:ser>
        <c:ser>
          <c:idx val="6"/>
          <c:order val="6"/>
          <c:tx>
            <c:v>30,000 ft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'11 - Climb RoC Calcs'!$BE$112:$BE$231</c:f>
              <c:numCache>
                <c:formatCode>General</c:formatCode>
                <c:ptCount val="120"/>
                <c:pt idx="0">
                  <c:v>0.41</c:v>
                </c:pt>
                <c:pt idx="1">
                  <c:v>0.42</c:v>
                </c:pt>
                <c:pt idx="2">
                  <c:v>0.43</c:v>
                </c:pt>
                <c:pt idx="3">
                  <c:v>0.44</c:v>
                </c:pt>
                <c:pt idx="4">
                  <c:v>0.45</c:v>
                </c:pt>
                <c:pt idx="5">
                  <c:v>0.46</c:v>
                </c:pt>
                <c:pt idx="6">
                  <c:v>0.47</c:v>
                </c:pt>
                <c:pt idx="7">
                  <c:v>0.48</c:v>
                </c:pt>
                <c:pt idx="8">
                  <c:v>0.49</c:v>
                </c:pt>
                <c:pt idx="9">
                  <c:v>0.5</c:v>
                </c:pt>
                <c:pt idx="10">
                  <c:v>0.51</c:v>
                </c:pt>
                <c:pt idx="11">
                  <c:v>0.52</c:v>
                </c:pt>
                <c:pt idx="12">
                  <c:v>0.53</c:v>
                </c:pt>
                <c:pt idx="13">
                  <c:v>0.54</c:v>
                </c:pt>
                <c:pt idx="14">
                  <c:v>0.55000000000000004</c:v>
                </c:pt>
                <c:pt idx="15">
                  <c:v>0.56000000000000005</c:v>
                </c:pt>
                <c:pt idx="16">
                  <c:v>0.56999999999999995</c:v>
                </c:pt>
                <c:pt idx="17">
                  <c:v>0.57999999999999996</c:v>
                </c:pt>
                <c:pt idx="18">
                  <c:v>0.59</c:v>
                </c:pt>
                <c:pt idx="19">
                  <c:v>0.6</c:v>
                </c:pt>
                <c:pt idx="20">
                  <c:v>0.61</c:v>
                </c:pt>
                <c:pt idx="21">
                  <c:v>0.62</c:v>
                </c:pt>
                <c:pt idx="22">
                  <c:v>0.63</c:v>
                </c:pt>
                <c:pt idx="23">
                  <c:v>0.64</c:v>
                </c:pt>
                <c:pt idx="24">
                  <c:v>0.65</c:v>
                </c:pt>
                <c:pt idx="25">
                  <c:v>0.66</c:v>
                </c:pt>
                <c:pt idx="26">
                  <c:v>0.67</c:v>
                </c:pt>
                <c:pt idx="27">
                  <c:v>0.68</c:v>
                </c:pt>
                <c:pt idx="28">
                  <c:v>0.69</c:v>
                </c:pt>
                <c:pt idx="29">
                  <c:v>0.7</c:v>
                </c:pt>
                <c:pt idx="30">
                  <c:v>0.71</c:v>
                </c:pt>
                <c:pt idx="31">
                  <c:v>0.72</c:v>
                </c:pt>
                <c:pt idx="32">
                  <c:v>0.73</c:v>
                </c:pt>
                <c:pt idx="33">
                  <c:v>0.74</c:v>
                </c:pt>
                <c:pt idx="34">
                  <c:v>0.75</c:v>
                </c:pt>
                <c:pt idx="35">
                  <c:v>0.76</c:v>
                </c:pt>
                <c:pt idx="36">
                  <c:v>0.77</c:v>
                </c:pt>
                <c:pt idx="37">
                  <c:v>0.78</c:v>
                </c:pt>
                <c:pt idx="38">
                  <c:v>0.79</c:v>
                </c:pt>
                <c:pt idx="39">
                  <c:v>0.8</c:v>
                </c:pt>
                <c:pt idx="40">
                  <c:v>0.81</c:v>
                </c:pt>
                <c:pt idx="41">
                  <c:v>0.82</c:v>
                </c:pt>
                <c:pt idx="42">
                  <c:v>0.83</c:v>
                </c:pt>
                <c:pt idx="43">
                  <c:v>0.84</c:v>
                </c:pt>
                <c:pt idx="44">
                  <c:v>0.85</c:v>
                </c:pt>
                <c:pt idx="45">
                  <c:v>0.86</c:v>
                </c:pt>
                <c:pt idx="46">
                  <c:v>0.87</c:v>
                </c:pt>
                <c:pt idx="47">
                  <c:v>0.88</c:v>
                </c:pt>
                <c:pt idx="48">
                  <c:v>0.89</c:v>
                </c:pt>
                <c:pt idx="49">
                  <c:v>0.9</c:v>
                </c:pt>
                <c:pt idx="50">
                  <c:v>0.91</c:v>
                </c:pt>
                <c:pt idx="51">
                  <c:v>0.92</c:v>
                </c:pt>
                <c:pt idx="52">
                  <c:v>0.93</c:v>
                </c:pt>
                <c:pt idx="53">
                  <c:v>0.94</c:v>
                </c:pt>
                <c:pt idx="54">
                  <c:v>0.95</c:v>
                </c:pt>
                <c:pt idx="55">
                  <c:v>0.96</c:v>
                </c:pt>
                <c:pt idx="56">
                  <c:v>0.97</c:v>
                </c:pt>
                <c:pt idx="57">
                  <c:v>0.98</c:v>
                </c:pt>
                <c:pt idx="58">
                  <c:v>0.99</c:v>
                </c:pt>
                <c:pt idx="59">
                  <c:v>1</c:v>
                </c:pt>
                <c:pt idx="60">
                  <c:v>1.01</c:v>
                </c:pt>
                <c:pt idx="61">
                  <c:v>1.02</c:v>
                </c:pt>
                <c:pt idx="62">
                  <c:v>1.03</c:v>
                </c:pt>
                <c:pt idx="63">
                  <c:v>1.04</c:v>
                </c:pt>
                <c:pt idx="64">
                  <c:v>1.05</c:v>
                </c:pt>
                <c:pt idx="65">
                  <c:v>1.06</c:v>
                </c:pt>
                <c:pt idx="66">
                  <c:v>1.07</c:v>
                </c:pt>
                <c:pt idx="67">
                  <c:v>1.08</c:v>
                </c:pt>
                <c:pt idx="68">
                  <c:v>1.0900000000000001</c:v>
                </c:pt>
                <c:pt idx="69">
                  <c:v>1.1000000000000001</c:v>
                </c:pt>
                <c:pt idx="70">
                  <c:v>1.1100000000000001</c:v>
                </c:pt>
                <c:pt idx="71">
                  <c:v>1.1200000000000001</c:v>
                </c:pt>
                <c:pt idx="72">
                  <c:v>1.1299999999999999</c:v>
                </c:pt>
                <c:pt idx="73">
                  <c:v>1.1399999999999999</c:v>
                </c:pt>
                <c:pt idx="74">
                  <c:v>1.1499999999999999</c:v>
                </c:pt>
                <c:pt idx="75">
                  <c:v>1.1599999999999999</c:v>
                </c:pt>
                <c:pt idx="76">
                  <c:v>1.17</c:v>
                </c:pt>
                <c:pt idx="77">
                  <c:v>1.18</c:v>
                </c:pt>
                <c:pt idx="78">
                  <c:v>1.19</c:v>
                </c:pt>
                <c:pt idx="79">
                  <c:v>1.2</c:v>
                </c:pt>
                <c:pt idx="80">
                  <c:v>1.21</c:v>
                </c:pt>
                <c:pt idx="81">
                  <c:v>1.22</c:v>
                </c:pt>
                <c:pt idx="82">
                  <c:v>1.23</c:v>
                </c:pt>
                <c:pt idx="83">
                  <c:v>1.24</c:v>
                </c:pt>
                <c:pt idx="84">
                  <c:v>1.25</c:v>
                </c:pt>
                <c:pt idx="85">
                  <c:v>1.26</c:v>
                </c:pt>
                <c:pt idx="86">
                  <c:v>1.27</c:v>
                </c:pt>
                <c:pt idx="87">
                  <c:v>1.28</c:v>
                </c:pt>
                <c:pt idx="88">
                  <c:v>1.29</c:v>
                </c:pt>
                <c:pt idx="89">
                  <c:v>1.3</c:v>
                </c:pt>
                <c:pt idx="90">
                  <c:v>1.31</c:v>
                </c:pt>
                <c:pt idx="91">
                  <c:v>1.32</c:v>
                </c:pt>
                <c:pt idx="92">
                  <c:v>1.33</c:v>
                </c:pt>
                <c:pt idx="93">
                  <c:v>1.34</c:v>
                </c:pt>
                <c:pt idx="94">
                  <c:v>1.35</c:v>
                </c:pt>
                <c:pt idx="95">
                  <c:v>1.36</c:v>
                </c:pt>
                <c:pt idx="96">
                  <c:v>1.37</c:v>
                </c:pt>
                <c:pt idx="97">
                  <c:v>1.38</c:v>
                </c:pt>
                <c:pt idx="98">
                  <c:v>1.39</c:v>
                </c:pt>
                <c:pt idx="99">
                  <c:v>1.4</c:v>
                </c:pt>
                <c:pt idx="100">
                  <c:v>1.41</c:v>
                </c:pt>
                <c:pt idx="101">
                  <c:v>1.42</c:v>
                </c:pt>
                <c:pt idx="102">
                  <c:v>1.43</c:v>
                </c:pt>
                <c:pt idx="103">
                  <c:v>1.44</c:v>
                </c:pt>
                <c:pt idx="104">
                  <c:v>1.45</c:v>
                </c:pt>
                <c:pt idx="105">
                  <c:v>1.46</c:v>
                </c:pt>
                <c:pt idx="106">
                  <c:v>1.47</c:v>
                </c:pt>
                <c:pt idx="107">
                  <c:v>1.48</c:v>
                </c:pt>
                <c:pt idx="108">
                  <c:v>1.49</c:v>
                </c:pt>
                <c:pt idx="109">
                  <c:v>1.5</c:v>
                </c:pt>
                <c:pt idx="110">
                  <c:v>1.51</c:v>
                </c:pt>
                <c:pt idx="111">
                  <c:v>1.52</c:v>
                </c:pt>
                <c:pt idx="112">
                  <c:v>1.53</c:v>
                </c:pt>
                <c:pt idx="113">
                  <c:v>1.54</c:v>
                </c:pt>
                <c:pt idx="114">
                  <c:v>1.55</c:v>
                </c:pt>
                <c:pt idx="115">
                  <c:v>1.56</c:v>
                </c:pt>
                <c:pt idx="116">
                  <c:v>1.57</c:v>
                </c:pt>
                <c:pt idx="117">
                  <c:v>1.58</c:v>
                </c:pt>
                <c:pt idx="118">
                  <c:v>1.59</c:v>
                </c:pt>
                <c:pt idx="119">
                  <c:v>1.6</c:v>
                </c:pt>
              </c:numCache>
            </c:numRef>
          </c:xVal>
          <c:yVal>
            <c:numRef>
              <c:f>'11 - Climb RoC Calcs'!$BK$112:$BK$231</c:f>
              <c:numCache>
                <c:formatCode>General</c:formatCode>
                <c:ptCount val="120"/>
                <c:pt idx="0">
                  <c:v>1181.2965535356448</c:v>
                </c:pt>
                <c:pt idx="1">
                  <c:v>1688.6014053841795</c:v>
                </c:pt>
                <c:pt idx="2">
                  <c:v>2229.3420090387372</c:v>
                </c:pt>
                <c:pt idx="3">
                  <c:v>2752.6527747932923</c:v>
                </c:pt>
                <c:pt idx="4">
                  <c:v>3178.7218738343208</c:v>
                </c:pt>
                <c:pt idx="5">
                  <c:v>3628.1530386991085</c:v>
                </c:pt>
                <c:pt idx="6">
                  <c:v>4101.4187508428076</c:v>
                </c:pt>
                <c:pt idx="7">
                  <c:v>4477.9301095953961</c:v>
                </c:pt>
                <c:pt idx="8">
                  <c:v>4838.6627987066468</c:v>
                </c:pt>
                <c:pt idx="9">
                  <c:v>5214.807632734839</c:v>
                </c:pt>
                <c:pt idx="10">
                  <c:v>5606.6371106194174</c:v>
                </c:pt>
                <c:pt idx="11">
                  <c:v>5975.9324690085105</c:v>
                </c:pt>
                <c:pt idx="12">
                  <c:v>6260.1213672931117</c:v>
                </c:pt>
                <c:pt idx="13">
                  <c:v>6552.8658058908786</c:v>
                </c:pt>
                <c:pt idx="14">
                  <c:v>6854.289180547974</c:v>
                </c:pt>
                <c:pt idx="15">
                  <c:v>7164.5151012392926</c:v>
                </c:pt>
                <c:pt idx="16">
                  <c:v>7483.6673921684478</c:v>
                </c:pt>
                <c:pt idx="17">
                  <c:v>7798.9738337468834</c:v>
                </c:pt>
                <c:pt idx="18">
                  <c:v>8063.1120636882897</c:v>
                </c:pt>
                <c:pt idx="19">
                  <c:v>8332.8049715064844</c:v>
                </c:pt>
                <c:pt idx="20">
                  <c:v>8608.1137730599221</c:v>
                </c:pt>
                <c:pt idx="21">
                  <c:v>8875.3582283502728</c:v>
                </c:pt>
                <c:pt idx="22">
                  <c:v>9087.4381205197024</c:v>
                </c:pt>
                <c:pt idx="23">
                  <c:v>9301.7465084198484</c:v>
                </c:pt>
                <c:pt idx="24">
                  <c:v>9518.2887611581646</c:v>
                </c:pt>
                <c:pt idx="25">
                  <c:v>9737.0704620708184</c:v>
                </c:pt>
                <c:pt idx="26">
                  <c:v>9952.7662967390752</c:v>
                </c:pt>
                <c:pt idx="27">
                  <c:v>10152.91860742598</c:v>
                </c:pt>
                <c:pt idx="28">
                  <c:v>10354.304120571991</c:v>
                </c:pt>
                <c:pt idx="29">
                  <c:v>10556.914213470893</c:v>
                </c:pt>
                <c:pt idx="30">
                  <c:v>10760.740477645184</c:v>
                </c:pt>
                <c:pt idx="31">
                  <c:v>10965.774718846094</c:v>
                </c:pt>
                <c:pt idx="32">
                  <c:v>11172.008957053582</c:v>
                </c:pt>
                <c:pt idx="33">
                  <c:v>11379.435426476337</c:v>
                </c:pt>
                <c:pt idx="34">
                  <c:v>11588.04657555176</c:v>
                </c:pt>
                <c:pt idx="35">
                  <c:v>11797.835066945992</c:v>
                </c:pt>
                <c:pt idx="36">
                  <c:v>12008.793777553889</c:v>
                </c:pt>
                <c:pt idx="37">
                  <c:v>12220.915798499038</c:v>
                </c:pt>
                <c:pt idx="38">
                  <c:v>12434.194435133759</c:v>
                </c:pt>
                <c:pt idx="39">
                  <c:v>12648.623207039087</c:v>
                </c:pt>
                <c:pt idx="40">
                  <c:v>12840.477112948847</c:v>
                </c:pt>
                <c:pt idx="41">
                  <c:v>13024.728963544361</c:v>
                </c:pt>
                <c:pt idx="42">
                  <c:v>13184.583385353022</c:v>
                </c:pt>
                <c:pt idx="43">
                  <c:v>13342.541306458133</c:v>
                </c:pt>
                <c:pt idx="44">
                  <c:v>13498.51591066849</c:v>
                </c:pt>
                <c:pt idx="45">
                  <c:v>13616.410173187613</c:v>
                </c:pt>
                <c:pt idx="46">
                  <c:v>13729.749049899903</c:v>
                </c:pt>
                <c:pt idx="47">
                  <c:v>13838.362079008093</c:v>
                </c:pt>
                <c:pt idx="48">
                  <c:v>13942.076699273408</c:v>
                </c:pt>
                <c:pt idx="49">
                  <c:v>14040.718250015554</c:v>
                </c:pt>
                <c:pt idx="50">
                  <c:v>14114.423813486806</c:v>
                </c:pt>
                <c:pt idx="51">
                  <c:v>14181.606786559176</c:v>
                </c:pt>
                <c:pt idx="52">
                  <c:v>14152.305578148607</c:v>
                </c:pt>
                <c:pt idx="53">
                  <c:v>14110.199566580723</c:v>
                </c:pt>
                <c:pt idx="54">
                  <c:v>13672.226438337017</c:v>
                </c:pt>
                <c:pt idx="55">
                  <c:v>13196.205471991325</c:v>
                </c:pt>
                <c:pt idx="56">
                  <c:v>11556.166319537344</c:v>
                </c:pt>
                <c:pt idx="57">
                  <c:v>9805.7549267028953</c:v>
                </c:pt>
                <c:pt idx="58">
                  <c:v>8911.4325938169441</c:v>
                </c:pt>
                <c:pt idx="59">
                  <c:v>7959.6736542206454</c:v>
                </c:pt>
                <c:pt idx="60">
                  <c:v>7404.2151192743868</c:v>
                </c:pt>
                <c:pt idx="61">
                  <c:v>6815.6774010537401</c:v>
                </c:pt>
                <c:pt idx="62">
                  <c:v>6310.7727241143893</c:v>
                </c:pt>
                <c:pt idx="63">
                  <c:v>5778.3222501919117</c:v>
                </c:pt>
                <c:pt idx="64">
                  <c:v>5338.3535915621314</c:v>
                </c:pt>
                <c:pt idx="65">
                  <c:v>4877.1786749808825</c:v>
                </c:pt>
                <c:pt idx="66">
                  <c:v>4390.2300654836927</c:v>
                </c:pt>
                <c:pt idx="67">
                  <c:v>3881.2885066405461</c:v>
                </c:pt>
                <c:pt idx="68">
                  <c:v>3407.695628579545</c:v>
                </c:pt>
                <c:pt idx="69">
                  <c:v>2914.4025662600147</c:v>
                </c:pt>
                <c:pt idx="70">
                  <c:v>2463.6037715479652</c:v>
                </c:pt>
                <c:pt idx="71">
                  <c:v>1995.6141817347266</c:v>
                </c:pt>
                <c:pt idx="72">
                  <c:v>1510.135901065401</c:v>
                </c:pt>
                <c:pt idx="73">
                  <c:v>1006.8686344233196</c:v>
                </c:pt>
                <c:pt idx="74">
                  <c:v>485.50968733011166</c:v>
                </c:pt>
                <c:pt idx="75">
                  <c:v>-23.346677774699145</c:v>
                </c:pt>
                <c:pt idx="76">
                  <c:v>-579.53568724692184</c:v>
                </c:pt>
                <c:pt idx="77">
                  <c:v>-1155.4920305407227</c:v>
                </c:pt>
                <c:pt idx="78">
                  <c:v>-1751.5531178995293</c:v>
                </c:pt>
                <c:pt idx="79">
                  <c:v>-2368.058930311463</c:v>
                </c:pt>
                <c:pt idx="80">
                  <c:v>-2914.7682057908705</c:v>
                </c:pt>
                <c:pt idx="81">
                  <c:v>-3478.201741043023</c:v>
                </c:pt>
                <c:pt idx="82">
                  <c:v>-4058.5994186838643</c:v>
                </c:pt>
                <c:pt idx="83">
                  <c:v>-4656.2025138160325</c:v>
                </c:pt>
                <c:pt idx="84">
                  <c:v>-5271.2536940288583</c:v>
                </c:pt>
                <c:pt idx="85">
                  <c:v>-5903.9970193984282</c:v>
                </c:pt>
                <c:pt idx="86">
                  <c:v>-6554.6779424875458</c:v>
                </c:pt>
                <c:pt idx="87">
                  <c:v>-7223.5433083457228</c:v>
                </c:pt>
                <c:pt idx="88">
                  <c:v>-7910.8413545091735</c:v>
                </c:pt>
                <c:pt idx="89">
                  <c:v>-8616.8217110008663</c:v>
                </c:pt>
                <c:pt idx="90">
                  <c:v>-9281.5346914778238</c:v>
                </c:pt>
                <c:pt idx="91">
                  <c:v>-9962.6550338846137</c:v>
                </c:pt>
                <c:pt idx="92">
                  <c:v>-10660.372919772755</c:v>
                </c:pt>
                <c:pt idx="93">
                  <c:v>-11374.879280494277</c:v>
                </c:pt>
                <c:pt idx="94">
                  <c:v>-12106.365797201743</c:v>
                </c:pt>
                <c:pt idx="95">
                  <c:v>-12855.024900848264</c:v>
                </c:pt>
                <c:pt idx="96">
                  <c:v>-13621.049772187487</c:v>
                </c:pt>
                <c:pt idx="97">
                  <c:v>-14404.634341773621</c:v>
                </c:pt>
                <c:pt idx="98">
                  <c:v>-15205.973289961406</c:v>
                </c:pt>
                <c:pt idx="99">
                  <c:v>-16025.262046906113</c:v>
                </c:pt>
                <c:pt idx="100">
                  <c:v>-16775.11943330674</c:v>
                </c:pt>
                <c:pt idx="101">
                  <c:v>-17539.566549085419</c:v>
                </c:pt>
                <c:pt idx="102">
                  <c:v>-18318.721220041429</c:v>
                </c:pt>
                <c:pt idx="103">
                  <c:v>-19112.701271974118</c:v>
                </c:pt>
                <c:pt idx="104">
                  <c:v>-19921.624530682711</c:v>
                </c:pt>
                <c:pt idx="105">
                  <c:v>-20745.608821966522</c:v>
                </c:pt>
                <c:pt idx="106">
                  <c:v>-21584.771971624879</c:v>
                </c:pt>
                <c:pt idx="107">
                  <c:v>-22439.231805457013</c:v>
                </c:pt>
                <c:pt idx="108">
                  <c:v>-23309.106149262258</c:v>
                </c:pt>
                <c:pt idx="109">
                  <c:v>-24194.512828839874</c:v>
                </c:pt>
                <c:pt idx="110">
                  <c:v>-25095.569669989156</c:v>
                </c:pt>
                <c:pt idx="111">
                  <c:v>-26012.394498509417</c:v>
                </c:pt>
                <c:pt idx="112">
                  <c:v>-26945.105140199925</c:v>
                </c:pt>
                <c:pt idx="113">
                  <c:v>-27893.819420859963</c:v>
                </c:pt>
                <c:pt idx="114">
                  <c:v>-28858.65516628886</c:v>
                </c:pt>
                <c:pt idx="115">
                  <c:v>-29839.730202285857</c:v>
                </c:pt>
                <c:pt idx="116">
                  <c:v>-30837.162354650271</c:v>
                </c:pt>
                <c:pt idx="117">
                  <c:v>-31851.069449181407</c:v>
                </c:pt>
                <c:pt idx="118">
                  <c:v>-32881.569311678504</c:v>
                </c:pt>
                <c:pt idx="119">
                  <c:v>-33928.77976794092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9B12-45B7-8702-50A1A245C030}"/>
            </c:ext>
          </c:extLst>
        </c:ser>
        <c:ser>
          <c:idx val="7"/>
          <c:order val="7"/>
          <c:tx>
            <c:v>35,000 ft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'11 - Climb RoC Calcs'!$BM$117:$BM$231</c:f>
              <c:numCache>
                <c:formatCode>General</c:formatCode>
                <c:ptCount val="115"/>
                <c:pt idx="0">
                  <c:v>0.46</c:v>
                </c:pt>
                <c:pt idx="1">
                  <c:v>0.47</c:v>
                </c:pt>
                <c:pt idx="2">
                  <c:v>0.48</c:v>
                </c:pt>
                <c:pt idx="3">
                  <c:v>0.49</c:v>
                </c:pt>
                <c:pt idx="4">
                  <c:v>0.5</c:v>
                </c:pt>
                <c:pt idx="5">
                  <c:v>0.51</c:v>
                </c:pt>
                <c:pt idx="6">
                  <c:v>0.52</c:v>
                </c:pt>
                <c:pt idx="7">
                  <c:v>0.53</c:v>
                </c:pt>
                <c:pt idx="8">
                  <c:v>0.54</c:v>
                </c:pt>
                <c:pt idx="9">
                  <c:v>0.55000000000000004</c:v>
                </c:pt>
                <c:pt idx="10">
                  <c:v>0.56000000000000005</c:v>
                </c:pt>
                <c:pt idx="11">
                  <c:v>0.56999999999999995</c:v>
                </c:pt>
                <c:pt idx="12">
                  <c:v>0.57999999999999996</c:v>
                </c:pt>
                <c:pt idx="13">
                  <c:v>0.59</c:v>
                </c:pt>
                <c:pt idx="14">
                  <c:v>0.6</c:v>
                </c:pt>
                <c:pt idx="15">
                  <c:v>0.61</c:v>
                </c:pt>
                <c:pt idx="16">
                  <c:v>0.62</c:v>
                </c:pt>
                <c:pt idx="17">
                  <c:v>0.63</c:v>
                </c:pt>
                <c:pt idx="18">
                  <c:v>0.64</c:v>
                </c:pt>
                <c:pt idx="19">
                  <c:v>0.65</c:v>
                </c:pt>
                <c:pt idx="20">
                  <c:v>0.66</c:v>
                </c:pt>
                <c:pt idx="21">
                  <c:v>0.67</c:v>
                </c:pt>
                <c:pt idx="22">
                  <c:v>0.68</c:v>
                </c:pt>
                <c:pt idx="23">
                  <c:v>0.69</c:v>
                </c:pt>
                <c:pt idx="24">
                  <c:v>0.7</c:v>
                </c:pt>
                <c:pt idx="25">
                  <c:v>0.71</c:v>
                </c:pt>
                <c:pt idx="26">
                  <c:v>0.72</c:v>
                </c:pt>
                <c:pt idx="27">
                  <c:v>0.73</c:v>
                </c:pt>
                <c:pt idx="28">
                  <c:v>0.74</c:v>
                </c:pt>
                <c:pt idx="29">
                  <c:v>0.75</c:v>
                </c:pt>
                <c:pt idx="30">
                  <c:v>0.76</c:v>
                </c:pt>
                <c:pt idx="31">
                  <c:v>0.77</c:v>
                </c:pt>
                <c:pt idx="32">
                  <c:v>0.78</c:v>
                </c:pt>
                <c:pt idx="33">
                  <c:v>0.79</c:v>
                </c:pt>
                <c:pt idx="34">
                  <c:v>0.8</c:v>
                </c:pt>
                <c:pt idx="35">
                  <c:v>0.81</c:v>
                </c:pt>
                <c:pt idx="36">
                  <c:v>0.82</c:v>
                </c:pt>
                <c:pt idx="37">
                  <c:v>0.83</c:v>
                </c:pt>
                <c:pt idx="38">
                  <c:v>0.84</c:v>
                </c:pt>
                <c:pt idx="39">
                  <c:v>0.85</c:v>
                </c:pt>
                <c:pt idx="40">
                  <c:v>0.86</c:v>
                </c:pt>
                <c:pt idx="41">
                  <c:v>0.87</c:v>
                </c:pt>
                <c:pt idx="42">
                  <c:v>0.88</c:v>
                </c:pt>
                <c:pt idx="43">
                  <c:v>0.89</c:v>
                </c:pt>
                <c:pt idx="44">
                  <c:v>0.9</c:v>
                </c:pt>
                <c:pt idx="45">
                  <c:v>0.91</c:v>
                </c:pt>
                <c:pt idx="46">
                  <c:v>0.92</c:v>
                </c:pt>
                <c:pt idx="47">
                  <c:v>0.93</c:v>
                </c:pt>
                <c:pt idx="48">
                  <c:v>0.94</c:v>
                </c:pt>
                <c:pt idx="49">
                  <c:v>0.95</c:v>
                </c:pt>
                <c:pt idx="50">
                  <c:v>0.96</c:v>
                </c:pt>
                <c:pt idx="51">
                  <c:v>0.97</c:v>
                </c:pt>
                <c:pt idx="52">
                  <c:v>0.98</c:v>
                </c:pt>
                <c:pt idx="53">
                  <c:v>0.99</c:v>
                </c:pt>
                <c:pt idx="54">
                  <c:v>1</c:v>
                </c:pt>
                <c:pt idx="55">
                  <c:v>1.01</c:v>
                </c:pt>
                <c:pt idx="56">
                  <c:v>1.02</c:v>
                </c:pt>
                <c:pt idx="57">
                  <c:v>1.03</c:v>
                </c:pt>
                <c:pt idx="58">
                  <c:v>1.04</c:v>
                </c:pt>
                <c:pt idx="59">
                  <c:v>1.05</c:v>
                </c:pt>
                <c:pt idx="60">
                  <c:v>1.06</c:v>
                </c:pt>
                <c:pt idx="61">
                  <c:v>1.07</c:v>
                </c:pt>
                <c:pt idx="62">
                  <c:v>1.08</c:v>
                </c:pt>
                <c:pt idx="63">
                  <c:v>1.0900000000000001</c:v>
                </c:pt>
                <c:pt idx="64">
                  <c:v>1.1000000000000001</c:v>
                </c:pt>
                <c:pt idx="65">
                  <c:v>1.1100000000000001</c:v>
                </c:pt>
                <c:pt idx="66">
                  <c:v>1.1200000000000001</c:v>
                </c:pt>
                <c:pt idx="67">
                  <c:v>1.1299999999999999</c:v>
                </c:pt>
                <c:pt idx="68">
                  <c:v>1.1399999999999999</c:v>
                </c:pt>
                <c:pt idx="69">
                  <c:v>1.1499999999999999</c:v>
                </c:pt>
                <c:pt idx="70">
                  <c:v>1.1599999999999999</c:v>
                </c:pt>
                <c:pt idx="71">
                  <c:v>1.17</c:v>
                </c:pt>
                <c:pt idx="72">
                  <c:v>1.18</c:v>
                </c:pt>
                <c:pt idx="73">
                  <c:v>1.19</c:v>
                </c:pt>
                <c:pt idx="74">
                  <c:v>1.2</c:v>
                </c:pt>
                <c:pt idx="75">
                  <c:v>1.21</c:v>
                </c:pt>
                <c:pt idx="76">
                  <c:v>1.22</c:v>
                </c:pt>
                <c:pt idx="77">
                  <c:v>1.23</c:v>
                </c:pt>
                <c:pt idx="78">
                  <c:v>1.24</c:v>
                </c:pt>
                <c:pt idx="79">
                  <c:v>1.25</c:v>
                </c:pt>
                <c:pt idx="80">
                  <c:v>1.26</c:v>
                </c:pt>
                <c:pt idx="81">
                  <c:v>1.27</c:v>
                </c:pt>
                <c:pt idx="82">
                  <c:v>1.28</c:v>
                </c:pt>
                <c:pt idx="83">
                  <c:v>1.29</c:v>
                </c:pt>
                <c:pt idx="84">
                  <c:v>1.3</c:v>
                </c:pt>
                <c:pt idx="85">
                  <c:v>1.31</c:v>
                </c:pt>
                <c:pt idx="86">
                  <c:v>1.32</c:v>
                </c:pt>
                <c:pt idx="87">
                  <c:v>1.33</c:v>
                </c:pt>
                <c:pt idx="88">
                  <c:v>1.34</c:v>
                </c:pt>
                <c:pt idx="89">
                  <c:v>1.35</c:v>
                </c:pt>
                <c:pt idx="90">
                  <c:v>1.36</c:v>
                </c:pt>
                <c:pt idx="91">
                  <c:v>1.37</c:v>
                </c:pt>
                <c:pt idx="92">
                  <c:v>1.38</c:v>
                </c:pt>
                <c:pt idx="93">
                  <c:v>1.39</c:v>
                </c:pt>
                <c:pt idx="94">
                  <c:v>1.4</c:v>
                </c:pt>
                <c:pt idx="95">
                  <c:v>1.41</c:v>
                </c:pt>
                <c:pt idx="96">
                  <c:v>1.42</c:v>
                </c:pt>
                <c:pt idx="97">
                  <c:v>1.43</c:v>
                </c:pt>
                <c:pt idx="98">
                  <c:v>1.44</c:v>
                </c:pt>
                <c:pt idx="99">
                  <c:v>1.45</c:v>
                </c:pt>
                <c:pt idx="100">
                  <c:v>1.46</c:v>
                </c:pt>
                <c:pt idx="101">
                  <c:v>1.47</c:v>
                </c:pt>
                <c:pt idx="102">
                  <c:v>1.48</c:v>
                </c:pt>
                <c:pt idx="103">
                  <c:v>1.49</c:v>
                </c:pt>
                <c:pt idx="104">
                  <c:v>1.5</c:v>
                </c:pt>
                <c:pt idx="105">
                  <c:v>1.51</c:v>
                </c:pt>
                <c:pt idx="106">
                  <c:v>1.52</c:v>
                </c:pt>
                <c:pt idx="107">
                  <c:v>1.53</c:v>
                </c:pt>
                <c:pt idx="108">
                  <c:v>1.54</c:v>
                </c:pt>
                <c:pt idx="109">
                  <c:v>1.55</c:v>
                </c:pt>
                <c:pt idx="110">
                  <c:v>1.56</c:v>
                </c:pt>
                <c:pt idx="111">
                  <c:v>1.57</c:v>
                </c:pt>
                <c:pt idx="112">
                  <c:v>1.58</c:v>
                </c:pt>
                <c:pt idx="113">
                  <c:v>1.59</c:v>
                </c:pt>
                <c:pt idx="114">
                  <c:v>1.6</c:v>
                </c:pt>
              </c:numCache>
            </c:numRef>
          </c:xVal>
          <c:yVal>
            <c:numRef>
              <c:f>'11 - Climb RoC Calcs'!$BS$117:$BS$231</c:f>
              <c:numCache>
                <c:formatCode>General</c:formatCode>
                <c:ptCount val="115"/>
                <c:pt idx="0">
                  <c:v>328.33643095440908</c:v>
                </c:pt>
                <c:pt idx="1">
                  <c:v>800.91416605310962</c:v>
                </c:pt>
                <c:pt idx="2">
                  <c:v>1302.5219892568239</c:v>
                </c:pt>
                <c:pt idx="3">
                  <c:v>1833.738442678414</c:v>
                </c:pt>
                <c:pt idx="4">
                  <c:v>2237.5584895516081</c:v>
                </c:pt>
                <c:pt idx="5">
                  <c:v>2644.5550435158307</c:v>
                </c:pt>
                <c:pt idx="6">
                  <c:v>3072.0836754575776</c:v>
                </c:pt>
                <c:pt idx="7">
                  <c:v>3520.511568589026</c:v>
                </c:pt>
                <c:pt idx="8">
                  <c:v>3845.3707120185873</c:v>
                </c:pt>
                <c:pt idx="9">
                  <c:v>4178.4904586608291</c:v>
                </c:pt>
                <c:pt idx="10">
                  <c:v>4525.0509070274966</c:v>
                </c:pt>
                <c:pt idx="11">
                  <c:v>4885.2642480049435</c:v>
                </c:pt>
                <c:pt idx="12">
                  <c:v>5259.3428385130801</c:v>
                </c:pt>
                <c:pt idx="13">
                  <c:v>5526.5108788287107</c:v>
                </c:pt>
                <c:pt idx="14">
                  <c:v>5788.6011004457478</c:v>
                </c:pt>
                <c:pt idx="15">
                  <c:v>6058.2212291439719</c:v>
                </c:pt>
                <c:pt idx="16">
                  <c:v>6335.4680624873517</c:v>
                </c:pt>
                <c:pt idx="17">
                  <c:v>6620.4385640733972</c:v>
                </c:pt>
                <c:pt idx="18">
                  <c:v>6913.2298635331881</c:v>
                </c:pt>
                <c:pt idx="19">
                  <c:v>7210.6993654552552</c:v>
                </c:pt>
                <c:pt idx="20">
                  <c:v>7448.4953661860691</c:v>
                </c:pt>
                <c:pt idx="21">
                  <c:v>7691.1581787542445</c:v>
                </c:pt>
                <c:pt idx="22">
                  <c:v>7938.736409483713</c:v>
                </c:pt>
                <c:pt idx="23">
                  <c:v>8191.2788307319488</c:v>
                </c:pt>
                <c:pt idx="24">
                  <c:v>8408.6491514156587</c:v>
                </c:pt>
                <c:pt idx="25">
                  <c:v>8597.3672786500611</c:v>
                </c:pt>
                <c:pt idx="26">
                  <c:v>8788.0766721642176</c:v>
                </c:pt>
                <c:pt idx="27">
                  <c:v>8980.7828214426154</c:v>
                </c:pt>
                <c:pt idx="28">
                  <c:v>9175.4913820033016</c:v>
                </c:pt>
                <c:pt idx="29">
                  <c:v>9372.2081753978855</c:v>
                </c:pt>
                <c:pt idx="30">
                  <c:v>9548.6437590798087</c:v>
                </c:pt>
                <c:pt idx="31">
                  <c:v>9726.1794265592725</c:v>
                </c:pt>
                <c:pt idx="32">
                  <c:v>9904.8428716719627</c:v>
                </c:pt>
                <c:pt idx="33">
                  <c:v>10084.628905869216</c:v>
                </c:pt>
                <c:pt idx="34">
                  <c:v>10265.532506635918</c:v>
                </c:pt>
                <c:pt idx="35">
                  <c:v>10429.166100870676</c:v>
                </c:pt>
                <c:pt idx="36">
                  <c:v>10592.529151954415</c:v>
                </c:pt>
                <c:pt idx="37">
                  <c:v>10755.566080153802</c:v>
                </c:pt>
                <c:pt idx="38">
                  <c:v>10918.220641601267</c:v>
                </c:pt>
                <c:pt idx="39">
                  <c:v>11080.435928295015</c:v>
                </c:pt>
                <c:pt idx="40">
                  <c:v>11213.372751066776</c:v>
                </c:pt>
                <c:pt idx="41">
                  <c:v>11343.960613764997</c:v>
                </c:pt>
                <c:pt idx="42">
                  <c:v>11472.082114061248</c:v>
                </c:pt>
                <c:pt idx="43">
                  <c:v>11597.618288911655</c:v>
                </c:pt>
                <c:pt idx="44">
                  <c:v>11720.448614556904</c:v>
                </c:pt>
                <c:pt idx="45">
                  <c:v>11824.141815757803</c:v>
                </c:pt>
                <c:pt idx="46">
                  <c:v>11919.923174049653</c:v>
                </c:pt>
                <c:pt idx="47">
                  <c:v>11916.135692986889</c:v>
                </c:pt>
                <c:pt idx="48">
                  <c:v>11902.613932280023</c:v>
                </c:pt>
                <c:pt idx="49">
                  <c:v>11582.473343296646</c:v>
                </c:pt>
                <c:pt idx="50">
                  <c:v>11233.034380862</c:v>
                </c:pt>
                <c:pt idx="51">
                  <c:v>9979.8735343682474</c:v>
                </c:pt>
                <c:pt idx="52">
                  <c:v>8641.3244186348657</c:v>
                </c:pt>
                <c:pt idx="53">
                  <c:v>7964.6231742846849</c:v>
                </c:pt>
                <c:pt idx="54">
                  <c:v>7243.5239733266562</c:v>
                </c:pt>
                <c:pt idx="55">
                  <c:v>6827.8502079846476</c:v>
                </c:pt>
                <c:pt idx="56">
                  <c:v>6386.619846011442</c:v>
                </c:pt>
                <c:pt idx="57">
                  <c:v>6008.415808049599</c:v>
                </c:pt>
                <c:pt idx="58">
                  <c:v>5608.9073515327191</c:v>
                </c:pt>
                <c:pt idx="59">
                  <c:v>5277.301719440924</c:v>
                </c:pt>
                <c:pt idx="60">
                  <c:v>4929.2322800424918</c:v>
                </c:pt>
                <c:pt idx="61">
                  <c:v>4559.2139364706527</c:v>
                </c:pt>
                <c:pt idx="62">
                  <c:v>4172.0857177567914</c:v>
                </c:pt>
                <c:pt idx="63">
                  <c:v>3812.2890721396079</c:v>
                </c:pt>
                <c:pt idx="64">
                  <c:v>3437.1595116922826</c:v>
                </c:pt>
                <c:pt idx="65">
                  <c:v>3095.7067314288993</c:v>
                </c:pt>
                <c:pt idx="66">
                  <c:v>2740.8804302221915</c:v>
                </c:pt>
                <c:pt idx="67">
                  <c:v>2372.4497301089477</c:v>
                </c:pt>
                <c:pt idx="68">
                  <c:v>1990.1818935500603</c:v>
                </c:pt>
                <c:pt idx="69">
                  <c:v>1593.8423234306217</c:v>
                </c:pt>
                <c:pt idx="70">
                  <c:v>1223.2021873573071</c:v>
                </c:pt>
                <c:pt idx="71">
                  <c:v>839.53514220671593</c:v>
                </c:pt>
                <c:pt idx="72">
                  <c:v>442.63306491465534</c:v>
                </c:pt>
                <c:pt idx="73">
                  <c:v>32.286338114903756</c:v>
                </c:pt>
                <c:pt idx="74">
                  <c:v>-391.71614986075519</c:v>
                </c:pt>
                <c:pt idx="75">
                  <c:v>-757.71334083934198</c:v>
                </c:pt>
                <c:pt idx="76">
                  <c:v>-1134.5540752699751</c:v>
                </c:pt>
                <c:pt idx="77">
                  <c:v>-1522.3779873744331</c:v>
                </c:pt>
                <c:pt idx="78">
                  <c:v>-1921.3253755087171</c:v>
                </c:pt>
                <c:pt idx="79">
                  <c:v>-2331.5372021630319</c:v>
                </c:pt>
                <c:pt idx="80">
                  <c:v>-2753.1550939618573</c:v>
                </c:pt>
                <c:pt idx="81">
                  <c:v>-3186.32134166386</c:v>
                </c:pt>
                <c:pt idx="82">
                  <c:v>-3631.1789001619877</c:v>
                </c:pt>
                <c:pt idx="83">
                  <c:v>-4087.8713884833551</c:v>
                </c:pt>
                <c:pt idx="84">
                  <c:v>-4561.4644433226804</c:v>
                </c:pt>
                <c:pt idx="85">
                  <c:v>-5049.5077846993781</c:v>
                </c:pt>
                <c:pt idx="86">
                  <c:v>-5550.1017338835145</c:v>
                </c:pt>
                <c:pt idx="87">
                  <c:v>-6063.393687165656</c:v>
                </c:pt>
                <c:pt idx="88">
                  <c:v>-6589.5316219538345</c:v>
                </c:pt>
                <c:pt idx="89">
                  <c:v>-7128.6640967735348</c:v>
                </c:pt>
                <c:pt idx="90">
                  <c:v>-7680.9402512676852</c:v>
                </c:pt>
                <c:pt idx="91">
                  <c:v>-8246.5098061966546</c:v>
                </c:pt>
                <c:pt idx="92">
                  <c:v>-8825.5230634382697</c:v>
                </c:pt>
                <c:pt idx="93">
                  <c:v>-9418.1309059878386</c:v>
                </c:pt>
                <c:pt idx="94">
                  <c:v>-10024.484797958075</c:v>
                </c:pt>
                <c:pt idx="95">
                  <c:v>-10576.861757838586</c:v>
                </c:pt>
                <c:pt idx="96">
                  <c:v>-11140.380606890745</c:v>
                </c:pt>
                <c:pt idx="97">
                  <c:v>-11715.132663571116</c:v>
                </c:pt>
                <c:pt idx="98">
                  <c:v>-12301.209246336295</c:v>
                </c:pt>
                <c:pt idx="99">
                  <c:v>-12898.70167364282</c:v>
                </c:pt>
                <c:pt idx="100">
                  <c:v>-13507.701263947272</c:v>
                </c:pt>
                <c:pt idx="101">
                  <c:v>-14128.29933570621</c:v>
                </c:pt>
                <c:pt idx="102">
                  <c:v>-14760.587207376195</c:v>
                </c:pt>
                <c:pt idx="103">
                  <c:v>-15404.65619741384</c:v>
                </c:pt>
                <c:pt idx="104">
                  <c:v>-16060.597624275642</c:v>
                </c:pt>
                <c:pt idx="105">
                  <c:v>-16728.502806418226</c:v>
                </c:pt>
                <c:pt idx="106">
                  <c:v>-17408.463062298113</c:v>
                </c:pt>
                <c:pt idx="107">
                  <c:v>-18100.569710371903</c:v>
                </c:pt>
                <c:pt idx="108">
                  <c:v>-18804.914069096158</c:v>
                </c:pt>
                <c:pt idx="109">
                  <c:v>-19521.587456927453</c:v>
                </c:pt>
                <c:pt idx="110">
                  <c:v>-20250.681192322303</c:v>
                </c:pt>
                <c:pt idx="111">
                  <c:v>-20992.286593737328</c:v>
                </c:pt>
                <c:pt idx="112">
                  <c:v>-21746.494979629104</c:v>
                </c:pt>
                <c:pt idx="113">
                  <c:v>-22513.397668454134</c:v>
                </c:pt>
                <c:pt idx="114">
                  <c:v>-23293.085978669049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9B12-45B7-8702-50A1A245C030}"/>
            </c:ext>
          </c:extLst>
        </c:ser>
        <c:ser>
          <c:idx val="8"/>
          <c:order val="8"/>
          <c:tx>
            <c:v>40,000 ft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'11 - Climb RoC Calcs'!$BU$123:$BU$231</c:f>
              <c:numCache>
                <c:formatCode>General</c:formatCode>
                <c:ptCount val="109"/>
                <c:pt idx="0">
                  <c:v>0.52</c:v>
                </c:pt>
                <c:pt idx="1">
                  <c:v>0.53</c:v>
                </c:pt>
                <c:pt idx="2">
                  <c:v>0.54</c:v>
                </c:pt>
                <c:pt idx="3">
                  <c:v>0.55000000000000004</c:v>
                </c:pt>
                <c:pt idx="4">
                  <c:v>0.56000000000000005</c:v>
                </c:pt>
                <c:pt idx="5">
                  <c:v>0.56999999999999995</c:v>
                </c:pt>
                <c:pt idx="6">
                  <c:v>0.57999999999999996</c:v>
                </c:pt>
                <c:pt idx="7">
                  <c:v>0.59</c:v>
                </c:pt>
                <c:pt idx="8">
                  <c:v>0.6</c:v>
                </c:pt>
                <c:pt idx="9">
                  <c:v>0.61</c:v>
                </c:pt>
                <c:pt idx="10">
                  <c:v>0.62</c:v>
                </c:pt>
                <c:pt idx="11">
                  <c:v>0.63</c:v>
                </c:pt>
                <c:pt idx="12">
                  <c:v>0.64</c:v>
                </c:pt>
                <c:pt idx="13">
                  <c:v>0.65</c:v>
                </c:pt>
                <c:pt idx="14">
                  <c:v>0.66</c:v>
                </c:pt>
                <c:pt idx="15">
                  <c:v>0.67</c:v>
                </c:pt>
                <c:pt idx="16">
                  <c:v>0.68</c:v>
                </c:pt>
                <c:pt idx="17">
                  <c:v>0.69</c:v>
                </c:pt>
                <c:pt idx="18">
                  <c:v>0.7</c:v>
                </c:pt>
                <c:pt idx="19">
                  <c:v>0.71</c:v>
                </c:pt>
                <c:pt idx="20">
                  <c:v>0.72</c:v>
                </c:pt>
                <c:pt idx="21">
                  <c:v>0.73</c:v>
                </c:pt>
                <c:pt idx="22">
                  <c:v>0.74</c:v>
                </c:pt>
                <c:pt idx="23">
                  <c:v>0.75</c:v>
                </c:pt>
                <c:pt idx="24">
                  <c:v>0.76</c:v>
                </c:pt>
                <c:pt idx="25">
                  <c:v>0.77</c:v>
                </c:pt>
                <c:pt idx="26">
                  <c:v>0.78</c:v>
                </c:pt>
                <c:pt idx="27">
                  <c:v>0.79</c:v>
                </c:pt>
                <c:pt idx="28">
                  <c:v>0.8</c:v>
                </c:pt>
                <c:pt idx="29">
                  <c:v>0.81</c:v>
                </c:pt>
                <c:pt idx="30">
                  <c:v>0.82</c:v>
                </c:pt>
                <c:pt idx="31">
                  <c:v>0.83</c:v>
                </c:pt>
                <c:pt idx="32">
                  <c:v>0.84</c:v>
                </c:pt>
                <c:pt idx="33">
                  <c:v>0.85</c:v>
                </c:pt>
                <c:pt idx="34">
                  <c:v>0.86</c:v>
                </c:pt>
                <c:pt idx="35">
                  <c:v>0.87</c:v>
                </c:pt>
                <c:pt idx="36">
                  <c:v>0.88</c:v>
                </c:pt>
                <c:pt idx="37">
                  <c:v>0.89</c:v>
                </c:pt>
                <c:pt idx="38">
                  <c:v>0.9</c:v>
                </c:pt>
                <c:pt idx="39">
                  <c:v>0.91</c:v>
                </c:pt>
                <c:pt idx="40">
                  <c:v>0.92</c:v>
                </c:pt>
                <c:pt idx="41">
                  <c:v>0.93</c:v>
                </c:pt>
                <c:pt idx="42">
                  <c:v>0.94</c:v>
                </c:pt>
                <c:pt idx="43">
                  <c:v>0.95</c:v>
                </c:pt>
                <c:pt idx="44">
                  <c:v>0.96</c:v>
                </c:pt>
                <c:pt idx="45">
                  <c:v>0.97</c:v>
                </c:pt>
                <c:pt idx="46">
                  <c:v>0.98</c:v>
                </c:pt>
                <c:pt idx="47">
                  <c:v>0.99</c:v>
                </c:pt>
                <c:pt idx="48">
                  <c:v>1</c:v>
                </c:pt>
                <c:pt idx="49">
                  <c:v>1.01</c:v>
                </c:pt>
                <c:pt idx="50">
                  <c:v>1.02</c:v>
                </c:pt>
                <c:pt idx="51">
                  <c:v>1.03</c:v>
                </c:pt>
                <c:pt idx="52">
                  <c:v>1.04</c:v>
                </c:pt>
                <c:pt idx="53">
                  <c:v>1.05</c:v>
                </c:pt>
                <c:pt idx="54">
                  <c:v>1.06</c:v>
                </c:pt>
                <c:pt idx="55">
                  <c:v>1.07</c:v>
                </c:pt>
                <c:pt idx="56">
                  <c:v>1.08</c:v>
                </c:pt>
                <c:pt idx="57">
                  <c:v>1.0900000000000001</c:v>
                </c:pt>
                <c:pt idx="58">
                  <c:v>1.1000000000000001</c:v>
                </c:pt>
                <c:pt idx="59">
                  <c:v>1.1100000000000001</c:v>
                </c:pt>
                <c:pt idx="60">
                  <c:v>1.1200000000000001</c:v>
                </c:pt>
                <c:pt idx="61">
                  <c:v>1.1299999999999999</c:v>
                </c:pt>
                <c:pt idx="62">
                  <c:v>1.1399999999999999</c:v>
                </c:pt>
                <c:pt idx="63">
                  <c:v>1.1499999999999999</c:v>
                </c:pt>
                <c:pt idx="64">
                  <c:v>1.1599999999999999</c:v>
                </c:pt>
                <c:pt idx="65">
                  <c:v>1.17</c:v>
                </c:pt>
                <c:pt idx="66">
                  <c:v>1.18</c:v>
                </c:pt>
                <c:pt idx="67">
                  <c:v>1.19</c:v>
                </c:pt>
                <c:pt idx="68">
                  <c:v>1.2</c:v>
                </c:pt>
                <c:pt idx="69">
                  <c:v>1.21</c:v>
                </c:pt>
                <c:pt idx="70">
                  <c:v>1.22</c:v>
                </c:pt>
                <c:pt idx="71">
                  <c:v>1.23</c:v>
                </c:pt>
                <c:pt idx="72">
                  <c:v>1.24</c:v>
                </c:pt>
                <c:pt idx="73">
                  <c:v>1.25</c:v>
                </c:pt>
                <c:pt idx="74">
                  <c:v>1.26</c:v>
                </c:pt>
                <c:pt idx="75">
                  <c:v>1.27</c:v>
                </c:pt>
                <c:pt idx="76">
                  <c:v>1.28</c:v>
                </c:pt>
                <c:pt idx="77">
                  <c:v>1.29</c:v>
                </c:pt>
                <c:pt idx="78">
                  <c:v>1.3</c:v>
                </c:pt>
                <c:pt idx="79">
                  <c:v>1.31</c:v>
                </c:pt>
                <c:pt idx="80">
                  <c:v>1.32</c:v>
                </c:pt>
                <c:pt idx="81">
                  <c:v>1.33</c:v>
                </c:pt>
                <c:pt idx="82">
                  <c:v>1.34</c:v>
                </c:pt>
                <c:pt idx="83">
                  <c:v>1.35</c:v>
                </c:pt>
                <c:pt idx="84">
                  <c:v>1.36</c:v>
                </c:pt>
                <c:pt idx="85">
                  <c:v>1.37</c:v>
                </c:pt>
                <c:pt idx="86">
                  <c:v>1.38</c:v>
                </c:pt>
                <c:pt idx="87">
                  <c:v>1.39</c:v>
                </c:pt>
                <c:pt idx="88">
                  <c:v>1.4</c:v>
                </c:pt>
                <c:pt idx="89">
                  <c:v>1.41</c:v>
                </c:pt>
                <c:pt idx="90">
                  <c:v>1.42</c:v>
                </c:pt>
                <c:pt idx="91">
                  <c:v>1.43</c:v>
                </c:pt>
                <c:pt idx="92">
                  <c:v>1.44</c:v>
                </c:pt>
                <c:pt idx="93">
                  <c:v>1.45</c:v>
                </c:pt>
                <c:pt idx="94">
                  <c:v>1.46</c:v>
                </c:pt>
                <c:pt idx="95">
                  <c:v>1.47</c:v>
                </c:pt>
                <c:pt idx="96">
                  <c:v>1.48</c:v>
                </c:pt>
                <c:pt idx="97">
                  <c:v>1.49</c:v>
                </c:pt>
                <c:pt idx="98">
                  <c:v>1.5</c:v>
                </c:pt>
                <c:pt idx="99">
                  <c:v>1.51</c:v>
                </c:pt>
                <c:pt idx="100">
                  <c:v>1.52</c:v>
                </c:pt>
                <c:pt idx="101">
                  <c:v>1.53</c:v>
                </c:pt>
                <c:pt idx="102">
                  <c:v>1.54</c:v>
                </c:pt>
                <c:pt idx="103">
                  <c:v>1.55</c:v>
                </c:pt>
                <c:pt idx="104">
                  <c:v>1.56</c:v>
                </c:pt>
                <c:pt idx="105">
                  <c:v>1.57</c:v>
                </c:pt>
                <c:pt idx="106">
                  <c:v>1.58</c:v>
                </c:pt>
                <c:pt idx="107">
                  <c:v>1.59</c:v>
                </c:pt>
                <c:pt idx="108">
                  <c:v>1.6</c:v>
                </c:pt>
              </c:numCache>
            </c:numRef>
          </c:xVal>
          <c:yVal>
            <c:numRef>
              <c:f>'11 - Climb RoC Calcs'!$CA$123:$CA$231</c:f>
              <c:numCache>
                <c:formatCode>General</c:formatCode>
                <c:ptCount val="109"/>
                <c:pt idx="0">
                  <c:v>-721.59430659148529</c:v>
                </c:pt>
                <c:pt idx="1">
                  <c:v>-273.35396453292685</c:v>
                </c:pt>
                <c:pt idx="2">
                  <c:v>200.45754784828833</c:v>
                </c:pt>
                <c:pt idx="3">
                  <c:v>700.29383894589239</c:v>
                </c:pt>
                <c:pt idx="4">
                  <c:v>1116.5244086304544</c:v>
                </c:pt>
                <c:pt idx="5">
                  <c:v>1489.6565513947728</c:v>
                </c:pt>
                <c:pt idx="6">
                  <c:v>1880.7158250042598</c:v>
                </c:pt>
                <c:pt idx="7">
                  <c:v>2289.9904058715483</c:v>
                </c:pt>
                <c:pt idx="8">
                  <c:v>2688.2213813472258</c:v>
                </c:pt>
                <c:pt idx="9">
                  <c:v>2984.4238831262046</c:v>
                </c:pt>
                <c:pt idx="10">
                  <c:v>3292.27516862107</c:v>
                </c:pt>
                <c:pt idx="11">
                  <c:v>3611.9421007467417</c:v>
                </c:pt>
                <c:pt idx="12">
                  <c:v>3943.5916723736764</c:v>
                </c:pt>
                <c:pt idx="13">
                  <c:v>4287.3910063278772</c:v>
                </c:pt>
                <c:pt idx="14">
                  <c:v>4578.3619403030998</c:v>
                </c:pt>
                <c:pt idx="15">
                  <c:v>4810.8716888982717</c:v>
                </c:pt>
                <c:pt idx="16">
                  <c:v>5049.9384331490992</c:v>
                </c:pt>
                <c:pt idx="17">
                  <c:v>5295.6388468248888</c:v>
                </c:pt>
                <c:pt idx="18">
                  <c:v>5548.0497336505068</c:v>
                </c:pt>
                <c:pt idx="19">
                  <c:v>5810.3488402041803</c:v>
                </c:pt>
                <c:pt idx="20">
                  <c:v>6076.8122177072009</c:v>
                </c:pt>
                <c:pt idx="21">
                  <c:v>6347.3416197704182</c:v>
                </c:pt>
                <c:pt idx="22">
                  <c:v>6572.9786266930741</c:v>
                </c:pt>
                <c:pt idx="23">
                  <c:v>6787.6724019667627</c:v>
                </c:pt>
                <c:pt idx="24">
                  <c:v>7006.6527521244707</c:v>
                </c:pt>
                <c:pt idx="25">
                  <c:v>7229.9588912507552</c:v>
                </c:pt>
                <c:pt idx="26">
                  <c:v>7457.630163385722</c:v>
                </c:pt>
                <c:pt idx="27">
                  <c:v>7639.3675574615554</c:v>
                </c:pt>
                <c:pt idx="28">
                  <c:v>7802.3275240358935</c:v>
                </c:pt>
                <c:pt idx="29">
                  <c:v>7952.6313554753397</c:v>
                </c:pt>
                <c:pt idx="30">
                  <c:v>8103.5937794177462</c:v>
                </c:pt>
                <c:pt idx="31">
                  <c:v>8255.1804307446837</c:v>
                </c:pt>
                <c:pt idx="32">
                  <c:v>8407.3564245155576</c:v>
                </c:pt>
                <c:pt idx="33">
                  <c:v>8550.5713743668803</c:v>
                </c:pt>
                <c:pt idx="34">
                  <c:v>8657.71769390597</c:v>
                </c:pt>
                <c:pt idx="35">
                  <c:v>8763.1308847445907</c:v>
                </c:pt>
                <c:pt idx="36">
                  <c:v>8866.7190553195505</c:v>
                </c:pt>
                <c:pt idx="37">
                  <c:v>8968.3890924855641</c:v>
                </c:pt>
                <c:pt idx="38">
                  <c:v>9068.0466615152782</c:v>
                </c:pt>
                <c:pt idx="39">
                  <c:v>9151.1387477757526</c:v>
                </c:pt>
                <c:pt idx="40">
                  <c:v>9231.4165611632379</c:v>
                </c:pt>
                <c:pt idx="41">
                  <c:v>9254.3247086212687</c:v>
                </c:pt>
                <c:pt idx="42">
                  <c:v>9270.6421022527484</c:v>
                </c:pt>
                <c:pt idx="43">
                  <c:v>9048.0126961770584</c:v>
                </c:pt>
                <c:pt idx="44">
                  <c:v>8803.5145513240222</c:v>
                </c:pt>
                <c:pt idx="45">
                  <c:v>7850.2522843995539</c:v>
                </c:pt>
                <c:pt idx="46">
                  <c:v>6831.4103197073473</c:v>
                </c:pt>
                <c:pt idx="47">
                  <c:v>6329.545274339268</c:v>
                </c:pt>
                <c:pt idx="48">
                  <c:v>5794.4074342525264</c:v>
                </c:pt>
                <c:pt idx="49">
                  <c:v>5497.6776872913251</c:v>
                </c:pt>
                <c:pt idx="50">
                  <c:v>5182.6796433628115</c:v>
                </c:pt>
                <c:pt idx="51">
                  <c:v>4916.8149648317167</c:v>
                </c:pt>
                <c:pt idx="52">
                  <c:v>4622.0073680964733</c:v>
                </c:pt>
                <c:pt idx="53">
                  <c:v>4357.8558171680006</c:v>
                </c:pt>
                <c:pt idx="54">
                  <c:v>4080.6878179221972</c:v>
                </c:pt>
                <c:pt idx="55">
                  <c:v>3784.2204797563418</c:v>
                </c:pt>
                <c:pt idx="56">
                  <c:v>3474.1938217034412</c:v>
                </c:pt>
                <c:pt idx="57">
                  <c:v>3185.3924532650371</c:v>
                </c:pt>
                <c:pt idx="58">
                  <c:v>2884.4226032897936</c:v>
                </c:pt>
                <c:pt idx="59">
                  <c:v>2610.470097599346</c:v>
                </c:pt>
                <c:pt idx="60">
                  <c:v>2325.8976166989291</c:v>
                </c:pt>
                <c:pt idx="61">
                  <c:v>2030.524450910706</c:v>
                </c:pt>
                <c:pt idx="62">
                  <c:v>1724.1684350547657</c:v>
                </c:pt>
                <c:pt idx="63">
                  <c:v>1406.6459484491756</c:v>
                </c:pt>
                <c:pt idx="64">
                  <c:v>1112.5373819111244</c:v>
                </c:pt>
                <c:pt idx="65">
                  <c:v>808.13963965843641</c:v>
                </c:pt>
                <c:pt idx="66">
                  <c:v>493.28982242019026</c:v>
                </c:pt>
                <c:pt idx="67">
                  <c:v>167.82386132562183</c:v>
                </c:pt>
                <c:pt idx="68">
                  <c:v>-168.42348209593231</c:v>
                </c:pt>
                <c:pt idx="69">
                  <c:v>-457.11263290950478</c:v>
                </c:pt>
                <c:pt idx="70">
                  <c:v>-754.34483492674372</c:v>
                </c:pt>
                <c:pt idx="71">
                  <c:v>-1060.2293807577985</c:v>
                </c:pt>
                <c:pt idx="72">
                  <c:v>-1374.8760828349957</c:v>
                </c:pt>
                <c:pt idx="73">
                  <c:v>-1698.3952734128275</c:v>
                </c:pt>
                <c:pt idx="74">
                  <c:v>-2030.8978045679405</c:v>
                </c:pt>
                <c:pt idx="75">
                  <c:v>-2372.4950481991627</c:v>
                </c:pt>
                <c:pt idx="76">
                  <c:v>-2723.2988960274711</c:v>
                </c:pt>
                <c:pt idx="77">
                  <c:v>-3083.4217595960267</c:v>
                </c:pt>
                <c:pt idx="78">
                  <c:v>-3452.976570270122</c:v>
                </c:pt>
                <c:pt idx="79">
                  <c:v>-3795.5577939123236</c:v>
                </c:pt>
                <c:pt idx="80">
                  <c:v>-4146.1129609543223</c:v>
                </c:pt>
                <c:pt idx="81">
                  <c:v>-4504.7179654322099</c:v>
                </c:pt>
                <c:pt idx="82">
                  <c:v>-4871.4488313375641</c:v>
                </c:pt>
                <c:pt idx="83">
                  <c:v>-5246.3817126175609</c:v>
                </c:pt>
                <c:pt idx="84">
                  <c:v>-5629.5928931748849</c:v>
                </c:pt>
                <c:pt idx="85">
                  <c:v>-6021.1587868677616</c:v>
                </c:pt>
                <c:pt idx="86">
                  <c:v>-6421.1559375099532</c:v>
                </c:pt>
                <c:pt idx="87">
                  <c:v>-6829.66101887081</c:v>
                </c:pt>
                <c:pt idx="88">
                  <c:v>-7246.7508346751674</c:v>
                </c:pt>
                <c:pt idx="89">
                  <c:v>-7619.376095366998</c:v>
                </c:pt>
                <c:pt idx="90">
                  <c:v>-7998.4633262996003</c:v>
                </c:pt>
                <c:pt idx="91">
                  <c:v>-8384.0412801364364</c:v>
                </c:pt>
                <c:pt idx="92">
                  <c:v>-8776.1383846521694</c:v>
                </c:pt>
                <c:pt idx="93">
                  <c:v>-9174.7827427325774</c:v>
                </c:pt>
                <c:pt idx="94">
                  <c:v>-9580.0021323746168</c:v>
                </c:pt>
                <c:pt idx="95">
                  <c:v>-10024.723536836675</c:v>
                </c:pt>
                <c:pt idx="96">
                  <c:v>-10507.539307212117</c:v>
                </c:pt>
                <c:pt idx="97">
                  <c:v>-10999.508007790577</c:v>
                </c:pt>
                <c:pt idx="98">
                  <c:v>-11500.701114119727</c:v>
                </c:pt>
                <c:pt idx="99">
                  <c:v>-12011.190101747232</c:v>
                </c:pt>
                <c:pt idx="100">
                  <c:v>-12531.046446220766</c:v>
                </c:pt>
                <c:pt idx="101">
                  <c:v>-13060.341623087976</c:v>
                </c:pt>
                <c:pt idx="102">
                  <c:v>-13599.147107896542</c:v>
                </c:pt>
                <c:pt idx="103">
                  <c:v>-14147.53437619414</c:v>
                </c:pt>
                <c:pt idx="104">
                  <c:v>-14705.574903528419</c:v>
                </c:pt>
                <c:pt idx="105">
                  <c:v>-15273.340165447042</c:v>
                </c:pt>
                <c:pt idx="106">
                  <c:v>-15850.901637497705</c:v>
                </c:pt>
                <c:pt idx="107">
                  <c:v>-16438.330795228037</c:v>
                </c:pt>
                <c:pt idx="108">
                  <c:v>-17035.69911418574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9B12-45B7-8702-50A1A245C030}"/>
            </c:ext>
          </c:extLst>
        </c:ser>
        <c:ser>
          <c:idx val="9"/>
          <c:order val="9"/>
          <c:tx>
            <c:v>45,000 ft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'11 - Climb RoC Calcs'!$CC$130:$CC$231</c:f>
              <c:numCache>
                <c:formatCode>General</c:formatCode>
                <c:ptCount val="102"/>
                <c:pt idx="0">
                  <c:v>0.59</c:v>
                </c:pt>
                <c:pt idx="1">
                  <c:v>0.6</c:v>
                </c:pt>
                <c:pt idx="2">
                  <c:v>0.61</c:v>
                </c:pt>
                <c:pt idx="3">
                  <c:v>0.62</c:v>
                </c:pt>
                <c:pt idx="4">
                  <c:v>0.63</c:v>
                </c:pt>
                <c:pt idx="5">
                  <c:v>0.64</c:v>
                </c:pt>
                <c:pt idx="6">
                  <c:v>0.65</c:v>
                </c:pt>
                <c:pt idx="7">
                  <c:v>0.66</c:v>
                </c:pt>
                <c:pt idx="8">
                  <c:v>0.67</c:v>
                </c:pt>
                <c:pt idx="9">
                  <c:v>0.68</c:v>
                </c:pt>
                <c:pt idx="10">
                  <c:v>0.69</c:v>
                </c:pt>
                <c:pt idx="11">
                  <c:v>0.7</c:v>
                </c:pt>
                <c:pt idx="12">
                  <c:v>0.71</c:v>
                </c:pt>
                <c:pt idx="13">
                  <c:v>0.72</c:v>
                </c:pt>
                <c:pt idx="14">
                  <c:v>0.73</c:v>
                </c:pt>
                <c:pt idx="15">
                  <c:v>0.74</c:v>
                </c:pt>
                <c:pt idx="16">
                  <c:v>0.75</c:v>
                </c:pt>
                <c:pt idx="17">
                  <c:v>0.76</c:v>
                </c:pt>
                <c:pt idx="18">
                  <c:v>0.77</c:v>
                </c:pt>
                <c:pt idx="19">
                  <c:v>0.78</c:v>
                </c:pt>
                <c:pt idx="20">
                  <c:v>0.79</c:v>
                </c:pt>
                <c:pt idx="21">
                  <c:v>0.8</c:v>
                </c:pt>
                <c:pt idx="22">
                  <c:v>0.81</c:v>
                </c:pt>
                <c:pt idx="23">
                  <c:v>0.82</c:v>
                </c:pt>
                <c:pt idx="24">
                  <c:v>0.83</c:v>
                </c:pt>
                <c:pt idx="25">
                  <c:v>0.84</c:v>
                </c:pt>
                <c:pt idx="26">
                  <c:v>0.85</c:v>
                </c:pt>
                <c:pt idx="27">
                  <c:v>0.86</c:v>
                </c:pt>
                <c:pt idx="28">
                  <c:v>0.87</c:v>
                </c:pt>
                <c:pt idx="29">
                  <c:v>0.88</c:v>
                </c:pt>
                <c:pt idx="30">
                  <c:v>0.89</c:v>
                </c:pt>
                <c:pt idx="31">
                  <c:v>0.9</c:v>
                </c:pt>
                <c:pt idx="32">
                  <c:v>0.91</c:v>
                </c:pt>
                <c:pt idx="33">
                  <c:v>0.92</c:v>
                </c:pt>
                <c:pt idx="34">
                  <c:v>0.93</c:v>
                </c:pt>
                <c:pt idx="35">
                  <c:v>0.94</c:v>
                </c:pt>
                <c:pt idx="36">
                  <c:v>0.95</c:v>
                </c:pt>
                <c:pt idx="37">
                  <c:v>0.96</c:v>
                </c:pt>
                <c:pt idx="38">
                  <c:v>0.97</c:v>
                </c:pt>
                <c:pt idx="39">
                  <c:v>0.98</c:v>
                </c:pt>
                <c:pt idx="40">
                  <c:v>0.99</c:v>
                </c:pt>
                <c:pt idx="41">
                  <c:v>1</c:v>
                </c:pt>
                <c:pt idx="42">
                  <c:v>1.01</c:v>
                </c:pt>
                <c:pt idx="43">
                  <c:v>1.02</c:v>
                </c:pt>
                <c:pt idx="44">
                  <c:v>1.03</c:v>
                </c:pt>
                <c:pt idx="45">
                  <c:v>1.04</c:v>
                </c:pt>
                <c:pt idx="46">
                  <c:v>1.05</c:v>
                </c:pt>
                <c:pt idx="47">
                  <c:v>1.06</c:v>
                </c:pt>
                <c:pt idx="48">
                  <c:v>1.07</c:v>
                </c:pt>
                <c:pt idx="49">
                  <c:v>1.08</c:v>
                </c:pt>
                <c:pt idx="50">
                  <c:v>1.0900000000000001</c:v>
                </c:pt>
                <c:pt idx="51">
                  <c:v>1.1000000000000001</c:v>
                </c:pt>
                <c:pt idx="52">
                  <c:v>1.1100000000000001</c:v>
                </c:pt>
                <c:pt idx="53">
                  <c:v>1.1200000000000001</c:v>
                </c:pt>
                <c:pt idx="54">
                  <c:v>1.1299999999999999</c:v>
                </c:pt>
                <c:pt idx="55">
                  <c:v>1.1399999999999999</c:v>
                </c:pt>
                <c:pt idx="56">
                  <c:v>1.1499999999999999</c:v>
                </c:pt>
                <c:pt idx="57">
                  <c:v>1.1599999999999999</c:v>
                </c:pt>
                <c:pt idx="58">
                  <c:v>1.17</c:v>
                </c:pt>
                <c:pt idx="59">
                  <c:v>1.18</c:v>
                </c:pt>
                <c:pt idx="60">
                  <c:v>1.19</c:v>
                </c:pt>
                <c:pt idx="61">
                  <c:v>1.2</c:v>
                </c:pt>
                <c:pt idx="62">
                  <c:v>1.21</c:v>
                </c:pt>
                <c:pt idx="63">
                  <c:v>1.22</c:v>
                </c:pt>
                <c:pt idx="64">
                  <c:v>1.23</c:v>
                </c:pt>
                <c:pt idx="65">
                  <c:v>1.24</c:v>
                </c:pt>
                <c:pt idx="66">
                  <c:v>1.25</c:v>
                </c:pt>
                <c:pt idx="67">
                  <c:v>1.26</c:v>
                </c:pt>
                <c:pt idx="68">
                  <c:v>1.27</c:v>
                </c:pt>
                <c:pt idx="69">
                  <c:v>1.28</c:v>
                </c:pt>
                <c:pt idx="70">
                  <c:v>1.29</c:v>
                </c:pt>
                <c:pt idx="71">
                  <c:v>1.3</c:v>
                </c:pt>
                <c:pt idx="72">
                  <c:v>1.31</c:v>
                </c:pt>
                <c:pt idx="73">
                  <c:v>1.32</c:v>
                </c:pt>
                <c:pt idx="74">
                  <c:v>1.33</c:v>
                </c:pt>
                <c:pt idx="75">
                  <c:v>1.34</c:v>
                </c:pt>
                <c:pt idx="76">
                  <c:v>1.35</c:v>
                </c:pt>
                <c:pt idx="77">
                  <c:v>1.36</c:v>
                </c:pt>
                <c:pt idx="78">
                  <c:v>1.37</c:v>
                </c:pt>
                <c:pt idx="79">
                  <c:v>1.38</c:v>
                </c:pt>
                <c:pt idx="80">
                  <c:v>1.39</c:v>
                </c:pt>
                <c:pt idx="81">
                  <c:v>1.4</c:v>
                </c:pt>
                <c:pt idx="82">
                  <c:v>1.41</c:v>
                </c:pt>
                <c:pt idx="83">
                  <c:v>1.42</c:v>
                </c:pt>
                <c:pt idx="84">
                  <c:v>1.43</c:v>
                </c:pt>
                <c:pt idx="85">
                  <c:v>1.44</c:v>
                </c:pt>
                <c:pt idx="86">
                  <c:v>1.45</c:v>
                </c:pt>
                <c:pt idx="87">
                  <c:v>1.46</c:v>
                </c:pt>
                <c:pt idx="88">
                  <c:v>1.47</c:v>
                </c:pt>
                <c:pt idx="89">
                  <c:v>1.48</c:v>
                </c:pt>
                <c:pt idx="90">
                  <c:v>1.49</c:v>
                </c:pt>
                <c:pt idx="91">
                  <c:v>1.5</c:v>
                </c:pt>
                <c:pt idx="92">
                  <c:v>1.51</c:v>
                </c:pt>
                <c:pt idx="93">
                  <c:v>1.52</c:v>
                </c:pt>
                <c:pt idx="94">
                  <c:v>1.53</c:v>
                </c:pt>
                <c:pt idx="95">
                  <c:v>1.54</c:v>
                </c:pt>
                <c:pt idx="96">
                  <c:v>1.55</c:v>
                </c:pt>
                <c:pt idx="97">
                  <c:v>1.56</c:v>
                </c:pt>
                <c:pt idx="98">
                  <c:v>1.57</c:v>
                </c:pt>
                <c:pt idx="99">
                  <c:v>1.58</c:v>
                </c:pt>
                <c:pt idx="100">
                  <c:v>1.59</c:v>
                </c:pt>
                <c:pt idx="101">
                  <c:v>1.6</c:v>
                </c:pt>
              </c:numCache>
            </c:numRef>
          </c:xVal>
          <c:yVal>
            <c:numRef>
              <c:f>'11 - Climb RoC Calcs'!$CI$130:$CI$231</c:f>
              <c:numCache>
                <c:formatCode>General</c:formatCode>
                <c:ptCount val="102"/>
                <c:pt idx="0">
                  <c:v>-2096.8837974359021</c:v>
                </c:pt>
                <c:pt idx="1">
                  <c:v>-1673.9538682151535</c:v>
                </c:pt>
                <c:pt idx="2">
                  <c:v>-1228.5062072420151</c:v>
                </c:pt>
                <c:pt idx="3">
                  <c:v>-760.1833917866885</c:v>
                </c:pt>
                <c:pt idx="4">
                  <c:v>-366.56481546949738</c:v>
                </c:pt>
                <c:pt idx="5">
                  <c:v>-29.75857206048309</c:v>
                </c:pt>
                <c:pt idx="6">
                  <c:v>322.64365976513079</c:v>
                </c:pt>
                <c:pt idx="7">
                  <c:v>690.86921077259115</c:v>
                </c:pt>
                <c:pt idx="8">
                  <c:v>1075.1455139212471</c:v>
                </c:pt>
                <c:pt idx="9">
                  <c:v>1392.216799813533</c:v>
                </c:pt>
                <c:pt idx="10">
                  <c:v>1657.1057467515418</c:v>
                </c:pt>
                <c:pt idx="11">
                  <c:v>1932.1176773262464</c:v>
                </c:pt>
                <c:pt idx="12">
                  <c:v>2239.9435275808996</c:v>
                </c:pt>
                <c:pt idx="13">
                  <c:v>2550.242948164675</c:v>
                </c:pt>
                <c:pt idx="14">
                  <c:v>2862.610126324681</c:v>
                </c:pt>
                <c:pt idx="15">
                  <c:v>3161.2363980172199</c:v>
                </c:pt>
                <c:pt idx="16">
                  <c:v>3360.7385130182124</c:v>
                </c:pt>
                <c:pt idx="17">
                  <c:v>3563.4118224689669</c:v>
                </c:pt>
                <c:pt idx="18">
                  <c:v>3769.1692570001856</c:v>
                </c:pt>
                <c:pt idx="19">
                  <c:v>3977.9212945842928</c:v>
                </c:pt>
                <c:pt idx="20">
                  <c:v>4189.5759605354115</c:v>
                </c:pt>
                <c:pt idx="21">
                  <c:v>4404.0388275093774</c:v>
                </c:pt>
                <c:pt idx="22">
                  <c:v>4630.0617094803383</c:v>
                </c:pt>
                <c:pt idx="23">
                  <c:v>4856.638522283135</c:v>
                </c:pt>
                <c:pt idx="24">
                  <c:v>5059.8036125538347</c:v>
                </c:pt>
                <c:pt idx="25">
                  <c:v>5226.4515856251592</c:v>
                </c:pt>
                <c:pt idx="26">
                  <c:v>5388.8585318930982</c:v>
                </c:pt>
                <c:pt idx="27">
                  <c:v>5525.0657973745847</c:v>
                </c:pt>
                <c:pt idx="28">
                  <c:v>5656.6291663894344</c:v>
                </c:pt>
                <c:pt idx="29">
                  <c:v>5783.2100596801283</c:v>
                </c:pt>
                <c:pt idx="30">
                  <c:v>5875.7811005867725</c:v>
                </c:pt>
                <c:pt idx="31">
                  <c:v>5955.0079595041443</c:v>
                </c:pt>
                <c:pt idx="32">
                  <c:v>6019.8970111659155</c:v>
                </c:pt>
                <c:pt idx="33">
                  <c:v>6083.2336074671584</c:v>
                </c:pt>
                <c:pt idx="34">
                  <c:v>6102.1317982662358</c:v>
                </c:pt>
                <c:pt idx="35">
                  <c:v>6116.5382611971791</c:v>
                </c:pt>
                <c:pt idx="36">
                  <c:v>5943.748868083203</c:v>
                </c:pt>
                <c:pt idx="37">
                  <c:v>5740.0365875582866</c:v>
                </c:pt>
                <c:pt idx="38">
                  <c:v>4967.7104381482295</c:v>
                </c:pt>
                <c:pt idx="39">
                  <c:v>4143.5998588950742</c:v>
                </c:pt>
                <c:pt idx="40">
                  <c:v>3722.7430828161241</c:v>
                </c:pt>
                <c:pt idx="41">
                  <c:v>3275.4452515671296</c:v>
                </c:pt>
                <c:pt idx="42">
                  <c:v>3012.2169204594588</c:v>
                </c:pt>
                <c:pt idx="43">
                  <c:v>2734.2846890553301</c:v>
                </c:pt>
                <c:pt idx="44">
                  <c:v>2491.4565121772885</c:v>
                </c:pt>
                <c:pt idx="45">
                  <c:v>2236.7093487953102</c:v>
                </c:pt>
                <c:pt idx="46">
                  <c:v>2015.6784247954092</c:v>
                </c:pt>
                <c:pt idx="47">
                  <c:v>1786.005689733483</c:v>
                </c:pt>
                <c:pt idx="48">
                  <c:v>1539.8241705112703</c:v>
                </c:pt>
                <c:pt idx="49">
                  <c:v>1284.8448591806871</c:v>
                </c:pt>
                <c:pt idx="50">
                  <c:v>1048.4954714607229</c:v>
                </c:pt>
                <c:pt idx="51">
                  <c:v>804.59060563711932</c:v>
                </c:pt>
                <c:pt idx="52">
                  <c:v>585.09665779752618</c:v>
                </c:pt>
                <c:pt idx="53">
                  <c:v>359.35111050538768</c:v>
                </c:pt>
                <c:pt idx="54">
                  <c:v>127.28558058176516</c:v>
                </c:pt>
                <c:pt idx="55">
                  <c:v>-111.16868305104759</c:v>
                </c:pt>
                <c:pt idx="56">
                  <c:v>-356.08079936947649</c:v>
                </c:pt>
                <c:pt idx="57">
                  <c:v>-576.58047816967462</c:v>
                </c:pt>
                <c:pt idx="58">
                  <c:v>-812.07421028399074</c:v>
                </c:pt>
                <c:pt idx="59">
                  <c:v>-1090.5226129523267</c:v>
                </c:pt>
                <c:pt idx="60">
                  <c:v>-1377.6326189730667</c:v>
                </c:pt>
                <c:pt idx="61">
                  <c:v>-1673.5341681385353</c:v>
                </c:pt>
                <c:pt idx="62">
                  <c:v>-1930.0981983739678</c:v>
                </c:pt>
                <c:pt idx="63">
                  <c:v>-2193.6563733609701</c:v>
                </c:pt>
                <c:pt idx="64">
                  <c:v>-2464.2946383337735</c:v>
                </c:pt>
                <c:pt idx="65">
                  <c:v>-2742.0993473030021</c:v>
                </c:pt>
                <c:pt idx="66">
                  <c:v>-3027.1572630556661</c:v>
                </c:pt>
                <c:pt idx="67">
                  <c:v>-3319.5555571551504</c:v>
                </c:pt>
                <c:pt idx="68">
                  <c:v>-3619.3818099412301</c:v>
                </c:pt>
                <c:pt idx="69">
                  <c:v>-3926.7240105300525</c:v>
                </c:pt>
                <c:pt idx="70">
                  <c:v>-4241.670556814156</c:v>
                </c:pt>
                <c:pt idx="71">
                  <c:v>-4564.3102554624484</c:v>
                </c:pt>
                <c:pt idx="72">
                  <c:v>-4866.0146186509983</c:v>
                </c:pt>
                <c:pt idx="73">
                  <c:v>-5174.2655930987748</c:v>
                </c:pt>
                <c:pt idx="74">
                  <c:v>-5489.1228601574821</c:v>
                </c:pt>
                <c:pt idx="75">
                  <c:v>-5810.6462033729476</c:v>
                </c:pt>
                <c:pt idx="76">
                  <c:v>-6138.8955084850822</c:v>
                </c:pt>
                <c:pt idx="77">
                  <c:v>-6473.9307634278912</c:v>
                </c:pt>
                <c:pt idx="78">
                  <c:v>-6815.8120583294813</c:v>
                </c:pt>
                <c:pt idx="79">
                  <c:v>-7164.5995855120409</c:v>
                </c:pt>
                <c:pt idx="80">
                  <c:v>-7520.3536394918892</c:v>
                </c:pt>
                <c:pt idx="81">
                  <c:v>-7883.1346169793915</c:v>
                </c:pt>
                <c:pt idx="82">
                  <c:v>-8211.2257577042983</c:v>
                </c:pt>
                <c:pt idx="83">
                  <c:v>-8544.6745282272404</c:v>
                </c:pt>
                <c:pt idx="84">
                  <c:v>-8883.5035389918194</c:v>
                </c:pt>
                <c:pt idx="85">
                  <c:v>-9227.7351449564212</c:v>
                </c:pt>
                <c:pt idx="86">
                  <c:v>-9577.3914455941649</c:v>
                </c:pt>
                <c:pt idx="87">
                  <c:v>-9932.494284892955</c:v>
                </c:pt>
                <c:pt idx="88">
                  <c:v>-10293.06525135544</c:v>
                </c:pt>
                <c:pt idx="89">
                  <c:v>-10659.125677999049</c:v>
                </c:pt>
                <c:pt idx="90">
                  <c:v>-11030.696642355948</c:v>
                </c:pt>
                <c:pt idx="91">
                  <c:v>-11407.798966473089</c:v>
                </c:pt>
                <c:pt idx="92">
                  <c:v>-11790.453216912169</c:v>
                </c:pt>
                <c:pt idx="93">
                  <c:v>-12178.679704749649</c:v>
                </c:pt>
                <c:pt idx="94">
                  <c:v>-12572.498485576753</c:v>
                </c:pt>
                <c:pt idx="95">
                  <c:v>-12971.929359499469</c:v>
                </c:pt>
                <c:pt idx="96">
                  <c:v>-13376.99187113856</c:v>
                </c:pt>
                <c:pt idx="97">
                  <c:v>-13787.705309629519</c:v>
                </c:pt>
                <c:pt idx="98">
                  <c:v>-14204.088708622601</c:v>
                </c:pt>
                <c:pt idx="99">
                  <c:v>-14626.160846282881</c:v>
                </c:pt>
                <c:pt idx="100">
                  <c:v>-15053.940245290118</c:v>
                </c:pt>
                <c:pt idx="101">
                  <c:v>-15487.445172838896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9B12-45B7-8702-50A1A245C030}"/>
            </c:ext>
          </c:extLst>
        </c:ser>
        <c:ser>
          <c:idx val="10"/>
          <c:order val="10"/>
          <c:tx>
            <c:v>50,000 ft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'11 - Climb RoC Calcs'!$CK$137:$CK$231</c:f>
              <c:numCache>
                <c:formatCode>General</c:formatCode>
                <c:ptCount val="95"/>
                <c:pt idx="0">
                  <c:v>0.66</c:v>
                </c:pt>
                <c:pt idx="1">
                  <c:v>0.67</c:v>
                </c:pt>
                <c:pt idx="2">
                  <c:v>0.68</c:v>
                </c:pt>
                <c:pt idx="3">
                  <c:v>0.69</c:v>
                </c:pt>
                <c:pt idx="4">
                  <c:v>0.7</c:v>
                </c:pt>
                <c:pt idx="5">
                  <c:v>0.71</c:v>
                </c:pt>
                <c:pt idx="6">
                  <c:v>0.72</c:v>
                </c:pt>
                <c:pt idx="7">
                  <c:v>0.73</c:v>
                </c:pt>
                <c:pt idx="8">
                  <c:v>0.74</c:v>
                </c:pt>
                <c:pt idx="9">
                  <c:v>0.75</c:v>
                </c:pt>
                <c:pt idx="10">
                  <c:v>0.76</c:v>
                </c:pt>
                <c:pt idx="11">
                  <c:v>0.77</c:v>
                </c:pt>
                <c:pt idx="12">
                  <c:v>0.78</c:v>
                </c:pt>
                <c:pt idx="13">
                  <c:v>0.79</c:v>
                </c:pt>
                <c:pt idx="14">
                  <c:v>0.8</c:v>
                </c:pt>
                <c:pt idx="15">
                  <c:v>0.81</c:v>
                </c:pt>
                <c:pt idx="16">
                  <c:v>0.82</c:v>
                </c:pt>
                <c:pt idx="17">
                  <c:v>0.83</c:v>
                </c:pt>
                <c:pt idx="18">
                  <c:v>0.84</c:v>
                </c:pt>
                <c:pt idx="19">
                  <c:v>0.85</c:v>
                </c:pt>
                <c:pt idx="20">
                  <c:v>0.86</c:v>
                </c:pt>
                <c:pt idx="21">
                  <c:v>0.87</c:v>
                </c:pt>
                <c:pt idx="22">
                  <c:v>0.88</c:v>
                </c:pt>
                <c:pt idx="23">
                  <c:v>0.89</c:v>
                </c:pt>
                <c:pt idx="24">
                  <c:v>0.9</c:v>
                </c:pt>
                <c:pt idx="25">
                  <c:v>0.91</c:v>
                </c:pt>
                <c:pt idx="26">
                  <c:v>0.92</c:v>
                </c:pt>
                <c:pt idx="27">
                  <c:v>0.93</c:v>
                </c:pt>
                <c:pt idx="28">
                  <c:v>0.94</c:v>
                </c:pt>
                <c:pt idx="29">
                  <c:v>0.95</c:v>
                </c:pt>
                <c:pt idx="30">
                  <c:v>0.96</c:v>
                </c:pt>
                <c:pt idx="31">
                  <c:v>0.97</c:v>
                </c:pt>
                <c:pt idx="32">
                  <c:v>0.98</c:v>
                </c:pt>
                <c:pt idx="33">
                  <c:v>0.99</c:v>
                </c:pt>
                <c:pt idx="34">
                  <c:v>1</c:v>
                </c:pt>
                <c:pt idx="35">
                  <c:v>1.01</c:v>
                </c:pt>
                <c:pt idx="36">
                  <c:v>1.02</c:v>
                </c:pt>
                <c:pt idx="37">
                  <c:v>1.03</c:v>
                </c:pt>
                <c:pt idx="38">
                  <c:v>1.04</c:v>
                </c:pt>
                <c:pt idx="39">
                  <c:v>1.05</c:v>
                </c:pt>
                <c:pt idx="40">
                  <c:v>1.06</c:v>
                </c:pt>
                <c:pt idx="41">
                  <c:v>1.07</c:v>
                </c:pt>
                <c:pt idx="42">
                  <c:v>1.08</c:v>
                </c:pt>
                <c:pt idx="43">
                  <c:v>1.0900000000000001</c:v>
                </c:pt>
                <c:pt idx="44">
                  <c:v>1.1000000000000001</c:v>
                </c:pt>
                <c:pt idx="45">
                  <c:v>1.1100000000000001</c:v>
                </c:pt>
                <c:pt idx="46">
                  <c:v>1.1200000000000001</c:v>
                </c:pt>
                <c:pt idx="47">
                  <c:v>1.1299999999999999</c:v>
                </c:pt>
                <c:pt idx="48">
                  <c:v>1.1399999999999999</c:v>
                </c:pt>
                <c:pt idx="49">
                  <c:v>1.1499999999999999</c:v>
                </c:pt>
                <c:pt idx="50">
                  <c:v>1.1599999999999999</c:v>
                </c:pt>
                <c:pt idx="51">
                  <c:v>1.17</c:v>
                </c:pt>
                <c:pt idx="52">
                  <c:v>1.18</c:v>
                </c:pt>
                <c:pt idx="53">
                  <c:v>1.19</c:v>
                </c:pt>
                <c:pt idx="54">
                  <c:v>1.2</c:v>
                </c:pt>
                <c:pt idx="55">
                  <c:v>1.21</c:v>
                </c:pt>
                <c:pt idx="56">
                  <c:v>1.22</c:v>
                </c:pt>
                <c:pt idx="57">
                  <c:v>1.23</c:v>
                </c:pt>
                <c:pt idx="58">
                  <c:v>1.24</c:v>
                </c:pt>
                <c:pt idx="59">
                  <c:v>1.25</c:v>
                </c:pt>
                <c:pt idx="60">
                  <c:v>1.26</c:v>
                </c:pt>
                <c:pt idx="61">
                  <c:v>1.27</c:v>
                </c:pt>
                <c:pt idx="62">
                  <c:v>1.28</c:v>
                </c:pt>
                <c:pt idx="63">
                  <c:v>1.29</c:v>
                </c:pt>
                <c:pt idx="64">
                  <c:v>1.3</c:v>
                </c:pt>
                <c:pt idx="65">
                  <c:v>1.31</c:v>
                </c:pt>
                <c:pt idx="66">
                  <c:v>1.32</c:v>
                </c:pt>
                <c:pt idx="67">
                  <c:v>1.33</c:v>
                </c:pt>
                <c:pt idx="68">
                  <c:v>1.34</c:v>
                </c:pt>
                <c:pt idx="69">
                  <c:v>1.35</c:v>
                </c:pt>
                <c:pt idx="70">
                  <c:v>1.36</c:v>
                </c:pt>
                <c:pt idx="71">
                  <c:v>1.37</c:v>
                </c:pt>
                <c:pt idx="72">
                  <c:v>1.38</c:v>
                </c:pt>
                <c:pt idx="73">
                  <c:v>1.39</c:v>
                </c:pt>
                <c:pt idx="74">
                  <c:v>1.4</c:v>
                </c:pt>
                <c:pt idx="75">
                  <c:v>1.41</c:v>
                </c:pt>
                <c:pt idx="76">
                  <c:v>1.42</c:v>
                </c:pt>
                <c:pt idx="77">
                  <c:v>1.43</c:v>
                </c:pt>
                <c:pt idx="78">
                  <c:v>1.44</c:v>
                </c:pt>
                <c:pt idx="79">
                  <c:v>1.45</c:v>
                </c:pt>
                <c:pt idx="80">
                  <c:v>1.46</c:v>
                </c:pt>
                <c:pt idx="81">
                  <c:v>1.47</c:v>
                </c:pt>
                <c:pt idx="82">
                  <c:v>1.48</c:v>
                </c:pt>
                <c:pt idx="83">
                  <c:v>1.49</c:v>
                </c:pt>
                <c:pt idx="84">
                  <c:v>1.5</c:v>
                </c:pt>
                <c:pt idx="85">
                  <c:v>1.51</c:v>
                </c:pt>
                <c:pt idx="86">
                  <c:v>1.52</c:v>
                </c:pt>
                <c:pt idx="87">
                  <c:v>1.53</c:v>
                </c:pt>
                <c:pt idx="88">
                  <c:v>1.54</c:v>
                </c:pt>
                <c:pt idx="89">
                  <c:v>1.55</c:v>
                </c:pt>
                <c:pt idx="90">
                  <c:v>1.56</c:v>
                </c:pt>
                <c:pt idx="91">
                  <c:v>1.57</c:v>
                </c:pt>
                <c:pt idx="92">
                  <c:v>1.58</c:v>
                </c:pt>
                <c:pt idx="93">
                  <c:v>1.59</c:v>
                </c:pt>
                <c:pt idx="94">
                  <c:v>1.6</c:v>
                </c:pt>
              </c:numCache>
            </c:numRef>
          </c:xVal>
          <c:yVal>
            <c:numRef>
              <c:f>'11 - Climb RoC Calcs'!$CQ$137:$CQ$231</c:f>
              <c:numCache>
                <c:formatCode>General</c:formatCode>
                <c:ptCount val="95"/>
                <c:pt idx="0">
                  <c:v>-4029.5569377802021</c:v>
                </c:pt>
                <c:pt idx="1">
                  <c:v>-3648.9837187849616</c:v>
                </c:pt>
                <c:pt idx="2">
                  <c:v>-3248.8753713896122</c:v>
                </c:pt>
                <c:pt idx="3">
                  <c:v>-2828.9502639096463</c:v>
                </c:pt>
                <c:pt idx="4">
                  <c:v>-2388.9266842974093</c:v>
                </c:pt>
                <c:pt idx="5">
                  <c:v>-1967.9770127201718</c:v>
                </c:pt>
                <c:pt idx="6">
                  <c:v>-1609.5593024925204</c:v>
                </c:pt>
                <c:pt idx="7">
                  <c:v>-1246.7282566078734</c:v>
                </c:pt>
                <c:pt idx="8">
                  <c:v>-879.96348218404239</c:v>
                </c:pt>
                <c:pt idx="9">
                  <c:v>-509.75648811735624</c:v>
                </c:pt>
                <c:pt idx="10">
                  <c:v>-136.61068508264461</c:v>
                </c:pt>
                <c:pt idx="11">
                  <c:v>110.83052241255245</c:v>
                </c:pt>
                <c:pt idx="12">
                  <c:v>353.50878781653603</c:v>
                </c:pt>
                <c:pt idx="13">
                  <c:v>596.62393042614735</c:v>
                </c:pt>
                <c:pt idx="14">
                  <c:v>839.80254299055878</c:v>
                </c:pt>
                <c:pt idx="15">
                  <c:v>1095.8003626059835</c:v>
                </c:pt>
                <c:pt idx="16">
                  <c:v>1354.3250520030406</c:v>
                </c:pt>
                <c:pt idx="17">
                  <c:v>1615.140564598833</c:v>
                </c:pt>
                <c:pt idx="18">
                  <c:v>1812.2563847205906</c:v>
                </c:pt>
                <c:pt idx="19">
                  <c:v>1981.8102507963358</c:v>
                </c:pt>
                <c:pt idx="20">
                  <c:v>2132.9529111507795</c:v>
                </c:pt>
                <c:pt idx="21">
                  <c:v>2282.4142286081228</c:v>
                </c:pt>
                <c:pt idx="22">
                  <c:v>2429.9347106443288</c:v>
                </c:pt>
                <c:pt idx="23">
                  <c:v>2575.2503644004883</c:v>
                </c:pt>
                <c:pt idx="24">
                  <c:v>2718.0926966827942</c:v>
                </c:pt>
                <c:pt idx="25">
                  <c:v>2833.692428337104</c:v>
                </c:pt>
                <c:pt idx="26">
                  <c:v>2950.634572797137</c:v>
                </c:pt>
                <c:pt idx="27">
                  <c:v>3013.9089582695028</c:v>
                </c:pt>
                <c:pt idx="28">
                  <c:v>3024.6486676834893</c:v>
                </c:pt>
                <c:pt idx="29">
                  <c:v>2884.7427707159763</c:v>
                </c:pt>
                <c:pt idx="30">
                  <c:v>2736.1020145507778</c:v>
                </c:pt>
                <c:pt idx="31">
                  <c:v>2152.4221456790601</c:v>
                </c:pt>
                <c:pt idx="32">
                  <c:v>1529.9976550801925</c:v>
                </c:pt>
                <c:pt idx="33">
                  <c:v>1223.9769216306725</c:v>
                </c:pt>
                <c:pt idx="34">
                  <c:v>879.01123311501055</c:v>
                </c:pt>
                <c:pt idx="35">
                  <c:v>653.7896959394451</c:v>
                </c:pt>
                <c:pt idx="36">
                  <c:v>417.81039383702728</c:v>
                </c:pt>
                <c:pt idx="37">
                  <c:v>206.708890831518</c:v>
                </c:pt>
                <c:pt idx="38">
                  <c:v>-12.799627529146036</c:v>
                </c:pt>
                <c:pt idx="39">
                  <c:v>-211.72856672134148</c:v>
                </c:pt>
                <c:pt idx="40">
                  <c:v>-416.19918219788366</c:v>
                </c:pt>
                <c:pt idx="41">
                  <c:v>-635.70701912184586</c:v>
                </c:pt>
                <c:pt idx="42">
                  <c:v>-873.41734725628908</c:v>
                </c:pt>
                <c:pt idx="43">
                  <c:v>-1111.4807011578293</c:v>
                </c:pt>
                <c:pt idx="44">
                  <c:v>-1356.1233293047712</c:v>
                </c:pt>
                <c:pt idx="45">
                  <c:v>-1580.8302390090955</c:v>
                </c:pt>
                <c:pt idx="46">
                  <c:v>-1811.0662653250101</c:v>
                </c:pt>
                <c:pt idx="47">
                  <c:v>-2046.8851832362477</c:v>
                </c:pt>
                <c:pt idx="48">
                  <c:v>-2288.3410570337819</c:v>
                </c:pt>
                <c:pt idx="49">
                  <c:v>-2535.4882403158213</c:v>
                </c:pt>
                <c:pt idx="50">
                  <c:v>-2758.2934958483656</c:v>
                </c:pt>
                <c:pt idx="51">
                  <c:v>-2986.2713404746955</c:v>
                </c:pt>
                <c:pt idx="52">
                  <c:v>-3219.4727645963221</c:v>
                </c:pt>
                <c:pt idx="53">
                  <c:v>-3457.9489997041369</c:v>
                </c:pt>
                <c:pt idx="54">
                  <c:v>-3701.7515183783876</c:v>
                </c:pt>
                <c:pt idx="55">
                  <c:v>-3909.6329809460885</c:v>
                </c:pt>
                <c:pt idx="56">
                  <c:v>-4121.4676181469013</c:v>
                </c:pt>
                <c:pt idx="57">
                  <c:v>-4337.2782129261932</c:v>
                </c:pt>
                <c:pt idx="58">
                  <c:v>-4557.0874678661839</c:v>
                </c:pt>
                <c:pt idx="59">
                  <c:v>-4780.918005186003</c:v>
                </c:pt>
                <c:pt idx="60">
                  <c:v>-5008.792366741628</c:v>
                </c:pt>
                <c:pt idx="61">
                  <c:v>-5240.7330140259346</c:v>
                </c:pt>
                <c:pt idx="62">
                  <c:v>-5476.762328168662</c:v>
                </c:pt>
                <c:pt idx="63">
                  <c:v>-5716.9026099364282</c:v>
                </c:pt>
                <c:pt idx="64">
                  <c:v>-5961.1760797327352</c:v>
                </c:pt>
                <c:pt idx="65">
                  <c:v>-6187.0219259162086</c:v>
                </c:pt>
                <c:pt idx="66">
                  <c:v>-6431.6441785340367</c:v>
                </c:pt>
                <c:pt idx="67">
                  <c:v>-6718.925925489455</c:v>
                </c:pt>
                <c:pt idx="68">
                  <c:v>-7011.7773288550716</c:v>
                </c:pt>
                <c:pt idx="69">
                  <c:v>-7310.2454814209405</c:v>
                </c:pt>
                <c:pt idx="70">
                  <c:v>-7614.3775563402296</c:v>
                </c:pt>
                <c:pt idx="71">
                  <c:v>-7924.2208071292507</c:v>
                </c:pt>
                <c:pt idx="72">
                  <c:v>-8239.8225676674065</c:v>
                </c:pt>
                <c:pt idx="73">
                  <c:v>-8561.2302521972688</c:v>
                </c:pt>
                <c:pt idx="74">
                  <c:v>-8888.4913553244915</c:v>
                </c:pt>
                <c:pt idx="75">
                  <c:v>-9188.8007612405236</c:v>
                </c:pt>
                <c:pt idx="76">
                  <c:v>-9493.6508909735003</c:v>
                </c:pt>
                <c:pt idx="77">
                  <c:v>-9803.0595248643731</c:v>
                </c:pt>
                <c:pt idx="78">
                  <c:v>-10117.044242346283</c:v>
                </c:pt>
                <c:pt idx="79">
                  <c:v>-10435.622421944585</c:v>
                </c:pt>
                <c:pt idx="80">
                  <c:v>-10758.811241276779</c:v>
                </c:pt>
                <c:pt idx="81">
                  <c:v>-11086.627677052622</c:v>
                </c:pt>
                <c:pt idx="82">
                  <c:v>-11419.088505074023</c:v>
                </c:pt>
                <c:pt idx="83">
                  <c:v>-11756.21030023508</c:v>
                </c:pt>
                <c:pt idx="84">
                  <c:v>-12098.009436522119</c:v>
                </c:pt>
                <c:pt idx="85">
                  <c:v>-12444.502087013614</c:v>
                </c:pt>
                <c:pt idx="86">
                  <c:v>-12795.704223880259</c:v>
                </c:pt>
                <c:pt idx="87">
                  <c:v>-13151.631618384934</c:v>
                </c:pt>
                <c:pt idx="88">
                  <c:v>-13512.299840882719</c:v>
                </c:pt>
                <c:pt idx="89">
                  <c:v>-13877.724260820871</c:v>
                </c:pt>
                <c:pt idx="90">
                  <c:v>-14247.920046738869</c:v>
                </c:pt>
                <c:pt idx="91">
                  <c:v>-14622.902166268324</c:v>
                </c:pt>
                <c:pt idx="92">
                  <c:v>-15002.685386133111</c:v>
                </c:pt>
                <c:pt idx="93">
                  <c:v>-15387.284272149253</c:v>
                </c:pt>
                <c:pt idx="94">
                  <c:v>-15776.713189225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9B12-45B7-8702-50A1A245C030}"/>
            </c:ext>
          </c:extLst>
        </c:ser>
        <c:ser>
          <c:idx val="11"/>
          <c:order val="11"/>
          <c:tx>
            <c:v>Max RoC's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'11 - Climb Summary'!$E$27:$E$37</c:f>
              <c:numCache>
                <c:formatCode>0.0000</c:formatCode>
                <c:ptCount val="11"/>
                <c:pt idx="0">
                  <c:v>0.84566886562470389</c:v>
                </c:pt>
                <c:pt idx="1">
                  <c:v>0.85198995985620285</c:v>
                </c:pt>
                <c:pt idx="2">
                  <c:v>0.87837601474736804</c:v>
                </c:pt>
                <c:pt idx="3">
                  <c:v>0.89957665714234192</c:v>
                </c:pt>
                <c:pt idx="4">
                  <c:v>0.91717856133403353</c:v>
                </c:pt>
                <c:pt idx="5">
                  <c:v>0.91952553484832811</c:v>
                </c:pt>
                <c:pt idx="6">
                  <c:v>0.92196310753118127</c:v>
                </c:pt>
                <c:pt idx="7">
                  <c:v>0.92461961180954677</c:v>
                </c:pt>
                <c:pt idx="8">
                  <c:v>0.93568288814294553</c:v>
                </c:pt>
                <c:pt idx="9">
                  <c:v>0.93576959304737428</c:v>
                </c:pt>
                <c:pt idx="10">
                  <c:v>0.93571291222306152</c:v>
                </c:pt>
              </c:numCache>
            </c:numRef>
          </c:xVal>
          <c:yVal>
            <c:numRef>
              <c:f>'11 - Climb Summary'!$D$27:$D$37</c:f>
              <c:numCache>
                <c:formatCode>0.00</c:formatCode>
                <c:ptCount val="11"/>
                <c:pt idx="0">
                  <c:v>26694.041008003638</c:v>
                </c:pt>
                <c:pt idx="1">
                  <c:v>25407.761403020704</c:v>
                </c:pt>
                <c:pt idx="2">
                  <c:v>23797.48807916684</c:v>
                </c:pt>
                <c:pt idx="3">
                  <c:v>21457.298286366946</c:v>
                </c:pt>
                <c:pt idx="4">
                  <c:v>19115.868361550267</c:v>
                </c:pt>
                <c:pt idx="5">
                  <c:v>16590.857454448647</c:v>
                </c:pt>
                <c:pt idx="6">
                  <c:v>14183.465935996734</c:v>
                </c:pt>
                <c:pt idx="7">
                  <c:v>11930.547574091062</c:v>
                </c:pt>
                <c:pt idx="8">
                  <c:v>9292.9089031321928</c:v>
                </c:pt>
                <c:pt idx="9">
                  <c:v>6133.2888674227288</c:v>
                </c:pt>
                <c:pt idx="10">
                  <c:v>3038.4923372799531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9B12-45B7-8702-50A1A245C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0903247"/>
        <c:axId val="1710909487"/>
      </c:scatterChart>
      <c:valAx>
        <c:axId val="1710903247"/>
        <c:scaling>
          <c:orientation val="minMax"/>
          <c:max val="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0909487"/>
        <c:crosses val="autoZero"/>
        <c:crossBetween val="midCat"/>
      </c:valAx>
      <c:valAx>
        <c:axId val="171090948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Rate of Climb [ft/min]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0903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068148353920244"/>
          <c:y val="0.17389806249101983"/>
          <c:w val="0.13648891696028956"/>
          <c:h val="0.72712426662534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T-38A Climb Schedule</a:t>
            </a:r>
          </a:p>
          <a:p>
            <a:pPr>
              <a:defRPr/>
            </a:pPr>
            <a:r>
              <a:rPr lang="en-US" sz="1100" baseline="0"/>
              <a:t>Max A/B Thrust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RoC's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'11 - Climb Summary'!$E$27:$E$37</c:f>
              <c:numCache>
                <c:formatCode>0.0000</c:formatCode>
                <c:ptCount val="11"/>
                <c:pt idx="0">
                  <c:v>0.84566886562470389</c:v>
                </c:pt>
                <c:pt idx="1">
                  <c:v>0.85198995985620285</c:v>
                </c:pt>
                <c:pt idx="2">
                  <c:v>0.87837601474736804</c:v>
                </c:pt>
                <c:pt idx="3">
                  <c:v>0.89957665714234192</c:v>
                </c:pt>
                <c:pt idx="4">
                  <c:v>0.91717856133403353</c:v>
                </c:pt>
                <c:pt idx="5">
                  <c:v>0.91952553484832811</c:v>
                </c:pt>
                <c:pt idx="6">
                  <c:v>0.92196310753118127</c:v>
                </c:pt>
                <c:pt idx="7">
                  <c:v>0.92461961180954677</c:v>
                </c:pt>
                <c:pt idx="8">
                  <c:v>0.93568288814294553</c:v>
                </c:pt>
                <c:pt idx="9">
                  <c:v>0.93576959304737428</c:v>
                </c:pt>
                <c:pt idx="10">
                  <c:v>0.93571291222306152</c:v>
                </c:pt>
              </c:numCache>
            </c:numRef>
          </c:xVal>
          <c:yVal>
            <c:numRef>
              <c:f>'11 - Climb Summary'!$C$27:$C$37</c:f>
              <c:numCache>
                <c:formatCode>General</c:formatCode>
                <c:ptCount val="11"/>
                <c:pt idx="0">
                  <c:v>0</c:v>
                </c:pt>
                <c:pt idx="1">
                  <c:v>5000</c:v>
                </c:pt>
                <c:pt idx="2">
                  <c:v>10000</c:v>
                </c:pt>
                <c:pt idx="3">
                  <c:v>15000</c:v>
                </c:pt>
                <c:pt idx="4">
                  <c:v>20000</c:v>
                </c:pt>
                <c:pt idx="5">
                  <c:v>25000</c:v>
                </c:pt>
                <c:pt idx="6">
                  <c:v>30000</c:v>
                </c:pt>
                <c:pt idx="7">
                  <c:v>35000</c:v>
                </c:pt>
                <c:pt idx="8">
                  <c:v>40000</c:v>
                </c:pt>
                <c:pt idx="9">
                  <c:v>45000</c:v>
                </c:pt>
                <c:pt idx="10">
                  <c:v>50000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3D-4B1A-84BF-2A56FE1AE92C}"/>
            </c:ext>
          </c:extLst>
        </c:ser>
        <c:ser>
          <c:idx val="1"/>
          <c:order val="1"/>
          <c:tx>
            <c:v>Climb Schedule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'11 - Climb RoC Calcs'!$B$8:$B$68</c:f>
              <c:numCache>
                <c:formatCode>0.0000</c:formatCode>
                <c:ptCount val="61"/>
                <c:pt idx="0">
                  <c:v>0.90100000000000002</c:v>
                </c:pt>
                <c:pt idx="1">
                  <c:v>0.90154000000000001</c:v>
                </c:pt>
                <c:pt idx="2">
                  <c:v>0.90207999999999999</c:v>
                </c:pt>
                <c:pt idx="3">
                  <c:v>0.90261999999999998</c:v>
                </c:pt>
                <c:pt idx="4">
                  <c:v>0.90315999999999996</c:v>
                </c:pt>
                <c:pt idx="5">
                  <c:v>0.90369999999999995</c:v>
                </c:pt>
                <c:pt idx="6">
                  <c:v>0.90427999999999997</c:v>
                </c:pt>
                <c:pt idx="7">
                  <c:v>0.90486</c:v>
                </c:pt>
                <c:pt idx="8">
                  <c:v>0.90544000000000002</c:v>
                </c:pt>
                <c:pt idx="9">
                  <c:v>0.90602000000000005</c:v>
                </c:pt>
                <c:pt idx="10">
                  <c:v>0.90659999999999996</c:v>
                </c:pt>
                <c:pt idx="11">
                  <c:v>0.90721999999999992</c:v>
                </c:pt>
                <c:pt idx="12">
                  <c:v>0.90783999999999987</c:v>
                </c:pt>
                <c:pt idx="13">
                  <c:v>0.90845999999999982</c:v>
                </c:pt>
                <c:pt idx="14">
                  <c:v>0.90907999999999978</c:v>
                </c:pt>
                <c:pt idx="15">
                  <c:v>0.90969999999999995</c:v>
                </c:pt>
                <c:pt idx="16">
                  <c:v>0.91065999999999991</c:v>
                </c:pt>
                <c:pt idx="17">
                  <c:v>0.91161999999999987</c:v>
                </c:pt>
                <c:pt idx="18">
                  <c:v>0.91257999999999984</c:v>
                </c:pt>
                <c:pt idx="19">
                  <c:v>0.9135399999999998</c:v>
                </c:pt>
                <c:pt idx="20">
                  <c:v>0.91449999999999998</c:v>
                </c:pt>
                <c:pt idx="21">
                  <c:v>0.91539999999999999</c:v>
                </c:pt>
                <c:pt idx="22">
                  <c:v>0.9163</c:v>
                </c:pt>
                <c:pt idx="23">
                  <c:v>0.91720000000000002</c:v>
                </c:pt>
                <c:pt idx="24">
                  <c:v>0.91810000000000003</c:v>
                </c:pt>
                <c:pt idx="25">
                  <c:v>0.91900000000000004</c:v>
                </c:pt>
                <c:pt idx="26">
                  <c:v>0.92018</c:v>
                </c:pt>
                <c:pt idx="27">
                  <c:v>0.92135999999999996</c:v>
                </c:pt>
                <c:pt idx="28">
                  <c:v>0.92253999999999992</c:v>
                </c:pt>
                <c:pt idx="29">
                  <c:v>0.92371999999999987</c:v>
                </c:pt>
                <c:pt idx="30">
                  <c:v>0.92490000000000006</c:v>
                </c:pt>
                <c:pt idx="31">
                  <c:v>0.92617500000000008</c:v>
                </c:pt>
                <c:pt idx="32">
                  <c:v>0.92745000000000011</c:v>
                </c:pt>
                <c:pt idx="33">
                  <c:v>0.92872500000000013</c:v>
                </c:pt>
                <c:pt idx="34">
                  <c:v>0.93</c:v>
                </c:pt>
                <c:pt idx="35">
                  <c:v>0.93</c:v>
                </c:pt>
                <c:pt idx="36">
                  <c:v>0.93</c:v>
                </c:pt>
                <c:pt idx="37">
                  <c:v>0.93</c:v>
                </c:pt>
                <c:pt idx="38">
                  <c:v>0.93</c:v>
                </c:pt>
                <c:pt idx="39">
                  <c:v>0.93</c:v>
                </c:pt>
                <c:pt idx="40">
                  <c:v>0.93</c:v>
                </c:pt>
                <c:pt idx="41">
                  <c:v>0.93</c:v>
                </c:pt>
                <c:pt idx="42">
                  <c:v>0.93</c:v>
                </c:pt>
                <c:pt idx="43">
                  <c:v>0.93</c:v>
                </c:pt>
                <c:pt idx="44">
                  <c:v>0.93</c:v>
                </c:pt>
                <c:pt idx="45">
                  <c:v>0.93</c:v>
                </c:pt>
                <c:pt idx="46">
                  <c:v>0.93</c:v>
                </c:pt>
                <c:pt idx="47">
                  <c:v>0.93</c:v>
                </c:pt>
                <c:pt idx="48">
                  <c:v>0.93</c:v>
                </c:pt>
                <c:pt idx="49">
                  <c:v>0.93</c:v>
                </c:pt>
                <c:pt idx="50">
                  <c:v>0.93</c:v>
                </c:pt>
                <c:pt idx="51">
                  <c:v>0.93</c:v>
                </c:pt>
                <c:pt idx="52">
                  <c:v>0.93</c:v>
                </c:pt>
                <c:pt idx="53">
                  <c:v>0.93</c:v>
                </c:pt>
                <c:pt idx="54">
                  <c:v>0.93</c:v>
                </c:pt>
                <c:pt idx="55">
                  <c:v>0.93</c:v>
                </c:pt>
                <c:pt idx="56">
                  <c:v>0.93</c:v>
                </c:pt>
                <c:pt idx="57">
                  <c:v>0.93</c:v>
                </c:pt>
                <c:pt idx="58">
                  <c:v>0.93</c:v>
                </c:pt>
                <c:pt idx="59">
                  <c:v>0.93</c:v>
                </c:pt>
                <c:pt idx="60">
                  <c:v>0.93</c:v>
                </c:pt>
              </c:numCache>
            </c:numRef>
          </c:xVal>
          <c:yVal>
            <c:numRef>
              <c:f>'11 - Climb RoC Calcs'!$A$8:$A$68</c:f>
              <c:numCache>
                <c:formatCode>#,##0</c:formatCode>
                <c:ptCount val="6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3D-4B1A-84BF-2A56FE1AE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4369568"/>
        <c:axId val="1624371968"/>
      </c:scatterChart>
      <c:valAx>
        <c:axId val="1624369568"/>
        <c:scaling>
          <c:orientation val="minMax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371968"/>
        <c:crosses val="autoZero"/>
        <c:crossBetween val="midCat"/>
      </c:valAx>
      <c:valAx>
        <c:axId val="162437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[ft]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369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T-38A Time to Climb; W = 10,000 lb; Mil Pwr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'11 - Climb - Mil'!$B$8:$B$48</c:f>
              <c:numCache>
                <c:formatCode>#,##0</c:formatCode>
                <c:ptCount val="4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</c:numCache>
            </c:numRef>
          </c:xVal>
          <c:yVal>
            <c:numRef>
              <c:f>'11 - Climb - Mil'!$R$8:$R$48</c:f>
              <c:numCache>
                <c:formatCode>0.00</c:formatCode>
                <c:ptCount val="41"/>
                <c:pt idx="0">
                  <c:v>0</c:v>
                </c:pt>
                <c:pt idx="1">
                  <c:v>6.308230110307715</c:v>
                </c:pt>
                <c:pt idx="2">
                  <c:v>12.614187139977631</c:v>
                </c:pt>
                <c:pt idx="3">
                  <c:v>18.918688854916198</c:v>
                </c:pt>
                <c:pt idx="4">
                  <c:v>25.225245204363972</c:v>
                </c:pt>
                <c:pt idx="5">
                  <c:v>31.537289979998345</c:v>
                </c:pt>
                <c:pt idx="6">
                  <c:v>37.86266321824457</c:v>
                </c:pt>
                <c:pt idx="7">
                  <c:v>44.209397359555723</c:v>
                </c:pt>
                <c:pt idx="8">
                  <c:v>50.581237536222389</c:v>
                </c:pt>
                <c:pt idx="9">
                  <c:v>56.981934121429404</c:v>
                </c:pt>
                <c:pt idx="10">
                  <c:v>63.415255616485219</c:v>
                </c:pt>
                <c:pt idx="11">
                  <c:v>69.922143404174619</c:v>
                </c:pt>
                <c:pt idx="12">
                  <c:v>76.55152629855813</c:v>
                </c:pt>
                <c:pt idx="13">
                  <c:v>83.327344779221832</c:v>
                </c:pt>
                <c:pt idx="14">
                  <c:v>90.270778292114414</c:v>
                </c:pt>
                <c:pt idx="15">
                  <c:v>97.39450649302816</c:v>
                </c:pt>
                <c:pt idx="16">
                  <c:v>104.69878147658166</c:v>
                </c:pt>
                <c:pt idx="17">
                  <c:v>112.18314127300661</c:v>
                </c:pt>
                <c:pt idx="18">
                  <c:v>119.86358274299134</c:v>
                </c:pt>
                <c:pt idx="19">
                  <c:v>127.76201710811048</c:v>
                </c:pt>
                <c:pt idx="20">
                  <c:v>135.90035753427318</c:v>
                </c:pt>
                <c:pt idx="21">
                  <c:v>144.28004596429531</c:v>
                </c:pt>
                <c:pt idx="22">
                  <c:v>152.90143082113849</c:v>
                </c:pt>
                <c:pt idx="23">
                  <c:v>161.78398755432619</c:v>
                </c:pt>
                <c:pt idx="24">
                  <c:v>170.94941630817218</c:v>
                </c:pt>
                <c:pt idx="25">
                  <c:v>180.42200122751976</c:v>
                </c:pt>
                <c:pt idx="26">
                  <c:v>190.20422319112217</c:v>
                </c:pt>
                <c:pt idx="27">
                  <c:v>200.29693442100938</c:v>
                </c:pt>
                <c:pt idx="28">
                  <c:v>210.72720390255583</c:v>
                </c:pt>
                <c:pt idx="29">
                  <c:v>221.52550197545676</c:v>
                </c:pt>
                <c:pt idx="30">
                  <c:v>232.72630438990834</c:v>
                </c:pt>
                <c:pt idx="31">
                  <c:v>244.33412011265463</c:v>
                </c:pt>
                <c:pt idx="32">
                  <c:v>256.35099388793896</c:v>
                </c:pt>
                <c:pt idx="33">
                  <c:v>268.8786602714024</c:v>
                </c:pt>
                <c:pt idx="34">
                  <c:v>282.05268337822605</c:v>
                </c:pt>
                <c:pt idx="35">
                  <c:v>295.96371835158305</c:v>
                </c:pt>
                <c:pt idx="36">
                  <c:v>310.74012359929492</c:v>
                </c:pt>
                <c:pt idx="37">
                  <c:v>326.50801549637055</c:v>
                </c:pt>
                <c:pt idx="38">
                  <c:v>343.37829755658981</c:v>
                </c:pt>
                <c:pt idx="39">
                  <c:v>361.5332767619683</c:v>
                </c:pt>
                <c:pt idx="40">
                  <c:v>381.2086884667915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2B-44CF-A875-A8F7AD353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837552"/>
        <c:axId val="521836896"/>
      </c:scatterChart>
      <c:valAx>
        <c:axId val="521837552"/>
        <c:scaling>
          <c:orientation val="minMax"/>
          <c:max val="40000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6896"/>
        <c:crosses val="autoZero"/>
        <c:crossBetween val="midCat"/>
      </c:valAx>
      <c:valAx>
        <c:axId val="521836896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to Climb (min)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7552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1200" b="1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T-38A Fuel to Climb; W = 10,000 lb;</a:t>
            </a:r>
            <a:r>
              <a:rPr lang="en-US" baseline="0"/>
              <a:t> Mil Pwr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'11 - Climb - Mil'!$B$8:$B$48</c:f>
              <c:numCache>
                <c:formatCode>#,##0</c:formatCode>
                <c:ptCount val="4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</c:numCache>
            </c:numRef>
          </c:xVal>
          <c:yVal>
            <c:numRef>
              <c:f>'11 - Climb - Mil'!$U$8:$U$48</c:f>
              <c:numCache>
                <c:formatCode>0.0</c:formatCode>
                <c:ptCount val="41"/>
                <c:pt idx="0">
                  <c:v>0</c:v>
                </c:pt>
                <c:pt idx="1">
                  <c:v>8.1164638210048139</c:v>
                </c:pt>
                <c:pt idx="2">
                  <c:v>16.083120676862976</c:v>
                </c:pt>
                <c:pt idx="3">
                  <c:v>23.901696856566069</c:v>
                </c:pt>
                <c:pt idx="4">
                  <c:v>31.577147501313551</c:v>
                </c:pt>
                <c:pt idx="5">
                  <c:v>39.114104066503181</c:v>
                </c:pt>
                <c:pt idx="6">
                  <c:v>46.521454284192593</c:v>
                </c:pt>
                <c:pt idx="7">
                  <c:v>53.807665293126185</c:v>
                </c:pt>
                <c:pt idx="8">
                  <c:v>60.976406663554108</c:v>
                </c:pt>
                <c:pt idx="9">
                  <c:v>68.03110831665775</c:v>
                </c:pt>
                <c:pt idx="10">
                  <c:v>74.974975838721534</c:v>
                </c:pt>
                <c:pt idx="11">
                  <c:v>81.831910469329159</c:v>
                </c:pt>
                <c:pt idx="12">
                  <c:v>88.630023541020861</c:v>
                </c:pt>
                <c:pt idx="13">
                  <c:v>95.386249338106794</c:v>
                </c:pt>
                <c:pt idx="14">
                  <c:v>102.11281238984068</c:v>
                </c:pt>
                <c:pt idx="15">
                  <c:v>108.81214379189709</c:v>
                </c:pt>
                <c:pt idx="16">
                  <c:v>115.48403607642166</c:v>
                </c:pt>
                <c:pt idx="17">
                  <c:v>122.12832140783075</c:v>
                </c:pt>
                <c:pt idx="18">
                  <c:v>128.74948998279027</c:v>
                </c:pt>
                <c:pt idx="19">
                  <c:v>135.35574148134623</c:v>
                </c:pt>
                <c:pt idx="20">
                  <c:v>141.95358324263404</c:v>
                </c:pt>
                <c:pt idx="21">
                  <c:v>148.54266950385093</c:v>
                </c:pt>
                <c:pt idx="22">
                  <c:v>155.12262360859032</c:v>
                </c:pt>
                <c:pt idx="23">
                  <c:v>161.69656524503424</c:v>
                </c:pt>
                <c:pt idx="24">
                  <c:v>168.26784509832967</c:v>
                </c:pt>
                <c:pt idx="25">
                  <c:v>174.84008615362995</c:v>
                </c:pt>
                <c:pt idx="26">
                  <c:v>181.41289076096137</c:v>
                </c:pt>
                <c:pt idx="27">
                  <c:v>187.98576784852932</c:v>
                </c:pt>
                <c:pt idx="28">
                  <c:v>194.56274856167997</c:v>
                </c:pt>
                <c:pt idx="29">
                  <c:v>201.14823484795247</c:v>
                </c:pt>
                <c:pt idx="30">
                  <c:v>207.74706948075644</c:v>
                </c:pt>
                <c:pt idx="31">
                  <c:v>214.35888765083439</c:v>
                </c:pt>
                <c:pt idx="32">
                  <c:v>220.9831293832442</c:v>
                </c:pt>
                <c:pt idx="33">
                  <c:v>227.65868800493493</c:v>
                </c:pt>
                <c:pt idx="34">
                  <c:v>234.43620813576413</c:v>
                </c:pt>
                <c:pt idx="35">
                  <c:v>241.33651878431414</c:v>
                </c:pt>
                <c:pt idx="36">
                  <c:v>248.40161288815449</c:v>
                </c:pt>
                <c:pt idx="37">
                  <c:v>255.66179317680096</c:v>
                </c:pt>
                <c:pt idx="38">
                  <c:v>263.12483929168724</c:v>
                </c:pt>
                <c:pt idx="39">
                  <c:v>270.82772371390246</c:v>
                </c:pt>
                <c:pt idx="40">
                  <c:v>278.81971130729227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D1-4241-AC16-8755AC4BE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837552"/>
        <c:axId val="521836896"/>
      </c:scatterChart>
      <c:valAx>
        <c:axId val="521837552"/>
        <c:scaling>
          <c:orientation val="minMax"/>
          <c:max val="40000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6896"/>
        <c:crosses val="autoZero"/>
        <c:crossBetween val="midCat"/>
      </c:valAx>
      <c:valAx>
        <c:axId val="521836896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Fuel to Climb (lb)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7552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1200" b="1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T-38A Distance to Climb; W = 10,000 lb; Mil Pwr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'11 - Climb - Mil'!$B$8:$B$48</c:f>
              <c:numCache>
                <c:formatCode>#,##0</c:formatCode>
                <c:ptCount val="4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</c:numCache>
            </c:numRef>
          </c:xVal>
          <c:yVal>
            <c:numRef>
              <c:f>'11 - Climb - Mil'!$Y$8:$Y$48</c:f>
              <c:numCache>
                <c:formatCode>0.00</c:formatCode>
                <c:ptCount val="41"/>
                <c:pt idx="0">
                  <c:v>0</c:v>
                </c:pt>
                <c:pt idx="1">
                  <c:v>0.85341087730558596</c:v>
                </c:pt>
                <c:pt idx="2">
                  <c:v>1.7065028016147861</c:v>
                </c:pt>
                <c:pt idx="3">
                  <c:v>2.5593905191981912</c:v>
                </c:pt>
                <c:pt idx="4">
                  <c:v>3.4125665383326322</c:v>
                </c:pt>
                <c:pt idx="5">
                  <c:v>4.2665126636751847</c:v>
                </c:pt>
                <c:pt idx="6">
                  <c:v>5.1223288389527397</c:v>
                </c:pt>
                <c:pt idx="7">
                  <c:v>5.9811417902779587</c:v>
                </c:pt>
                <c:pt idx="8">
                  <c:v>6.8434764591752701</c:v>
                </c:pt>
                <c:pt idx="9">
                  <c:v>7.7098583011550517</c:v>
                </c:pt>
                <c:pt idx="10">
                  <c:v>8.5808150647341801</c:v>
                </c:pt>
                <c:pt idx="11">
                  <c:v>9.4620838101907161</c:v>
                </c:pt>
                <c:pt idx="12">
                  <c:v>10.360515557380147</c:v>
                </c:pt>
                <c:pt idx="13">
                  <c:v>11.27945050386251</c:v>
                </c:pt>
                <c:pt idx="14">
                  <c:v>12.221837262526046</c:v>
                </c:pt>
                <c:pt idx="15">
                  <c:v>13.189430663532553</c:v>
                </c:pt>
                <c:pt idx="16">
                  <c:v>14.182248119655073</c:v>
                </c:pt>
                <c:pt idx="17">
                  <c:v>15.200207369607467</c:v>
                </c:pt>
                <c:pt idx="18">
                  <c:v>16.245523705144304</c:v>
                </c:pt>
                <c:pt idx="19">
                  <c:v>17.321233799599039</c:v>
                </c:pt>
                <c:pt idx="20">
                  <c:v>18.430370490399589</c:v>
                </c:pt>
                <c:pt idx="21">
                  <c:v>19.573113566638654</c:v>
                </c:pt>
                <c:pt idx="22">
                  <c:v>20.749490658402898</c:v>
                </c:pt>
                <c:pt idx="23">
                  <c:v>21.96219122463765</c:v>
                </c:pt>
                <c:pt idx="24">
                  <c:v>23.21421114891325</c:v>
                </c:pt>
                <c:pt idx="25">
                  <c:v>24.508902242689793</c:v>
                </c:pt>
                <c:pt idx="26">
                  <c:v>25.846587369169146</c:v>
                </c:pt>
                <c:pt idx="27">
                  <c:v>27.227363337951303</c:v>
                </c:pt>
                <c:pt idx="28">
                  <c:v>28.654965558211359</c:v>
                </c:pt>
                <c:pt idx="29">
                  <c:v>30.133597990590783</c:v>
                </c:pt>
                <c:pt idx="30">
                  <c:v>31.668016371133014</c:v>
                </c:pt>
                <c:pt idx="31">
                  <c:v>33.258823097369273</c:v>
                </c:pt>
                <c:pt idx="32">
                  <c:v>34.906279208586504</c:v>
                </c:pt>
                <c:pt idx="33">
                  <c:v>36.624445135437007</c:v>
                </c:pt>
                <c:pt idx="34">
                  <c:v>38.432051398171673</c:v>
                </c:pt>
                <c:pt idx="35">
                  <c:v>40.341598755083858</c:v>
                </c:pt>
                <c:pt idx="36">
                  <c:v>42.370789431040983</c:v>
                </c:pt>
                <c:pt idx="37">
                  <c:v>44.537005524372589</c:v>
                </c:pt>
                <c:pt idx="38">
                  <c:v>46.855514868056929</c:v>
                </c:pt>
                <c:pt idx="39">
                  <c:v>49.35143986559023</c:v>
                </c:pt>
                <c:pt idx="40">
                  <c:v>52.057265376222226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8A-4274-91E6-910A89AF5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837552"/>
        <c:axId val="521836896"/>
      </c:scatterChart>
      <c:valAx>
        <c:axId val="521837552"/>
        <c:scaling>
          <c:orientation val="minMax"/>
          <c:max val="40000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6896"/>
        <c:crosses val="autoZero"/>
        <c:crossBetween val="midCat"/>
      </c:valAx>
      <c:valAx>
        <c:axId val="521836896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to Climb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7552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1200" b="1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T-38A Time to Climb; W = 10,000 lb; Max AB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'11 - Climb - Max'!$B$8:$B$58</c:f>
              <c:numCache>
                <c:formatCode>#,##0</c:formatCode>
                <c:ptCount val="5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</c:numCache>
            </c:numRef>
          </c:xVal>
          <c:yVal>
            <c:numRef>
              <c:f>'11 - Climb - Max'!$R$8:$R$58</c:f>
              <c:numCache>
                <c:formatCode>0.00</c:formatCode>
                <c:ptCount val="51"/>
                <c:pt idx="0">
                  <c:v>0</c:v>
                </c:pt>
                <c:pt idx="1">
                  <c:v>2.2297672274819664</c:v>
                </c:pt>
                <c:pt idx="2">
                  <c:v>4.368650063031625</c:v>
                </c:pt>
                <c:pt idx="3">
                  <c:v>6.5163538343374938</c:v>
                </c:pt>
                <c:pt idx="4">
                  <c:v>8.6745160318887216</c:v>
                </c:pt>
                <c:pt idx="5">
                  <c:v>10.844722061919539</c:v>
                </c:pt>
                <c:pt idx="6">
                  <c:v>13.031118803347365</c:v>
                </c:pt>
                <c:pt idx="7">
                  <c:v>15.236327990466629</c:v>
                </c:pt>
                <c:pt idx="8">
                  <c:v>17.460414953948519</c:v>
                </c:pt>
                <c:pt idx="9">
                  <c:v>19.705125769662786</c:v>
                </c:pt>
                <c:pt idx="10">
                  <c:v>21.972258292117427</c:v>
                </c:pt>
                <c:pt idx="11">
                  <c:v>24.272056746364534</c:v>
                </c:pt>
                <c:pt idx="12">
                  <c:v>26.613850560784108</c:v>
                </c:pt>
                <c:pt idx="13">
                  <c:v>28.99880407502436</c:v>
                </c:pt>
                <c:pt idx="14">
                  <c:v>31.429949621348573</c:v>
                </c:pt>
                <c:pt idx="15">
                  <c:v>33.910538842744749</c:v>
                </c:pt>
                <c:pt idx="16">
                  <c:v>36.455791689712228</c:v>
                </c:pt>
                <c:pt idx="17">
                  <c:v>39.06707711227093</c:v>
                </c:pt>
                <c:pt idx="18">
                  <c:v>41.732651943863736</c:v>
                </c:pt>
                <c:pt idx="19">
                  <c:v>44.456291235700206</c:v>
                </c:pt>
                <c:pt idx="20">
                  <c:v>47.24331721213386</c:v>
                </c:pt>
                <c:pt idx="21">
                  <c:v>50.09562638745134</c:v>
                </c:pt>
                <c:pt idx="22">
                  <c:v>53.016684431258852</c:v>
                </c:pt>
                <c:pt idx="23">
                  <c:v>56.014413622965506</c:v>
                </c:pt>
                <c:pt idx="24">
                  <c:v>59.094306137353755</c:v>
                </c:pt>
                <c:pt idx="25">
                  <c:v>62.262381405164895</c:v>
                </c:pt>
                <c:pt idx="26">
                  <c:v>65.534288088084992</c:v>
                </c:pt>
                <c:pt idx="27">
                  <c:v>68.913292579035755</c:v>
                </c:pt>
                <c:pt idx="28">
                  <c:v>72.392198271315849</c:v>
                </c:pt>
                <c:pt idx="29">
                  <c:v>75.978432930879421</c:v>
                </c:pt>
                <c:pt idx="30">
                  <c:v>79.680228092997297</c:v>
                </c:pt>
                <c:pt idx="31">
                  <c:v>83.504828937464481</c:v>
                </c:pt>
                <c:pt idx="32">
                  <c:v>87.454044465956898</c:v>
                </c:pt>
                <c:pt idx="33">
                  <c:v>91.53134694827132</c:v>
                </c:pt>
                <c:pt idx="34">
                  <c:v>95.746968934512381</c:v>
                </c:pt>
                <c:pt idx="35">
                  <c:v>100.02952547534551</c:v>
                </c:pt>
                <c:pt idx="36">
                  <c:v>104.39563723570336</c:v>
                </c:pt>
                <c:pt idx="37">
                  <c:v>109.20325649795603</c:v>
                </c:pt>
                <c:pt idx="38">
                  <c:v>114.5683055169351</c:v>
                </c:pt>
                <c:pt idx="39">
                  <c:v>120.23350261882788</c:v>
                </c:pt>
                <c:pt idx="40">
                  <c:v>126.20414152641112</c:v>
                </c:pt>
                <c:pt idx="41">
                  <c:v>132.54313771353947</c:v>
                </c:pt>
                <c:pt idx="42">
                  <c:v>139.33105711295914</c:v>
                </c:pt>
                <c:pt idx="43">
                  <c:v>146.64145685215991</c:v>
                </c:pt>
                <c:pt idx="44">
                  <c:v>154.56728021981257</c:v>
                </c:pt>
                <c:pt idx="45">
                  <c:v>163.23104163294431</c:v>
                </c:pt>
                <c:pt idx="46">
                  <c:v>172.74316282889939</c:v>
                </c:pt>
                <c:pt idx="47">
                  <c:v>183.23125518538595</c:v>
                </c:pt>
                <c:pt idx="48">
                  <c:v>194.92397499232663</c:v>
                </c:pt>
                <c:pt idx="49">
                  <c:v>208.228023474868</c:v>
                </c:pt>
                <c:pt idx="50">
                  <c:v>223.8114259080518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AA-4603-A9A3-C718995F4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837552"/>
        <c:axId val="521836896"/>
      </c:scatterChart>
      <c:valAx>
        <c:axId val="521837552"/>
        <c:scaling>
          <c:orientation val="minMax"/>
          <c:max val="50000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6896"/>
        <c:crosses val="autoZero"/>
        <c:crossBetween val="midCat"/>
      </c:valAx>
      <c:valAx>
        <c:axId val="521836896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to Climb (min)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7552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1200" b="1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T-38A Fuel to Climb; W = 10,000 lb;</a:t>
            </a:r>
            <a:r>
              <a:rPr lang="en-US" baseline="0"/>
              <a:t> Max AB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'11 - Climb - Max'!$B$8:$B$58</c:f>
              <c:numCache>
                <c:formatCode>#,##0</c:formatCode>
                <c:ptCount val="5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</c:numCache>
            </c:numRef>
          </c:xVal>
          <c:yVal>
            <c:numRef>
              <c:f>'11 - Climb - Max'!$U$8:$U$58</c:f>
              <c:numCache>
                <c:formatCode>0.0</c:formatCode>
                <c:ptCount val="51"/>
                <c:pt idx="0">
                  <c:v>0</c:v>
                </c:pt>
                <c:pt idx="1">
                  <c:v>12.413151635726225</c:v>
                </c:pt>
                <c:pt idx="2">
                  <c:v>24.09760091326649</c:v>
                </c:pt>
                <c:pt idx="3">
                  <c:v>35.606619499075094</c:v>
                </c:pt>
                <c:pt idx="4">
                  <c:v>46.947022863842264</c:v>
                </c:pt>
                <c:pt idx="5">
                  <c:v>58.124847534538176</c:v>
                </c:pt>
                <c:pt idx="6">
                  <c:v>69.158903835698609</c:v>
                </c:pt>
                <c:pt idx="7">
                  <c:v>80.059159736845174</c:v>
                </c:pt>
                <c:pt idx="8">
                  <c:v>90.822038227954465</c:v>
                </c:pt>
                <c:pt idx="9">
                  <c:v>101.45190140911745</c:v>
                </c:pt>
                <c:pt idx="10">
                  <c:v>111.95280817190886</c:v>
                </c:pt>
                <c:pt idx="11">
                  <c:v>122.35099135678738</c:v>
                </c:pt>
                <c:pt idx="12">
                  <c:v>132.66455592986006</c:v>
                </c:pt>
                <c:pt idx="13">
                  <c:v>142.8885694273489</c:v>
                </c:pt>
                <c:pt idx="14">
                  <c:v>153.02547433405303</c:v>
                </c:pt>
                <c:pt idx="15">
                  <c:v>163.07753035139544</c:v>
                </c:pt>
                <c:pt idx="16">
                  <c:v>173.10558300895872</c:v>
                </c:pt>
                <c:pt idx="17">
                  <c:v>183.11318747399636</c:v>
                </c:pt>
                <c:pt idx="18">
                  <c:v>193.04225391723477</c:v>
                </c:pt>
                <c:pt idx="19">
                  <c:v>202.89460567007478</c:v>
                </c:pt>
                <c:pt idx="20">
                  <c:v>212.6762677491476</c:v>
                </c:pt>
                <c:pt idx="21">
                  <c:v>222.39334355263739</c:v>
                </c:pt>
                <c:pt idx="22">
                  <c:v>232.05745516604131</c:v>
                </c:pt>
                <c:pt idx="23">
                  <c:v>241.68034244799304</c:v>
                </c:pt>
                <c:pt idx="24">
                  <c:v>251.26383238516178</c:v>
                </c:pt>
                <c:pt idx="25">
                  <c:v>260.80970461352564</c:v>
                </c:pt>
                <c:pt idx="26">
                  <c:v>270.3622815058157</c:v>
                </c:pt>
                <c:pt idx="27">
                  <c:v>279.9279374285062</c:v>
                </c:pt>
                <c:pt idx="28">
                  <c:v>289.46767588635305</c:v>
                </c:pt>
                <c:pt idx="29">
                  <c:v>298.98319659824784</c:v>
                </c:pt>
                <c:pt idx="30">
                  <c:v>308.47625631160133</c:v>
                </c:pt>
                <c:pt idx="31">
                  <c:v>317.96219942702459</c:v>
                </c:pt>
                <c:pt idx="32">
                  <c:v>327.44320876612414</c:v>
                </c:pt>
                <c:pt idx="33">
                  <c:v>336.90719042683884</c:v>
                </c:pt>
                <c:pt idx="34">
                  <c:v>346.35634251614204</c:v>
                </c:pt>
                <c:pt idx="35">
                  <c:v>355.61092282175429</c:v>
                </c:pt>
                <c:pt idx="36">
                  <c:v>364.7002357525086</c:v>
                </c:pt>
                <c:pt idx="37">
                  <c:v>374.33752245885955</c:v>
                </c:pt>
                <c:pt idx="38">
                  <c:v>384.678040622178</c:v>
                </c:pt>
                <c:pt idx="39">
                  <c:v>395.1597038118727</c:v>
                </c:pt>
                <c:pt idx="40">
                  <c:v>405.74555455115041</c:v>
                </c:pt>
                <c:pt idx="41">
                  <c:v>416.47592117369703</c:v>
                </c:pt>
                <c:pt idx="42">
                  <c:v>427.40104977822841</c:v>
                </c:pt>
                <c:pt idx="43">
                  <c:v>438.5584522323</c:v>
                </c:pt>
                <c:pt idx="44">
                  <c:v>449.99524134321314</c:v>
                </c:pt>
                <c:pt idx="45">
                  <c:v>461.77552326761634</c:v>
                </c:pt>
                <c:pt idx="46">
                  <c:v>473.97701092787281</c:v>
                </c:pt>
                <c:pt idx="47">
                  <c:v>486.68870605125068</c:v>
                </c:pt>
                <c:pt idx="48">
                  <c:v>500.03353452049038</c:v>
                </c:pt>
                <c:pt idx="49">
                  <c:v>514.27652217487037</c:v>
                </c:pt>
                <c:pt idx="50">
                  <c:v>529.85769785600428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6A-44FE-9088-CDB4620EF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837552"/>
        <c:axId val="521836896"/>
      </c:scatterChart>
      <c:valAx>
        <c:axId val="521837552"/>
        <c:scaling>
          <c:orientation val="minMax"/>
          <c:max val="50000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6896"/>
        <c:crosses val="autoZero"/>
        <c:crossBetween val="midCat"/>
      </c:valAx>
      <c:valAx>
        <c:axId val="521836896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Fuel to Climb (lb)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7552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1200" b="1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T-38A Distance to Climb; W = 10,000 lb; Max AB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'11 - Climb - Max'!$B$8:$B$58</c:f>
              <c:numCache>
                <c:formatCode>#,##0</c:formatCode>
                <c:ptCount val="5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</c:numCache>
            </c:numRef>
          </c:xVal>
          <c:yVal>
            <c:numRef>
              <c:f>'11 - Climb - Max'!$Y$8:$Y$58</c:f>
              <c:numCache>
                <c:formatCode>0.00</c:formatCode>
                <c:ptCount val="51"/>
                <c:pt idx="0">
                  <c:v>0</c:v>
                </c:pt>
                <c:pt idx="1">
                  <c:v>0.32971696786136923</c:v>
                </c:pt>
                <c:pt idx="2">
                  <c:v>0.64151917187298857</c:v>
                </c:pt>
                <c:pt idx="3">
                  <c:v>0.95381137228617019</c:v>
                </c:pt>
                <c:pt idx="4">
                  <c:v>1.266880550576722</c:v>
                </c:pt>
                <c:pt idx="5">
                  <c:v>1.5810008117072316</c:v>
                </c:pt>
                <c:pt idx="6">
                  <c:v>1.8969220993331348</c:v>
                </c:pt>
                <c:pt idx="7">
                  <c:v>2.2151067644533455</c:v>
                </c:pt>
                <c:pt idx="8">
                  <c:v>2.5355356916777181</c:v>
                </c:pt>
                <c:pt idx="9">
                  <c:v>2.8584944033843644</c:v>
                </c:pt>
                <c:pt idx="10">
                  <c:v>3.1842733321150249</c:v>
                </c:pt>
                <c:pt idx="11">
                  <c:v>3.5146803121990273</c:v>
                </c:pt>
                <c:pt idx="12">
                  <c:v>3.8513335555706596</c:v>
                </c:pt>
                <c:pt idx="13">
                  <c:v>4.1943628815733733</c:v>
                </c:pt>
                <c:pt idx="14">
                  <c:v>4.5442242187178374</c:v>
                </c:pt>
                <c:pt idx="15">
                  <c:v>4.9014025469997105</c:v>
                </c:pt>
                <c:pt idx="16">
                  <c:v>5.2685240729778391</c:v>
                </c:pt>
                <c:pt idx="17">
                  <c:v>5.6457981947461997</c:v>
                </c:pt>
                <c:pt idx="18">
                  <c:v>6.0310950282961198</c:v>
                </c:pt>
                <c:pt idx="19">
                  <c:v>6.4249666667894418</c:v>
                </c:pt>
                <c:pt idx="20">
                  <c:v>6.8282157897094846</c:v>
                </c:pt>
                <c:pt idx="21">
                  <c:v>7.2410417000377159</c:v>
                </c:pt>
                <c:pt idx="22">
                  <c:v>7.6638972375938419</c:v>
                </c:pt>
                <c:pt idx="23">
                  <c:v>8.0979828120951733</c:v>
                </c:pt>
                <c:pt idx="24">
                  <c:v>8.5440756218230121</c:v>
                </c:pt>
                <c:pt idx="25">
                  <c:v>9.0030246538446903</c:v>
                </c:pt>
                <c:pt idx="26">
                  <c:v>9.4773051047818466</c:v>
                </c:pt>
                <c:pt idx="27">
                  <c:v>9.9673644558740957</c:v>
                </c:pt>
                <c:pt idx="28">
                  <c:v>10.471876732036554</c:v>
                </c:pt>
                <c:pt idx="29">
                  <c:v>10.991876529632936</c:v>
                </c:pt>
                <c:pt idx="30">
                  <c:v>11.528508538437292</c:v>
                </c:pt>
                <c:pt idx="31">
                  <c:v>12.082774013144238</c:v>
                </c:pt>
                <c:pt idx="32">
                  <c:v>12.654808767376537</c:v>
                </c:pt>
                <c:pt idx="33">
                  <c:v>13.244974384336828</c:v>
                </c:pt>
                <c:pt idx="34">
                  <c:v>13.854676694507278</c:v>
                </c:pt>
                <c:pt idx="35">
                  <c:v>14.472247269032653</c:v>
                </c:pt>
                <c:pt idx="36">
                  <c:v>15.099663922221309</c:v>
                </c:pt>
                <c:pt idx="37">
                  <c:v>15.792750219908823</c:v>
                </c:pt>
                <c:pt idx="38">
                  <c:v>16.570446695372407</c:v>
                </c:pt>
                <c:pt idx="39">
                  <c:v>17.393550909982121</c:v>
                </c:pt>
                <c:pt idx="40">
                  <c:v>18.262759916559041</c:v>
                </c:pt>
                <c:pt idx="41">
                  <c:v>19.187455394450474</c:v>
                </c:pt>
                <c:pt idx="42">
                  <c:v>20.179640517974086</c:v>
                </c:pt>
                <c:pt idx="43">
                  <c:v>21.250220037619027</c:v>
                </c:pt>
                <c:pt idx="44">
                  <c:v>22.412970888846004</c:v>
                </c:pt>
                <c:pt idx="45">
                  <c:v>23.686054295564865</c:v>
                </c:pt>
                <c:pt idx="46">
                  <c:v>25.08579244469048</c:v>
                </c:pt>
                <c:pt idx="47">
                  <c:v>26.631039384479415</c:v>
                </c:pt>
                <c:pt idx="48">
                  <c:v>28.355676448022233</c:v>
                </c:pt>
                <c:pt idx="49">
                  <c:v>30.320004600974944</c:v>
                </c:pt>
                <c:pt idx="50">
                  <c:v>32.623063466188725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E1-4458-8079-9C56B62C1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837552"/>
        <c:axId val="521836896"/>
      </c:scatterChart>
      <c:valAx>
        <c:axId val="521837552"/>
        <c:scaling>
          <c:orientation val="minMax"/>
          <c:max val="50000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6896"/>
        <c:crosses val="autoZero"/>
        <c:crossBetween val="midCat"/>
      </c:valAx>
      <c:valAx>
        <c:axId val="521836896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to Climb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7552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1200" b="1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T-38A</a:t>
            </a:r>
            <a:r>
              <a:rPr lang="en-US" b="1" baseline="0"/>
              <a:t> </a:t>
            </a:r>
            <a:r>
              <a:rPr lang="en-US" b="1"/>
              <a:t>Idle Descent</a:t>
            </a:r>
          </a:p>
          <a:p>
            <a:pPr>
              <a:defRPr/>
            </a:pPr>
            <a:r>
              <a:rPr lang="en-US" sz="1200"/>
              <a:t>Time</a:t>
            </a:r>
            <a:r>
              <a:rPr lang="en-US" sz="1200" baseline="0"/>
              <a:t> vs Altitude - Weight 10,000 lbs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'12 - Descent'!$B$8:$B$48</c:f>
              <c:numCache>
                <c:formatCode>#,##0</c:formatCode>
                <c:ptCount val="41"/>
                <c:pt idx="0">
                  <c:v>40000</c:v>
                </c:pt>
                <c:pt idx="1">
                  <c:v>39000</c:v>
                </c:pt>
                <c:pt idx="2">
                  <c:v>38000</c:v>
                </c:pt>
                <c:pt idx="3">
                  <c:v>37000</c:v>
                </c:pt>
                <c:pt idx="4">
                  <c:v>36000</c:v>
                </c:pt>
                <c:pt idx="5">
                  <c:v>35000</c:v>
                </c:pt>
                <c:pt idx="6">
                  <c:v>34000</c:v>
                </c:pt>
                <c:pt idx="7">
                  <c:v>33000</c:v>
                </c:pt>
                <c:pt idx="8">
                  <c:v>32000</c:v>
                </c:pt>
                <c:pt idx="9">
                  <c:v>31000</c:v>
                </c:pt>
                <c:pt idx="10">
                  <c:v>30000</c:v>
                </c:pt>
                <c:pt idx="11">
                  <c:v>29000</c:v>
                </c:pt>
                <c:pt idx="12">
                  <c:v>28000</c:v>
                </c:pt>
                <c:pt idx="13">
                  <c:v>27000</c:v>
                </c:pt>
                <c:pt idx="14">
                  <c:v>26000</c:v>
                </c:pt>
                <c:pt idx="15">
                  <c:v>25000</c:v>
                </c:pt>
                <c:pt idx="16">
                  <c:v>24000</c:v>
                </c:pt>
                <c:pt idx="17">
                  <c:v>23000</c:v>
                </c:pt>
                <c:pt idx="18">
                  <c:v>22000</c:v>
                </c:pt>
                <c:pt idx="19">
                  <c:v>21000</c:v>
                </c:pt>
                <c:pt idx="20">
                  <c:v>20000</c:v>
                </c:pt>
                <c:pt idx="21">
                  <c:v>19000</c:v>
                </c:pt>
                <c:pt idx="22">
                  <c:v>18000</c:v>
                </c:pt>
                <c:pt idx="23">
                  <c:v>17000</c:v>
                </c:pt>
                <c:pt idx="24">
                  <c:v>16000</c:v>
                </c:pt>
                <c:pt idx="25">
                  <c:v>15000</c:v>
                </c:pt>
                <c:pt idx="26">
                  <c:v>14000</c:v>
                </c:pt>
                <c:pt idx="27">
                  <c:v>13000</c:v>
                </c:pt>
                <c:pt idx="28">
                  <c:v>12000</c:v>
                </c:pt>
                <c:pt idx="29">
                  <c:v>11000</c:v>
                </c:pt>
                <c:pt idx="30">
                  <c:v>10000</c:v>
                </c:pt>
                <c:pt idx="31">
                  <c:v>9000</c:v>
                </c:pt>
                <c:pt idx="32">
                  <c:v>8000</c:v>
                </c:pt>
                <c:pt idx="33">
                  <c:v>7000</c:v>
                </c:pt>
                <c:pt idx="34">
                  <c:v>6000</c:v>
                </c:pt>
                <c:pt idx="35">
                  <c:v>5000</c:v>
                </c:pt>
                <c:pt idx="36">
                  <c:v>4000</c:v>
                </c:pt>
                <c:pt idx="37">
                  <c:v>3000</c:v>
                </c:pt>
                <c:pt idx="38">
                  <c:v>2000</c:v>
                </c:pt>
                <c:pt idx="39">
                  <c:v>1000</c:v>
                </c:pt>
                <c:pt idx="40">
                  <c:v>0</c:v>
                </c:pt>
              </c:numCache>
            </c:numRef>
          </c:xVal>
          <c:yVal>
            <c:numRef>
              <c:f>'12 - Descent'!$AC$8:$AC$48</c:f>
              <c:numCache>
                <c:formatCode>General</c:formatCode>
                <c:ptCount val="41"/>
                <c:pt idx="0">
                  <c:v>0</c:v>
                </c:pt>
                <c:pt idx="1">
                  <c:v>0.23866917826883449</c:v>
                </c:pt>
                <c:pt idx="2">
                  <c:v>0.52536552146121684</c:v>
                </c:pt>
                <c:pt idx="3">
                  <c:v>0.81616349811450206</c:v>
                </c:pt>
                <c:pt idx="4">
                  <c:v>1.1105446250111117</c:v>
                </c:pt>
                <c:pt idx="5">
                  <c:v>1.4011073253094681</c:v>
                </c:pt>
                <c:pt idx="6">
                  <c:v>1.6844630001321088</c:v>
                </c:pt>
                <c:pt idx="7">
                  <c:v>1.9677650828017152</c:v>
                </c:pt>
                <c:pt idx="8">
                  <c:v>2.2551904038528701</c:v>
                </c:pt>
                <c:pt idx="9">
                  <c:v>2.5469155096229987</c:v>
                </c:pt>
                <c:pt idx="10">
                  <c:v>2.8431298026949792</c:v>
                </c:pt>
                <c:pt idx="11">
                  <c:v>3.139565916278356</c:v>
                </c:pt>
                <c:pt idx="12">
                  <c:v>3.4360162377009953</c:v>
                </c:pt>
                <c:pt idx="13">
                  <c:v>3.7367354004640805</c:v>
                </c:pt>
                <c:pt idx="14">
                  <c:v>4.0419088424602156</c:v>
                </c:pt>
                <c:pt idx="15">
                  <c:v>4.3517349072282148</c:v>
                </c:pt>
                <c:pt idx="16">
                  <c:v>4.6624182562804046</c:v>
                </c:pt>
                <c:pt idx="17">
                  <c:v>4.9737311161812148</c:v>
                </c:pt>
                <c:pt idx="18">
                  <c:v>5.2894739924375349</c:v>
                </c:pt>
                <c:pt idx="19">
                  <c:v>5.6098401741791557</c:v>
                </c:pt>
                <c:pt idx="20">
                  <c:v>5.9350358624325299</c:v>
                </c:pt>
                <c:pt idx="21">
                  <c:v>6.2615925863650101</c:v>
                </c:pt>
                <c:pt idx="22">
                  <c:v>6.5892577243888617</c:v>
                </c:pt>
                <c:pt idx="23">
                  <c:v>6.9215029309208278</c:v>
                </c:pt>
                <c:pt idx="24">
                  <c:v>7.2585268166332444</c:v>
                </c:pt>
                <c:pt idx="25">
                  <c:v>7.6005407145831381</c:v>
                </c:pt>
                <c:pt idx="26">
                  <c:v>7.9445934599655139</c:v>
                </c:pt>
                <c:pt idx="27">
                  <c:v>8.2904380498763164</c:v>
                </c:pt>
                <c:pt idx="28">
                  <c:v>8.6410539299277538</c:v>
                </c:pt>
                <c:pt idx="29">
                  <c:v>8.9966464864355249</c:v>
                </c:pt>
                <c:pt idx="30">
                  <c:v>9.3574338095258494</c:v>
                </c:pt>
                <c:pt idx="31">
                  <c:v>9.7206553528128854</c:v>
                </c:pt>
                <c:pt idx="32">
                  <c:v>10.086037271580386</c:v>
                </c:pt>
                <c:pt idx="33">
                  <c:v>10.456350777540051</c:v>
                </c:pt>
                <c:pt idx="34">
                  <c:v>10.831804744056209</c:v>
                </c:pt>
                <c:pt idx="35">
                  <c:v>11.21262046681924</c:v>
                </c:pt>
                <c:pt idx="36">
                  <c:v>11.59642389039603</c:v>
                </c:pt>
                <c:pt idx="37">
                  <c:v>11.982894926436986</c:v>
                </c:pt>
                <c:pt idx="38">
                  <c:v>12.374379287564276</c:v>
                </c:pt>
                <c:pt idx="39">
                  <c:v>12.771123203721308</c:v>
                </c:pt>
                <c:pt idx="40">
                  <c:v>13.173412858291647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7E-4C25-948C-89CABD4DE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987392"/>
        <c:axId val="2120987872"/>
      </c:scatterChart>
      <c:valAx>
        <c:axId val="212098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[ft]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987872"/>
        <c:crosses val="autoZero"/>
        <c:crossBetween val="midCat"/>
      </c:valAx>
      <c:valAx>
        <c:axId val="212098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[min]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987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T-38A Idle Descent</a:t>
            </a:r>
          </a:p>
          <a:p>
            <a:pPr>
              <a:defRPr/>
            </a:pPr>
            <a:r>
              <a:rPr lang="en-US" sz="1200"/>
              <a:t>Fuel</a:t>
            </a:r>
            <a:r>
              <a:rPr lang="en-US" sz="1200" baseline="0"/>
              <a:t> vs Altitude </a:t>
            </a:r>
            <a:r>
              <a:rPr lang="en-US" sz="12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 - Weight 10,000 lbs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'12 - Descent'!$B$8:$B$48</c:f>
              <c:numCache>
                <c:formatCode>#,##0</c:formatCode>
                <c:ptCount val="41"/>
                <c:pt idx="0">
                  <c:v>40000</c:v>
                </c:pt>
                <c:pt idx="1">
                  <c:v>39000</c:v>
                </c:pt>
                <c:pt idx="2">
                  <c:v>38000</c:v>
                </c:pt>
                <c:pt idx="3">
                  <c:v>37000</c:v>
                </c:pt>
                <c:pt idx="4">
                  <c:v>36000</c:v>
                </c:pt>
                <c:pt idx="5">
                  <c:v>35000</c:v>
                </c:pt>
                <c:pt idx="6">
                  <c:v>34000</c:v>
                </c:pt>
                <c:pt idx="7">
                  <c:v>33000</c:v>
                </c:pt>
                <c:pt idx="8">
                  <c:v>32000</c:v>
                </c:pt>
                <c:pt idx="9">
                  <c:v>31000</c:v>
                </c:pt>
                <c:pt idx="10">
                  <c:v>30000</c:v>
                </c:pt>
                <c:pt idx="11">
                  <c:v>29000</c:v>
                </c:pt>
                <c:pt idx="12">
                  <c:v>28000</c:v>
                </c:pt>
                <c:pt idx="13">
                  <c:v>27000</c:v>
                </c:pt>
                <c:pt idx="14">
                  <c:v>26000</c:v>
                </c:pt>
                <c:pt idx="15">
                  <c:v>25000</c:v>
                </c:pt>
                <c:pt idx="16">
                  <c:v>24000</c:v>
                </c:pt>
                <c:pt idx="17">
                  <c:v>23000</c:v>
                </c:pt>
                <c:pt idx="18">
                  <c:v>22000</c:v>
                </c:pt>
                <c:pt idx="19">
                  <c:v>21000</c:v>
                </c:pt>
                <c:pt idx="20">
                  <c:v>20000</c:v>
                </c:pt>
                <c:pt idx="21">
                  <c:v>19000</c:v>
                </c:pt>
                <c:pt idx="22">
                  <c:v>18000</c:v>
                </c:pt>
                <c:pt idx="23">
                  <c:v>17000</c:v>
                </c:pt>
                <c:pt idx="24">
                  <c:v>16000</c:v>
                </c:pt>
                <c:pt idx="25">
                  <c:v>15000</c:v>
                </c:pt>
                <c:pt idx="26">
                  <c:v>14000</c:v>
                </c:pt>
                <c:pt idx="27">
                  <c:v>13000</c:v>
                </c:pt>
                <c:pt idx="28">
                  <c:v>12000</c:v>
                </c:pt>
                <c:pt idx="29">
                  <c:v>11000</c:v>
                </c:pt>
                <c:pt idx="30">
                  <c:v>10000</c:v>
                </c:pt>
                <c:pt idx="31">
                  <c:v>9000</c:v>
                </c:pt>
                <c:pt idx="32">
                  <c:v>8000</c:v>
                </c:pt>
                <c:pt idx="33">
                  <c:v>7000</c:v>
                </c:pt>
                <c:pt idx="34">
                  <c:v>6000</c:v>
                </c:pt>
                <c:pt idx="35">
                  <c:v>5000</c:v>
                </c:pt>
                <c:pt idx="36">
                  <c:v>4000</c:v>
                </c:pt>
                <c:pt idx="37">
                  <c:v>3000</c:v>
                </c:pt>
                <c:pt idx="38">
                  <c:v>2000</c:v>
                </c:pt>
                <c:pt idx="39">
                  <c:v>1000</c:v>
                </c:pt>
                <c:pt idx="40">
                  <c:v>0</c:v>
                </c:pt>
              </c:numCache>
            </c:numRef>
          </c:xVal>
          <c:yVal>
            <c:numRef>
              <c:f>'12 - Descent'!$V$8:$V$48</c:f>
              <c:numCache>
                <c:formatCode>0.0</c:formatCode>
                <c:ptCount val="41"/>
                <c:pt idx="0">
                  <c:v>0</c:v>
                </c:pt>
                <c:pt idx="1">
                  <c:v>1.7184180835356082</c:v>
                </c:pt>
                <c:pt idx="2">
                  <c:v>3.7826317545207608</c:v>
                </c:pt>
                <c:pt idx="3">
                  <c:v>5.8763771864244143</c:v>
                </c:pt>
                <c:pt idx="4">
                  <c:v>7.9959213000800027</c:v>
                </c:pt>
                <c:pt idx="5">
                  <c:v>10.087972742228169</c:v>
                </c:pt>
                <c:pt idx="6">
                  <c:v>12.128133600951182</c:v>
                </c:pt>
                <c:pt idx="7">
                  <c:v>14.167908596172348</c:v>
                </c:pt>
                <c:pt idx="8">
                  <c:v>16.237370907740662</c:v>
                </c:pt>
                <c:pt idx="9">
                  <c:v>18.33779166928559</c:v>
                </c:pt>
                <c:pt idx="10">
                  <c:v>20.470534579403846</c:v>
                </c:pt>
                <c:pt idx="11">
                  <c:v>22.604874597204159</c:v>
                </c:pt>
                <c:pt idx="12">
                  <c:v>24.739316911447162</c:v>
                </c:pt>
                <c:pt idx="13">
                  <c:v>26.904494883341378</c:v>
                </c:pt>
                <c:pt idx="14">
                  <c:v>29.101743665713549</c:v>
                </c:pt>
                <c:pt idx="15">
                  <c:v>31.332491332043141</c:v>
                </c:pt>
                <c:pt idx="16">
                  <c:v>33.569411445218911</c:v>
                </c:pt>
                <c:pt idx="17">
                  <c:v>35.810864036504746</c:v>
                </c:pt>
                <c:pt idx="18">
                  <c:v>38.084212745550246</c:v>
                </c:pt>
                <c:pt idx="19">
                  <c:v>40.390849254089915</c:v>
                </c:pt>
                <c:pt idx="20">
                  <c:v>42.732258209514214</c:v>
                </c:pt>
                <c:pt idx="21">
                  <c:v>45.083466621828066</c:v>
                </c:pt>
                <c:pt idx="22">
                  <c:v>47.442655615599804</c:v>
                </c:pt>
                <c:pt idx="23">
                  <c:v>49.834821102629959</c:v>
                </c:pt>
                <c:pt idx="24">
                  <c:v>52.261393079759351</c:v>
                </c:pt>
                <c:pt idx="25">
                  <c:v>54.723893144998591</c:v>
                </c:pt>
                <c:pt idx="26">
                  <c:v>57.201072911751695</c:v>
                </c:pt>
                <c:pt idx="27">
                  <c:v>59.691153959109471</c:v>
                </c:pt>
                <c:pt idx="28">
                  <c:v>62.215588295479819</c:v>
                </c:pt>
                <c:pt idx="29">
                  <c:v>64.775854702335764</c:v>
                </c:pt>
                <c:pt idx="30">
                  <c:v>67.373523428586111</c:v>
                </c:pt>
                <c:pt idx="31">
                  <c:v>69.988718540252762</c:v>
                </c:pt>
                <c:pt idx="32">
                  <c:v>72.619468355378771</c:v>
                </c:pt>
                <c:pt idx="33">
                  <c:v>75.285725598288352</c:v>
                </c:pt>
                <c:pt idx="34">
                  <c:v>77.988994157204701</c:v>
                </c:pt>
                <c:pt idx="35">
                  <c:v>80.730867361098532</c:v>
                </c:pt>
                <c:pt idx="36">
                  <c:v>83.494252010851412</c:v>
                </c:pt>
                <c:pt idx="37">
                  <c:v>86.276843470346293</c:v>
                </c:pt>
                <c:pt idx="38">
                  <c:v>89.095530870462795</c:v>
                </c:pt>
                <c:pt idx="39">
                  <c:v>91.95208706679341</c:v>
                </c:pt>
                <c:pt idx="40">
                  <c:v>94.848572579699862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EA-43EC-A712-F3412E218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987392"/>
        <c:axId val="2120987872"/>
      </c:scatterChart>
      <c:valAx>
        <c:axId val="212098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[ft]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987872"/>
        <c:crosses val="autoZero"/>
        <c:crossBetween val="midCat"/>
      </c:valAx>
      <c:valAx>
        <c:axId val="212098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Fuel [lbs]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987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T-38A Idle Descent</a:t>
            </a:r>
          </a:p>
          <a:p>
            <a:pPr>
              <a:defRPr/>
            </a:pPr>
            <a:r>
              <a:rPr lang="en-US" sz="1200"/>
              <a:t>Distance</a:t>
            </a:r>
            <a:r>
              <a:rPr lang="en-US" sz="1200" baseline="0"/>
              <a:t> vs Altitude</a:t>
            </a:r>
            <a:r>
              <a:rPr lang="en-US" sz="12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 - Weight 10,000 lbs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'12 - Descent'!$B$8:$B$48</c:f>
              <c:numCache>
                <c:formatCode>#,##0</c:formatCode>
                <c:ptCount val="41"/>
                <c:pt idx="0">
                  <c:v>40000</c:v>
                </c:pt>
                <c:pt idx="1">
                  <c:v>39000</c:v>
                </c:pt>
                <c:pt idx="2">
                  <c:v>38000</c:v>
                </c:pt>
                <c:pt idx="3">
                  <c:v>37000</c:v>
                </c:pt>
                <c:pt idx="4">
                  <c:v>36000</c:v>
                </c:pt>
                <c:pt idx="5">
                  <c:v>35000</c:v>
                </c:pt>
                <c:pt idx="6">
                  <c:v>34000</c:v>
                </c:pt>
                <c:pt idx="7">
                  <c:v>33000</c:v>
                </c:pt>
                <c:pt idx="8">
                  <c:v>32000</c:v>
                </c:pt>
                <c:pt idx="9">
                  <c:v>31000</c:v>
                </c:pt>
                <c:pt idx="10">
                  <c:v>30000</c:v>
                </c:pt>
                <c:pt idx="11">
                  <c:v>29000</c:v>
                </c:pt>
                <c:pt idx="12">
                  <c:v>28000</c:v>
                </c:pt>
                <c:pt idx="13">
                  <c:v>27000</c:v>
                </c:pt>
                <c:pt idx="14">
                  <c:v>26000</c:v>
                </c:pt>
                <c:pt idx="15">
                  <c:v>25000</c:v>
                </c:pt>
                <c:pt idx="16">
                  <c:v>24000</c:v>
                </c:pt>
                <c:pt idx="17">
                  <c:v>23000</c:v>
                </c:pt>
                <c:pt idx="18">
                  <c:v>22000</c:v>
                </c:pt>
                <c:pt idx="19">
                  <c:v>21000</c:v>
                </c:pt>
                <c:pt idx="20">
                  <c:v>20000</c:v>
                </c:pt>
                <c:pt idx="21">
                  <c:v>19000</c:v>
                </c:pt>
                <c:pt idx="22">
                  <c:v>18000</c:v>
                </c:pt>
                <c:pt idx="23">
                  <c:v>17000</c:v>
                </c:pt>
                <c:pt idx="24">
                  <c:v>16000</c:v>
                </c:pt>
                <c:pt idx="25">
                  <c:v>15000</c:v>
                </c:pt>
                <c:pt idx="26">
                  <c:v>14000</c:v>
                </c:pt>
                <c:pt idx="27">
                  <c:v>13000</c:v>
                </c:pt>
                <c:pt idx="28">
                  <c:v>12000</c:v>
                </c:pt>
                <c:pt idx="29">
                  <c:v>11000</c:v>
                </c:pt>
                <c:pt idx="30">
                  <c:v>10000</c:v>
                </c:pt>
                <c:pt idx="31">
                  <c:v>9000</c:v>
                </c:pt>
                <c:pt idx="32">
                  <c:v>8000</c:v>
                </c:pt>
                <c:pt idx="33">
                  <c:v>7000</c:v>
                </c:pt>
                <c:pt idx="34">
                  <c:v>6000</c:v>
                </c:pt>
                <c:pt idx="35">
                  <c:v>5000</c:v>
                </c:pt>
                <c:pt idx="36">
                  <c:v>4000</c:v>
                </c:pt>
                <c:pt idx="37">
                  <c:v>3000</c:v>
                </c:pt>
                <c:pt idx="38">
                  <c:v>2000</c:v>
                </c:pt>
                <c:pt idx="39">
                  <c:v>1000</c:v>
                </c:pt>
                <c:pt idx="40">
                  <c:v>0</c:v>
                </c:pt>
              </c:numCache>
            </c:numRef>
          </c:xVal>
          <c:yVal>
            <c:numRef>
              <c:f>'12 - Descent'!$Z$8:$Z$48</c:f>
              <c:numCache>
                <c:formatCode>0.00</c:formatCode>
                <c:ptCount val="41"/>
                <c:pt idx="0">
                  <c:v>0</c:v>
                </c:pt>
                <c:pt idx="1">
                  <c:v>1.7842834096259104</c:v>
                </c:pt>
                <c:pt idx="2">
                  <c:v>3.8869728355549369</c:v>
                </c:pt>
                <c:pt idx="3">
                  <c:v>5.9756499210574656</c:v>
                </c:pt>
                <c:pt idx="4">
                  <c:v>8.045797825000319</c:v>
                </c:pt>
                <c:pt idx="5">
                  <c:v>10.049588848072629</c:v>
                </c:pt>
                <c:pt idx="6">
                  <c:v>11.971123008930867</c:v>
                </c:pt>
                <c:pt idx="7">
                  <c:v>13.861998076761408</c:v>
                </c:pt>
                <c:pt idx="8">
                  <c:v>15.749472419779377</c:v>
                </c:pt>
                <c:pt idx="9">
                  <c:v>17.633406910582877</c:v>
                </c:pt>
                <c:pt idx="10">
                  <c:v>19.513671992026016</c:v>
                </c:pt>
                <c:pt idx="11">
                  <c:v>21.364545389616801</c:v>
                </c:pt>
                <c:pt idx="12">
                  <c:v>23.186819482458173</c:v>
                </c:pt>
                <c:pt idx="13">
                  <c:v>25.006090210251159</c:v>
                </c:pt>
                <c:pt idx="14">
                  <c:v>26.822278727460908</c:v>
                </c:pt>
                <c:pt idx="15">
                  <c:v>28.6353141117334</c:v>
                </c:pt>
                <c:pt idx="16">
                  <c:v>30.424217496082221</c:v>
                </c:pt>
                <c:pt idx="17">
                  <c:v>32.18952072497315</c:v>
                </c:pt>
                <c:pt idx="18">
                  <c:v>33.952197255858849</c:v>
                </c:pt>
                <c:pt idx="19">
                  <c:v>35.712212034563784</c:v>
                </c:pt>
                <c:pt idx="20">
                  <c:v>37.469536682099886</c:v>
                </c:pt>
                <c:pt idx="21">
                  <c:v>39.206602425539351</c:v>
                </c:pt>
                <c:pt idx="22">
                  <c:v>40.923771760320186</c:v>
                </c:pt>
                <c:pt idx="23">
                  <c:v>42.638665351823207</c:v>
                </c:pt>
                <c:pt idx="24">
                  <c:v>44.351279656246184</c:v>
                </c:pt>
                <c:pt idx="25">
                  <c:v>46.061616774154636</c:v>
                </c:pt>
                <c:pt idx="26">
                  <c:v>47.755906174863092</c:v>
                </c:pt>
                <c:pt idx="27">
                  <c:v>49.434350913631114</c:v>
                </c:pt>
                <c:pt idx="28">
                  <c:v>51.110813482086101</c:v>
                </c:pt>
                <c:pt idx="29">
                  <c:v>52.785312954348107</c:v>
                </c:pt>
                <c:pt idx="30">
                  <c:v>54.45787326782208</c:v>
                </c:pt>
                <c:pt idx="31">
                  <c:v>56.116687483801286</c:v>
                </c:pt>
                <c:pt idx="32">
                  <c:v>57.761879352390174</c:v>
                </c:pt>
                <c:pt idx="33">
                  <c:v>59.405349893286129</c:v>
                </c:pt>
                <c:pt idx="34">
                  <c:v>61.047133838599805</c:v>
                </c:pt>
                <c:pt idx="35">
                  <c:v>62.687270098057546</c:v>
                </c:pt>
                <c:pt idx="36">
                  <c:v>64.316388865328946</c:v>
                </c:pt>
                <c:pt idx="37">
                  <c:v>65.934302208746516</c:v>
                </c:pt>
                <c:pt idx="38">
                  <c:v>67.550256936577185</c:v>
                </c:pt>
                <c:pt idx="39">
                  <c:v>69.164446365576353</c:v>
                </c:pt>
                <c:pt idx="40">
                  <c:v>70.777173846606701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B0-455B-9705-0B0FB246C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987392"/>
        <c:axId val="2120987872"/>
      </c:scatterChart>
      <c:valAx>
        <c:axId val="212098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[ft]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987872"/>
        <c:crosses val="autoZero"/>
        <c:crossBetween val="midCat"/>
      </c:valAx>
      <c:valAx>
        <c:axId val="212098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 [NM]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987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T-38A Idle</a:t>
            </a:r>
            <a:r>
              <a:rPr lang="en-US" baseline="0"/>
              <a:t> Descent</a:t>
            </a:r>
          </a:p>
          <a:p>
            <a:pPr>
              <a:defRPr/>
            </a:pPr>
            <a:r>
              <a:rPr lang="en-US" sz="1400" b="0" baseline="0"/>
              <a:t>Lift/Drag vs Mach - Weight 10,000 lbs</a:t>
            </a:r>
            <a:endParaRPr lang="en-US" b="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 = 0[ft]</c:v>
          </c:tx>
          <c:marker>
            <c:symbol val="none"/>
          </c:marker>
          <c:xVal>
            <c:numRef>
              <c:f>'12 - Descent Calcs'!$O$6:$O$84</c:f>
              <c:numCache>
                <c:formatCode>General</c:formatCode>
                <c:ptCount val="79"/>
                <c:pt idx="0">
                  <c:v>0.22</c:v>
                </c:pt>
                <c:pt idx="1">
                  <c:v>0.23</c:v>
                </c:pt>
                <c:pt idx="2">
                  <c:v>0.24</c:v>
                </c:pt>
                <c:pt idx="3">
                  <c:v>0.25</c:v>
                </c:pt>
                <c:pt idx="4">
                  <c:v>0.26</c:v>
                </c:pt>
                <c:pt idx="5">
                  <c:v>0.27</c:v>
                </c:pt>
                <c:pt idx="6">
                  <c:v>0.28000000000000003</c:v>
                </c:pt>
                <c:pt idx="7">
                  <c:v>0.28999999999999998</c:v>
                </c:pt>
                <c:pt idx="8">
                  <c:v>0.3</c:v>
                </c:pt>
                <c:pt idx="9">
                  <c:v>0.31</c:v>
                </c:pt>
                <c:pt idx="10">
                  <c:v>0.32</c:v>
                </c:pt>
                <c:pt idx="11">
                  <c:v>0.33</c:v>
                </c:pt>
                <c:pt idx="12">
                  <c:v>0.34</c:v>
                </c:pt>
                <c:pt idx="13">
                  <c:v>0.35</c:v>
                </c:pt>
                <c:pt idx="14">
                  <c:v>0.36</c:v>
                </c:pt>
                <c:pt idx="15">
                  <c:v>0.37</c:v>
                </c:pt>
                <c:pt idx="16">
                  <c:v>0.38</c:v>
                </c:pt>
                <c:pt idx="17">
                  <c:v>0.39</c:v>
                </c:pt>
                <c:pt idx="18">
                  <c:v>0.4</c:v>
                </c:pt>
                <c:pt idx="19">
                  <c:v>0.41</c:v>
                </c:pt>
                <c:pt idx="20">
                  <c:v>0.42</c:v>
                </c:pt>
                <c:pt idx="21">
                  <c:v>0.43</c:v>
                </c:pt>
                <c:pt idx="22">
                  <c:v>0.44</c:v>
                </c:pt>
                <c:pt idx="23">
                  <c:v>0.45</c:v>
                </c:pt>
                <c:pt idx="24">
                  <c:v>0.46</c:v>
                </c:pt>
                <c:pt idx="25">
                  <c:v>0.47</c:v>
                </c:pt>
                <c:pt idx="26">
                  <c:v>0.48</c:v>
                </c:pt>
                <c:pt idx="27">
                  <c:v>0.49</c:v>
                </c:pt>
                <c:pt idx="28">
                  <c:v>0.5</c:v>
                </c:pt>
                <c:pt idx="29">
                  <c:v>0.51</c:v>
                </c:pt>
                <c:pt idx="30">
                  <c:v>0.52</c:v>
                </c:pt>
                <c:pt idx="31">
                  <c:v>0.53</c:v>
                </c:pt>
                <c:pt idx="32">
                  <c:v>0.54</c:v>
                </c:pt>
                <c:pt idx="33">
                  <c:v>0.55000000000000004</c:v>
                </c:pt>
                <c:pt idx="34">
                  <c:v>0.56000000000000005</c:v>
                </c:pt>
                <c:pt idx="35">
                  <c:v>0.56999999999999995</c:v>
                </c:pt>
                <c:pt idx="36">
                  <c:v>0.57999999999999996</c:v>
                </c:pt>
                <c:pt idx="37">
                  <c:v>0.59</c:v>
                </c:pt>
                <c:pt idx="38">
                  <c:v>0.6</c:v>
                </c:pt>
                <c:pt idx="39">
                  <c:v>0.61</c:v>
                </c:pt>
                <c:pt idx="40">
                  <c:v>0.62</c:v>
                </c:pt>
                <c:pt idx="41">
                  <c:v>0.63</c:v>
                </c:pt>
                <c:pt idx="42">
                  <c:v>0.64</c:v>
                </c:pt>
                <c:pt idx="43">
                  <c:v>0.65</c:v>
                </c:pt>
                <c:pt idx="44">
                  <c:v>0.66</c:v>
                </c:pt>
                <c:pt idx="45">
                  <c:v>0.67</c:v>
                </c:pt>
                <c:pt idx="46">
                  <c:v>0.68</c:v>
                </c:pt>
                <c:pt idx="47">
                  <c:v>0.69</c:v>
                </c:pt>
                <c:pt idx="48">
                  <c:v>0.7</c:v>
                </c:pt>
                <c:pt idx="49">
                  <c:v>0.71</c:v>
                </c:pt>
                <c:pt idx="50">
                  <c:v>0.72</c:v>
                </c:pt>
                <c:pt idx="51">
                  <c:v>0.73</c:v>
                </c:pt>
                <c:pt idx="52">
                  <c:v>0.74</c:v>
                </c:pt>
                <c:pt idx="53">
                  <c:v>0.75</c:v>
                </c:pt>
                <c:pt idx="54">
                  <c:v>0.76</c:v>
                </c:pt>
                <c:pt idx="55">
                  <c:v>0.77</c:v>
                </c:pt>
                <c:pt idx="56">
                  <c:v>0.78</c:v>
                </c:pt>
                <c:pt idx="57">
                  <c:v>0.79</c:v>
                </c:pt>
                <c:pt idx="58">
                  <c:v>0.8</c:v>
                </c:pt>
                <c:pt idx="59">
                  <c:v>0.81</c:v>
                </c:pt>
                <c:pt idx="60">
                  <c:v>0.82</c:v>
                </c:pt>
                <c:pt idx="61">
                  <c:v>0.83</c:v>
                </c:pt>
                <c:pt idx="62">
                  <c:v>0.84</c:v>
                </c:pt>
                <c:pt idx="63">
                  <c:v>0.85</c:v>
                </c:pt>
                <c:pt idx="64">
                  <c:v>0.86</c:v>
                </c:pt>
                <c:pt idx="65">
                  <c:v>0.87</c:v>
                </c:pt>
                <c:pt idx="66">
                  <c:v>0.88</c:v>
                </c:pt>
                <c:pt idx="67">
                  <c:v>0.89</c:v>
                </c:pt>
                <c:pt idx="68">
                  <c:v>0.9</c:v>
                </c:pt>
                <c:pt idx="69">
                  <c:v>0.91</c:v>
                </c:pt>
                <c:pt idx="70">
                  <c:v>0.92</c:v>
                </c:pt>
                <c:pt idx="71">
                  <c:v>0.93</c:v>
                </c:pt>
                <c:pt idx="72">
                  <c:v>0.94</c:v>
                </c:pt>
                <c:pt idx="73">
                  <c:v>0.95</c:v>
                </c:pt>
                <c:pt idx="74">
                  <c:v>0.96</c:v>
                </c:pt>
                <c:pt idx="75">
                  <c:v>0.97</c:v>
                </c:pt>
                <c:pt idx="76">
                  <c:v>0.98</c:v>
                </c:pt>
                <c:pt idx="77">
                  <c:v>0.99</c:v>
                </c:pt>
                <c:pt idx="78">
                  <c:v>1</c:v>
                </c:pt>
              </c:numCache>
            </c:numRef>
          </c:xVal>
          <c:yVal>
            <c:numRef>
              <c:f>'12 - Descent Calcs'!$P$6:$P$84</c:f>
              <c:numCache>
                <c:formatCode>General</c:formatCode>
                <c:ptCount val="79"/>
                <c:pt idx="0">
                  <c:v>0</c:v>
                </c:pt>
                <c:pt idx="1">
                  <c:v>4.607587824014308</c:v>
                </c:pt>
                <c:pt idx="2">
                  <c:v>5.3576180438244059</c:v>
                </c:pt>
                <c:pt idx="3">
                  <c:v>6.0519339588035468</c:v>
                </c:pt>
                <c:pt idx="4">
                  <c:v>6.8670573194814439</c:v>
                </c:pt>
                <c:pt idx="5">
                  <c:v>7.5492610124428872</c:v>
                </c:pt>
                <c:pt idx="6">
                  <c:v>8.4172908572959724</c:v>
                </c:pt>
                <c:pt idx="7">
                  <c:v>8.9892694696574384</c:v>
                </c:pt>
                <c:pt idx="8">
                  <c:v>9.5327427649106973</c:v>
                </c:pt>
                <c:pt idx="9">
                  <c:v>10.168815994512279</c:v>
                </c:pt>
                <c:pt idx="10">
                  <c:v>10.703842642049086</c:v>
                </c:pt>
                <c:pt idx="11">
                  <c:v>11.073951750555109</c:v>
                </c:pt>
                <c:pt idx="12">
                  <c:v>11.335012786245086</c:v>
                </c:pt>
                <c:pt idx="13">
                  <c:v>11.289652665482039</c:v>
                </c:pt>
                <c:pt idx="14">
                  <c:v>11.244033255091066</c:v>
                </c:pt>
                <c:pt idx="15">
                  <c:v>11.118209580563382</c:v>
                </c:pt>
                <c:pt idx="16">
                  <c:v>10.944123638769002</c:v>
                </c:pt>
                <c:pt idx="17">
                  <c:v>10.771652147549787</c:v>
                </c:pt>
                <c:pt idx="18">
                  <c:v>10.600931309082299</c:v>
                </c:pt>
                <c:pt idx="19">
                  <c:v>10.432083246308069</c:v>
                </c:pt>
                <c:pt idx="20">
                  <c:v>10.265216739623803</c:v>
                </c:pt>
                <c:pt idx="21">
                  <c:v>10.100427967324306</c:v>
                </c:pt>
                <c:pt idx="22">
                  <c:v>9.9378012431562865</c:v>
                </c:pt>
                <c:pt idx="23">
                  <c:v>9.7300511485156509</c:v>
                </c:pt>
                <c:pt idx="24">
                  <c:v>9.4695959911206842</c:v>
                </c:pt>
                <c:pt idx="25">
                  <c:v>9.2180367189908541</c:v>
                </c:pt>
                <c:pt idx="26">
                  <c:v>8.9750806165985484</c:v>
                </c:pt>
                <c:pt idx="27">
                  <c:v>8.7404374037849397</c:v>
                </c:pt>
                <c:pt idx="28">
                  <c:v>8.5138204995031845</c:v>
                </c:pt>
                <c:pt idx="29">
                  <c:v>8.2949480596273126</c:v>
                </c:pt>
                <c:pt idx="30">
                  <c:v>8.0835438178456922</c:v>
                </c:pt>
                <c:pt idx="31">
                  <c:v>7.8793377556179971</c:v>
                </c:pt>
                <c:pt idx="32">
                  <c:v>7.6820666243504316</c:v>
                </c:pt>
                <c:pt idx="33">
                  <c:v>7.4914743403437489</c:v>
                </c:pt>
                <c:pt idx="34">
                  <c:v>7.307312270693008</c:v>
                </c:pt>
                <c:pt idx="35">
                  <c:v>7.129339426161569</c:v>
                </c:pt>
                <c:pt idx="36">
                  <c:v>6.9573225751055352</c:v>
                </c:pt>
                <c:pt idx="37">
                  <c:v>6.7910362907766961</c:v>
                </c:pt>
                <c:pt idx="38">
                  <c:v>6.6302629427688773</c:v>
                </c:pt>
                <c:pt idx="39">
                  <c:v>6.4747926419800397</c:v>
                </c:pt>
                <c:pt idx="40">
                  <c:v>6.3244231472265016</c:v>
                </c:pt>
                <c:pt idx="41">
                  <c:v>6.1789597405518304</c:v>
                </c:pt>
                <c:pt idx="42">
                  <c:v>6.009641913060892</c:v>
                </c:pt>
                <c:pt idx="43">
                  <c:v>5.8468114105417364</c:v>
                </c:pt>
                <c:pt idx="44">
                  <c:v>5.6905650687117086</c:v>
                </c:pt>
                <c:pt idx="45">
                  <c:v>5.5405591164594528</c:v>
                </c:pt>
                <c:pt idx="46">
                  <c:v>5.3964714027726624</c:v>
                </c:pt>
                <c:pt idx="47">
                  <c:v>5.2579998309292657</c:v>
                </c:pt>
                <c:pt idx="48">
                  <c:v>5.1248609189773253</c:v>
                </c:pt>
                <c:pt idx="49">
                  <c:v>4.9967884754846255</c:v>
                </c:pt>
                <c:pt idx="50">
                  <c:v>4.8735323805479318</c:v>
                </c:pt>
                <c:pt idx="51">
                  <c:v>4.7548574629677871</c:v>
                </c:pt>
                <c:pt idx="52">
                  <c:v>4.6405424653256704</c:v>
                </c:pt>
                <c:pt idx="53">
                  <c:v>4.5303790894535663</c:v>
                </c:pt>
                <c:pt idx="54">
                  <c:v>4.4241711154688081</c:v>
                </c:pt>
                <c:pt idx="55">
                  <c:v>4.3217335881655892</c:v>
                </c:pt>
                <c:pt idx="56">
                  <c:v>4.2228920651150164</c:v>
                </c:pt>
                <c:pt idx="57">
                  <c:v>4.1274819213332279</c:v>
                </c:pt>
                <c:pt idx="58">
                  <c:v>4.0353477058370864</c:v>
                </c:pt>
                <c:pt idx="59">
                  <c:v>3.9207776043903948</c:v>
                </c:pt>
                <c:pt idx="60">
                  <c:v>3.8105111334956008</c:v>
                </c:pt>
                <c:pt idx="61">
                  <c:v>3.7043493096792304</c:v>
                </c:pt>
                <c:pt idx="62">
                  <c:v>3.6021039404886666</c:v>
                </c:pt>
                <c:pt idx="63">
                  <c:v>3.503596962522384</c:v>
                </c:pt>
                <c:pt idx="64">
                  <c:v>3.3826584273503646</c:v>
                </c:pt>
                <c:pt idx="65">
                  <c:v>3.267121784519782</c:v>
                </c:pt>
                <c:pt idx="66">
                  <c:v>3.1566954460567103</c:v>
                </c:pt>
                <c:pt idx="67">
                  <c:v>3.0511059960215539</c:v>
                </c:pt>
                <c:pt idx="68">
                  <c:v>2.9500969278654443</c:v>
                </c:pt>
                <c:pt idx="69">
                  <c:v>2.8447201301876071</c:v>
                </c:pt>
                <c:pt idx="70">
                  <c:v>2.7442675557679248</c:v>
                </c:pt>
                <c:pt idx="71">
                  <c:v>2.6108060787009393</c:v>
                </c:pt>
                <c:pt idx="72">
                  <c:v>2.4862942573203162</c:v>
                </c:pt>
                <c:pt idx="73">
                  <c:v>2.2488293660293683</c:v>
                </c:pt>
                <c:pt idx="74">
                  <c:v>2.0463384230914508</c:v>
                </c:pt>
                <c:pt idx="75">
                  <c:v>1.6682129179396137</c:v>
                </c:pt>
                <c:pt idx="76">
                  <c:v>1.3996049170322755</c:v>
                </c:pt>
                <c:pt idx="77">
                  <c:v>1.284706087328835</c:v>
                </c:pt>
                <c:pt idx="78">
                  <c:v>1.1842173283977966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AB-4600-BC61-73ABD7E13E3B}"/>
            </c:ext>
          </c:extLst>
        </c:ser>
        <c:ser>
          <c:idx val="1"/>
          <c:order val="1"/>
          <c:tx>
            <c:v>h = 5000[ft]</c:v>
          </c:tx>
          <c:marker>
            <c:symbol val="none"/>
          </c:marker>
          <c:xVal>
            <c:numRef>
              <c:f>'12 - Descent Calcs'!$O$6:$O$84</c:f>
              <c:numCache>
                <c:formatCode>General</c:formatCode>
                <c:ptCount val="79"/>
                <c:pt idx="0">
                  <c:v>0.22</c:v>
                </c:pt>
                <c:pt idx="1">
                  <c:v>0.23</c:v>
                </c:pt>
                <c:pt idx="2">
                  <c:v>0.24</c:v>
                </c:pt>
                <c:pt idx="3">
                  <c:v>0.25</c:v>
                </c:pt>
                <c:pt idx="4">
                  <c:v>0.26</c:v>
                </c:pt>
                <c:pt idx="5">
                  <c:v>0.27</c:v>
                </c:pt>
                <c:pt idx="6">
                  <c:v>0.28000000000000003</c:v>
                </c:pt>
                <c:pt idx="7">
                  <c:v>0.28999999999999998</c:v>
                </c:pt>
                <c:pt idx="8">
                  <c:v>0.3</c:v>
                </c:pt>
                <c:pt idx="9">
                  <c:v>0.31</c:v>
                </c:pt>
                <c:pt idx="10">
                  <c:v>0.32</c:v>
                </c:pt>
                <c:pt idx="11">
                  <c:v>0.33</c:v>
                </c:pt>
                <c:pt idx="12">
                  <c:v>0.34</c:v>
                </c:pt>
                <c:pt idx="13">
                  <c:v>0.35</c:v>
                </c:pt>
                <c:pt idx="14">
                  <c:v>0.36</c:v>
                </c:pt>
                <c:pt idx="15">
                  <c:v>0.37</c:v>
                </c:pt>
                <c:pt idx="16">
                  <c:v>0.38</c:v>
                </c:pt>
                <c:pt idx="17">
                  <c:v>0.39</c:v>
                </c:pt>
                <c:pt idx="18">
                  <c:v>0.4</c:v>
                </c:pt>
                <c:pt idx="19">
                  <c:v>0.41</c:v>
                </c:pt>
                <c:pt idx="20">
                  <c:v>0.42</c:v>
                </c:pt>
                <c:pt idx="21">
                  <c:v>0.43</c:v>
                </c:pt>
                <c:pt idx="22">
                  <c:v>0.44</c:v>
                </c:pt>
                <c:pt idx="23">
                  <c:v>0.45</c:v>
                </c:pt>
                <c:pt idx="24">
                  <c:v>0.46</c:v>
                </c:pt>
                <c:pt idx="25">
                  <c:v>0.47</c:v>
                </c:pt>
                <c:pt idx="26">
                  <c:v>0.48</c:v>
                </c:pt>
                <c:pt idx="27">
                  <c:v>0.49</c:v>
                </c:pt>
                <c:pt idx="28">
                  <c:v>0.5</c:v>
                </c:pt>
                <c:pt idx="29">
                  <c:v>0.51</c:v>
                </c:pt>
                <c:pt idx="30">
                  <c:v>0.52</c:v>
                </c:pt>
                <c:pt idx="31">
                  <c:v>0.53</c:v>
                </c:pt>
                <c:pt idx="32">
                  <c:v>0.54</c:v>
                </c:pt>
                <c:pt idx="33">
                  <c:v>0.55000000000000004</c:v>
                </c:pt>
                <c:pt idx="34">
                  <c:v>0.56000000000000005</c:v>
                </c:pt>
                <c:pt idx="35">
                  <c:v>0.56999999999999995</c:v>
                </c:pt>
                <c:pt idx="36">
                  <c:v>0.57999999999999996</c:v>
                </c:pt>
                <c:pt idx="37">
                  <c:v>0.59</c:v>
                </c:pt>
                <c:pt idx="38">
                  <c:v>0.6</c:v>
                </c:pt>
                <c:pt idx="39">
                  <c:v>0.61</c:v>
                </c:pt>
                <c:pt idx="40">
                  <c:v>0.62</c:v>
                </c:pt>
                <c:pt idx="41">
                  <c:v>0.63</c:v>
                </c:pt>
                <c:pt idx="42">
                  <c:v>0.64</c:v>
                </c:pt>
                <c:pt idx="43">
                  <c:v>0.65</c:v>
                </c:pt>
                <c:pt idx="44">
                  <c:v>0.66</c:v>
                </c:pt>
                <c:pt idx="45">
                  <c:v>0.67</c:v>
                </c:pt>
                <c:pt idx="46">
                  <c:v>0.68</c:v>
                </c:pt>
                <c:pt idx="47">
                  <c:v>0.69</c:v>
                </c:pt>
                <c:pt idx="48">
                  <c:v>0.7</c:v>
                </c:pt>
                <c:pt idx="49">
                  <c:v>0.71</c:v>
                </c:pt>
                <c:pt idx="50">
                  <c:v>0.72</c:v>
                </c:pt>
                <c:pt idx="51">
                  <c:v>0.73</c:v>
                </c:pt>
                <c:pt idx="52">
                  <c:v>0.74</c:v>
                </c:pt>
                <c:pt idx="53">
                  <c:v>0.75</c:v>
                </c:pt>
                <c:pt idx="54">
                  <c:v>0.76</c:v>
                </c:pt>
                <c:pt idx="55">
                  <c:v>0.77</c:v>
                </c:pt>
                <c:pt idx="56">
                  <c:v>0.78</c:v>
                </c:pt>
                <c:pt idx="57">
                  <c:v>0.79</c:v>
                </c:pt>
                <c:pt idx="58">
                  <c:v>0.8</c:v>
                </c:pt>
                <c:pt idx="59">
                  <c:v>0.81</c:v>
                </c:pt>
                <c:pt idx="60">
                  <c:v>0.82</c:v>
                </c:pt>
                <c:pt idx="61">
                  <c:v>0.83</c:v>
                </c:pt>
                <c:pt idx="62">
                  <c:v>0.84</c:v>
                </c:pt>
                <c:pt idx="63">
                  <c:v>0.85</c:v>
                </c:pt>
                <c:pt idx="64">
                  <c:v>0.86</c:v>
                </c:pt>
                <c:pt idx="65">
                  <c:v>0.87</c:v>
                </c:pt>
                <c:pt idx="66">
                  <c:v>0.88</c:v>
                </c:pt>
                <c:pt idx="67">
                  <c:v>0.89</c:v>
                </c:pt>
                <c:pt idx="68">
                  <c:v>0.9</c:v>
                </c:pt>
                <c:pt idx="69">
                  <c:v>0.91</c:v>
                </c:pt>
                <c:pt idx="70">
                  <c:v>0.92</c:v>
                </c:pt>
                <c:pt idx="71">
                  <c:v>0.93</c:v>
                </c:pt>
                <c:pt idx="72">
                  <c:v>0.94</c:v>
                </c:pt>
                <c:pt idx="73">
                  <c:v>0.95</c:v>
                </c:pt>
                <c:pt idx="74">
                  <c:v>0.96</c:v>
                </c:pt>
                <c:pt idx="75">
                  <c:v>0.97</c:v>
                </c:pt>
                <c:pt idx="76">
                  <c:v>0.98</c:v>
                </c:pt>
                <c:pt idx="77">
                  <c:v>0.99</c:v>
                </c:pt>
                <c:pt idx="78">
                  <c:v>1</c:v>
                </c:pt>
              </c:numCache>
            </c:numRef>
          </c:xVal>
          <c:yVal>
            <c:numRef>
              <c:f>'12 - Descent Calcs'!$Q$6:$Q$84</c:f>
              <c:numCache>
                <c:formatCode>General</c:formatCode>
                <c:ptCount val="7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4.480230350002504</c:v>
                </c:pt>
                <c:pt idx="4">
                  <c:v>5.1616048321471908</c:v>
                </c:pt>
                <c:pt idx="5">
                  <c:v>5.7729407195920075</c:v>
                </c:pt>
                <c:pt idx="6">
                  <c:v>6.5268745113059978</c:v>
                </c:pt>
                <c:pt idx="7">
                  <c:v>7.1614681363545127</c:v>
                </c:pt>
                <c:pt idx="8">
                  <c:v>7.8470644716396665</c:v>
                </c:pt>
                <c:pt idx="9">
                  <c:v>8.6518710074785474</c:v>
                </c:pt>
                <c:pt idx="10">
                  <c:v>9.0959287379507074</c:v>
                </c:pt>
                <c:pt idx="11">
                  <c:v>9.6049079992621262</c:v>
                </c:pt>
                <c:pt idx="12">
                  <c:v>10.193252539087529</c:v>
                </c:pt>
                <c:pt idx="13">
                  <c:v>10.69585180555238</c:v>
                </c:pt>
                <c:pt idx="14">
                  <c:v>11.032290154723984</c:v>
                </c:pt>
                <c:pt idx="15">
                  <c:v>11.370353490074747</c:v>
                </c:pt>
                <c:pt idx="16">
                  <c:v>11.330873769749497</c:v>
                </c:pt>
                <c:pt idx="17">
                  <c:v>11.291242492041468</c:v>
                </c:pt>
                <c:pt idx="18">
                  <c:v>11.237827747005934</c:v>
                </c:pt>
                <c:pt idx="19">
                  <c:v>11.079652893645495</c:v>
                </c:pt>
                <c:pt idx="20">
                  <c:v>10.922748183903094</c:v>
                </c:pt>
                <c:pt idx="21">
                  <c:v>10.767222109901429</c:v>
                </c:pt>
                <c:pt idx="22">
                  <c:v>10.613173192096948</c:v>
                </c:pt>
                <c:pt idx="23">
                  <c:v>10.460690440802768</c:v>
                </c:pt>
                <c:pt idx="24">
                  <c:v>10.309853822181969</c:v>
                </c:pt>
                <c:pt idx="25">
                  <c:v>10.160734724915656</c:v>
                </c:pt>
                <c:pt idx="26">
                  <c:v>10.013396424224657</c:v>
                </c:pt>
                <c:pt idx="27">
                  <c:v>9.8528608744269679</c:v>
                </c:pt>
                <c:pt idx="28">
                  <c:v>9.6128682561895378</c:v>
                </c:pt>
                <c:pt idx="29">
                  <c:v>9.380341749548661</c:v>
                </c:pt>
                <c:pt idx="30">
                  <c:v>9.1550600142165344</c:v>
                </c:pt>
                <c:pt idx="31">
                  <c:v>8.9368029097915294</c:v>
                </c:pt>
                <c:pt idx="32">
                  <c:v>8.7253523690299257</c:v>
                </c:pt>
                <c:pt idx="33">
                  <c:v>8.5204931318921027</c:v>
                </c:pt>
                <c:pt idx="34">
                  <c:v>8.3220133565018646</c:v>
                </c:pt>
                <c:pt idx="35">
                  <c:v>8.1297051216472624</c:v>
                </c:pt>
                <c:pt idx="36">
                  <c:v>7.9433648340304446</c:v>
                </c:pt>
                <c:pt idx="37">
                  <c:v>7.7627935521485787</c:v>
                </c:pt>
                <c:pt idx="38">
                  <c:v>7.5877972374603448</c:v>
                </c:pt>
                <c:pt idx="39">
                  <c:v>7.4181869423627269</c:v>
                </c:pt>
                <c:pt idx="40">
                  <c:v>7.2537789434685065</c:v>
                </c:pt>
                <c:pt idx="41">
                  <c:v>7.0943948277325131</c:v>
                </c:pt>
                <c:pt idx="42">
                  <c:v>6.9398615381195441</c:v>
                </c:pt>
                <c:pt idx="43">
                  <c:v>6.7900113847339396</c:v>
                </c:pt>
                <c:pt idx="44">
                  <c:v>6.6446820266342783</c:v>
                </c:pt>
                <c:pt idx="45">
                  <c:v>6.5037164289310843</c:v>
                </c:pt>
                <c:pt idx="46">
                  <c:v>6.3669627992049689</c:v>
                </c:pt>
                <c:pt idx="47">
                  <c:v>6.2342745067818637</c:v>
                </c:pt>
                <c:pt idx="48">
                  <c:v>6.0807105183693801</c:v>
                </c:pt>
                <c:pt idx="49">
                  <c:v>5.9306430157564876</c:v>
                </c:pt>
                <c:pt idx="50">
                  <c:v>5.7861285437210048</c:v>
                </c:pt>
                <c:pt idx="51">
                  <c:v>5.6469014482538933</c:v>
                </c:pt>
                <c:pt idx="52">
                  <c:v>5.5127113966770454</c:v>
                </c:pt>
                <c:pt idx="53">
                  <c:v>5.3833223595612054</c:v>
                </c:pt>
                <c:pt idx="54">
                  <c:v>5.2585116679878219</c:v>
                </c:pt>
                <c:pt idx="55">
                  <c:v>5.1380691401262011</c:v>
                </c:pt>
                <c:pt idx="56">
                  <c:v>5.0217962716026223</c:v>
                </c:pt>
                <c:pt idx="57">
                  <c:v>4.9095054846009232</c:v>
                </c:pt>
                <c:pt idx="58">
                  <c:v>4.8010194310578225</c:v>
                </c:pt>
                <c:pt idx="59">
                  <c:v>4.6660459348467125</c:v>
                </c:pt>
                <c:pt idx="60">
                  <c:v>4.536069494850306</c:v>
                </c:pt>
                <c:pt idx="61">
                  <c:v>4.4108636977735562</c:v>
                </c:pt>
                <c:pt idx="62">
                  <c:v>4.2902140739956645</c:v>
                </c:pt>
                <c:pt idx="63">
                  <c:v>4.1739173921325969</c:v>
                </c:pt>
                <c:pt idx="64">
                  <c:v>4.0310051930452149</c:v>
                </c:pt>
                <c:pt idx="65">
                  <c:v>3.8944004396149152</c:v>
                </c:pt>
                <c:pt idx="66">
                  <c:v>3.7637683797937331</c:v>
                </c:pt>
                <c:pt idx="67">
                  <c:v>3.6387946363176784</c:v>
                </c:pt>
                <c:pt idx="68">
                  <c:v>3.5191838374298445</c:v>
                </c:pt>
                <c:pt idx="69">
                  <c:v>3.3942855921920296</c:v>
                </c:pt>
                <c:pt idx="70">
                  <c:v>3.2751707691102401</c:v>
                </c:pt>
                <c:pt idx="71">
                  <c:v>3.1168673580094217</c:v>
                </c:pt>
                <c:pt idx="72">
                  <c:v>2.9690920813711044</c:v>
                </c:pt>
                <c:pt idx="73">
                  <c:v>2.6870929180855216</c:v>
                </c:pt>
                <c:pt idx="74">
                  <c:v>2.4463667061537064</c:v>
                </c:pt>
                <c:pt idx="75">
                  <c:v>1.9962115842446915</c:v>
                </c:pt>
                <c:pt idx="76">
                  <c:v>1.6759197373133938</c:v>
                </c:pt>
                <c:pt idx="77">
                  <c:v>1.5387433389334453</c:v>
                </c:pt>
                <c:pt idx="78">
                  <c:v>1.4187132741056478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AB-4600-BC61-73ABD7E13E3B}"/>
            </c:ext>
          </c:extLst>
        </c:ser>
        <c:ser>
          <c:idx val="2"/>
          <c:order val="2"/>
          <c:tx>
            <c:v>h = 10000[ft]</c:v>
          </c:tx>
          <c:marker>
            <c:symbol val="none"/>
          </c:marker>
          <c:xVal>
            <c:numRef>
              <c:f>'12 - Descent Calcs'!$O$6:$O$84</c:f>
              <c:numCache>
                <c:formatCode>General</c:formatCode>
                <c:ptCount val="79"/>
                <c:pt idx="0">
                  <c:v>0.22</c:v>
                </c:pt>
                <c:pt idx="1">
                  <c:v>0.23</c:v>
                </c:pt>
                <c:pt idx="2">
                  <c:v>0.24</c:v>
                </c:pt>
                <c:pt idx="3">
                  <c:v>0.25</c:v>
                </c:pt>
                <c:pt idx="4">
                  <c:v>0.26</c:v>
                </c:pt>
                <c:pt idx="5">
                  <c:v>0.27</c:v>
                </c:pt>
                <c:pt idx="6">
                  <c:v>0.28000000000000003</c:v>
                </c:pt>
                <c:pt idx="7">
                  <c:v>0.28999999999999998</c:v>
                </c:pt>
                <c:pt idx="8">
                  <c:v>0.3</c:v>
                </c:pt>
                <c:pt idx="9">
                  <c:v>0.31</c:v>
                </c:pt>
                <c:pt idx="10">
                  <c:v>0.32</c:v>
                </c:pt>
                <c:pt idx="11">
                  <c:v>0.33</c:v>
                </c:pt>
                <c:pt idx="12">
                  <c:v>0.34</c:v>
                </c:pt>
                <c:pt idx="13">
                  <c:v>0.35</c:v>
                </c:pt>
                <c:pt idx="14">
                  <c:v>0.36</c:v>
                </c:pt>
                <c:pt idx="15">
                  <c:v>0.37</c:v>
                </c:pt>
                <c:pt idx="16">
                  <c:v>0.38</c:v>
                </c:pt>
                <c:pt idx="17">
                  <c:v>0.39</c:v>
                </c:pt>
                <c:pt idx="18">
                  <c:v>0.4</c:v>
                </c:pt>
                <c:pt idx="19">
                  <c:v>0.41</c:v>
                </c:pt>
                <c:pt idx="20">
                  <c:v>0.42</c:v>
                </c:pt>
                <c:pt idx="21">
                  <c:v>0.43</c:v>
                </c:pt>
                <c:pt idx="22">
                  <c:v>0.44</c:v>
                </c:pt>
                <c:pt idx="23">
                  <c:v>0.45</c:v>
                </c:pt>
                <c:pt idx="24">
                  <c:v>0.46</c:v>
                </c:pt>
                <c:pt idx="25">
                  <c:v>0.47</c:v>
                </c:pt>
                <c:pt idx="26">
                  <c:v>0.48</c:v>
                </c:pt>
                <c:pt idx="27">
                  <c:v>0.49</c:v>
                </c:pt>
                <c:pt idx="28">
                  <c:v>0.5</c:v>
                </c:pt>
                <c:pt idx="29">
                  <c:v>0.51</c:v>
                </c:pt>
                <c:pt idx="30">
                  <c:v>0.52</c:v>
                </c:pt>
                <c:pt idx="31">
                  <c:v>0.53</c:v>
                </c:pt>
                <c:pt idx="32">
                  <c:v>0.54</c:v>
                </c:pt>
                <c:pt idx="33">
                  <c:v>0.55000000000000004</c:v>
                </c:pt>
                <c:pt idx="34">
                  <c:v>0.56000000000000005</c:v>
                </c:pt>
                <c:pt idx="35">
                  <c:v>0.56999999999999995</c:v>
                </c:pt>
                <c:pt idx="36">
                  <c:v>0.57999999999999996</c:v>
                </c:pt>
                <c:pt idx="37">
                  <c:v>0.59</c:v>
                </c:pt>
                <c:pt idx="38">
                  <c:v>0.6</c:v>
                </c:pt>
                <c:pt idx="39">
                  <c:v>0.61</c:v>
                </c:pt>
                <c:pt idx="40">
                  <c:v>0.62</c:v>
                </c:pt>
                <c:pt idx="41">
                  <c:v>0.63</c:v>
                </c:pt>
                <c:pt idx="42">
                  <c:v>0.64</c:v>
                </c:pt>
                <c:pt idx="43">
                  <c:v>0.65</c:v>
                </c:pt>
                <c:pt idx="44">
                  <c:v>0.66</c:v>
                </c:pt>
                <c:pt idx="45">
                  <c:v>0.67</c:v>
                </c:pt>
                <c:pt idx="46">
                  <c:v>0.68</c:v>
                </c:pt>
                <c:pt idx="47">
                  <c:v>0.69</c:v>
                </c:pt>
                <c:pt idx="48">
                  <c:v>0.7</c:v>
                </c:pt>
                <c:pt idx="49">
                  <c:v>0.71</c:v>
                </c:pt>
                <c:pt idx="50">
                  <c:v>0.72</c:v>
                </c:pt>
                <c:pt idx="51">
                  <c:v>0.73</c:v>
                </c:pt>
                <c:pt idx="52">
                  <c:v>0.74</c:v>
                </c:pt>
                <c:pt idx="53">
                  <c:v>0.75</c:v>
                </c:pt>
                <c:pt idx="54">
                  <c:v>0.76</c:v>
                </c:pt>
                <c:pt idx="55">
                  <c:v>0.77</c:v>
                </c:pt>
                <c:pt idx="56">
                  <c:v>0.78</c:v>
                </c:pt>
                <c:pt idx="57">
                  <c:v>0.79</c:v>
                </c:pt>
                <c:pt idx="58">
                  <c:v>0.8</c:v>
                </c:pt>
                <c:pt idx="59">
                  <c:v>0.81</c:v>
                </c:pt>
                <c:pt idx="60">
                  <c:v>0.82</c:v>
                </c:pt>
                <c:pt idx="61">
                  <c:v>0.83</c:v>
                </c:pt>
                <c:pt idx="62">
                  <c:v>0.84</c:v>
                </c:pt>
                <c:pt idx="63">
                  <c:v>0.85</c:v>
                </c:pt>
                <c:pt idx="64">
                  <c:v>0.86</c:v>
                </c:pt>
                <c:pt idx="65">
                  <c:v>0.87</c:v>
                </c:pt>
                <c:pt idx="66">
                  <c:v>0.88</c:v>
                </c:pt>
                <c:pt idx="67">
                  <c:v>0.89</c:v>
                </c:pt>
                <c:pt idx="68">
                  <c:v>0.9</c:v>
                </c:pt>
                <c:pt idx="69">
                  <c:v>0.91</c:v>
                </c:pt>
                <c:pt idx="70">
                  <c:v>0.92</c:v>
                </c:pt>
                <c:pt idx="71">
                  <c:v>0.93</c:v>
                </c:pt>
                <c:pt idx="72">
                  <c:v>0.94</c:v>
                </c:pt>
                <c:pt idx="73">
                  <c:v>0.95</c:v>
                </c:pt>
                <c:pt idx="74">
                  <c:v>0.96</c:v>
                </c:pt>
                <c:pt idx="75">
                  <c:v>0.97</c:v>
                </c:pt>
                <c:pt idx="76">
                  <c:v>0.98</c:v>
                </c:pt>
                <c:pt idx="77">
                  <c:v>0.99</c:v>
                </c:pt>
                <c:pt idx="78">
                  <c:v>1</c:v>
                </c:pt>
              </c:numCache>
            </c:numRef>
          </c:xVal>
          <c:yVal>
            <c:numRef>
              <c:f>'12 - Descent Calcs'!$R$6:$R$84</c:f>
              <c:numCache>
                <c:formatCode>General</c:formatCode>
                <c:ptCount val="7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4.2351328551391516</c:v>
                </c:pt>
                <c:pt idx="6">
                  <c:v>4.7652797371096973</c:v>
                </c:pt>
                <c:pt idx="7">
                  <c:v>5.3915502533240982</c:v>
                </c:pt>
                <c:pt idx="8">
                  <c:v>5.9620166346915724</c:v>
                </c:pt>
                <c:pt idx="9">
                  <c:v>6.694480308119104</c:v>
                </c:pt>
                <c:pt idx="10">
                  <c:v>7.2240906027222538</c:v>
                </c:pt>
                <c:pt idx="11">
                  <c:v>7.8550502155935469</c:v>
                </c:pt>
                <c:pt idx="12">
                  <c:v>8.6240677361987892</c:v>
                </c:pt>
                <c:pt idx="13">
                  <c:v>9.0223482129619246</c:v>
                </c:pt>
                <c:pt idx="14">
                  <c:v>9.4728220056286609</c:v>
                </c:pt>
                <c:pt idx="15">
                  <c:v>9.9858029999532913</c:v>
                </c:pt>
                <c:pt idx="16">
                  <c:v>10.572473261373789</c:v>
                </c:pt>
                <c:pt idx="17">
                  <c:v>10.867492498409407</c:v>
                </c:pt>
                <c:pt idx="18">
                  <c:v>11.188304391874915</c:v>
                </c:pt>
                <c:pt idx="19">
                  <c:v>11.387599270507183</c:v>
                </c:pt>
                <c:pt idx="20">
                  <c:v>11.35359065347088</c:v>
                </c:pt>
                <c:pt idx="21">
                  <c:v>11.319538243041521</c:v>
                </c:pt>
                <c:pt idx="22">
                  <c:v>11.271506987892053</c:v>
                </c:pt>
                <c:pt idx="23">
                  <c:v>11.129106846718123</c:v>
                </c:pt>
                <c:pt idx="24">
                  <c:v>10.987750267265236</c:v>
                </c:pt>
                <c:pt idx="25">
                  <c:v>10.847518046363914</c:v>
                </c:pt>
                <c:pt idx="26">
                  <c:v>10.708484205330949</c:v>
                </c:pt>
                <c:pt idx="27">
                  <c:v>10.570716276568694</c:v>
                </c:pt>
                <c:pt idx="28">
                  <c:v>10.434275592630076</c:v>
                </c:pt>
                <c:pt idx="29">
                  <c:v>10.299217575794481</c:v>
                </c:pt>
                <c:pt idx="30">
                  <c:v>10.165592026422866</c:v>
                </c:pt>
                <c:pt idx="31">
                  <c:v>10.033443408571429</c:v>
                </c:pt>
                <c:pt idx="32">
                  <c:v>9.8783279151045598</c:v>
                </c:pt>
                <c:pt idx="33">
                  <c:v>9.6609751082203932</c:v>
                </c:pt>
                <c:pt idx="34">
                  <c:v>9.4497633832561796</c:v>
                </c:pt>
                <c:pt idx="35">
                  <c:v>9.2445274798713086</c:v>
                </c:pt>
                <c:pt idx="36">
                  <c:v>9.0451028965244884</c:v>
                </c:pt>
                <c:pt idx="37">
                  <c:v>8.8513264399638256</c:v>
                </c:pt>
                <c:pt idx="38">
                  <c:v>8.6630366951622371</c:v>
                </c:pt>
                <c:pt idx="39">
                  <c:v>8.4800744240831225</c:v>
                </c:pt>
                <c:pt idx="40">
                  <c:v>8.3022829009508925</c:v>
                </c:pt>
                <c:pt idx="41">
                  <c:v>8.129508191027881</c:v>
                </c:pt>
                <c:pt idx="42">
                  <c:v>7.9615993792654463</c:v>
                </c:pt>
                <c:pt idx="43">
                  <c:v>7.7984087546047043</c:v>
                </c:pt>
                <c:pt idx="44">
                  <c:v>7.6397919551512343</c:v>
                </c:pt>
                <c:pt idx="45">
                  <c:v>7.4856080789382231</c:v>
                </c:pt>
                <c:pt idx="46">
                  <c:v>7.3357197645224472</c:v>
                </c:pt>
                <c:pt idx="47">
                  <c:v>7.189993245225919</c:v>
                </c:pt>
                <c:pt idx="48">
                  <c:v>7.0482983804412171</c:v>
                </c:pt>
                <c:pt idx="49">
                  <c:v>6.9105086670581608</c:v>
                </c:pt>
                <c:pt idx="50">
                  <c:v>6.7765012337417057</c:v>
                </c:pt>
                <c:pt idx="51">
                  <c:v>6.6461568204935482</c:v>
                </c:pt>
                <c:pt idx="52">
                  <c:v>6.5193597456605499</c:v>
                </c:pt>
                <c:pt idx="53">
                  <c:v>6.3959978623097049</c:v>
                </c:pt>
                <c:pt idx="54">
                  <c:v>6.2756544255931948</c:v>
                </c:pt>
                <c:pt idx="55">
                  <c:v>6.1338268705895169</c:v>
                </c:pt>
                <c:pt idx="56">
                  <c:v>5.9968253853049811</c:v>
                </c:pt>
                <c:pt idx="57">
                  <c:v>5.8644375559855009</c:v>
                </c:pt>
                <c:pt idx="58">
                  <c:v>5.7364622405075902</c:v>
                </c:pt>
                <c:pt idx="59">
                  <c:v>5.5771406027206485</c:v>
                </c:pt>
                <c:pt idx="60">
                  <c:v>5.4236120540511381</c:v>
                </c:pt>
                <c:pt idx="61">
                  <c:v>5.2756207189442641</c:v>
                </c:pt>
                <c:pt idx="62">
                  <c:v>5.1329237479513647</c:v>
                </c:pt>
                <c:pt idx="63">
                  <c:v>4.9952905863259289</c:v>
                </c:pt>
                <c:pt idx="64">
                  <c:v>4.8259642394132385</c:v>
                </c:pt>
                <c:pt idx="65">
                  <c:v>4.6640007868521494</c:v>
                </c:pt>
                <c:pt idx="66">
                  <c:v>4.5090176832818667</c:v>
                </c:pt>
                <c:pt idx="67">
                  <c:v>4.36065497331274</c:v>
                </c:pt>
                <c:pt idx="68">
                  <c:v>4.218573838921083</c:v>
                </c:pt>
                <c:pt idx="69">
                  <c:v>4.0700421068199981</c:v>
                </c:pt>
                <c:pt idx="70">
                  <c:v>3.9283106106102785</c:v>
                </c:pt>
                <c:pt idx="71">
                  <c:v>3.739881300636017</c:v>
                </c:pt>
                <c:pt idx="72">
                  <c:v>3.5638556128925623</c:v>
                </c:pt>
                <c:pt idx="73">
                  <c:v>3.227702595409379</c:v>
                </c:pt>
                <c:pt idx="74">
                  <c:v>2.940365668028901</c:v>
                </c:pt>
                <c:pt idx="75">
                  <c:v>2.4021185324033856</c:v>
                </c:pt>
                <c:pt idx="76">
                  <c:v>2.0183827749088508</c:v>
                </c:pt>
                <c:pt idx="77">
                  <c:v>1.8537818996240125</c:v>
                </c:pt>
                <c:pt idx="78">
                  <c:v>1.7096694110215822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AB-4600-BC61-73ABD7E13E3B}"/>
            </c:ext>
          </c:extLst>
        </c:ser>
        <c:ser>
          <c:idx val="3"/>
          <c:order val="3"/>
          <c:tx>
            <c:v>h = 15000[ft]</c:v>
          </c:tx>
          <c:marker>
            <c:symbol val="none"/>
          </c:marker>
          <c:xVal>
            <c:numRef>
              <c:f>'12 - Descent Calcs'!$O$6:$O$84</c:f>
              <c:numCache>
                <c:formatCode>General</c:formatCode>
                <c:ptCount val="79"/>
                <c:pt idx="0">
                  <c:v>0.22</c:v>
                </c:pt>
                <c:pt idx="1">
                  <c:v>0.23</c:v>
                </c:pt>
                <c:pt idx="2">
                  <c:v>0.24</c:v>
                </c:pt>
                <c:pt idx="3">
                  <c:v>0.25</c:v>
                </c:pt>
                <c:pt idx="4">
                  <c:v>0.26</c:v>
                </c:pt>
                <c:pt idx="5">
                  <c:v>0.27</c:v>
                </c:pt>
                <c:pt idx="6">
                  <c:v>0.28000000000000003</c:v>
                </c:pt>
                <c:pt idx="7">
                  <c:v>0.28999999999999998</c:v>
                </c:pt>
                <c:pt idx="8">
                  <c:v>0.3</c:v>
                </c:pt>
                <c:pt idx="9">
                  <c:v>0.31</c:v>
                </c:pt>
                <c:pt idx="10">
                  <c:v>0.32</c:v>
                </c:pt>
                <c:pt idx="11">
                  <c:v>0.33</c:v>
                </c:pt>
                <c:pt idx="12">
                  <c:v>0.34</c:v>
                </c:pt>
                <c:pt idx="13">
                  <c:v>0.35</c:v>
                </c:pt>
                <c:pt idx="14">
                  <c:v>0.36</c:v>
                </c:pt>
                <c:pt idx="15">
                  <c:v>0.37</c:v>
                </c:pt>
                <c:pt idx="16">
                  <c:v>0.38</c:v>
                </c:pt>
                <c:pt idx="17">
                  <c:v>0.39</c:v>
                </c:pt>
                <c:pt idx="18">
                  <c:v>0.4</c:v>
                </c:pt>
                <c:pt idx="19">
                  <c:v>0.41</c:v>
                </c:pt>
                <c:pt idx="20">
                  <c:v>0.42</c:v>
                </c:pt>
                <c:pt idx="21">
                  <c:v>0.43</c:v>
                </c:pt>
                <c:pt idx="22">
                  <c:v>0.44</c:v>
                </c:pt>
                <c:pt idx="23">
                  <c:v>0.45</c:v>
                </c:pt>
                <c:pt idx="24">
                  <c:v>0.46</c:v>
                </c:pt>
                <c:pt idx="25">
                  <c:v>0.47</c:v>
                </c:pt>
                <c:pt idx="26">
                  <c:v>0.48</c:v>
                </c:pt>
                <c:pt idx="27">
                  <c:v>0.49</c:v>
                </c:pt>
                <c:pt idx="28">
                  <c:v>0.5</c:v>
                </c:pt>
                <c:pt idx="29">
                  <c:v>0.51</c:v>
                </c:pt>
                <c:pt idx="30">
                  <c:v>0.52</c:v>
                </c:pt>
                <c:pt idx="31">
                  <c:v>0.53</c:v>
                </c:pt>
                <c:pt idx="32">
                  <c:v>0.54</c:v>
                </c:pt>
                <c:pt idx="33">
                  <c:v>0.55000000000000004</c:v>
                </c:pt>
                <c:pt idx="34">
                  <c:v>0.56000000000000005</c:v>
                </c:pt>
                <c:pt idx="35">
                  <c:v>0.56999999999999995</c:v>
                </c:pt>
                <c:pt idx="36">
                  <c:v>0.57999999999999996</c:v>
                </c:pt>
                <c:pt idx="37">
                  <c:v>0.59</c:v>
                </c:pt>
                <c:pt idx="38">
                  <c:v>0.6</c:v>
                </c:pt>
                <c:pt idx="39">
                  <c:v>0.61</c:v>
                </c:pt>
                <c:pt idx="40">
                  <c:v>0.62</c:v>
                </c:pt>
                <c:pt idx="41">
                  <c:v>0.63</c:v>
                </c:pt>
                <c:pt idx="42">
                  <c:v>0.64</c:v>
                </c:pt>
                <c:pt idx="43">
                  <c:v>0.65</c:v>
                </c:pt>
                <c:pt idx="44">
                  <c:v>0.66</c:v>
                </c:pt>
                <c:pt idx="45">
                  <c:v>0.67</c:v>
                </c:pt>
                <c:pt idx="46">
                  <c:v>0.68</c:v>
                </c:pt>
                <c:pt idx="47">
                  <c:v>0.69</c:v>
                </c:pt>
                <c:pt idx="48">
                  <c:v>0.7</c:v>
                </c:pt>
                <c:pt idx="49">
                  <c:v>0.71</c:v>
                </c:pt>
                <c:pt idx="50">
                  <c:v>0.72</c:v>
                </c:pt>
                <c:pt idx="51">
                  <c:v>0.73</c:v>
                </c:pt>
                <c:pt idx="52">
                  <c:v>0.74</c:v>
                </c:pt>
                <c:pt idx="53">
                  <c:v>0.75</c:v>
                </c:pt>
                <c:pt idx="54">
                  <c:v>0.76</c:v>
                </c:pt>
                <c:pt idx="55">
                  <c:v>0.77</c:v>
                </c:pt>
                <c:pt idx="56">
                  <c:v>0.78</c:v>
                </c:pt>
                <c:pt idx="57">
                  <c:v>0.79</c:v>
                </c:pt>
                <c:pt idx="58">
                  <c:v>0.8</c:v>
                </c:pt>
                <c:pt idx="59">
                  <c:v>0.81</c:v>
                </c:pt>
                <c:pt idx="60">
                  <c:v>0.82</c:v>
                </c:pt>
                <c:pt idx="61">
                  <c:v>0.83</c:v>
                </c:pt>
                <c:pt idx="62">
                  <c:v>0.84</c:v>
                </c:pt>
                <c:pt idx="63">
                  <c:v>0.85</c:v>
                </c:pt>
                <c:pt idx="64">
                  <c:v>0.86</c:v>
                </c:pt>
                <c:pt idx="65">
                  <c:v>0.87</c:v>
                </c:pt>
                <c:pt idx="66">
                  <c:v>0.88</c:v>
                </c:pt>
                <c:pt idx="67">
                  <c:v>0.89</c:v>
                </c:pt>
                <c:pt idx="68">
                  <c:v>0.9</c:v>
                </c:pt>
                <c:pt idx="69">
                  <c:v>0.91</c:v>
                </c:pt>
                <c:pt idx="70">
                  <c:v>0.92</c:v>
                </c:pt>
                <c:pt idx="71">
                  <c:v>0.93</c:v>
                </c:pt>
                <c:pt idx="72">
                  <c:v>0.94</c:v>
                </c:pt>
                <c:pt idx="73">
                  <c:v>0.95</c:v>
                </c:pt>
                <c:pt idx="74">
                  <c:v>0.96</c:v>
                </c:pt>
                <c:pt idx="75">
                  <c:v>0.97</c:v>
                </c:pt>
                <c:pt idx="76">
                  <c:v>0.98</c:v>
                </c:pt>
                <c:pt idx="77">
                  <c:v>0.99</c:v>
                </c:pt>
                <c:pt idx="78">
                  <c:v>1</c:v>
                </c:pt>
              </c:numCache>
            </c:numRef>
          </c:xVal>
          <c:yVal>
            <c:numRef>
              <c:f>'12 - Descent Calcs'!$S$6:$S$84</c:f>
              <c:numCache>
                <c:formatCode>General</c:formatCode>
                <c:ptCount val="7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4.3199437825825067</c:v>
                </c:pt>
                <c:pt idx="9">
                  <c:v>4.8176885720511686</c:v>
                </c:pt>
                <c:pt idx="10">
                  <c:v>5.3880802534435048</c:v>
                </c:pt>
                <c:pt idx="11">
                  <c:v>5.8982401632234245</c:v>
                </c:pt>
                <c:pt idx="12">
                  <c:v>6.5362662160559477</c:v>
                </c:pt>
                <c:pt idx="13">
                  <c:v>7.0662931898193975</c:v>
                </c:pt>
                <c:pt idx="14">
                  <c:v>7.6021892069349404</c:v>
                </c:pt>
                <c:pt idx="15">
                  <c:v>8.2453093264239445</c:v>
                </c:pt>
                <c:pt idx="16">
                  <c:v>8.7982415633262487</c:v>
                </c:pt>
                <c:pt idx="17">
                  <c:v>9.1778090259235743</c:v>
                </c:pt>
                <c:pt idx="18">
                  <c:v>9.6031593694665105</c:v>
                </c:pt>
                <c:pt idx="19">
                  <c:v>10.082607396194856</c:v>
                </c:pt>
                <c:pt idx="20">
                  <c:v>10.608035487881759</c:v>
                </c:pt>
                <c:pt idx="21">
                  <c:v>10.878120036684169</c:v>
                </c:pt>
                <c:pt idx="22">
                  <c:v>11.169645432147568</c:v>
                </c:pt>
                <c:pt idx="23">
                  <c:v>11.427342757844361</c:v>
                </c:pt>
                <c:pt idx="24">
                  <c:v>11.398537821500234</c:v>
                </c:pt>
                <c:pt idx="25">
                  <c:v>11.369761993880054</c:v>
                </c:pt>
                <c:pt idx="26">
                  <c:v>11.341037866528323</c:v>
                </c:pt>
                <c:pt idx="27">
                  <c:v>11.255863055266763</c:v>
                </c:pt>
                <c:pt idx="28">
                  <c:v>11.128705863577197</c:v>
                </c:pt>
                <c:pt idx="29">
                  <c:v>11.002427971052672</c:v>
                </c:pt>
                <c:pt idx="30">
                  <c:v>10.877086722986501</c:v>
                </c:pt>
                <c:pt idx="31">
                  <c:v>10.752735009820368</c:v>
                </c:pt>
                <c:pt idx="32">
                  <c:v>10.629421442890692</c:v>
                </c:pt>
                <c:pt idx="33">
                  <c:v>10.507190531000768</c:v>
                </c:pt>
                <c:pt idx="34">
                  <c:v>10.386082856887549</c:v>
                </c:pt>
                <c:pt idx="35">
                  <c:v>10.266135252751596</c:v>
                </c:pt>
                <c:pt idx="36">
                  <c:v>10.147380974113187</c:v>
                </c:pt>
                <c:pt idx="37">
                  <c:v>10.029849871346732</c:v>
                </c:pt>
                <c:pt idx="38">
                  <c:v>9.8567728856140437</c:v>
                </c:pt>
                <c:pt idx="39">
                  <c:v>9.6621295116595789</c:v>
                </c:pt>
                <c:pt idx="40">
                  <c:v>9.4724633129080491</c:v>
                </c:pt>
                <c:pt idx="41">
                  <c:v>9.2876524253138015</c:v>
                </c:pt>
                <c:pt idx="42">
                  <c:v>9.107575557944898</c:v>
                </c:pt>
                <c:pt idx="43">
                  <c:v>8.9321123186535321</c:v>
                </c:pt>
                <c:pt idx="44">
                  <c:v>8.761143496605019</c:v>
                </c:pt>
                <c:pt idx="45">
                  <c:v>8.594551305809885</c:v>
                </c:pt>
                <c:pt idx="46">
                  <c:v>8.4322195934836568</c:v>
                </c:pt>
                <c:pt idx="47">
                  <c:v>8.2740340167544506</c:v>
                </c:pt>
                <c:pt idx="48">
                  <c:v>8.1198821909499124</c:v>
                </c:pt>
                <c:pt idx="49">
                  <c:v>7.9696538124233536</c:v>
                </c:pt>
                <c:pt idx="50">
                  <c:v>7.8232407586241752</c:v>
                </c:pt>
                <c:pt idx="51">
                  <c:v>7.6805371678797654</c:v>
                </c:pt>
                <c:pt idx="52">
                  <c:v>7.541439501134767</c:v>
                </c:pt>
                <c:pt idx="53">
                  <c:v>7.4058465876883623</c:v>
                </c:pt>
                <c:pt idx="54">
                  <c:v>7.2736596567804286</c:v>
                </c:pt>
                <c:pt idx="55">
                  <c:v>7.1447823567025388</c:v>
                </c:pt>
                <c:pt idx="56">
                  <c:v>7.01912076294869</c:v>
                </c:pt>
                <c:pt idx="57">
                  <c:v>6.89658337677304</c:v>
                </c:pt>
                <c:pt idx="58">
                  <c:v>6.7770811153864772</c:v>
                </c:pt>
                <c:pt idx="59">
                  <c:v>6.6194173036533348</c:v>
                </c:pt>
                <c:pt idx="60">
                  <c:v>6.4659337010565547</c:v>
                </c:pt>
                <c:pt idx="61">
                  <c:v>6.3165268595581194</c:v>
                </c:pt>
                <c:pt idx="62">
                  <c:v>6.1684445163236923</c:v>
                </c:pt>
                <c:pt idx="63">
                  <c:v>6.0052723122732514</c:v>
                </c:pt>
                <c:pt idx="64">
                  <c:v>5.804238921020052</c:v>
                </c:pt>
                <c:pt idx="65">
                  <c:v>5.6117858857044762</c:v>
                </c:pt>
                <c:pt idx="66">
                  <c:v>5.42747927026792</c:v>
                </c:pt>
                <c:pt idx="67">
                  <c:v>5.2509097745948887</c:v>
                </c:pt>
                <c:pt idx="68">
                  <c:v>5.0816912428855545</c:v>
                </c:pt>
                <c:pt idx="69">
                  <c:v>4.9045377572240261</c:v>
                </c:pt>
                <c:pt idx="70">
                  <c:v>4.7353807207295393</c:v>
                </c:pt>
                <c:pt idx="71">
                  <c:v>4.5103902760343288</c:v>
                </c:pt>
                <c:pt idx="72">
                  <c:v>4.300020962965923</c:v>
                </c:pt>
                <c:pt idx="73">
                  <c:v>3.897924632612519</c:v>
                </c:pt>
                <c:pt idx="74">
                  <c:v>3.5536523816147465</c:v>
                </c:pt>
                <c:pt idx="75">
                  <c:v>2.9073654514181788</c:v>
                </c:pt>
                <c:pt idx="76">
                  <c:v>2.4454585400489885</c:v>
                </c:pt>
                <c:pt idx="77">
                  <c:v>2.2469464859411072</c:v>
                </c:pt>
                <c:pt idx="78">
                  <c:v>2.0730145704943994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AB-4600-BC61-73ABD7E13E3B}"/>
            </c:ext>
          </c:extLst>
        </c:ser>
        <c:ser>
          <c:idx val="4"/>
          <c:order val="4"/>
          <c:tx>
            <c:v>h = 20000[ft]</c:v>
          </c:tx>
          <c:marker>
            <c:symbol val="none"/>
          </c:marker>
          <c:xVal>
            <c:numRef>
              <c:f>'12 - Descent Calcs'!$O$6:$O$84</c:f>
              <c:numCache>
                <c:formatCode>General</c:formatCode>
                <c:ptCount val="79"/>
                <c:pt idx="0">
                  <c:v>0.22</c:v>
                </c:pt>
                <c:pt idx="1">
                  <c:v>0.23</c:v>
                </c:pt>
                <c:pt idx="2">
                  <c:v>0.24</c:v>
                </c:pt>
                <c:pt idx="3">
                  <c:v>0.25</c:v>
                </c:pt>
                <c:pt idx="4">
                  <c:v>0.26</c:v>
                </c:pt>
                <c:pt idx="5">
                  <c:v>0.27</c:v>
                </c:pt>
                <c:pt idx="6">
                  <c:v>0.28000000000000003</c:v>
                </c:pt>
                <c:pt idx="7">
                  <c:v>0.28999999999999998</c:v>
                </c:pt>
                <c:pt idx="8">
                  <c:v>0.3</c:v>
                </c:pt>
                <c:pt idx="9">
                  <c:v>0.31</c:v>
                </c:pt>
                <c:pt idx="10">
                  <c:v>0.32</c:v>
                </c:pt>
                <c:pt idx="11">
                  <c:v>0.33</c:v>
                </c:pt>
                <c:pt idx="12">
                  <c:v>0.34</c:v>
                </c:pt>
                <c:pt idx="13">
                  <c:v>0.35</c:v>
                </c:pt>
                <c:pt idx="14">
                  <c:v>0.36</c:v>
                </c:pt>
                <c:pt idx="15">
                  <c:v>0.37</c:v>
                </c:pt>
                <c:pt idx="16">
                  <c:v>0.38</c:v>
                </c:pt>
                <c:pt idx="17">
                  <c:v>0.39</c:v>
                </c:pt>
                <c:pt idx="18">
                  <c:v>0.4</c:v>
                </c:pt>
                <c:pt idx="19">
                  <c:v>0.41</c:v>
                </c:pt>
                <c:pt idx="20">
                  <c:v>0.42</c:v>
                </c:pt>
                <c:pt idx="21">
                  <c:v>0.43</c:v>
                </c:pt>
                <c:pt idx="22">
                  <c:v>0.44</c:v>
                </c:pt>
                <c:pt idx="23">
                  <c:v>0.45</c:v>
                </c:pt>
                <c:pt idx="24">
                  <c:v>0.46</c:v>
                </c:pt>
                <c:pt idx="25">
                  <c:v>0.47</c:v>
                </c:pt>
                <c:pt idx="26">
                  <c:v>0.48</c:v>
                </c:pt>
                <c:pt idx="27">
                  <c:v>0.49</c:v>
                </c:pt>
                <c:pt idx="28">
                  <c:v>0.5</c:v>
                </c:pt>
                <c:pt idx="29">
                  <c:v>0.51</c:v>
                </c:pt>
                <c:pt idx="30">
                  <c:v>0.52</c:v>
                </c:pt>
                <c:pt idx="31">
                  <c:v>0.53</c:v>
                </c:pt>
                <c:pt idx="32">
                  <c:v>0.54</c:v>
                </c:pt>
                <c:pt idx="33">
                  <c:v>0.55000000000000004</c:v>
                </c:pt>
                <c:pt idx="34">
                  <c:v>0.56000000000000005</c:v>
                </c:pt>
                <c:pt idx="35">
                  <c:v>0.56999999999999995</c:v>
                </c:pt>
                <c:pt idx="36">
                  <c:v>0.57999999999999996</c:v>
                </c:pt>
                <c:pt idx="37">
                  <c:v>0.59</c:v>
                </c:pt>
                <c:pt idx="38">
                  <c:v>0.6</c:v>
                </c:pt>
                <c:pt idx="39">
                  <c:v>0.61</c:v>
                </c:pt>
                <c:pt idx="40">
                  <c:v>0.62</c:v>
                </c:pt>
                <c:pt idx="41">
                  <c:v>0.63</c:v>
                </c:pt>
                <c:pt idx="42">
                  <c:v>0.64</c:v>
                </c:pt>
                <c:pt idx="43">
                  <c:v>0.65</c:v>
                </c:pt>
                <c:pt idx="44">
                  <c:v>0.66</c:v>
                </c:pt>
                <c:pt idx="45">
                  <c:v>0.67</c:v>
                </c:pt>
                <c:pt idx="46">
                  <c:v>0.68</c:v>
                </c:pt>
                <c:pt idx="47">
                  <c:v>0.69</c:v>
                </c:pt>
                <c:pt idx="48">
                  <c:v>0.7</c:v>
                </c:pt>
                <c:pt idx="49">
                  <c:v>0.71</c:v>
                </c:pt>
                <c:pt idx="50">
                  <c:v>0.72</c:v>
                </c:pt>
                <c:pt idx="51">
                  <c:v>0.73</c:v>
                </c:pt>
                <c:pt idx="52">
                  <c:v>0.74</c:v>
                </c:pt>
                <c:pt idx="53">
                  <c:v>0.75</c:v>
                </c:pt>
                <c:pt idx="54">
                  <c:v>0.76</c:v>
                </c:pt>
                <c:pt idx="55">
                  <c:v>0.77</c:v>
                </c:pt>
                <c:pt idx="56">
                  <c:v>0.78</c:v>
                </c:pt>
                <c:pt idx="57">
                  <c:v>0.79</c:v>
                </c:pt>
                <c:pt idx="58">
                  <c:v>0.8</c:v>
                </c:pt>
                <c:pt idx="59">
                  <c:v>0.81</c:v>
                </c:pt>
                <c:pt idx="60">
                  <c:v>0.82</c:v>
                </c:pt>
                <c:pt idx="61">
                  <c:v>0.83</c:v>
                </c:pt>
                <c:pt idx="62">
                  <c:v>0.84</c:v>
                </c:pt>
                <c:pt idx="63">
                  <c:v>0.85</c:v>
                </c:pt>
                <c:pt idx="64">
                  <c:v>0.86</c:v>
                </c:pt>
                <c:pt idx="65">
                  <c:v>0.87</c:v>
                </c:pt>
                <c:pt idx="66">
                  <c:v>0.88</c:v>
                </c:pt>
                <c:pt idx="67">
                  <c:v>0.89</c:v>
                </c:pt>
                <c:pt idx="68">
                  <c:v>0.9</c:v>
                </c:pt>
                <c:pt idx="69">
                  <c:v>0.91</c:v>
                </c:pt>
                <c:pt idx="70">
                  <c:v>0.92</c:v>
                </c:pt>
                <c:pt idx="71">
                  <c:v>0.93</c:v>
                </c:pt>
                <c:pt idx="72">
                  <c:v>0.94</c:v>
                </c:pt>
                <c:pt idx="73">
                  <c:v>0.95</c:v>
                </c:pt>
                <c:pt idx="74">
                  <c:v>0.96</c:v>
                </c:pt>
                <c:pt idx="75">
                  <c:v>0.97</c:v>
                </c:pt>
                <c:pt idx="76">
                  <c:v>0.98</c:v>
                </c:pt>
                <c:pt idx="77">
                  <c:v>0.99</c:v>
                </c:pt>
                <c:pt idx="78">
                  <c:v>1</c:v>
                </c:pt>
              </c:numCache>
            </c:numRef>
          </c:xVal>
          <c:yVal>
            <c:numRef>
              <c:f>'12 - Descent Calcs'!$T$6:$T$84</c:f>
              <c:numCache>
                <c:formatCode>General</c:formatCode>
                <c:ptCount val="7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4.2267371521096733</c:v>
                </c:pt>
                <c:pt idx="12">
                  <c:v>4.6470187799388949</c:v>
                </c:pt>
                <c:pt idx="13">
                  <c:v>5.1772370780750538</c:v>
                </c:pt>
                <c:pt idx="14">
                  <c:v>5.6258220035850206</c:v>
                </c:pt>
                <c:pt idx="15">
                  <c:v>6.1326714826521682</c:v>
                </c:pt>
                <c:pt idx="16">
                  <c:v>6.7432173039569889</c:v>
                </c:pt>
                <c:pt idx="17">
                  <c:v>7.1695211481465266</c:v>
                </c:pt>
                <c:pt idx="18">
                  <c:v>7.6669643996049954</c:v>
                </c:pt>
                <c:pt idx="19">
                  <c:v>8.2543536438804495</c:v>
                </c:pt>
                <c:pt idx="20">
                  <c:v>8.7754730900077984</c:v>
                </c:pt>
                <c:pt idx="21">
                  <c:v>9.1143761432611381</c:v>
                </c:pt>
                <c:pt idx="22">
                  <c:v>9.4897485311663541</c:v>
                </c:pt>
                <c:pt idx="23">
                  <c:v>9.9074541730340133</c:v>
                </c:pt>
                <c:pt idx="24">
                  <c:v>10.374698950809552</c:v>
                </c:pt>
                <c:pt idx="25">
                  <c:v>10.743892839245023</c:v>
                </c:pt>
                <c:pt idx="26">
                  <c:v>10.997525784920454</c:v>
                </c:pt>
                <c:pt idx="27">
                  <c:v>11.269587157709926</c:v>
                </c:pt>
                <c:pt idx="28">
                  <c:v>11.460882298517268</c:v>
                </c:pt>
                <c:pt idx="29">
                  <c:v>11.436982464331182</c:v>
                </c:pt>
                <c:pt idx="30">
                  <c:v>11.41317757887823</c:v>
                </c:pt>
                <c:pt idx="31">
                  <c:v>11.389485093239481</c:v>
                </c:pt>
                <c:pt idx="32">
                  <c:v>11.336023135763432</c:v>
                </c:pt>
                <c:pt idx="33">
                  <c:v>11.222646118655307</c:v>
                </c:pt>
                <c:pt idx="34">
                  <c:v>11.109971601052623</c:v>
                </c:pt>
                <c:pt idx="35">
                  <c:v>10.99804189874453</c:v>
                </c:pt>
                <c:pt idx="36">
                  <c:v>10.886896370517874</c:v>
                </c:pt>
                <c:pt idx="37">
                  <c:v>10.776571523402243</c:v>
                </c:pt>
                <c:pt idx="38">
                  <c:v>10.667101118404824</c:v>
                </c:pt>
                <c:pt idx="39">
                  <c:v>10.558516276272979</c:v>
                </c:pt>
                <c:pt idx="40">
                  <c:v>10.450845582866931</c:v>
                </c:pt>
                <c:pt idx="41">
                  <c:v>10.344115193767665</c:v>
                </c:pt>
                <c:pt idx="42">
                  <c:v>10.238348937785284</c:v>
                </c:pt>
                <c:pt idx="43">
                  <c:v>10.133568419071434</c:v>
                </c:pt>
                <c:pt idx="44">
                  <c:v>10.009187725553764</c:v>
                </c:pt>
                <c:pt idx="45">
                  <c:v>9.8318949982858381</c:v>
                </c:pt>
                <c:pt idx="46">
                  <c:v>9.6586831400326663</c:v>
                </c:pt>
                <c:pt idx="47">
                  <c:v>9.4894632316954919</c:v>
                </c:pt>
                <c:pt idx="48">
                  <c:v>9.3241465805026049</c:v>
                </c:pt>
                <c:pt idx="49">
                  <c:v>9.162644931479079</c:v>
                </c:pt>
                <c:pt idx="50">
                  <c:v>9.004870654176468</c:v>
                </c:pt>
                <c:pt idx="51">
                  <c:v>8.8507369067832045</c:v>
                </c:pt>
                <c:pt idx="52">
                  <c:v>8.7001577795920202</c:v>
                </c:pt>
                <c:pt idx="53">
                  <c:v>8.5530484196619962</c:v>
                </c:pt>
                <c:pt idx="54">
                  <c:v>8.4093251383798737</c:v>
                </c:pt>
                <c:pt idx="55">
                  <c:v>8.2689055034991323</c:v>
                </c:pt>
                <c:pt idx="56">
                  <c:v>8.131708417115286</c:v>
                </c:pt>
                <c:pt idx="57">
                  <c:v>7.9976541809229307</c:v>
                </c:pt>
                <c:pt idx="58">
                  <c:v>7.8666645499935157</c:v>
                </c:pt>
                <c:pt idx="59">
                  <c:v>7.6934573363147383</c:v>
                </c:pt>
                <c:pt idx="60">
                  <c:v>7.5244172851580418</c:v>
                </c:pt>
                <c:pt idx="61">
                  <c:v>7.3594628128483697</c:v>
                </c:pt>
                <c:pt idx="62">
                  <c:v>7.1985115702861666</c:v>
                </c:pt>
                <c:pt idx="63">
                  <c:v>7.0414807072788577</c:v>
                </c:pt>
                <c:pt idx="64">
                  <c:v>6.8386901760064891</c:v>
                </c:pt>
                <c:pt idx="65">
                  <c:v>6.6425104146586822</c:v>
                </c:pt>
                <c:pt idx="66">
                  <c:v>6.4527400045019538</c:v>
                </c:pt>
                <c:pt idx="67">
                  <c:v>6.2691799799428551</c:v>
                </c:pt>
                <c:pt idx="68">
                  <c:v>6.0916343011178018</c:v>
                </c:pt>
                <c:pt idx="69">
                  <c:v>5.9020328953458767</c:v>
                </c:pt>
                <c:pt idx="70">
                  <c:v>5.7195285025569849</c:v>
                </c:pt>
                <c:pt idx="71">
                  <c:v>5.4672805306871455</c:v>
                </c:pt>
                <c:pt idx="72">
                  <c:v>5.2151771656356498</c:v>
                </c:pt>
                <c:pt idx="73">
                  <c:v>4.7327826958306831</c:v>
                </c:pt>
                <c:pt idx="74">
                  <c:v>4.318909131817712</c:v>
                </c:pt>
                <c:pt idx="75">
                  <c:v>3.5398767198645826</c:v>
                </c:pt>
                <c:pt idx="76">
                  <c:v>2.9813626568882978</c:v>
                </c:pt>
                <c:pt idx="77">
                  <c:v>2.7407526229929839</c:v>
                </c:pt>
                <c:pt idx="78">
                  <c:v>2.5297384879953975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FAB-4600-BC61-73ABD7E13E3B}"/>
            </c:ext>
          </c:extLst>
        </c:ser>
        <c:ser>
          <c:idx val="5"/>
          <c:order val="5"/>
          <c:tx>
            <c:v>h = 25000[ft]</c:v>
          </c:tx>
          <c:marker>
            <c:symbol val="none"/>
          </c:marker>
          <c:xVal>
            <c:numRef>
              <c:f>'12 - Descent Calcs'!$O$6:$O$84</c:f>
              <c:numCache>
                <c:formatCode>General</c:formatCode>
                <c:ptCount val="79"/>
                <c:pt idx="0">
                  <c:v>0.22</c:v>
                </c:pt>
                <c:pt idx="1">
                  <c:v>0.23</c:v>
                </c:pt>
                <c:pt idx="2">
                  <c:v>0.24</c:v>
                </c:pt>
                <c:pt idx="3">
                  <c:v>0.25</c:v>
                </c:pt>
                <c:pt idx="4">
                  <c:v>0.26</c:v>
                </c:pt>
                <c:pt idx="5">
                  <c:v>0.27</c:v>
                </c:pt>
                <c:pt idx="6">
                  <c:v>0.28000000000000003</c:v>
                </c:pt>
                <c:pt idx="7">
                  <c:v>0.28999999999999998</c:v>
                </c:pt>
                <c:pt idx="8">
                  <c:v>0.3</c:v>
                </c:pt>
                <c:pt idx="9">
                  <c:v>0.31</c:v>
                </c:pt>
                <c:pt idx="10">
                  <c:v>0.32</c:v>
                </c:pt>
                <c:pt idx="11">
                  <c:v>0.33</c:v>
                </c:pt>
                <c:pt idx="12">
                  <c:v>0.34</c:v>
                </c:pt>
                <c:pt idx="13">
                  <c:v>0.35</c:v>
                </c:pt>
                <c:pt idx="14">
                  <c:v>0.36</c:v>
                </c:pt>
                <c:pt idx="15">
                  <c:v>0.37</c:v>
                </c:pt>
                <c:pt idx="16">
                  <c:v>0.38</c:v>
                </c:pt>
                <c:pt idx="17">
                  <c:v>0.39</c:v>
                </c:pt>
                <c:pt idx="18">
                  <c:v>0.4</c:v>
                </c:pt>
                <c:pt idx="19">
                  <c:v>0.41</c:v>
                </c:pt>
                <c:pt idx="20">
                  <c:v>0.42</c:v>
                </c:pt>
                <c:pt idx="21">
                  <c:v>0.43</c:v>
                </c:pt>
                <c:pt idx="22">
                  <c:v>0.44</c:v>
                </c:pt>
                <c:pt idx="23">
                  <c:v>0.45</c:v>
                </c:pt>
                <c:pt idx="24">
                  <c:v>0.46</c:v>
                </c:pt>
                <c:pt idx="25">
                  <c:v>0.47</c:v>
                </c:pt>
                <c:pt idx="26">
                  <c:v>0.48</c:v>
                </c:pt>
                <c:pt idx="27">
                  <c:v>0.49</c:v>
                </c:pt>
                <c:pt idx="28">
                  <c:v>0.5</c:v>
                </c:pt>
                <c:pt idx="29">
                  <c:v>0.51</c:v>
                </c:pt>
                <c:pt idx="30">
                  <c:v>0.52</c:v>
                </c:pt>
                <c:pt idx="31">
                  <c:v>0.53</c:v>
                </c:pt>
                <c:pt idx="32">
                  <c:v>0.54</c:v>
                </c:pt>
                <c:pt idx="33">
                  <c:v>0.55000000000000004</c:v>
                </c:pt>
                <c:pt idx="34">
                  <c:v>0.56000000000000005</c:v>
                </c:pt>
                <c:pt idx="35">
                  <c:v>0.56999999999999995</c:v>
                </c:pt>
                <c:pt idx="36">
                  <c:v>0.57999999999999996</c:v>
                </c:pt>
                <c:pt idx="37">
                  <c:v>0.59</c:v>
                </c:pt>
                <c:pt idx="38">
                  <c:v>0.6</c:v>
                </c:pt>
                <c:pt idx="39">
                  <c:v>0.61</c:v>
                </c:pt>
                <c:pt idx="40">
                  <c:v>0.62</c:v>
                </c:pt>
                <c:pt idx="41">
                  <c:v>0.63</c:v>
                </c:pt>
                <c:pt idx="42">
                  <c:v>0.64</c:v>
                </c:pt>
                <c:pt idx="43">
                  <c:v>0.65</c:v>
                </c:pt>
                <c:pt idx="44">
                  <c:v>0.66</c:v>
                </c:pt>
                <c:pt idx="45">
                  <c:v>0.67</c:v>
                </c:pt>
                <c:pt idx="46">
                  <c:v>0.68</c:v>
                </c:pt>
                <c:pt idx="47">
                  <c:v>0.69</c:v>
                </c:pt>
                <c:pt idx="48">
                  <c:v>0.7</c:v>
                </c:pt>
                <c:pt idx="49">
                  <c:v>0.71</c:v>
                </c:pt>
                <c:pt idx="50">
                  <c:v>0.72</c:v>
                </c:pt>
                <c:pt idx="51">
                  <c:v>0.73</c:v>
                </c:pt>
                <c:pt idx="52">
                  <c:v>0.74</c:v>
                </c:pt>
                <c:pt idx="53">
                  <c:v>0.75</c:v>
                </c:pt>
                <c:pt idx="54">
                  <c:v>0.76</c:v>
                </c:pt>
                <c:pt idx="55">
                  <c:v>0.77</c:v>
                </c:pt>
                <c:pt idx="56">
                  <c:v>0.78</c:v>
                </c:pt>
                <c:pt idx="57">
                  <c:v>0.79</c:v>
                </c:pt>
                <c:pt idx="58">
                  <c:v>0.8</c:v>
                </c:pt>
                <c:pt idx="59">
                  <c:v>0.81</c:v>
                </c:pt>
                <c:pt idx="60">
                  <c:v>0.82</c:v>
                </c:pt>
                <c:pt idx="61">
                  <c:v>0.83</c:v>
                </c:pt>
                <c:pt idx="62">
                  <c:v>0.84</c:v>
                </c:pt>
                <c:pt idx="63">
                  <c:v>0.85</c:v>
                </c:pt>
                <c:pt idx="64">
                  <c:v>0.86</c:v>
                </c:pt>
                <c:pt idx="65">
                  <c:v>0.87</c:v>
                </c:pt>
                <c:pt idx="66">
                  <c:v>0.88</c:v>
                </c:pt>
                <c:pt idx="67">
                  <c:v>0.89</c:v>
                </c:pt>
                <c:pt idx="68">
                  <c:v>0.9</c:v>
                </c:pt>
                <c:pt idx="69">
                  <c:v>0.91</c:v>
                </c:pt>
                <c:pt idx="70">
                  <c:v>0.92</c:v>
                </c:pt>
                <c:pt idx="71">
                  <c:v>0.93</c:v>
                </c:pt>
                <c:pt idx="72">
                  <c:v>0.94</c:v>
                </c:pt>
                <c:pt idx="73">
                  <c:v>0.95</c:v>
                </c:pt>
                <c:pt idx="74">
                  <c:v>0.96</c:v>
                </c:pt>
                <c:pt idx="75">
                  <c:v>0.97</c:v>
                </c:pt>
                <c:pt idx="76">
                  <c:v>0.98</c:v>
                </c:pt>
                <c:pt idx="77">
                  <c:v>0.99</c:v>
                </c:pt>
                <c:pt idx="78">
                  <c:v>1</c:v>
                </c:pt>
              </c:numCache>
            </c:numRef>
          </c:xVal>
          <c:yVal>
            <c:numRef>
              <c:f>'12 - Descent Calcs'!$U$6:$U$84</c:f>
              <c:numCache>
                <c:formatCode>General</c:formatCode>
                <c:ptCount val="7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4.3248098315290315</c:v>
                </c:pt>
                <c:pt idx="16">
                  <c:v>4.7197954166528699</c:v>
                </c:pt>
                <c:pt idx="17">
                  <c:v>5.2081985123638974</c:v>
                </c:pt>
                <c:pt idx="18">
                  <c:v>5.6045036905622929</c:v>
                </c:pt>
                <c:pt idx="19">
                  <c:v>6.0512293365999259</c:v>
                </c:pt>
                <c:pt idx="20">
                  <c:v>6.5895316005038662</c:v>
                </c:pt>
                <c:pt idx="21">
                  <c:v>7.0164207150040978</c:v>
                </c:pt>
                <c:pt idx="22">
                  <c:v>7.43686540158971</c:v>
                </c:pt>
                <c:pt idx="23">
                  <c:v>7.9226764174137507</c:v>
                </c:pt>
                <c:pt idx="24">
                  <c:v>8.4899119228185818</c:v>
                </c:pt>
                <c:pt idx="25">
                  <c:v>8.8676419242665006</c:v>
                </c:pt>
                <c:pt idx="26">
                  <c:v>9.1800338655930958</c:v>
                </c:pt>
                <c:pt idx="27">
                  <c:v>9.5228064374145536</c:v>
                </c:pt>
                <c:pt idx="28">
                  <c:v>9.9003588692527096</c:v>
                </c:pt>
                <c:pt idx="29">
                  <c:v>10.317991622892533</c:v>
                </c:pt>
                <c:pt idx="30">
                  <c:v>10.708430449701508</c:v>
                </c:pt>
                <c:pt idx="31">
                  <c:v>10.934487256684589</c:v>
                </c:pt>
                <c:pt idx="32">
                  <c:v>11.1752590023438</c:v>
                </c:pt>
                <c:pt idx="33">
                  <c:v>11.432083155577486</c:v>
                </c:pt>
                <c:pt idx="34">
                  <c:v>11.49697178614044</c:v>
                </c:pt>
                <c:pt idx="35">
                  <c:v>11.477742118077051</c:v>
                </c:pt>
                <c:pt idx="36">
                  <c:v>11.458661333737284</c:v>
                </c:pt>
                <c:pt idx="37">
                  <c:v>11.439742945366559</c:v>
                </c:pt>
                <c:pt idx="38">
                  <c:v>11.398346931231895</c:v>
                </c:pt>
                <c:pt idx="39">
                  <c:v>11.298088293610034</c:v>
                </c:pt>
                <c:pt idx="40">
                  <c:v>11.198396580782914</c:v>
                </c:pt>
                <c:pt idx="41">
                  <c:v>11.099302003365198</c:v>
                </c:pt>
                <c:pt idx="42">
                  <c:v>11.000832861058774</c:v>
                </c:pt>
                <c:pt idx="43">
                  <c:v>10.903015604621858</c:v>
                </c:pt>
                <c:pt idx="44">
                  <c:v>10.805874898036361</c:v>
                </c:pt>
                <c:pt idx="45">
                  <c:v>10.709433680657311</c:v>
                </c:pt>
                <c:pt idx="46">
                  <c:v>10.613713229147258</c:v>
                </c:pt>
                <c:pt idx="47">
                  <c:v>10.51873321901679</c:v>
                </c:pt>
                <c:pt idx="48">
                  <c:v>10.424511785609782</c:v>
                </c:pt>
                <c:pt idx="49">
                  <c:v>10.331065584388435</c:v>
                </c:pt>
                <c:pt idx="50">
                  <c:v>10.238409850388985</c:v>
                </c:pt>
                <c:pt idx="51">
                  <c:v>10.146558456733606</c:v>
                </c:pt>
                <c:pt idx="52">
                  <c:v>9.9965048817568292</c:v>
                </c:pt>
                <c:pt idx="53">
                  <c:v>9.8394802969289845</c:v>
                </c:pt>
                <c:pt idx="54">
                  <c:v>9.6856990965816347</c:v>
                </c:pt>
                <c:pt idx="55">
                  <c:v>9.5350974093020664</c:v>
                </c:pt>
                <c:pt idx="56">
                  <c:v>9.3876115538818912</c:v>
                </c:pt>
                <c:pt idx="57">
                  <c:v>9.243178157834123</c:v>
                </c:pt>
                <c:pt idx="58">
                  <c:v>9.1017342632898295</c:v>
                </c:pt>
                <c:pt idx="59">
                  <c:v>8.9142275902200989</c:v>
                </c:pt>
                <c:pt idx="60">
                  <c:v>8.7307075827167289</c:v>
                </c:pt>
                <c:pt idx="61">
                  <c:v>8.5511214942502836</c:v>
                </c:pt>
                <c:pt idx="62">
                  <c:v>8.3754141381953691</c:v>
                </c:pt>
                <c:pt idx="63">
                  <c:v>8.2035282006558674</c:v>
                </c:pt>
                <c:pt idx="64">
                  <c:v>7.9801454426409055</c:v>
                </c:pt>
                <c:pt idx="65">
                  <c:v>7.7633744208779021</c:v>
                </c:pt>
                <c:pt idx="66">
                  <c:v>7.5530542808790901</c:v>
                </c:pt>
                <c:pt idx="67">
                  <c:v>7.3490228371183077</c:v>
                </c:pt>
                <c:pt idx="68">
                  <c:v>7.1511172682997737</c:v>
                </c:pt>
                <c:pt idx="69">
                  <c:v>6.9383876011185475</c:v>
                </c:pt>
                <c:pt idx="70">
                  <c:v>6.7330816519004069</c:v>
                </c:pt>
                <c:pt idx="71">
                  <c:v>6.4497655934535487</c:v>
                </c:pt>
                <c:pt idx="72">
                  <c:v>6.1817787593311033</c:v>
                </c:pt>
                <c:pt idx="73">
                  <c:v>5.6458510248009262</c:v>
                </c:pt>
                <c:pt idx="74">
                  <c:v>5.180366691584946</c:v>
                </c:pt>
                <c:pt idx="75">
                  <c:v>4.2778451757696532</c:v>
                </c:pt>
                <c:pt idx="76">
                  <c:v>3.6223518122393181</c:v>
                </c:pt>
                <c:pt idx="77">
                  <c:v>3.3398574267024879</c:v>
                </c:pt>
                <c:pt idx="78">
                  <c:v>3.0907483415263282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AB-4600-BC61-73ABD7E13E3B}"/>
            </c:ext>
          </c:extLst>
        </c:ser>
        <c:ser>
          <c:idx val="6"/>
          <c:order val="6"/>
          <c:tx>
            <c:v>h = 30000[ft]</c:v>
          </c:tx>
          <c:marker>
            <c:symbol val="none"/>
          </c:marker>
          <c:xVal>
            <c:numRef>
              <c:f>'12 - Descent Calcs'!$O$6:$O$84</c:f>
              <c:numCache>
                <c:formatCode>General</c:formatCode>
                <c:ptCount val="79"/>
                <c:pt idx="0">
                  <c:v>0.22</c:v>
                </c:pt>
                <c:pt idx="1">
                  <c:v>0.23</c:v>
                </c:pt>
                <c:pt idx="2">
                  <c:v>0.24</c:v>
                </c:pt>
                <c:pt idx="3">
                  <c:v>0.25</c:v>
                </c:pt>
                <c:pt idx="4">
                  <c:v>0.26</c:v>
                </c:pt>
                <c:pt idx="5">
                  <c:v>0.27</c:v>
                </c:pt>
                <c:pt idx="6">
                  <c:v>0.28000000000000003</c:v>
                </c:pt>
                <c:pt idx="7">
                  <c:v>0.28999999999999998</c:v>
                </c:pt>
                <c:pt idx="8">
                  <c:v>0.3</c:v>
                </c:pt>
                <c:pt idx="9">
                  <c:v>0.31</c:v>
                </c:pt>
                <c:pt idx="10">
                  <c:v>0.32</c:v>
                </c:pt>
                <c:pt idx="11">
                  <c:v>0.33</c:v>
                </c:pt>
                <c:pt idx="12">
                  <c:v>0.34</c:v>
                </c:pt>
                <c:pt idx="13">
                  <c:v>0.35</c:v>
                </c:pt>
                <c:pt idx="14">
                  <c:v>0.36</c:v>
                </c:pt>
                <c:pt idx="15">
                  <c:v>0.37</c:v>
                </c:pt>
                <c:pt idx="16">
                  <c:v>0.38</c:v>
                </c:pt>
                <c:pt idx="17">
                  <c:v>0.39</c:v>
                </c:pt>
                <c:pt idx="18">
                  <c:v>0.4</c:v>
                </c:pt>
                <c:pt idx="19">
                  <c:v>0.41</c:v>
                </c:pt>
                <c:pt idx="20">
                  <c:v>0.42</c:v>
                </c:pt>
                <c:pt idx="21">
                  <c:v>0.43</c:v>
                </c:pt>
                <c:pt idx="22">
                  <c:v>0.44</c:v>
                </c:pt>
                <c:pt idx="23">
                  <c:v>0.45</c:v>
                </c:pt>
                <c:pt idx="24">
                  <c:v>0.46</c:v>
                </c:pt>
                <c:pt idx="25">
                  <c:v>0.47</c:v>
                </c:pt>
                <c:pt idx="26">
                  <c:v>0.48</c:v>
                </c:pt>
                <c:pt idx="27">
                  <c:v>0.49</c:v>
                </c:pt>
                <c:pt idx="28">
                  <c:v>0.5</c:v>
                </c:pt>
                <c:pt idx="29">
                  <c:v>0.51</c:v>
                </c:pt>
                <c:pt idx="30">
                  <c:v>0.52</c:v>
                </c:pt>
                <c:pt idx="31">
                  <c:v>0.53</c:v>
                </c:pt>
                <c:pt idx="32">
                  <c:v>0.54</c:v>
                </c:pt>
                <c:pt idx="33">
                  <c:v>0.55000000000000004</c:v>
                </c:pt>
                <c:pt idx="34">
                  <c:v>0.56000000000000005</c:v>
                </c:pt>
                <c:pt idx="35">
                  <c:v>0.56999999999999995</c:v>
                </c:pt>
                <c:pt idx="36">
                  <c:v>0.57999999999999996</c:v>
                </c:pt>
                <c:pt idx="37">
                  <c:v>0.59</c:v>
                </c:pt>
                <c:pt idx="38">
                  <c:v>0.6</c:v>
                </c:pt>
                <c:pt idx="39">
                  <c:v>0.61</c:v>
                </c:pt>
                <c:pt idx="40">
                  <c:v>0.62</c:v>
                </c:pt>
                <c:pt idx="41">
                  <c:v>0.63</c:v>
                </c:pt>
                <c:pt idx="42">
                  <c:v>0.64</c:v>
                </c:pt>
                <c:pt idx="43">
                  <c:v>0.65</c:v>
                </c:pt>
                <c:pt idx="44">
                  <c:v>0.66</c:v>
                </c:pt>
                <c:pt idx="45">
                  <c:v>0.67</c:v>
                </c:pt>
                <c:pt idx="46">
                  <c:v>0.68</c:v>
                </c:pt>
                <c:pt idx="47">
                  <c:v>0.69</c:v>
                </c:pt>
                <c:pt idx="48">
                  <c:v>0.7</c:v>
                </c:pt>
                <c:pt idx="49">
                  <c:v>0.71</c:v>
                </c:pt>
                <c:pt idx="50">
                  <c:v>0.72</c:v>
                </c:pt>
                <c:pt idx="51">
                  <c:v>0.73</c:v>
                </c:pt>
                <c:pt idx="52">
                  <c:v>0.74</c:v>
                </c:pt>
                <c:pt idx="53">
                  <c:v>0.75</c:v>
                </c:pt>
                <c:pt idx="54">
                  <c:v>0.76</c:v>
                </c:pt>
                <c:pt idx="55">
                  <c:v>0.77</c:v>
                </c:pt>
                <c:pt idx="56">
                  <c:v>0.78</c:v>
                </c:pt>
                <c:pt idx="57">
                  <c:v>0.79</c:v>
                </c:pt>
                <c:pt idx="58">
                  <c:v>0.8</c:v>
                </c:pt>
                <c:pt idx="59">
                  <c:v>0.81</c:v>
                </c:pt>
                <c:pt idx="60">
                  <c:v>0.82</c:v>
                </c:pt>
                <c:pt idx="61">
                  <c:v>0.83</c:v>
                </c:pt>
                <c:pt idx="62">
                  <c:v>0.84</c:v>
                </c:pt>
                <c:pt idx="63">
                  <c:v>0.85</c:v>
                </c:pt>
                <c:pt idx="64">
                  <c:v>0.86</c:v>
                </c:pt>
                <c:pt idx="65">
                  <c:v>0.87</c:v>
                </c:pt>
                <c:pt idx="66">
                  <c:v>0.88</c:v>
                </c:pt>
                <c:pt idx="67">
                  <c:v>0.89</c:v>
                </c:pt>
                <c:pt idx="68">
                  <c:v>0.9</c:v>
                </c:pt>
                <c:pt idx="69">
                  <c:v>0.91</c:v>
                </c:pt>
                <c:pt idx="70">
                  <c:v>0.92</c:v>
                </c:pt>
                <c:pt idx="71">
                  <c:v>0.93</c:v>
                </c:pt>
                <c:pt idx="72">
                  <c:v>0.94</c:v>
                </c:pt>
                <c:pt idx="73">
                  <c:v>0.95</c:v>
                </c:pt>
                <c:pt idx="74">
                  <c:v>0.96</c:v>
                </c:pt>
                <c:pt idx="75">
                  <c:v>0.97</c:v>
                </c:pt>
                <c:pt idx="76">
                  <c:v>0.98</c:v>
                </c:pt>
                <c:pt idx="77">
                  <c:v>0.99</c:v>
                </c:pt>
                <c:pt idx="78">
                  <c:v>1</c:v>
                </c:pt>
              </c:numCache>
            </c:numRef>
          </c:xVal>
          <c:yVal>
            <c:numRef>
              <c:f>'12 - Descent Calcs'!$V$6:$V$84</c:f>
              <c:numCache>
                <c:formatCode>General</c:formatCode>
                <c:ptCount val="7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4.2148513592443537</c:v>
                </c:pt>
                <c:pt idx="20">
                  <c:v>4.5431377336136984</c:v>
                </c:pt>
                <c:pt idx="21">
                  <c:v>4.9369776739546527</c:v>
                </c:pt>
                <c:pt idx="22">
                  <c:v>5.3606573499958747</c:v>
                </c:pt>
                <c:pt idx="23">
                  <c:v>5.715778031017317</c:v>
                </c:pt>
                <c:pt idx="24">
                  <c:v>6.1311385807121104</c:v>
                </c:pt>
                <c:pt idx="25">
                  <c:v>6.6230957312413103</c:v>
                </c:pt>
                <c:pt idx="26">
                  <c:v>7.001078689827736</c:v>
                </c:pt>
                <c:pt idx="27">
                  <c:v>7.3727194732142252</c:v>
                </c:pt>
                <c:pt idx="28">
                  <c:v>7.7951729258788021</c:v>
                </c:pt>
                <c:pt idx="29">
                  <c:v>8.2793032970463347</c:v>
                </c:pt>
                <c:pt idx="30">
                  <c:v>8.7434628755213524</c:v>
                </c:pt>
                <c:pt idx="31">
                  <c:v>9.0118317556500056</c:v>
                </c:pt>
                <c:pt idx="32">
                  <c:v>9.3030155303703044</c:v>
                </c:pt>
                <c:pt idx="33">
                  <c:v>9.6198747065838113</c:v>
                </c:pt>
                <c:pt idx="34">
                  <c:v>9.9657741918455613</c:v>
                </c:pt>
                <c:pt idx="35">
                  <c:v>10.344699386586159</c:v>
                </c:pt>
                <c:pt idx="36">
                  <c:v>10.718431888910395</c:v>
                </c:pt>
                <c:pt idx="37">
                  <c:v>10.921802695850005</c:v>
                </c:pt>
                <c:pt idx="38">
                  <c:v>11.137053332759663</c:v>
                </c:pt>
                <c:pt idx="39">
                  <c:v>11.365149709811599</c:v>
                </c:pt>
                <c:pt idx="40">
                  <c:v>11.557347966197273</c:v>
                </c:pt>
                <c:pt idx="41">
                  <c:v>11.5423843401054</c:v>
                </c:pt>
                <c:pt idx="42">
                  <c:v>11.527599530866402</c:v>
                </c:pt>
                <c:pt idx="43">
                  <c:v>11.513004208747706</c:v>
                </c:pt>
                <c:pt idx="44">
                  <c:v>11.498608944110163</c:v>
                </c:pt>
                <c:pt idx="45">
                  <c:v>11.46686654223439</c:v>
                </c:pt>
                <c:pt idx="46">
                  <c:v>11.37893687699588</c:v>
                </c:pt>
                <c:pt idx="47">
                  <c:v>11.291464391019895</c:v>
                </c:pt>
                <c:pt idx="48">
                  <c:v>11.204470205334433</c:v>
                </c:pt>
                <c:pt idx="49">
                  <c:v>11.117974232585077</c:v>
                </c:pt>
                <c:pt idx="50">
                  <c:v>11.031995212811768</c:v>
                </c:pt>
                <c:pt idx="51">
                  <c:v>10.94655074927779</c:v>
                </c:pt>
                <c:pt idx="52">
                  <c:v>10.861657344254162</c:v>
                </c:pt>
                <c:pt idx="53">
                  <c:v>10.777330434670537</c:v>
                </c:pt>
                <c:pt idx="54">
                  <c:v>10.693584427551157</c:v>
                </c:pt>
                <c:pt idx="55">
                  <c:v>10.610432735161709</c:v>
                </c:pt>
                <c:pt idx="56">
                  <c:v>10.527887809799816</c:v>
                </c:pt>
                <c:pt idx="57">
                  <c:v>10.445961178168384</c:v>
                </c:pt>
                <c:pt idx="58">
                  <c:v>10.364663475277281</c:v>
                </c:pt>
                <c:pt idx="59">
                  <c:v>10.232372947151163</c:v>
                </c:pt>
                <c:pt idx="60">
                  <c:v>10.085852317624484</c:v>
                </c:pt>
                <c:pt idx="61">
                  <c:v>9.8937677051174848</c:v>
                </c:pt>
                <c:pt idx="62">
                  <c:v>9.7052521468190793</c:v>
                </c:pt>
                <c:pt idx="63">
                  <c:v>9.5202792986102711</c:v>
                </c:pt>
                <c:pt idx="64">
                  <c:v>9.2780292705601717</c:v>
                </c:pt>
                <c:pt idx="65">
                  <c:v>9.0421231387806031</c:v>
                </c:pt>
                <c:pt idx="66">
                  <c:v>8.8124538888696513</c:v>
                </c:pt>
                <c:pt idx="67">
                  <c:v>8.5889094171923155</c:v>
                </c:pt>
                <c:pt idx="68">
                  <c:v>8.3713733537772406</c:v>
                </c:pt>
                <c:pt idx="69">
                  <c:v>8.1356623693270453</c:v>
                </c:pt>
                <c:pt idx="70">
                  <c:v>7.9074897954996857</c:v>
                </c:pt>
                <c:pt idx="71">
                  <c:v>7.5922603867837539</c:v>
                </c:pt>
                <c:pt idx="72">
                  <c:v>7.2927914410092152</c:v>
                </c:pt>
                <c:pt idx="73">
                  <c:v>6.6916632824677809</c:v>
                </c:pt>
                <c:pt idx="74">
                  <c:v>6.1650134673486994</c:v>
                </c:pt>
                <c:pt idx="75">
                  <c:v>5.1319947406644353</c:v>
                </c:pt>
                <c:pt idx="76">
                  <c:v>4.3712622689209182</c:v>
                </c:pt>
                <c:pt idx="77">
                  <c:v>4.0397109076052811</c:v>
                </c:pt>
                <c:pt idx="78">
                  <c:v>3.746105972039723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FAB-4600-BC61-73ABD7E13E3B}"/>
            </c:ext>
          </c:extLst>
        </c:ser>
        <c:ser>
          <c:idx val="7"/>
          <c:order val="7"/>
          <c:tx>
            <c:v>h = 35000[ft]</c:v>
          </c:tx>
          <c:marker>
            <c:symbol val="none"/>
          </c:marker>
          <c:xVal>
            <c:numRef>
              <c:f>'12 - Descent Calcs'!$O$6:$O$84</c:f>
              <c:numCache>
                <c:formatCode>General</c:formatCode>
                <c:ptCount val="79"/>
                <c:pt idx="0">
                  <c:v>0.22</c:v>
                </c:pt>
                <c:pt idx="1">
                  <c:v>0.23</c:v>
                </c:pt>
                <c:pt idx="2">
                  <c:v>0.24</c:v>
                </c:pt>
                <c:pt idx="3">
                  <c:v>0.25</c:v>
                </c:pt>
                <c:pt idx="4">
                  <c:v>0.26</c:v>
                </c:pt>
                <c:pt idx="5">
                  <c:v>0.27</c:v>
                </c:pt>
                <c:pt idx="6">
                  <c:v>0.28000000000000003</c:v>
                </c:pt>
                <c:pt idx="7">
                  <c:v>0.28999999999999998</c:v>
                </c:pt>
                <c:pt idx="8">
                  <c:v>0.3</c:v>
                </c:pt>
                <c:pt idx="9">
                  <c:v>0.31</c:v>
                </c:pt>
                <c:pt idx="10">
                  <c:v>0.32</c:v>
                </c:pt>
                <c:pt idx="11">
                  <c:v>0.33</c:v>
                </c:pt>
                <c:pt idx="12">
                  <c:v>0.34</c:v>
                </c:pt>
                <c:pt idx="13">
                  <c:v>0.35</c:v>
                </c:pt>
                <c:pt idx="14">
                  <c:v>0.36</c:v>
                </c:pt>
                <c:pt idx="15">
                  <c:v>0.37</c:v>
                </c:pt>
                <c:pt idx="16">
                  <c:v>0.38</c:v>
                </c:pt>
                <c:pt idx="17">
                  <c:v>0.39</c:v>
                </c:pt>
                <c:pt idx="18">
                  <c:v>0.4</c:v>
                </c:pt>
                <c:pt idx="19">
                  <c:v>0.41</c:v>
                </c:pt>
                <c:pt idx="20">
                  <c:v>0.42</c:v>
                </c:pt>
                <c:pt idx="21">
                  <c:v>0.43</c:v>
                </c:pt>
                <c:pt idx="22">
                  <c:v>0.44</c:v>
                </c:pt>
                <c:pt idx="23">
                  <c:v>0.45</c:v>
                </c:pt>
                <c:pt idx="24">
                  <c:v>0.46</c:v>
                </c:pt>
                <c:pt idx="25">
                  <c:v>0.47</c:v>
                </c:pt>
                <c:pt idx="26">
                  <c:v>0.48</c:v>
                </c:pt>
                <c:pt idx="27">
                  <c:v>0.49</c:v>
                </c:pt>
                <c:pt idx="28">
                  <c:v>0.5</c:v>
                </c:pt>
                <c:pt idx="29">
                  <c:v>0.51</c:v>
                </c:pt>
                <c:pt idx="30">
                  <c:v>0.52</c:v>
                </c:pt>
                <c:pt idx="31">
                  <c:v>0.53</c:v>
                </c:pt>
                <c:pt idx="32">
                  <c:v>0.54</c:v>
                </c:pt>
                <c:pt idx="33">
                  <c:v>0.55000000000000004</c:v>
                </c:pt>
                <c:pt idx="34">
                  <c:v>0.56000000000000005</c:v>
                </c:pt>
                <c:pt idx="35">
                  <c:v>0.56999999999999995</c:v>
                </c:pt>
                <c:pt idx="36">
                  <c:v>0.57999999999999996</c:v>
                </c:pt>
                <c:pt idx="37">
                  <c:v>0.59</c:v>
                </c:pt>
                <c:pt idx="38">
                  <c:v>0.6</c:v>
                </c:pt>
                <c:pt idx="39">
                  <c:v>0.61</c:v>
                </c:pt>
                <c:pt idx="40">
                  <c:v>0.62</c:v>
                </c:pt>
                <c:pt idx="41">
                  <c:v>0.63</c:v>
                </c:pt>
                <c:pt idx="42">
                  <c:v>0.64</c:v>
                </c:pt>
                <c:pt idx="43">
                  <c:v>0.65</c:v>
                </c:pt>
                <c:pt idx="44">
                  <c:v>0.66</c:v>
                </c:pt>
                <c:pt idx="45">
                  <c:v>0.67</c:v>
                </c:pt>
                <c:pt idx="46">
                  <c:v>0.68</c:v>
                </c:pt>
                <c:pt idx="47">
                  <c:v>0.69</c:v>
                </c:pt>
                <c:pt idx="48">
                  <c:v>0.7</c:v>
                </c:pt>
                <c:pt idx="49">
                  <c:v>0.71</c:v>
                </c:pt>
                <c:pt idx="50">
                  <c:v>0.72</c:v>
                </c:pt>
                <c:pt idx="51">
                  <c:v>0.73</c:v>
                </c:pt>
                <c:pt idx="52">
                  <c:v>0.74</c:v>
                </c:pt>
                <c:pt idx="53">
                  <c:v>0.75</c:v>
                </c:pt>
                <c:pt idx="54">
                  <c:v>0.76</c:v>
                </c:pt>
                <c:pt idx="55">
                  <c:v>0.77</c:v>
                </c:pt>
                <c:pt idx="56">
                  <c:v>0.78</c:v>
                </c:pt>
                <c:pt idx="57">
                  <c:v>0.79</c:v>
                </c:pt>
                <c:pt idx="58">
                  <c:v>0.8</c:v>
                </c:pt>
                <c:pt idx="59">
                  <c:v>0.81</c:v>
                </c:pt>
                <c:pt idx="60">
                  <c:v>0.82</c:v>
                </c:pt>
                <c:pt idx="61">
                  <c:v>0.83</c:v>
                </c:pt>
                <c:pt idx="62">
                  <c:v>0.84</c:v>
                </c:pt>
                <c:pt idx="63">
                  <c:v>0.85</c:v>
                </c:pt>
                <c:pt idx="64">
                  <c:v>0.86</c:v>
                </c:pt>
                <c:pt idx="65">
                  <c:v>0.87</c:v>
                </c:pt>
                <c:pt idx="66">
                  <c:v>0.88</c:v>
                </c:pt>
                <c:pt idx="67">
                  <c:v>0.89</c:v>
                </c:pt>
                <c:pt idx="68">
                  <c:v>0.9</c:v>
                </c:pt>
                <c:pt idx="69">
                  <c:v>0.91</c:v>
                </c:pt>
                <c:pt idx="70">
                  <c:v>0.92</c:v>
                </c:pt>
                <c:pt idx="71">
                  <c:v>0.93</c:v>
                </c:pt>
                <c:pt idx="72">
                  <c:v>0.94</c:v>
                </c:pt>
                <c:pt idx="73">
                  <c:v>0.95</c:v>
                </c:pt>
                <c:pt idx="74">
                  <c:v>0.96</c:v>
                </c:pt>
                <c:pt idx="75">
                  <c:v>0.97</c:v>
                </c:pt>
                <c:pt idx="76">
                  <c:v>0.98</c:v>
                </c:pt>
                <c:pt idx="77">
                  <c:v>0.99</c:v>
                </c:pt>
                <c:pt idx="78">
                  <c:v>1</c:v>
                </c:pt>
              </c:numCache>
            </c:numRef>
          </c:xVal>
          <c:yVal>
            <c:numRef>
              <c:f>'12 - Descent Calcs'!$W$6:$W$84</c:f>
              <c:numCache>
                <c:formatCode>General</c:formatCode>
                <c:ptCount val="7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4.2012650136397376</c:v>
                </c:pt>
                <c:pt idx="25">
                  <c:v>4.4884517335796934</c:v>
                </c:pt>
                <c:pt idx="26">
                  <c:v>4.8254351735600229</c:v>
                </c:pt>
                <c:pt idx="27">
                  <c:v>5.2261037591659489</c:v>
                </c:pt>
                <c:pt idx="28">
                  <c:v>5.5392797764049977</c:v>
                </c:pt>
                <c:pt idx="29">
                  <c:v>5.8790251984307194</c:v>
                </c:pt>
                <c:pt idx="30">
                  <c:v>6.271355948660382</c:v>
                </c:pt>
                <c:pt idx="31">
                  <c:v>6.7292222660841015</c:v>
                </c:pt>
                <c:pt idx="32">
                  <c:v>7.0352064743947045</c:v>
                </c:pt>
                <c:pt idx="33">
                  <c:v>7.3681254658618585</c:v>
                </c:pt>
                <c:pt idx="34">
                  <c:v>7.7412919717952917</c:v>
                </c:pt>
                <c:pt idx="35">
                  <c:v>8.1622532400151364</c:v>
                </c:pt>
                <c:pt idx="36">
                  <c:v>8.6405767729217207</c:v>
                </c:pt>
                <c:pt idx="37">
                  <c:v>8.9012486730755906</c:v>
                </c:pt>
                <c:pt idx="38">
                  <c:v>9.1516125826440433</c:v>
                </c:pt>
                <c:pt idx="39">
                  <c:v>9.4212413002171616</c:v>
                </c:pt>
                <c:pt idx="40">
                  <c:v>9.712319607023904</c:v>
                </c:pt>
                <c:pt idx="41">
                  <c:v>10.027379016132182</c:v>
                </c:pt>
                <c:pt idx="42">
                  <c:v>10.369369279868424</c:v>
                </c:pt>
                <c:pt idx="43">
                  <c:v>10.731904783242232</c:v>
                </c:pt>
                <c:pt idx="44">
                  <c:v>10.914346678251828</c:v>
                </c:pt>
                <c:pt idx="45">
                  <c:v>11.10632280892621</c:v>
                </c:pt>
                <c:pt idx="46">
                  <c:v>11.308524804536352</c:v>
                </c:pt>
                <c:pt idx="47">
                  <c:v>11.521714372381012</c:v>
                </c:pt>
                <c:pt idx="48">
                  <c:v>11.612580006121966</c:v>
                </c:pt>
                <c:pt idx="49">
                  <c:v>11.601773976437851</c:v>
                </c:pt>
                <c:pt idx="50">
                  <c:v>11.591176723049031</c:v>
                </c:pt>
                <c:pt idx="51">
                  <c:v>11.580796693974843</c:v>
                </c:pt>
                <c:pt idx="52">
                  <c:v>11.570642294457832</c:v>
                </c:pt>
                <c:pt idx="53">
                  <c:v>11.56072189044335</c:v>
                </c:pt>
                <c:pt idx="54">
                  <c:v>11.484376184410792</c:v>
                </c:pt>
                <c:pt idx="55">
                  <c:v>11.408295353218255</c:v>
                </c:pt>
                <c:pt idx="56">
                  <c:v>11.332594888849673</c:v>
                </c:pt>
                <c:pt idx="57">
                  <c:v>11.257288642890369</c:v>
                </c:pt>
                <c:pt idx="58">
                  <c:v>11.182389736529785</c:v>
                </c:pt>
                <c:pt idx="59">
                  <c:v>11.060146434110079</c:v>
                </c:pt>
                <c:pt idx="60">
                  <c:v>10.937690673765346</c:v>
                </c:pt>
                <c:pt idx="61">
                  <c:v>10.815090997298586</c:v>
                </c:pt>
                <c:pt idx="62">
                  <c:v>10.692414656803777</c:v>
                </c:pt>
                <c:pt idx="63">
                  <c:v>10.569727515942391</c:v>
                </c:pt>
                <c:pt idx="64">
                  <c:v>10.384892817413588</c:v>
                </c:pt>
                <c:pt idx="65">
                  <c:v>10.201472648280436</c:v>
                </c:pt>
                <c:pt idx="66">
                  <c:v>10.019587812172032</c:v>
                </c:pt>
                <c:pt idx="67">
                  <c:v>9.8393512101639171</c:v>
                </c:pt>
                <c:pt idx="68">
                  <c:v>9.6608678891974993</c:v>
                </c:pt>
                <c:pt idx="69">
                  <c:v>9.4566981052477086</c:v>
                </c:pt>
                <c:pt idx="70">
                  <c:v>9.2492901739328079</c:v>
                </c:pt>
                <c:pt idx="71">
                  <c:v>8.9040784569520941</c:v>
                </c:pt>
                <c:pt idx="72">
                  <c:v>8.5744979563107488</c:v>
                </c:pt>
                <c:pt idx="73">
                  <c:v>7.9103575226906351</c:v>
                </c:pt>
                <c:pt idx="74">
                  <c:v>7.3226194360283765</c:v>
                </c:pt>
                <c:pt idx="75">
                  <c:v>6.1539648829289995</c:v>
                </c:pt>
                <c:pt idx="76">
                  <c:v>5.2790123015749</c:v>
                </c:pt>
                <c:pt idx="77">
                  <c:v>4.8923638145603885</c:v>
                </c:pt>
                <c:pt idx="78">
                  <c:v>4.5482074426655403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FAB-4600-BC61-73ABD7E13E3B}"/>
            </c:ext>
          </c:extLst>
        </c:ser>
        <c:ser>
          <c:idx val="8"/>
          <c:order val="8"/>
          <c:tx>
            <c:v>h = 40000[ft]</c:v>
          </c:tx>
          <c:marker>
            <c:symbol val="none"/>
          </c:marker>
          <c:xVal>
            <c:numRef>
              <c:f>'12 - Descent Calcs'!$O$6:$O$84</c:f>
              <c:numCache>
                <c:formatCode>General</c:formatCode>
                <c:ptCount val="79"/>
                <c:pt idx="0">
                  <c:v>0.22</c:v>
                </c:pt>
                <c:pt idx="1">
                  <c:v>0.23</c:v>
                </c:pt>
                <c:pt idx="2">
                  <c:v>0.24</c:v>
                </c:pt>
                <c:pt idx="3">
                  <c:v>0.25</c:v>
                </c:pt>
                <c:pt idx="4">
                  <c:v>0.26</c:v>
                </c:pt>
                <c:pt idx="5">
                  <c:v>0.27</c:v>
                </c:pt>
                <c:pt idx="6">
                  <c:v>0.28000000000000003</c:v>
                </c:pt>
                <c:pt idx="7">
                  <c:v>0.28999999999999998</c:v>
                </c:pt>
                <c:pt idx="8">
                  <c:v>0.3</c:v>
                </c:pt>
                <c:pt idx="9">
                  <c:v>0.31</c:v>
                </c:pt>
                <c:pt idx="10">
                  <c:v>0.32</c:v>
                </c:pt>
                <c:pt idx="11">
                  <c:v>0.33</c:v>
                </c:pt>
                <c:pt idx="12">
                  <c:v>0.34</c:v>
                </c:pt>
                <c:pt idx="13">
                  <c:v>0.35</c:v>
                </c:pt>
                <c:pt idx="14">
                  <c:v>0.36</c:v>
                </c:pt>
                <c:pt idx="15">
                  <c:v>0.37</c:v>
                </c:pt>
                <c:pt idx="16">
                  <c:v>0.38</c:v>
                </c:pt>
                <c:pt idx="17">
                  <c:v>0.39</c:v>
                </c:pt>
                <c:pt idx="18">
                  <c:v>0.4</c:v>
                </c:pt>
                <c:pt idx="19">
                  <c:v>0.41</c:v>
                </c:pt>
                <c:pt idx="20">
                  <c:v>0.42</c:v>
                </c:pt>
                <c:pt idx="21">
                  <c:v>0.43</c:v>
                </c:pt>
                <c:pt idx="22">
                  <c:v>0.44</c:v>
                </c:pt>
                <c:pt idx="23">
                  <c:v>0.45</c:v>
                </c:pt>
                <c:pt idx="24">
                  <c:v>0.46</c:v>
                </c:pt>
                <c:pt idx="25">
                  <c:v>0.47</c:v>
                </c:pt>
                <c:pt idx="26">
                  <c:v>0.48</c:v>
                </c:pt>
                <c:pt idx="27">
                  <c:v>0.49</c:v>
                </c:pt>
                <c:pt idx="28">
                  <c:v>0.5</c:v>
                </c:pt>
                <c:pt idx="29">
                  <c:v>0.51</c:v>
                </c:pt>
                <c:pt idx="30">
                  <c:v>0.52</c:v>
                </c:pt>
                <c:pt idx="31">
                  <c:v>0.53</c:v>
                </c:pt>
                <c:pt idx="32">
                  <c:v>0.54</c:v>
                </c:pt>
                <c:pt idx="33">
                  <c:v>0.55000000000000004</c:v>
                </c:pt>
                <c:pt idx="34">
                  <c:v>0.56000000000000005</c:v>
                </c:pt>
                <c:pt idx="35">
                  <c:v>0.56999999999999995</c:v>
                </c:pt>
                <c:pt idx="36">
                  <c:v>0.57999999999999996</c:v>
                </c:pt>
                <c:pt idx="37">
                  <c:v>0.59</c:v>
                </c:pt>
                <c:pt idx="38">
                  <c:v>0.6</c:v>
                </c:pt>
                <c:pt idx="39">
                  <c:v>0.61</c:v>
                </c:pt>
                <c:pt idx="40">
                  <c:v>0.62</c:v>
                </c:pt>
                <c:pt idx="41">
                  <c:v>0.63</c:v>
                </c:pt>
                <c:pt idx="42">
                  <c:v>0.64</c:v>
                </c:pt>
                <c:pt idx="43">
                  <c:v>0.65</c:v>
                </c:pt>
                <c:pt idx="44">
                  <c:v>0.66</c:v>
                </c:pt>
                <c:pt idx="45">
                  <c:v>0.67</c:v>
                </c:pt>
                <c:pt idx="46">
                  <c:v>0.68</c:v>
                </c:pt>
                <c:pt idx="47">
                  <c:v>0.69</c:v>
                </c:pt>
                <c:pt idx="48">
                  <c:v>0.7</c:v>
                </c:pt>
                <c:pt idx="49">
                  <c:v>0.71</c:v>
                </c:pt>
                <c:pt idx="50">
                  <c:v>0.72</c:v>
                </c:pt>
                <c:pt idx="51">
                  <c:v>0.73</c:v>
                </c:pt>
                <c:pt idx="52">
                  <c:v>0.74</c:v>
                </c:pt>
                <c:pt idx="53">
                  <c:v>0.75</c:v>
                </c:pt>
                <c:pt idx="54">
                  <c:v>0.76</c:v>
                </c:pt>
                <c:pt idx="55">
                  <c:v>0.77</c:v>
                </c:pt>
                <c:pt idx="56">
                  <c:v>0.78</c:v>
                </c:pt>
                <c:pt idx="57">
                  <c:v>0.79</c:v>
                </c:pt>
                <c:pt idx="58">
                  <c:v>0.8</c:v>
                </c:pt>
                <c:pt idx="59">
                  <c:v>0.81</c:v>
                </c:pt>
                <c:pt idx="60">
                  <c:v>0.82</c:v>
                </c:pt>
                <c:pt idx="61">
                  <c:v>0.83</c:v>
                </c:pt>
                <c:pt idx="62">
                  <c:v>0.84</c:v>
                </c:pt>
                <c:pt idx="63">
                  <c:v>0.85</c:v>
                </c:pt>
                <c:pt idx="64">
                  <c:v>0.86</c:v>
                </c:pt>
                <c:pt idx="65">
                  <c:v>0.87</c:v>
                </c:pt>
                <c:pt idx="66">
                  <c:v>0.88</c:v>
                </c:pt>
                <c:pt idx="67">
                  <c:v>0.89</c:v>
                </c:pt>
                <c:pt idx="68">
                  <c:v>0.9</c:v>
                </c:pt>
                <c:pt idx="69">
                  <c:v>0.91</c:v>
                </c:pt>
                <c:pt idx="70">
                  <c:v>0.92</c:v>
                </c:pt>
                <c:pt idx="71">
                  <c:v>0.93</c:v>
                </c:pt>
                <c:pt idx="72">
                  <c:v>0.94</c:v>
                </c:pt>
                <c:pt idx="73">
                  <c:v>0.95</c:v>
                </c:pt>
                <c:pt idx="74">
                  <c:v>0.96</c:v>
                </c:pt>
                <c:pt idx="75">
                  <c:v>0.97</c:v>
                </c:pt>
                <c:pt idx="76">
                  <c:v>0.98</c:v>
                </c:pt>
                <c:pt idx="77">
                  <c:v>0.99</c:v>
                </c:pt>
                <c:pt idx="78">
                  <c:v>1</c:v>
                </c:pt>
              </c:numCache>
            </c:numRef>
          </c:xVal>
          <c:yVal>
            <c:numRef>
              <c:f>'12 - Descent Calcs'!$X$6:$X$84</c:f>
              <c:numCache>
                <c:formatCode>General</c:formatCode>
                <c:ptCount val="7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4.2357050807922088</c:v>
                </c:pt>
                <c:pt idx="31">
                  <c:v>4.4932835195166962</c:v>
                </c:pt>
                <c:pt idx="32">
                  <c:v>4.790159715131443</c:v>
                </c:pt>
                <c:pt idx="33">
                  <c:v>5.1358726470581111</c:v>
                </c:pt>
                <c:pt idx="34">
                  <c:v>5.4412491859959484</c:v>
                </c:pt>
                <c:pt idx="35">
                  <c:v>5.7276807154142064</c:v>
                </c:pt>
                <c:pt idx="36">
                  <c:v>6.0519545593472639</c:v>
                </c:pt>
                <c:pt idx="37">
                  <c:v>6.4219195651528862</c:v>
                </c:pt>
                <c:pt idx="38">
                  <c:v>6.8082369943277099</c:v>
                </c:pt>
                <c:pt idx="39">
                  <c:v>7.07900609759354</c:v>
                </c:pt>
                <c:pt idx="40">
                  <c:v>7.3773486925787672</c:v>
                </c:pt>
                <c:pt idx="41">
                  <c:v>7.7075628450521894</c:v>
                </c:pt>
                <c:pt idx="42">
                  <c:v>8.0748929684441677</c:v>
                </c:pt>
                <c:pt idx="43">
                  <c:v>8.4858052992895541</c:v>
                </c:pt>
                <c:pt idx="44">
                  <c:v>8.8143357069959389</c:v>
                </c:pt>
                <c:pt idx="45">
                  <c:v>9.0304366935164708</c:v>
                </c:pt>
                <c:pt idx="46">
                  <c:v>9.2610622772648981</c:v>
                </c:pt>
                <c:pt idx="47">
                  <c:v>9.507640935972212</c:v>
                </c:pt>
                <c:pt idx="48">
                  <c:v>9.7717968422176522</c:v>
                </c:pt>
                <c:pt idx="49">
                  <c:v>10.062992515640296</c:v>
                </c:pt>
                <c:pt idx="50">
                  <c:v>10.369525612577482</c:v>
                </c:pt>
                <c:pt idx="51">
                  <c:v>10.692454736985702</c:v>
                </c:pt>
                <c:pt idx="52">
                  <c:v>10.896284466773762</c:v>
                </c:pt>
                <c:pt idx="53">
                  <c:v>11.066580649566415</c:v>
                </c:pt>
                <c:pt idx="54">
                  <c:v>11.244947781719482</c:v>
                </c:pt>
                <c:pt idx="55">
                  <c:v>11.43191879234856</c:v>
                </c:pt>
                <c:pt idx="56">
                  <c:v>11.628075557316564</c:v>
                </c:pt>
                <c:pt idx="57">
                  <c:v>11.6823960953288</c:v>
                </c:pt>
                <c:pt idx="58">
                  <c:v>11.675421600026173</c:v>
                </c:pt>
                <c:pt idx="59">
                  <c:v>11.627183939893486</c:v>
                </c:pt>
                <c:pt idx="60">
                  <c:v>11.577529268712077</c:v>
                </c:pt>
                <c:pt idx="61">
                  <c:v>11.526469169259641</c:v>
                </c:pt>
                <c:pt idx="62">
                  <c:v>11.474016872434047</c:v>
                </c:pt>
                <c:pt idx="63">
                  <c:v>11.395108305665637</c:v>
                </c:pt>
                <c:pt idx="64">
                  <c:v>11.222988923879752</c:v>
                </c:pt>
                <c:pt idx="65">
                  <c:v>11.051433005938874</c:v>
                </c:pt>
                <c:pt idx="66">
                  <c:v>10.880561803815189</c:v>
                </c:pt>
                <c:pt idx="67">
                  <c:v>10.710491476351228</c:v>
                </c:pt>
                <c:pt idx="68">
                  <c:v>10.541332963179986</c:v>
                </c:pt>
                <c:pt idx="69">
                  <c:v>10.343844244776035</c:v>
                </c:pt>
                <c:pt idx="70">
                  <c:v>10.14894098800074</c:v>
                </c:pt>
                <c:pt idx="71">
                  <c:v>9.8577638562215615</c:v>
                </c:pt>
                <c:pt idx="72">
                  <c:v>9.5745518653962325</c:v>
                </c:pt>
                <c:pt idx="73">
                  <c:v>8.9491641094671728</c:v>
                </c:pt>
                <c:pt idx="74">
                  <c:v>8.3813923192386657</c:v>
                </c:pt>
                <c:pt idx="75">
                  <c:v>7.1769327384748633</c:v>
                </c:pt>
                <c:pt idx="76">
                  <c:v>6.2448396646387225</c:v>
                </c:pt>
                <c:pt idx="77">
                  <c:v>5.8292470472367262</c:v>
                </c:pt>
                <c:pt idx="78">
                  <c:v>5.4543679395009814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FAB-4600-BC61-73ABD7E13E3B}"/>
            </c:ext>
          </c:extLst>
        </c:ser>
        <c:ser>
          <c:idx val="9"/>
          <c:order val="9"/>
          <c:tx>
            <c:v>Max L/D</c:v>
          </c:tx>
          <c:spPr>
            <a:ln>
              <a:noFill/>
            </a:ln>
          </c:spPr>
          <c:marker>
            <c:symbol val="circle"/>
            <c:size val="5"/>
            <c:spPr>
              <a:ln>
                <a:solidFill>
                  <a:schemeClr val="tx1"/>
                </a:solidFill>
              </a:ln>
            </c:spPr>
          </c:marker>
          <c:xVal>
            <c:numRef>
              <c:f>'12 - Descent Summary'!$D$11:$D$19</c:f>
              <c:numCache>
                <c:formatCode>0.0000</c:formatCode>
                <c:ptCount val="9"/>
                <c:pt idx="0">
                  <c:v>0.34351968051788229</c:v>
                </c:pt>
                <c:pt idx="1">
                  <c:v>0.37395429886123693</c:v>
                </c:pt>
                <c:pt idx="2">
                  <c:v>0.41354230143706827</c:v>
                </c:pt>
                <c:pt idx="3">
                  <c:v>0.45399460003774728</c:v>
                </c:pt>
                <c:pt idx="4">
                  <c:v>0.50388938697630759</c:v>
                </c:pt>
                <c:pt idx="5">
                  <c:v>0.56271397325226369</c:v>
                </c:pt>
                <c:pt idx="6">
                  <c:v>0.62427768439285669</c:v>
                </c:pt>
                <c:pt idx="7">
                  <c:v>0.70393716407108065</c:v>
                </c:pt>
                <c:pt idx="8">
                  <c:v>0.79386214348448114</c:v>
                </c:pt>
              </c:numCache>
            </c:numRef>
          </c:xVal>
          <c:yVal>
            <c:numRef>
              <c:f>'12 - Descent Summary'!$C$11:$C$19</c:f>
              <c:numCache>
                <c:formatCode>0.0000</c:formatCode>
                <c:ptCount val="9"/>
                <c:pt idx="0">
                  <c:v>11.353992743944019</c:v>
                </c:pt>
                <c:pt idx="1">
                  <c:v>11.399870711296671</c:v>
                </c:pt>
                <c:pt idx="2">
                  <c:v>11.402236614556671</c:v>
                </c:pt>
                <c:pt idx="3">
                  <c:v>11.450201096523188</c:v>
                </c:pt>
                <c:pt idx="4">
                  <c:v>11.477158926653942</c:v>
                </c:pt>
                <c:pt idx="5">
                  <c:v>11.500069716214199</c:v>
                </c:pt>
                <c:pt idx="6">
                  <c:v>11.576301811494375</c:v>
                </c:pt>
                <c:pt idx="7">
                  <c:v>11.620460201037844</c:v>
                </c:pt>
                <c:pt idx="8">
                  <c:v>11.68696752558796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FAB-4600-BC61-73ABD7E13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993152"/>
        <c:axId val="2120992192"/>
      </c:scatterChart>
      <c:valAx>
        <c:axId val="2120993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Mach Number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20992192"/>
        <c:crosses val="autoZero"/>
        <c:crossBetween val="midCat"/>
      </c:valAx>
      <c:valAx>
        <c:axId val="2120992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Lift/Drag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2099315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Idle</a:t>
            </a:r>
            <a:r>
              <a:rPr lang="en-US" baseline="0"/>
              <a:t> Descent</a:t>
            </a:r>
          </a:p>
          <a:p>
            <a:pPr>
              <a:defRPr/>
            </a:pPr>
            <a:r>
              <a:rPr lang="en-US" baseline="0"/>
              <a:t>Altitude vs Mach Number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L/D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'12 - Descent Summary'!$D$11:$D$19</c:f>
              <c:numCache>
                <c:formatCode>0.0000</c:formatCode>
                <c:ptCount val="9"/>
                <c:pt idx="0">
                  <c:v>0.34351968051788229</c:v>
                </c:pt>
                <c:pt idx="1">
                  <c:v>0.37395429886123693</c:v>
                </c:pt>
                <c:pt idx="2">
                  <c:v>0.41354230143706827</c:v>
                </c:pt>
                <c:pt idx="3">
                  <c:v>0.45399460003774728</c:v>
                </c:pt>
                <c:pt idx="4">
                  <c:v>0.50388938697630759</c:v>
                </c:pt>
                <c:pt idx="5">
                  <c:v>0.56271397325226369</c:v>
                </c:pt>
                <c:pt idx="6">
                  <c:v>0.62427768439285669</c:v>
                </c:pt>
                <c:pt idx="7">
                  <c:v>0.70393716407108065</c:v>
                </c:pt>
                <c:pt idx="8">
                  <c:v>0.79386214348448114</c:v>
                </c:pt>
              </c:numCache>
            </c:numRef>
          </c:xVal>
          <c:yVal>
            <c:numRef>
              <c:f>'12 - Descent Summary'!$E$11:$E$19</c:f>
              <c:numCache>
                <c:formatCode>General</c:formatCode>
                <c:ptCount val="9"/>
                <c:pt idx="0">
                  <c:v>0</c:v>
                </c:pt>
                <c:pt idx="1">
                  <c:v>5000</c:v>
                </c:pt>
                <c:pt idx="2">
                  <c:v>10000</c:v>
                </c:pt>
                <c:pt idx="3">
                  <c:v>15000</c:v>
                </c:pt>
                <c:pt idx="4">
                  <c:v>20000</c:v>
                </c:pt>
                <c:pt idx="5">
                  <c:v>25000</c:v>
                </c:pt>
                <c:pt idx="6">
                  <c:v>30000</c:v>
                </c:pt>
                <c:pt idx="7">
                  <c:v>35000</c:v>
                </c:pt>
                <c:pt idx="8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34-490A-8685-06569BFCABA4}"/>
            </c:ext>
          </c:extLst>
        </c:ser>
        <c:ser>
          <c:idx val="1"/>
          <c:order val="1"/>
          <c:tx>
            <c:v>240 KCAS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'12 - Descent'!$F$8:$F$48</c:f>
              <c:numCache>
                <c:formatCode>0.0000</c:formatCode>
                <c:ptCount val="41"/>
                <c:pt idx="0">
                  <c:v>0.79339999999999999</c:v>
                </c:pt>
                <c:pt idx="1">
                  <c:v>0.77751999999999999</c:v>
                </c:pt>
                <c:pt idx="2">
                  <c:v>0.76163999999999998</c:v>
                </c:pt>
                <c:pt idx="3">
                  <c:v>0.74575999999999998</c:v>
                </c:pt>
                <c:pt idx="4">
                  <c:v>0.72987999999999997</c:v>
                </c:pt>
                <c:pt idx="5">
                  <c:v>0.71399999999999997</c:v>
                </c:pt>
                <c:pt idx="6">
                  <c:v>0.69982</c:v>
                </c:pt>
                <c:pt idx="7">
                  <c:v>0.68564000000000003</c:v>
                </c:pt>
                <c:pt idx="8">
                  <c:v>0.67146000000000006</c:v>
                </c:pt>
                <c:pt idx="9">
                  <c:v>0.65728000000000009</c:v>
                </c:pt>
                <c:pt idx="10">
                  <c:v>0.6431</c:v>
                </c:pt>
                <c:pt idx="11">
                  <c:v>0.63061999999999996</c:v>
                </c:pt>
                <c:pt idx="12">
                  <c:v>0.61813999999999991</c:v>
                </c:pt>
                <c:pt idx="13">
                  <c:v>0.60565999999999987</c:v>
                </c:pt>
                <c:pt idx="14">
                  <c:v>0.59317999999999982</c:v>
                </c:pt>
                <c:pt idx="15">
                  <c:v>0.58069999999999999</c:v>
                </c:pt>
                <c:pt idx="16">
                  <c:v>0.56969999999999998</c:v>
                </c:pt>
                <c:pt idx="17">
                  <c:v>0.55869999999999997</c:v>
                </c:pt>
                <c:pt idx="18">
                  <c:v>0.54769999999999996</c:v>
                </c:pt>
                <c:pt idx="19">
                  <c:v>0.53669999999999995</c:v>
                </c:pt>
                <c:pt idx="20">
                  <c:v>0.52569999999999995</c:v>
                </c:pt>
                <c:pt idx="21">
                  <c:v>0.51601999999999992</c:v>
                </c:pt>
                <c:pt idx="22">
                  <c:v>0.5063399999999999</c:v>
                </c:pt>
                <c:pt idx="23">
                  <c:v>0.49665999999999993</c:v>
                </c:pt>
                <c:pt idx="24">
                  <c:v>0.48697999999999997</c:v>
                </c:pt>
                <c:pt idx="25">
                  <c:v>0.4773</c:v>
                </c:pt>
                <c:pt idx="26">
                  <c:v>0.46872000000000003</c:v>
                </c:pt>
                <c:pt idx="27">
                  <c:v>0.46014000000000005</c:v>
                </c:pt>
                <c:pt idx="28">
                  <c:v>0.45156000000000007</c:v>
                </c:pt>
                <c:pt idx="29">
                  <c:v>0.4429800000000001</c:v>
                </c:pt>
                <c:pt idx="30">
                  <c:v>0.43440000000000001</c:v>
                </c:pt>
                <c:pt idx="31">
                  <c:v>0.42682000000000003</c:v>
                </c:pt>
                <c:pt idx="32">
                  <c:v>0.41924000000000006</c:v>
                </c:pt>
                <c:pt idx="33">
                  <c:v>0.41166000000000008</c:v>
                </c:pt>
                <c:pt idx="34">
                  <c:v>0.40408000000000011</c:v>
                </c:pt>
                <c:pt idx="35">
                  <c:v>0.39650000000000002</c:v>
                </c:pt>
                <c:pt idx="36">
                  <c:v>0.38976</c:v>
                </c:pt>
                <c:pt idx="37">
                  <c:v>0.38301999999999997</c:v>
                </c:pt>
                <c:pt idx="38">
                  <c:v>0.37627999999999995</c:v>
                </c:pt>
                <c:pt idx="39">
                  <c:v>0.36953999999999992</c:v>
                </c:pt>
                <c:pt idx="40">
                  <c:v>0.36280000000000001</c:v>
                </c:pt>
              </c:numCache>
            </c:numRef>
          </c:xVal>
          <c:yVal>
            <c:numRef>
              <c:f>'12 - Descent'!$B$8:$B$48</c:f>
              <c:numCache>
                <c:formatCode>#,##0</c:formatCode>
                <c:ptCount val="41"/>
                <c:pt idx="0">
                  <c:v>40000</c:v>
                </c:pt>
                <c:pt idx="1">
                  <c:v>39000</c:v>
                </c:pt>
                <c:pt idx="2">
                  <c:v>38000</c:v>
                </c:pt>
                <c:pt idx="3">
                  <c:v>37000</c:v>
                </c:pt>
                <c:pt idx="4">
                  <c:v>36000</c:v>
                </c:pt>
                <c:pt idx="5">
                  <c:v>35000</c:v>
                </c:pt>
                <c:pt idx="6">
                  <c:v>34000</c:v>
                </c:pt>
                <c:pt idx="7">
                  <c:v>33000</c:v>
                </c:pt>
                <c:pt idx="8">
                  <c:v>32000</c:v>
                </c:pt>
                <c:pt idx="9">
                  <c:v>31000</c:v>
                </c:pt>
                <c:pt idx="10">
                  <c:v>30000</c:v>
                </c:pt>
                <c:pt idx="11">
                  <c:v>29000</c:v>
                </c:pt>
                <c:pt idx="12">
                  <c:v>28000</c:v>
                </c:pt>
                <c:pt idx="13">
                  <c:v>27000</c:v>
                </c:pt>
                <c:pt idx="14">
                  <c:v>26000</c:v>
                </c:pt>
                <c:pt idx="15">
                  <c:v>25000</c:v>
                </c:pt>
                <c:pt idx="16">
                  <c:v>24000</c:v>
                </c:pt>
                <c:pt idx="17">
                  <c:v>23000</c:v>
                </c:pt>
                <c:pt idx="18">
                  <c:v>22000</c:v>
                </c:pt>
                <c:pt idx="19">
                  <c:v>21000</c:v>
                </c:pt>
                <c:pt idx="20">
                  <c:v>20000</c:v>
                </c:pt>
                <c:pt idx="21">
                  <c:v>19000</c:v>
                </c:pt>
                <c:pt idx="22">
                  <c:v>18000</c:v>
                </c:pt>
                <c:pt idx="23">
                  <c:v>17000</c:v>
                </c:pt>
                <c:pt idx="24">
                  <c:v>16000</c:v>
                </c:pt>
                <c:pt idx="25">
                  <c:v>15000</c:v>
                </c:pt>
                <c:pt idx="26">
                  <c:v>14000</c:v>
                </c:pt>
                <c:pt idx="27">
                  <c:v>13000</c:v>
                </c:pt>
                <c:pt idx="28">
                  <c:v>12000</c:v>
                </c:pt>
                <c:pt idx="29">
                  <c:v>11000</c:v>
                </c:pt>
                <c:pt idx="30">
                  <c:v>10000</c:v>
                </c:pt>
                <c:pt idx="31">
                  <c:v>9000</c:v>
                </c:pt>
                <c:pt idx="32">
                  <c:v>8000</c:v>
                </c:pt>
                <c:pt idx="33">
                  <c:v>7000</c:v>
                </c:pt>
                <c:pt idx="34">
                  <c:v>6000</c:v>
                </c:pt>
                <c:pt idx="35">
                  <c:v>5000</c:v>
                </c:pt>
                <c:pt idx="36">
                  <c:v>4000</c:v>
                </c:pt>
                <c:pt idx="37">
                  <c:v>3000</c:v>
                </c:pt>
                <c:pt idx="38">
                  <c:v>2000</c:v>
                </c:pt>
                <c:pt idx="39">
                  <c:v>1000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34-490A-8685-06569BFCA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971584"/>
        <c:axId val="392973984"/>
      </c:scatterChart>
      <c:valAx>
        <c:axId val="392971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973984"/>
        <c:crosses val="autoZero"/>
        <c:crossBetween val="midCat"/>
      </c:valAx>
      <c:valAx>
        <c:axId val="39297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[ft]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971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T-38A Time to Descend; W = 10,000 lb; Idle</a:t>
            </a:r>
            <a:r>
              <a:rPr lang="en-US" baseline="0"/>
              <a:t> </a:t>
            </a:r>
            <a:r>
              <a:rPr lang="en-US"/>
              <a:t>Pwr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'12 - Descent'!$B$8:$B$48</c:f>
              <c:numCache>
                <c:formatCode>#,##0</c:formatCode>
                <c:ptCount val="41"/>
                <c:pt idx="0">
                  <c:v>40000</c:v>
                </c:pt>
                <c:pt idx="1">
                  <c:v>39000</c:v>
                </c:pt>
                <c:pt idx="2">
                  <c:v>38000</c:v>
                </c:pt>
                <c:pt idx="3">
                  <c:v>37000</c:v>
                </c:pt>
                <c:pt idx="4">
                  <c:v>36000</c:v>
                </c:pt>
                <c:pt idx="5">
                  <c:v>35000</c:v>
                </c:pt>
                <c:pt idx="6">
                  <c:v>34000</c:v>
                </c:pt>
                <c:pt idx="7">
                  <c:v>33000</c:v>
                </c:pt>
                <c:pt idx="8">
                  <c:v>32000</c:v>
                </c:pt>
                <c:pt idx="9">
                  <c:v>31000</c:v>
                </c:pt>
                <c:pt idx="10">
                  <c:v>30000</c:v>
                </c:pt>
                <c:pt idx="11">
                  <c:v>29000</c:v>
                </c:pt>
                <c:pt idx="12">
                  <c:v>28000</c:v>
                </c:pt>
                <c:pt idx="13">
                  <c:v>27000</c:v>
                </c:pt>
                <c:pt idx="14">
                  <c:v>26000</c:v>
                </c:pt>
                <c:pt idx="15">
                  <c:v>25000</c:v>
                </c:pt>
                <c:pt idx="16">
                  <c:v>24000</c:v>
                </c:pt>
                <c:pt idx="17">
                  <c:v>23000</c:v>
                </c:pt>
                <c:pt idx="18">
                  <c:v>22000</c:v>
                </c:pt>
                <c:pt idx="19">
                  <c:v>21000</c:v>
                </c:pt>
                <c:pt idx="20">
                  <c:v>20000</c:v>
                </c:pt>
                <c:pt idx="21">
                  <c:v>19000</c:v>
                </c:pt>
                <c:pt idx="22">
                  <c:v>18000</c:v>
                </c:pt>
                <c:pt idx="23">
                  <c:v>17000</c:v>
                </c:pt>
                <c:pt idx="24">
                  <c:v>16000</c:v>
                </c:pt>
                <c:pt idx="25">
                  <c:v>15000</c:v>
                </c:pt>
                <c:pt idx="26">
                  <c:v>14000</c:v>
                </c:pt>
                <c:pt idx="27">
                  <c:v>13000</c:v>
                </c:pt>
                <c:pt idx="28">
                  <c:v>12000</c:v>
                </c:pt>
                <c:pt idx="29">
                  <c:v>11000</c:v>
                </c:pt>
                <c:pt idx="30">
                  <c:v>10000</c:v>
                </c:pt>
                <c:pt idx="31">
                  <c:v>9000</c:v>
                </c:pt>
                <c:pt idx="32">
                  <c:v>8000</c:v>
                </c:pt>
                <c:pt idx="33">
                  <c:v>7000</c:v>
                </c:pt>
                <c:pt idx="34">
                  <c:v>6000</c:v>
                </c:pt>
                <c:pt idx="35">
                  <c:v>5000</c:v>
                </c:pt>
                <c:pt idx="36">
                  <c:v>4000</c:v>
                </c:pt>
                <c:pt idx="37">
                  <c:v>3000</c:v>
                </c:pt>
                <c:pt idx="38">
                  <c:v>2000</c:v>
                </c:pt>
                <c:pt idx="39">
                  <c:v>1000</c:v>
                </c:pt>
                <c:pt idx="40">
                  <c:v>0</c:v>
                </c:pt>
              </c:numCache>
            </c:numRef>
          </c:xVal>
          <c:yVal>
            <c:numRef>
              <c:f>'12 - Descent'!$S$8:$S$48</c:f>
              <c:numCache>
                <c:formatCode>0.00</c:formatCode>
                <c:ptCount val="41"/>
                <c:pt idx="0">
                  <c:v>0</c:v>
                </c:pt>
                <c:pt idx="1">
                  <c:v>14.320150696130069</c:v>
                </c:pt>
                <c:pt idx="2">
                  <c:v>31.521931287673013</c:v>
                </c:pt>
                <c:pt idx="3">
                  <c:v>48.969809886870124</c:v>
                </c:pt>
                <c:pt idx="4">
                  <c:v>66.632677500666702</c:v>
                </c:pt>
                <c:pt idx="5">
                  <c:v>84.066439518568089</c:v>
                </c:pt>
                <c:pt idx="6">
                  <c:v>101.06778000792653</c:v>
                </c:pt>
                <c:pt idx="7">
                  <c:v>118.06590496810291</c:v>
                </c:pt>
                <c:pt idx="8">
                  <c:v>135.3114242311722</c:v>
                </c:pt>
                <c:pt idx="9">
                  <c:v>152.81493057737993</c:v>
                </c:pt>
                <c:pt idx="10">
                  <c:v>170.58778816169874</c:v>
                </c:pt>
                <c:pt idx="11">
                  <c:v>188.37395497670136</c:v>
                </c:pt>
                <c:pt idx="12">
                  <c:v>206.16097426205971</c:v>
                </c:pt>
                <c:pt idx="13">
                  <c:v>224.20412402784484</c:v>
                </c:pt>
                <c:pt idx="14">
                  <c:v>242.51453054761294</c:v>
                </c:pt>
                <c:pt idx="15">
                  <c:v>261.10409443369286</c:v>
                </c:pt>
                <c:pt idx="16">
                  <c:v>279.74509537682428</c:v>
                </c:pt>
                <c:pt idx="17">
                  <c:v>298.42386697087289</c:v>
                </c:pt>
                <c:pt idx="18">
                  <c:v>317.36843954625209</c:v>
                </c:pt>
                <c:pt idx="19">
                  <c:v>336.59041045074935</c:v>
                </c:pt>
                <c:pt idx="20">
                  <c:v>356.1021517459518</c:v>
                </c:pt>
                <c:pt idx="21">
                  <c:v>375.6955551819006</c:v>
                </c:pt>
                <c:pt idx="22">
                  <c:v>395.35546346333172</c:v>
                </c:pt>
                <c:pt idx="23">
                  <c:v>415.29017585524969</c:v>
                </c:pt>
                <c:pt idx="24">
                  <c:v>435.51160899799464</c:v>
                </c:pt>
                <c:pt idx="25">
                  <c:v>456.03244287498831</c:v>
                </c:pt>
                <c:pt idx="26">
                  <c:v>476.67560759793082</c:v>
                </c:pt>
                <c:pt idx="27">
                  <c:v>497.42628299257893</c:v>
                </c:pt>
                <c:pt idx="28">
                  <c:v>518.46323579566524</c:v>
                </c:pt>
                <c:pt idx="29">
                  <c:v>539.79878918613144</c:v>
                </c:pt>
                <c:pt idx="30">
                  <c:v>561.44602857155098</c:v>
                </c:pt>
                <c:pt idx="31">
                  <c:v>583.23932116877313</c:v>
                </c:pt>
                <c:pt idx="32">
                  <c:v>605.16223629482317</c:v>
                </c:pt>
                <c:pt idx="33">
                  <c:v>627.38104665240303</c:v>
                </c:pt>
                <c:pt idx="34">
                  <c:v>649.90828464337255</c:v>
                </c:pt>
                <c:pt idx="35">
                  <c:v>672.75722800915446</c:v>
                </c:pt>
                <c:pt idx="36">
                  <c:v>695.78543342376179</c:v>
                </c:pt>
                <c:pt idx="37">
                  <c:v>718.97369558621915</c:v>
                </c:pt>
                <c:pt idx="38">
                  <c:v>742.46275725385658</c:v>
                </c:pt>
                <c:pt idx="39">
                  <c:v>766.26739222327842</c:v>
                </c:pt>
                <c:pt idx="40">
                  <c:v>790.40477149749881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0A-464C-8CD7-81B60403C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837552"/>
        <c:axId val="521836896"/>
      </c:scatterChart>
      <c:valAx>
        <c:axId val="521837552"/>
        <c:scaling>
          <c:orientation val="minMax"/>
          <c:max val="40000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6896"/>
        <c:crosses val="autoZero"/>
        <c:crossBetween val="midCat"/>
      </c:valAx>
      <c:valAx>
        <c:axId val="521836896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to Descend (sec)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7552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1200" b="1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T-38A Fuel to Descend; W = 10,000 lb;</a:t>
            </a:r>
            <a:r>
              <a:rPr lang="en-US" baseline="0"/>
              <a:t> Idle Pwr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'12 - Descent'!$B$8:$B$48</c:f>
              <c:numCache>
                <c:formatCode>#,##0</c:formatCode>
                <c:ptCount val="41"/>
                <c:pt idx="0">
                  <c:v>40000</c:v>
                </c:pt>
                <c:pt idx="1">
                  <c:v>39000</c:v>
                </c:pt>
                <c:pt idx="2">
                  <c:v>38000</c:v>
                </c:pt>
                <c:pt idx="3">
                  <c:v>37000</c:v>
                </c:pt>
                <c:pt idx="4">
                  <c:v>36000</c:v>
                </c:pt>
                <c:pt idx="5">
                  <c:v>35000</c:v>
                </c:pt>
                <c:pt idx="6">
                  <c:v>34000</c:v>
                </c:pt>
                <c:pt idx="7">
                  <c:v>33000</c:v>
                </c:pt>
                <c:pt idx="8">
                  <c:v>32000</c:v>
                </c:pt>
                <c:pt idx="9">
                  <c:v>31000</c:v>
                </c:pt>
                <c:pt idx="10">
                  <c:v>30000</c:v>
                </c:pt>
                <c:pt idx="11">
                  <c:v>29000</c:v>
                </c:pt>
                <c:pt idx="12">
                  <c:v>28000</c:v>
                </c:pt>
                <c:pt idx="13">
                  <c:v>27000</c:v>
                </c:pt>
                <c:pt idx="14">
                  <c:v>26000</c:v>
                </c:pt>
                <c:pt idx="15">
                  <c:v>25000</c:v>
                </c:pt>
                <c:pt idx="16">
                  <c:v>24000</c:v>
                </c:pt>
                <c:pt idx="17">
                  <c:v>23000</c:v>
                </c:pt>
                <c:pt idx="18">
                  <c:v>22000</c:v>
                </c:pt>
                <c:pt idx="19">
                  <c:v>21000</c:v>
                </c:pt>
                <c:pt idx="20">
                  <c:v>20000</c:v>
                </c:pt>
                <c:pt idx="21">
                  <c:v>19000</c:v>
                </c:pt>
                <c:pt idx="22">
                  <c:v>18000</c:v>
                </c:pt>
                <c:pt idx="23">
                  <c:v>17000</c:v>
                </c:pt>
                <c:pt idx="24">
                  <c:v>16000</c:v>
                </c:pt>
                <c:pt idx="25">
                  <c:v>15000</c:v>
                </c:pt>
                <c:pt idx="26">
                  <c:v>14000</c:v>
                </c:pt>
                <c:pt idx="27">
                  <c:v>13000</c:v>
                </c:pt>
                <c:pt idx="28">
                  <c:v>12000</c:v>
                </c:pt>
                <c:pt idx="29">
                  <c:v>11000</c:v>
                </c:pt>
                <c:pt idx="30">
                  <c:v>10000</c:v>
                </c:pt>
                <c:pt idx="31">
                  <c:v>9000</c:v>
                </c:pt>
                <c:pt idx="32">
                  <c:v>8000</c:v>
                </c:pt>
                <c:pt idx="33">
                  <c:v>7000</c:v>
                </c:pt>
                <c:pt idx="34">
                  <c:v>6000</c:v>
                </c:pt>
                <c:pt idx="35">
                  <c:v>5000</c:v>
                </c:pt>
                <c:pt idx="36">
                  <c:v>4000</c:v>
                </c:pt>
                <c:pt idx="37">
                  <c:v>3000</c:v>
                </c:pt>
                <c:pt idx="38">
                  <c:v>2000</c:v>
                </c:pt>
                <c:pt idx="39">
                  <c:v>1000</c:v>
                </c:pt>
                <c:pt idx="40">
                  <c:v>0</c:v>
                </c:pt>
              </c:numCache>
            </c:numRef>
          </c:xVal>
          <c:yVal>
            <c:numRef>
              <c:f>'12 - Descent'!$V$8:$V$48</c:f>
              <c:numCache>
                <c:formatCode>0.0</c:formatCode>
                <c:ptCount val="41"/>
                <c:pt idx="0">
                  <c:v>0</c:v>
                </c:pt>
                <c:pt idx="1">
                  <c:v>1.7184180835356082</c:v>
                </c:pt>
                <c:pt idx="2">
                  <c:v>3.7826317545207608</c:v>
                </c:pt>
                <c:pt idx="3">
                  <c:v>5.8763771864244143</c:v>
                </c:pt>
                <c:pt idx="4">
                  <c:v>7.9959213000800027</c:v>
                </c:pt>
                <c:pt idx="5">
                  <c:v>10.087972742228169</c:v>
                </c:pt>
                <c:pt idx="6">
                  <c:v>12.128133600951182</c:v>
                </c:pt>
                <c:pt idx="7">
                  <c:v>14.167908596172348</c:v>
                </c:pt>
                <c:pt idx="8">
                  <c:v>16.237370907740662</c:v>
                </c:pt>
                <c:pt idx="9">
                  <c:v>18.33779166928559</c:v>
                </c:pt>
                <c:pt idx="10">
                  <c:v>20.470534579403846</c:v>
                </c:pt>
                <c:pt idx="11">
                  <c:v>22.604874597204159</c:v>
                </c:pt>
                <c:pt idx="12">
                  <c:v>24.739316911447162</c:v>
                </c:pt>
                <c:pt idx="13">
                  <c:v>26.904494883341378</c:v>
                </c:pt>
                <c:pt idx="14">
                  <c:v>29.101743665713549</c:v>
                </c:pt>
                <c:pt idx="15">
                  <c:v>31.332491332043141</c:v>
                </c:pt>
                <c:pt idx="16">
                  <c:v>33.569411445218911</c:v>
                </c:pt>
                <c:pt idx="17">
                  <c:v>35.810864036504746</c:v>
                </c:pt>
                <c:pt idx="18">
                  <c:v>38.084212745550246</c:v>
                </c:pt>
                <c:pt idx="19">
                  <c:v>40.390849254089915</c:v>
                </c:pt>
                <c:pt idx="20">
                  <c:v>42.732258209514214</c:v>
                </c:pt>
                <c:pt idx="21">
                  <c:v>45.083466621828066</c:v>
                </c:pt>
                <c:pt idx="22">
                  <c:v>47.442655615599804</c:v>
                </c:pt>
                <c:pt idx="23">
                  <c:v>49.834821102629959</c:v>
                </c:pt>
                <c:pt idx="24">
                  <c:v>52.261393079759351</c:v>
                </c:pt>
                <c:pt idx="25">
                  <c:v>54.723893144998591</c:v>
                </c:pt>
                <c:pt idx="26">
                  <c:v>57.201072911751695</c:v>
                </c:pt>
                <c:pt idx="27">
                  <c:v>59.691153959109471</c:v>
                </c:pt>
                <c:pt idx="28">
                  <c:v>62.215588295479819</c:v>
                </c:pt>
                <c:pt idx="29">
                  <c:v>64.775854702335764</c:v>
                </c:pt>
                <c:pt idx="30">
                  <c:v>67.373523428586111</c:v>
                </c:pt>
                <c:pt idx="31">
                  <c:v>69.988718540252762</c:v>
                </c:pt>
                <c:pt idx="32">
                  <c:v>72.619468355378771</c:v>
                </c:pt>
                <c:pt idx="33">
                  <c:v>75.285725598288352</c:v>
                </c:pt>
                <c:pt idx="34">
                  <c:v>77.988994157204701</c:v>
                </c:pt>
                <c:pt idx="35">
                  <c:v>80.730867361098532</c:v>
                </c:pt>
                <c:pt idx="36">
                  <c:v>83.494252010851412</c:v>
                </c:pt>
                <c:pt idx="37">
                  <c:v>86.276843470346293</c:v>
                </c:pt>
                <c:pt idx="38">
                  <c:v>89.095530870462795</c:v>
                </c:pt>
                <c:pt idx="39">
                  <c:v>91.95208706679341</c:v>
                </c:pt>
                <c:pt idx="40">
                  <c:v>94.848572579699862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4A-4C97-A9E5-22C5B1E8C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837552"/>
        <c:axId val="521836896"/>
      </c:scatterChart>
      <c:valAx>
        <c:axId val="521837552"/>
        <c:scaling>
          <c:orientation val="minMax"/>
          <c:max val="40000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6896"/>
        <c:crosses val="autoZero"/>
        <c:crossBetween val="midCat"/>
      </c:valAx>
      <c:valAx>
        <c:axId val="521836896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Fuel to Descend (lb)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7552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1200" b="1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T-38A Distance to Descend; W = 10,000 lb; Idle Pwr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'12 - Descent'!$B$8:$B$48</c:f>
              <c:numCache>
                <c:formatCode>#,##0</c:formatCode>
                <c:ptCount val="41"/>
                <c:pt idx="0">
                  <c:v>40000</c:v>
                </c:pt>
                <c:pt idx="1">
                  <c:v>39000</c:v>
                </c:pt>
                <c:pt idx="2">
                  <c:v>38000</c:v>
                </c:pt>
                <c:pt idx="3">
                  <c:v>37000</c:v>
                </c:pt>
                <c:pt idx="4">
                  <c:v>36000</c:v>
                </c:pt>
                <c:pt idx="5">
                  <c:v>35000</c:v>
                </c:pt>
                <c:pt idx="6">
                  <c:v>34000</c:v>
                </c:pt>
                <c:pt idx="7">
                  <c:v>33000</c:v>
                </c:pt>
                <c:pt idx="8">
                  <c:v>32000</c:v>
                </c:pt>
                <c:pt idx="9">
                  <c:v>31000</c:v>
                </c:pt>
                <c:pt idx="10">
                  <c:v>30000</c:v>
                </c:pt>
                <c:pt idx="11">
                  <c:v>29000</c:v>
                </c:pt>
                <c:pt idx="12">
                  <c:v>28000</c:v>
                </c:pt>
                <c:pt idx="13">
                  <c:v>27000</c:v>
                </c:pt>
                <c:pt idx="14">
                  <c:v>26000</c:v>
                </c:pt>
                <c:pt idx="15">
                  <c:v>25000</c:v>
                </c:pt>
                <c:pt idx="16">
                  <c:v>24000</c:v>
                </c:pt>
                <c:pt idx="17">
                  <c:v>23000</c:v>
                </c:pt>
                <c:pt idx="18">
                  <c:v>22000</c:v>
                </c:pt>
                <c:pt idx="19">
                  <c:v>21000</c:v>
                </c:pt>
                <c:pt idx="20">
                  <c:v>20000</c:v>
                </c:pt>
                <c:pt idx="21">
                  <c:v>19000</c:v>
                </c:pt>
                <c:pt idx="22">
                  <c:v>18000</c:v>
                </c:pt>
                <c:pt idx="23">
                  <c:v>17000</c:v>
                </c:pt>
                <c:pt idx="24">
                  <c:v>16000</c:v>
                </c:pt>
                <c:pt idx="25">
                  <c:v>15000</c:v>
                </c:pt>
                <c:pt idx="26">
                  <c:v>14000</c:v>
                </c:pt>
                <c:pt idx="27">
                  <c:v>13000</c:v>
                </c:pt>
                <c:pt idx="28">
                  <c:v>12000</c:v>
                </c:pt>
                <c:pt idx="29">
                  <c:v>11000</c:v>
                </c:pt>
                <c:pt idx="30">
                  <c:v>10000</c:v>
                </c:pt>
                <c:pt idx="31">
                  <c:v>9000</c:v>
                </c:pt>
                <c:pt idx="32">
                  <c:v>8000</c:v>
                </c:pt>
                <c:pt idx="33">
                  <c:v>7000</c:v>
                </c:pt>
                <c:pt idx="34">
                  <c:v>6000</c:v>
                </c:pt>
                <c:pt idx="35">
                  <c:v>5000</c:v>
                </c:pt>
                <c:pt idx="36">
                  <c:v>4000</c:v>
                </c:pt>
                <c:pt idx="37">
                  <c:v>3000</c:v>
                </c:pt>
                <c:pt idx="38">
                  <c:v>2000</c:v>
                </c:pt>
                <c:pt idx="39">
                  <c:v>1000</c:v>
                </c:pt>
                <c:pt idx="40">
                  <c:v>0</c:v>
                </c:pt>
              </c:numCache>
            </c:numRef>
          </c:xVal>
          <c:yVal>
            <c:numRef>
              <c:f>'12 - Descent'!$Z$8:$Z$48</c:f>
              <c:numCache>
                <c:formatCode>0.00</c:formatCode>
                <c:ptCount val="41"/>
                <c:pt idx="0">
                  <c:v>0</c:v>
                </c:pt>
                <c:pt idx="1">
                  <c:v>1.7842834096259104</c:v>
                </c:pt>
                <c:pt idx="2">
                  <c:v>3.8869728355549369</c:v>
                </c:pt>
                <c:pt idx="3">
                  <c:v>5.9756499210574656</c:v>
                </c:pt>
                <c:pt idx="4">
                  <c:v>8.045797825000319</c:v>
                </c:pt>
                <c:pt idx="5">
                  <c:v>10.049588848072629</c:v>
                </c:pt>
                <c:pt idx="6">
                  <c:v>11.971123008930867</c:v>
                </c:pt>
                <c:pt idx="7">
                  <c:v>13.861998076761408</c:v>
                </c:pt>
                <c:pt idx="8">
                  <c:v>15.749472419779377</c:v>
                </c:pt>
                <c:pt idx="9">
                  <c:v>17.633406910582877</c:v>
                </c:pt>
                <c:pt idx="10">
                  <c:v>19.513671992026016</c:v>
                </c:pt>
                <c:pt idx="11">
                  <c:v>21.364545389616801</c:v>
                </c:pt>
                <c:pt idx="12">
                  <c:v>23.186819482458173</c:v>
                </c:pt>
                <c:pt idx="13">
                  <c:v>25.006090210251159</c:v>
                </c:pt>
                <c:pt idx="14">
                  <c:v>26.822278727460908</c:v>
                </c:pt>
                <c:pt idx="15">
                  <c:v>28.6353141117334</c:v>
                </c:pt>
                <c:pt idx="16">
                  <c:v>30.424217496082221</c:v>
                </c:pt>
                <c:pt idx="17">
                  <c:v>32.18952072497315</c:v>
                </c:pt>
                <c:pt idx="18">
                  <c:v>33.952197255858849</c:v>
                </c:pt>
                <c:pt idx="19">
                  <c:v>35.712212034563784</c:v>
                </c:pt>
                <c:pt idx="20">
                  <c:v>37.469536682099886</c:v>
                </c:pt>
                <c:pt idx="21">
                  <c:v>39.206602425539351</c:v>
                </c:pt>
                <c:pt idx="22">
                  <c:v>40.923771760320186</c:v>
                </c:pt>
                <c:pt idx="23">
                  <c:v>42.638665351823207</c:v>
                </c:pt>
                <c:pt idx="24">
                  <c:v>44.351279656246184</c:v>
                </c:pt>
                <c:pt idx="25">
                  <c:v>46.061616774154636</c:v>
                </c:pt>
                <c:pt idx="26">
                  <c:v>47.755906174863092</c:v>
                </c:pt>
                <c:pt idx="27">
                  <c:v>49.434350913631114</c:v>
                </c:pt>
                <c:pt idx="28">
                  <c:v>51.110813482086101</c:v>
                </c:pt>
                <c:pt idx="29">
                  <c:v>52.785312954348107</c:v>
                </c:pt>
                <c:pt idx="30">
                  <c:v>54.45787326782208</c:v>
                </c:pt>
                <c:pt idx="31">
                  <c:v>56.116687483801286</c:v>
                </c:pt>
                <c:pt idx="32">
                  <c:v>57.761879352390174</c:v>
                </c:pt>
                <c:pt idx="33">
                  <c:v>59.405349893286129</c:v>
                </c:pt>
                <c:pt idx="34">
                  <c:v>61.047133838599805</c:v>
                </c:pt>
                <c:pt idx="35">
                  <c:v>62.687270098057546</c:v>
                </c:pt>
                <c:pt idx="36">
                  <c:v>64.316388865328946</c:v>
                </c:pt>
                <c:pt idx="37">
                  <c:v>65.934302208746516</c:v>
                </c:pt>
                <c:pt idx="38">
                  <c:v>67.550256936577185</c:v>
                </c:pt>
                <c:pt idx="39">
                  <c:v>69.164446365576353</c:v>
                </c:pt>
                <c:pt idx="40">
                  <c:v>70.777173846606701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51-462F-A3F0-6EE891CFD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837552"/>
        <c:axId val="521836896"/>
      </c:scatterChart>
      <c:valAx>
        <c:axId val="521837552"/>
        <c:scaling>
          <c:orientation val="minMax"/>
          <c:max val="40000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6896"/>
        <c:crosses val="autoZero"/>
        <c:crossBetween val="midCat"/>
      </c:valAx>
      <c:valAx>
        <c:axId val="521836896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to Descend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7552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1200" b="1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T-38A Rate of Climb at Military</a:t>
            </a:r>
            <a:r>
              <a:rPr lang="en-US" baseline="0"/>
              <a:t> Power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'13 - Ceilings - Mil'!$N$10:$N$60</c:f>
              <c:numCache>
                <c:formatCode>#,##0.0</c:formatCode>
                <c:ptCount val="51"/>
                <c:pt idx="0">
                  <c:v>9510.3934605390132</c:v>
                </c:pt>
                <c:pt idx="1">
                  <c:v>9512.3748756887253</c:v>
                </c:pt>
                <c:pt idx="2">
                  <c:v>9509.0162439204378</c:v>
                </c:pt>
                <c:pt idx="3">
                  <c:v>9500.4518419913475</c:v>
                </c:pt>
                <c:pt idx="4">
                  <c:v>9486.8155599454403</c:v>
                </c:pt>
                <c:pt idx="5">
                  <c:v>9468.2409212814837</c:v>
                </c:pt>
                <c:pt idx="6">
                  <c:v>9431.4890157394202</c:v>
                </c:pt>
                <c:pt idx="7">
                  <c:v>9389.5516808059801</c:v>
                </c:pt>
                <c:pt idx="8">
                  <c:v>9342.553084514082</c:v>
                </c:pt>
                <c:pt idx="9">
                  <c:v>9290.616912096606</c:v>
                </c:pt>
                <c:pt idx="10">
                  <c:v>9233.8663835009793</c:v>
                </c:pt>
                <c:pt idx="11">
                  <c:v>9067.3405214587347</c:v>
                </c:pt>
                <c:pt idx="12">
                  <c:v>8871.9114207391958</c:v>
                </c:pt>
                <c:pt idx="13">
                  <c:v>8655.1439763117487</c:v>
                </c:pt>
                <c:pt idx="14">
                  <c:v>8433.7689052672195</c:v>
                </c:pt>
                <c:pt idx="15">
                  <c:v>8207.8702838015615</c:v>
                </c:pt>
                <c:pt idx="16">
                  <c:v>8007.9372648520748</c:v>
                </c:pt>
                <c:pt idx="17">
                  <c:v>7803.502741971768</c:v>
                </c:pt>
                <c:pt idx="18">
                  <c:v>7590.2860124320705</c:v>
                </c:pt>
                <c:pt idx="19">
                  <c:v>7364.8365056615994</c:v>
                </c:pt>
                <c:pt idx="20">
                  <c:v>7135.798115780327</c:v>
                </c:pt>
                <c:pt idx="21">
                  <c:v>6933.8144345953233</c:v>
                </c:pt>
                <c:pt idx="22">
                  <c:v>6728.2404747269038</c:v>
                </c:pt>
                <c:pt idx="23">
                  <c:v>6519.130161819583</c:v>
                </c:pt>
                <c:pt idx="24">
                  <c:v>6306.536890694224</c:v>
                </c:pt>
                <c:pt idx="25">
                  <c:v>6090.513523960014</c:v>
                </c:pt>
                <c:pt idx="26">
                  <c:v>5901.6209465801048</c:v>
                </c:pt>
                <c:pt idx="27">
                  <c:v>5709.3150970042634</c:v>
                </c:pt>
                <c:pt idx="28">
                  <c:v>5513.6455632015377</c:v>
                </c:pt>
                <c:pt idx="29">
                  <c:v>5314.661346886568</c:v>
                </c:pt>
                <c:pt idx="30">
                  <c:v>5112.4108598957118</c:v>
                </c:pt>
                <c:pt idx="31">
                  <c:v>4937.1307439646698</c:v>
                </c:pt>
                <c:pt idx="32">
                  <c:v>4738.0487845481312</c:v>
                </c:pt>
                <c:pt idx="33">
                  <c:v>4501.9672718948777</c:v>
                </c:pt>
                <c:pt idx="34">
                  <c:v>4261.6601876069435</c:v>
                </c:pt>
                <c:pt idx="35">
                  <c:v>4020.0865471899074</c:v>
                </c:pt>
                <c:pt idx="36">
                  <c:v>3758.2038905295035</c:v>
                </c:pt>
                <c:pt idx="37">
                  <c:v>3511.8191311279229</c:v>
                </c:pt>
                <c:pt idx="38">
                  <c:v>3263.4751135239712</c:v>
                </c:pt>
                <c:pt idx="39">
                  <c:v>3011.6669705718195</c:v>
                </c:pt>
                <c:pt idx="40">
                  <c:v>2756.5572630239922</c:v>
                </c:pt>
                <c:pt idx="41">
                  <c:v>2439.6160240085933</c:v>
                </c:pt>
                <c:pt idx="42">
                  <c:v>2078.6918274115096</c:v>
                </c:pt>
                <c:pt idx="43">
                  <c:v>1716.9813818732339</c:v>
                </c:pt>
                <c:pt idx="44">
                  <c:v>1354.5215836393379</c:v>
                </c:pt>
                <c:pt idx="45">
                  <c:v>908.21073788725732</c:v>
                </c:pt>
                <c:pt idx="46">
                  <c:v>547.26172970887615</c:v>
                </c:pt>
                <c:pt idx="47">
                  <c:v>179.69042392747144</c:v>
                </c:pt>
                <c:pt idx="48">
                  <c:v>-292.77271671959699</c:v>
                </c:pt>
                <c:pt idx="49">
                  <c:v>-756.32744315718344</c:v>
                </c:pt>
                <c:pt idx="50">
                  <c:v>-1211.3917998762088</c:v>
                </c:pt>
              </c:numCache>
            </c:numRef>
          </c:xVal>
          <c:yVal>
            <c:numRef>
              <c:f>'13 - Ceilings - Mil'!$B$10:$B$60</c:f>
              <c:numCache>
                <c:formatCode>#,##0</c:formatCode>
                <c:ptCount val="5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60-4DB1-999A-CFAEA432F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286256"/>
        <c:axId val="755284288"/>
      </c:scatterChart>
      <c:valAx>
        <c:axId val="75528625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Rate of Climb (ft/min)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284288"/>
        <c:crosses val="autoZero"/>
        <c:crossBetween val="midCat"/>
      </c:valAx>
      <c:valAx>
        <c:axId val="755284288"/>
        <c:scaling>
          <c:orientation val="minMax"/>
          <c:max val="50000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286256"/>
        <c:crosses val="autoZero"/>
        <c:crossBetween val="midCat"/>
        <c:majorUnit val="10000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1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T-38A Rate of Climb at Military Power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Absolute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'13 - Ceilings - Mil'!$N$10:$N$60</c:f>
              <c:numCache>
                <c:formatCode>#,##0.0</c:formatCode>
                <c:ptCount val="51"/>
                <c:pt idx="0">
                  <c:v>9510.3934605390132</c:v>
                </c:pt>
                <c:pt idx="1">
                  <c:v>9512.3748756887253</c:v>
                </c:pt>
                <c:pt idx="2">
                  <c:v>9509.0162439204378</c:v>
                </c:pt>
                <c:pt idx="3">
                  <c:v>9500.4518419913475</c:v>
                </c:pt>
                <c:pt idx="4">
                  <c:v>9486.8155599454403</c:v>
                </c:pt>
                <c:pt idx="5">
                  <c:v>9468.2409212814837</c:v>
                </c:pt>
                <c:pt idx="6">
                  <c:v>9431.4890157394202</c:v>
                </c:pt>
                <c:pt idx="7">
                  <c:v>9389.5516808059801</c:v>
                </c:pt>
                <c:pt idx="8">
                  <c:v>9342.553084514082</c:v>
                </c:pt>
                <c:pt idx="9">
                  <c:v>9290.616912096606</c:v>
                </c:pt>
                <c:pt idx="10">
                  <c:v>9233.8663835009793</c:v>
                </c:pt>
                <c:pt idx="11">
                  <c:v>9067.3405214587347</c:v>
                </c:pt>
                <c:pt idx="12">
                  <c:v>8871.9114207391958</c:v>
                </c:pt>
                <c:pt idx="13">
                  <c:v>8655.1439763117487</c:v>
                </c:pt>
                <c:pt idx="14">
                  <c:v>8433.7689052672195</c:v>
                </c:pt>
                <c:pt idx="15">
                  <c:v>8207.8702838015615</c:v>
                </c:pt>
                <c:pt idx="16">
                  <c:v>8007.9372648520748</c:v>
                </c:pt>
                <c:pt idx="17">
                  <c:v>7803.502741971768</c:v>
                </c:pt>
                <c:pt idx="18">
                  <c:v>7590.2860124320705</c:v>
                </c:pt>
                <c:pt idx="19">
                  <c:v>7364.8365056615994</c:v>
                </c:pt>
                <c:pt idx="20">
                  <c:v>7135.798115780327</c:v>
                </c:pt>
                <c:pt idx="21">
                  <c:v>6933.8144345953233</c:v>
                </c:pt>
                <c:pt idx="22">
                  <c:v>6728.2404747269038</c:v>
                </c:pt>
                <c:pt idx="23">
                  <c:v>6519.130161819583</c:v>
                </c:pt>
                <c:pt idx="24">
                  <c:v>6306.536890694224</c:v>
                </c:pt>
                <c:pt idx="25">
                  <c:v>6090.513523960014</c:v>
                </c:pt>
                <c:pt idx="26">
                  <c:v>5901.6209465801048</c:v>
                </c:pt>
                <c:pt idx="27">
                  <c:v>5709.3150970042634</c:v>
                </c:pt>
                <c:pt idx="28">
                  <c:v>5513.6455632015377</c:v>
                </c:pt>
                <c:pt idx="29">
                  <c:v>5314.661346886568</c:v>
                </c:pt>
                <c:pt idx="30">
                  <c:v>5112.4108598957118</c:v>
                </c:pt>
                <c:pt idx="31">
                  <c:v>4937.1307439646698</c:v>
                </c:pt>
                <c:pt idx="32">
                  <c:v>4738.0487845481312</c:v>
                </c:pt>
                <c:pt idx="33">
                  <c:v>4501.9672718948777</c:v>
                </c:pt>
                <c:pt idx="34">
                  <c:v>4261.6601876069435</c:v>
                </c:pt>
                <c:pt idx="35">
                  <c:v>4020.0865471899074</c:v>
                </c:pt>
                <c:pt idx="36">
                  <c:v>3758.2038905295035</c:v>
                </c:pt>
                <c:pt idx="37">
                  <c:v>3511.8191311279229</c:v>
                </c:pt>
                <c:pt idx="38">
                  <c:v>3263.4751135239712</c:v>
                </c:pt>
                <c:pt idx="39">
                  <c:v>3011.6669705718195</c:v>
                </c:pt>
                <c:pt idx="40">
                  <c:v>2756.5572630239922</c:v>
                </c:pt>
                <c:pt idx="41">
                  <c:v>2439.6160240085933</c:v>
                </c:pt>
                <c:pt idx="42">
                  <c:v>2078.6918274115096</c:v>
                </c:pt>
                <c:pt idx="43">
                  <c:v>1716.9813818732339</c:v>
                </c:pt>
                <c:pt idx="44">
                  <c:v>1354.5215836393379</c:v>
                </c:pt>
                <c:pt idx="45">
                  <c:v>908.21073788725732</c:v>
                </c:pt>
                <c:pt idx="46">
                  <c:v>547.26172970887615</c:v>
                </c:pt>
                <c:pt idx="47">
                  <c:v>179.69042392747144</c:v>
                </c:pt>
                <c:pt idx="48">
                  <c:v>-292.77271671959699</c:v>
                </c:pt>
                <c:pt idx="49">
                  <c:v>-756.32744315718344</c:v>
                </c:pt>
                <c:pt idx="50">
                  <c:v>-1211.3917998762088</c:v>
                </c:pt>
              </c:numCache>
            </c:numRef>
          </c:xVal>
          <c:yVal>
            <c:numRef>
              <c:f>'13 - Ceilings - Mil'!$B$10:$B$60</c:f>
              <c:numCache>
                <c:formatCode>#,##0</c:formatCode>
                <c:ptCount val="5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0F-4767-A36D-F9F981505440}"/>
            </c:ext>
          </c:extLst>
        </c:ser>
        <c:ser>
          <c:idx val="1"/>
          <c:order val="1"/>
          <c:tx>
            <c:v>Service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'13 - Ceilings - Mil'!$O$10:$O$60</c:f>
              <c:numCache>
                <c:formatCode>#,##0.0</c:formatCode>
                <c:ptCount val="51"/>
                <c:pt idx="0">
                  <c:v>9410.3934605390132</c:v>
                </c:pt>
                <c:pt idx="1">
                  <c:v>9412.3748756887253</c:v>
                </c:pt>
                <c:pt idx="2">
                  <c:v>9409.0162439204378</c:v>
                </c:pt>
                <c:pt idx="3">
                  <c:v>9400.4518419913475</c:v>
                </c:pt>
                <c:pt idx="4">
                  <c:v>9386.8155599454403</c:v>
                </c:pt>
                <c:pt idx="5">
                  <c:v>9368.2409212814837</c:v>
                </c:pt>
                <c:pt idx="6">
                  <c:v>9331.4890157394202</c:v>
                </c:pt>
                <c:pt idx="7">
                  <c:v>9289.5516808059801</c:v>
                </c:pt>
                <c:pt idx="8">
                  <c:v>9242.553084514082</c:v>
                </c:pt>
                <c:pt idx="9">
                  <c:v>9190.616912096606</c:v>
                </c:pt>
                <c:pt idx="10">
                  <c:v>9133.8663835009793</c:v>
                </c:pt>
                <c:pt idx="11">
                  <c:v>8967.3405214587347</c:v>
                </c:pt>
                <c:pt idx="12">
                  <c:v>8771.9114207391958</c:v>
                </c:pt>
                <c:pt idx="13">
                  <c:v>8555.1439763117487</c:v>
                </c:pt>
                <c:pt idx="14">
                  <c:v>8333.7689052672195</c:v>
                </c:pt>
                <c:pt idx="15">
                  <c:v>8107.8702838015615</c:v>
                </c:pt>
                <c:pt idx="16">
                  <c:v>7907.9372648520748</c:v>
                </c:pt>
                <c:pt idx="17">
                  <c:v>7703.502741971768</c:v>
                </c:pt>
                <c:pt idx="18">
                  <c:v>7490.2860124320705</c:v>
                </c:pt>
                <c:pt idx="19">
                  <c:v>7264.8365056615994</c:v>
                </c:pt>
                <c:pt idx="20">
                  <c:v>7035.798115780327</c:v>
                </c:pt>
                <c:pt idx="21">
                  <c:v>6833.8144345953233</c:v>
                </c:pt>
                <c:pt idx="22">
                  <c:v>6628.2404747269038</c:v>
                </c:pt>
                <c:pt idx="23">
                  <c:v>6419.130161819583</c:v>
                </c:pt>
                <c:pt idx="24">
                  <c:v>6206.536890694224</c:v>
                </c:pt>
                <c:pt idx="25">
                  <c:v>5990.513523960014</c:v>
                </c:pt>
                <c:pt idx="26">
                  <c:v>5801.6209465801048</c:v>
                </c:pt>
                <c:pt idx="27">
                  <c:v>5609.3150970042634</c:v>
                </c:pt>
                <c:pt idx="28">
                  <c:v>5413.6455632015377</c:v>
                </c:pt>
                <c:pt idx="29">
                  <c:v>5214.661346886568</c:v>
                </c:pt>
                <c:pt idx="30">
                  <c:v>5012.4108598957118</c:v>
                </c:pt>
                <c:pt idx="31">
                  <c:v>4837.1307439646698</c:v>
                </c:pt>
                <c:pt idx="32">
                  <c:v>4638.0487845481312</c:v>
                </c:pt>
                <c:pt idx="33">
                  <c:v>4401.9672718948777</c:v>
                </c:pt>
                <c:pt idx="34">
                  <c:v>4161.6601876069435</c:v>
                </c:pt>
                <c:pt idx="35">
                  <c:v>3920.0865471899074</c:v>
                </c:pt>
                <c:pt idx="36">
                  <c:v>3658.2038905295035</c:v>
                </c:pt>
                <c:pt idx="37">
                  <c:v>3411.8191311279229</c:v>
                </c:pt>
                <c:pt idx="38">
                  <c:v>3163.4751135239712</c:v>
                </c:pt>
                <c:pt idx="39">
                  <c:v>2911.6669705718195</c:v>
                </c:pt>
                <c:pt idx="40">
                  <c:v>2656.5572630239922</c:v>
                </c:pt>
                <c:pt idx="41">
                  <c:v>2339.6160240085933</c:v>
                </c:pt>
                <c:pt idx="42">
                  <c:v>1978.6918274115096</c:v>
                </c:pt>
                <c:pt idx="43">
                  <c:v>1616.9813818732339</c:v>
                </c:pt>
                <c:pt idx="44">
                  <c:v>1254.5215836393379</c:v>
                </c:pt>
                <c:pt idx="45">
                  <c:v>808.21073788725732</c:v>
                </c:pt>
                <c:pt idx="46">
                  <c:v>447.26172970887615</c:v>
                </c:pt>
                <c:pt idx="47">
                  <c:v>79.690423927471443</c:v>
                </c:pt>
                <c:pt idx="48">
                  <c:v>-392.77271671959699</c:v>
                </c:pt>
                <c:pt idx="49">
                  <c:v>-856.32744315718344</c:v>
                </c:pt>
                <c:pt idx="50">
                  <c:v>-1311.3917998762088</c:v>
                </c:pt>
              </c:numCache>
            </c:numRef>
          </c:xVal>
          <c:yVal>
            <c:numRef>
              <c:f>'13 - Ceilings - Mil'!$B$10:$B$60</c:f>
              <c:numCache>
                <c:formatCode>#,##0</c:formatCode>
                <c:ptCount val="5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0F-4767-A36D-F9F981505440}"/>
            </c:ext>
          </c:extLst>
        </c:ser>
        <c:ser>
          <c:idx val="2"/>
          <c:order val="2"/>
          <c:tx>
            <c:v>Cruise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'13 - Ceilings - Mil'!$P$10:$P$60</c:f>
              <c:numCache>
                <c:formatCode>#,##0.0</c:formatCode>
                <c:ptCount val="51"/>
                <c:pt idx="0">
                  <c:v>9210.3934605390132</c:v>
                </c:pt>
                <c:pt idx="1">
                  <c:v>9212.3748756887253</c:v>
                </c:pt>
                <c:pt idx="2">
                  <c:v>9209.0162439204378</c:v>
                </c:pt>
                <c:pt idx="3">
                  <c:v>9200.4518419913475</c:v>
                </c:pt>
                <c:pt idx="4">
                  <c:v>9186.8155599454403</c:v>
                </c:pt>
                <c:pt idx="5">
                  <c:v>9168.2409212814837</c:v>
                </c:pt>
                <c:pt idx="6">
                  <c:v>9131.4890157394202</c:v>
                </c:pt>
                <c:pt idx="7">
                  <c:v>9089.5516808059801</c:v>
                </c:pt>
                <c:pt idx="8">
                  <c:v>9042.553084514082</c:v>
                </c:pt>
                <c:pt idx="9">
                  <c:v>8990.616912096606</c:v>
                </c:pt>
                <c:pt idx="10">
                  <c:v>8933.8663835009793</c:v>
                </c:pt>
                <c:pt idx="11">
                  <c:v>8767.3405214587347</c:v>
                </c:pt>
                <c:pt idx="12">
                  <c:v>8571.9114207391958</c:v>
                </c:pt>
                <c:pt idx="13">
                  <c:v>8355.1439763117487</c:v>
                </c:pt>
                <c:pt idx="14">
                  <c:v>8133.7689052672195</c:v>
                </c:pt>
                <c:pt idx="15">
                  <c:v>7907.8702838015615</c:v>
                </c:pt>
                <c:pt idx="16">
                  <c:v>7707.9372648520748</c:v>
                </c:pt>
                <c:pt idx="17">
                  <c:v>7503.502741971768</c:v>
                </c:pt>
                <c:pt idx="18">
                  <c:v>7290.2860124320705</c:v>
                </c:pt>
                <c:pt idx="19">
                  <c:v>7064.8365056615994</c:v>
                </c:pt>
                <c:pt idx="20">
                  <c:v>6835.798115780327</c:v>
                </c:pt>
                <c:pt idx="21">
                  <c:v>6633.8144345953233</c:v>
                </c:pt>
                <c:pt idx="22">
                  <c:v>6428.2404747269038</c:v>
                </c:pt>
                <c:pt idx="23">
                  <c:v>6219.130161819583</c:v>
                </c:pt>
                <c:pt idx="24">
                  <c:v>6006.536890694224</c:v>
                </c:pt>
                <c:pt idx="25">
                  <c:v>5790.513523960014</c:v>
                </c:pt>
                <c:pt idx="26">
                  <c:v>5601.6209465801048</c:v>
                </c:pt>
                <c:pt idx="27">
                  <c:v>5409.3150970042634</c:v>
                </c:pt>
                <c:pt idx="28">
                  <c:v>5213.6455632015377</c:v>
                </c:pt>
                <c:pt idx="29">
                  <c:v>5014.661346886568</c:v>
                </c:pt>
                <c:pt idx="30">
                  <c:v>4812.4108598957118</c:v>
                </c:pt>
                <c:pt idx="31">
                  <c:v>4637.1307439646698</c:v>
                </c:pt>
                <c:pt idx="32">
                  <c:v>4438.0487845481312</c:v>
                </c:pt>
                <c:pt idx="33">
                  <c:v>4201.9672718948777</c:v>
                </c:pt>
                <c:pt idx="34">
                  <c:v>3961.6601876069435</c:v>
                </c:pt>
                <c:pt idx="35">
                  <c:v>3720.0865471899074</c:v>
                </c:pt>
                <c:pt idx="36">
                  <c:v>3458.2038905295035</c:v>
                </c:pt>
                <c:pt idx="37">
                  <c:v>3211.8191311279229</c:v>
                </c:pt>
                <c:pt idx="38">
                  <c:v>2963.4751135239712</c:v>
                </c:pt>
                <c:pt idx="39">
                  <c:v>2711.6669705718195</c:v>
                </c:pt>
                <c:pt idx="40">
                  <c:v>2456.5572630239922</c:v>
                </c:pt>
                <c:pt idx="41">
                  <c:v>2139.6160240085933</c:v>
                </c:pt>
                <c:pt idx="42">
                  <c:v>1778.6918274115096</c:v>
                </c:pt>
                <c:pt idx="43">
                  <c:v>1416.9813818732339</c:v>
                </c:pt>
                <c:pt idx="44">
                  <c:v>1054.5215836393379</c:v>
                </c:pt>
                <c:pt idx="45">
                  <c:v>608.21073788725732</c:v>
                </c:pt>
                <c:pt idx="46">
                  <c:v>247.26172970887615</c:v>
                </c:pt>
                <c:pt idx="47">
                  <c:v>-120.30957607252856</c:v>
                </c:pt>
                <c:pt idx="48">
                  <c:v>-592.77271671959693</c:v>
                </c:pt>
                <c:pt idx="49">
                  <c:v>-1056.3274431571836</c:v>
                </c:pt>
                <c:pt idx="50">
                  <c:v>-1511.3917998762088</c:v>
                </c:pt>
              </c:numCache>
            </c:numRef>
          </c:xVal>
          <c:yVal>
            <c:numRef>
              <c:f>'13 - Ceilings - Mil'!$B$10:$B$60</c:f>
              <c:numCache>
                <c:formatCode>#,##0</c:formatCode>
                <c:ptCount val="5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0F-4767-A36D-F9F981505440}"/>
            </c:ext>
          </c:extLst>
        </c:ser>
        <c:ser>
          <c:idx val="3"/>
          <c:order val="3"/>
          <c:tx>
            <c:v>Combat</c:v>
          </c:tx>
          <c:spPr>
            <a:ln w="19050" cap="rnd">
              <a:solidFill>
                <a:srgbClr val="FF99FF"/>
              </a:solidFill>
              <a:round/>
            </a:ln>
            <a:effectLst/>
          </c:spPr>
          <c:marker>
            <c:symbol val="none"/>
          </c:marker>
          <c:xVal>
            <c:numRef>
              <c:f>'13 - Ceilings - Mil'!$Q$10:$Q$60</c:f>
              <c:numCache>
                <c:formatCode>#,##0.0</c:formatCode>
                <c:ptCount val="51"/>
                <c:pt idx="0">
                  <c:v>9010.3934605390132</c:v>
                </c:pt>
                <c:pt idx="1">
                  <c:v>9012.3748756887253</c:v>
                </c:pt>
                <c:pt idx="2">
                  <c:v>9009.0162439204378</c:v>
                </c:pt>
                <c:pt idx="3">
                  <c:v>9000.4518419913475</c:v>
                </c:pt>
                <c:pt idx="4">
                  <c:v>8986.8155599454403</c:v>
                </c:pt>
                <c:pt idx="5">
                  <c:v>8968.2409212814837</c:v>
                </c:pt>
                <c:pt idx="6">
                  <c:v>8931.4890157394202</c:v>
                </c:pt>
                <c:pt idx="7">
                  <c:v>8889.5516808059801</c:v>
                </c:pt>
                <c:pt idx="8">
                  <c:v>8842.553084514082</c:v>
                </c:pt>
                <c:pt idx="9">
                  <c:v>8790.616912096606</c:v>
                </c:pt>
                <c:pt idx="10">
                  <c:v>8733.8663835009793</c:v>
                </c:pt>
                <c:pt idx="11">
                  <c:v>8567.3405214587347</c:v>
                </c:pt>
                <c:pt idx="12">
                  <c:v>8371.9114207391958</c:v>
                </c:pt>
                <c:pt idx="13">
                  <c:v>8155.1439763117487</c:v>
                </c:pt>
                <c:pt idx="14">
                  <c:v>7933.7689052672195</c:v>
                </c:pt>
                <c:pt idx="15">
                  <c:v>7707.8702838015615</c:v>
                </c:pt>
                <c:pt idx="16">
                  <c:v>7507.9372648520748</c:v>
                </c:pt>
                <c:pt idx="17">
                  <c:v>7303.502741971768</c:v>
                </c:pt>
                <c:pt idx="18">
                  <c:v>7090.2860124320705</c:v>
                </c:pt>
                <c:pt idx="19">
                  <c:v>6864.8365056615994</c:v>
                </c:pt>
                <c:pt idx="20">
                  <c:v>6635.798115780327</c:v>
                </c:pt>
                <c:pt idx="21">
                  <c:v>6433.8144345953233</c:v>
                </c:pt>
                <c:pt idx="22">
                  <c:v>6228.2404747269038</c:v>
                </c:pt>
                <c:pt idx="23">
                  <c:v>6019.130161819583</c:v>
                </c:pt>
                <c:pt idx="24">
                  <c:v>5806.536890694224</c:v>
                </c:pt>
                <c:pt idx="25">
                  <c:v>5590.513523960014</c:v>
                </c:pt>
                <c:pt idx="26">
                  <c:v>5401.6209465801048</c:v>
                </c:pt>
                <c:pt idx="27">
                  <c:v>5209.3150970042634</c:v>
                </c:pt>
                <c:pt idx="28">
                  <c:v>5013.6455632015377</c:v>
                </c:pt>
                <c:pt idx="29">
                  <c:v>4814.661346886568</c:v>
                </c:pt>
                <c:pt idx="30">
                  <c:v>4612.4108598957118</c:v>
                </c:pt>
                <c:pt idx="31">
                  <c:v>4437.1307439646698</c:v>
                </c:pt>
                <c:pt idx="32">
                  <c:v>4238.0487845481312</c:v>
                </c:pt>
                <c:pt idx="33">
                  <c:v>4001.9672718948777</c:v>
                </c:pt>
                <c:pt idx="34">
                  <c:v>3761.6601876069435</c:v>
                </c:pt>
                <c:pt idx="35">
                  <c:v>3520.0865471899074</c:v>
                </c:pt>
                <c:pt idx="36">
                  <c:v>3258.2038905295035</c:v>
                </c:pt>
                <c:pt idx="37">
                  <c:v>3011.8191311279229</c:v>
                </c:pt>
                <c:pt idx="38">
                  <c:v>2763.4751135239712</c:v>
                </c:pt>
                <c:pt idx="39">
                  <c:v>2511.6669705718195</c:v>
                </c:pt>
                <c:pt idx="40">
                  <c:v>2256.5572630239922</c:v>
                </c:pt>
                <c:pt idx="41">
                  <c:v>1939.6160240085933</c:v>
                </c:pt>
                <c:pt idx="42">
                  <c:v>1578.6918274115096</c:v>
                </c:pt>
                <c:pt idx="43">
                  <c:v>1216.9813818732339</c:v>
                </c:pt>
                <c:pt idx="44">
                  <c:v>854.5215836393379</c:v>
                </c:pt>
                <c:pt idx="45">
                  <c:v>408.21073788725732</c:v>
                </c:pt>
                <c:pt idx="46">
                  <c:v>47.261729708876146</c:v>
                </c:pt>
                <c:pt idx="47">
                  <c:v>-320.30957607252856</c:v>
                </c:pt>
                <c:pt idx="48">
                  <c:v>-792.77271671959693</c:v>
                </c:pt>
                <c:pt idx="49">
                  <c:v>-1256.3274431571836</c:v>
                </c:pt>
                <c:pt idx="50">
                  <c:v>-1711.3917998762088</c:v>
                </c:pt>
              </c:numCache>
            </c:numRef>
          </c:xVal>
          <c:yVal>
            <c:numRef>
              <c:f>'13 - Ceilings - Mil'!$B$10:$B$60</c:f>
              <c:numCache>
                <c:formatCode>#,##0</c:formatCode>
                <c:ptCount val="5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0F-4767-A36D-F9F981505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286256"/>
        <c:axId val="755284288"/>
      </c:scatterChart>
      <c:valAx>
        <c:axId val="755286256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Rate of Climb (ft/min)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284288"/>
        <c:crosses val="autoZero"/>
        <c:crossBetween val="midCat"/>
      </c:valAx>
      <c:valAx>
        <c:axId val="755284288"/>
        <c:scaling>
          <c:orientation val="minMax"/>
          <c:max val="48000"/>
          <c:min val="42000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286256"/>
        <c:crosses val="autoZero"/>
        <c:crossBetween val="midCat"/>
        <c:majorUnit val="1000"/>
        <c:minorUnit val="500"/>
      </c:valAx>
      <c:spPr>
        <a:noFill/>
        <a:ln w="12700">
          <a:solidFill>
            <a:schemeClr val="tx1"/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1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T-38A Rate of Climb at Maximum</a:t>
            </a:r>
            <a:r>
              <a:rPr lang="en-US" baseline="0"/>
              <a:t> Power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'13 - Ceilings - Max'!$N$10:$N$70</c:f>
              <c:numCache>
                <c:formatCode>#,##0.0</c:formatCode>
                <c:ptCount val="61"/>
                <c:pt idx="0">
                  <c:v>25712.940987787417</c:v>
                </c:pt>
                <c:pt idx="1">
                  <c:v>25595.693176442248</c:v>
                </c:pt>
                <c:pt idx="2">
                  <c:v>25460.922987415321</c:v>
                </c:pt>
                <c:pt idx="3">
                  <c:v>25309.11689840526</c:v>
                </c:pt>
                <c:pt idx="4">
                  <c:v>25140.755393993579</c:v>
                </c:pt>
                <c:pt idx="5">
                  <c:v>24956.312991817191</c:v>
                </c:pt>
                <c:pt idx="6">
                  <c:v>24734.758476107967</c:v>
                </c:pt>
                <c:pt idx="7">
                  <c:v>24498.201319534706</c:v>
                </c:pt>
                <c:pt idx="8">
                  <c:v>24247.090030534608</c:v>
                </c:pt>
                <c:pt idx="9">
                  <c:v>23981.867651785386</c:v>
                </c:pt>
                <c:pt idx="10">
                  <c:v>23702.971784398025</c:v>
                </c:pt>
                <c:pt idx="11">
                  <c:v>23272.173330761809</c:v>
                </c:pt>
                <c:pt idx="12">
                  <c:v>22829.222662282009</c:v>
                </c:pt>
                <c:pt idx="13">
                  <c:v>22374.54274061964</c:v>
                </c:pt>
                <c:pt idx="14">
                  <c:v>21908.551657994707</c:v>
                </c:pt>
                <c:pt idx="15">
                  <c:v>21431.662662807266</c:v>
                </c:pt>
                <c:pt idx="16">
                  <c:v>20992.066894309151</c:v>
                </c:pt>
                <c:pt idx="17">
                  <c:v>20542.620020005459</c:v>
                </c:pt>
                <c:pt idx="18">
                  <c:v>20083.654608448556</c:v>
                </c:pt>
                <c:pt idx="19">
                  <c:v>19615.500853063804</c:v>
                </c:pt>
                <c:pt idx="20">
                  <c:v>19092.104532127159</c:v>
                </c:pt>
                <c:pt idx="21">
                  <c:v>18603.501168355811</c:v>
                </c:pt>
                <c:pt idx="22">
                  <c:v>18108.264746060286</c:v>
                </c:pt>
                <c:pt idx="23">
                  <c:v>17606.673346916272</c:v>
                </c:pt>
                <c:pt idx="24">
                  <c:v>17099.002961337093</c:v>
                </c:pt>
                <c:pt idx="25">
                  <c:v>16585.527486372794</c:v>
                </c:pt>
                <c:pt idx="26">
                  <c:v>16119.499787316459</c:v>
                </c:pt>
                <c:pt idx="27">
                  <c:v>15638.008665168474</c:v>
                </c:pt>
                <c:pt idx="28">
                  <c:v>15152.281972905857</c:v>
                </c:pt>
                <c:pt idx="29">
                  <c:v>14662.494905102842</c:v>
                </c:pt>
                <c:pt idx="30">
                  <c:v>14168.823739132302</c:v>
                </c:pt>
                <c:pt idx="31">
                  <c:v>13725.315428203432</c:v>
                </c:pt>
                <c:pt idx="32">
                  <c:v>13278.012217049629</c:v>
                </c:pt>
                <c:pt idx="33">
                  <c:v>12827.076119361376</c:v>
                </c:pt>
                <c:pt idx="34">
                  <c:v>12372.670429646565</c:v>
                </c:pt>
                <c:pt idx="35">
                  <c:v>11916.135692986891</c:v>
                </c:pt>
                <c:pt idx="36">
                  <c:v>11379.18152900424</c:v>
                </c:pt>
                <c:pt idx="37">
                  <c:v>10852.541969573542</c:v>
                </c:pt>
                <c:pt idx="38">
                  <c:v>10324.901266850233</c:v>
                </c:pt>
                <c:pt idx="39">
                  <c:v>9792.0811620609893</c:v>
                </c:pt>
                <c:pt idx="40">
                  <c:v>9254.3247086212687</c:v>
                </c:pt>
                <c:pt idx="41">
                  <c:v>8642.5587982859706</c:v>
                </c:pt>
                <c:pt idx="42">
                  <c:v>8026.3089641192364</c:v>
                </c:pt>
                <c:pt idx="43">
                  <c:v>7405.7856228811443</c:v>
                </c:pt>
                <c:pt idx="44">
                  <c:v>6778.9883938711964</c:v>
                </c:pt>
                <c:pt idx="45">
                  <c:v>6102.1317982662367</c:v>
                </c:pt>
                <c:pt idx="46">
                  <c:v>5530.3830594527026</c:v>
                </c:pt>
                <c:pt idx="47">
                  <c:v>4957.2719807495332</c:v>
                </c:pt>
                <c:pt idx="48">
                  <c:v>4318.2036323500588</c:v>
                </c:pt>
                <c:pt idx="49">
                  <c:v>3668.6538714940839</c:v>
                </c:pt>
                <c:pt idx="50">
                  <c:v>3013.9089582695024</c:v>
                </c:pt>
                <c:pt idx="51">
                  <c:v>2398.3928161878152</c:v>
                </c:pt>
                <c:pt idx="52">
                  <c:v>1790.8865995262991</c:v>
                </c:pt>
                <c:pt idx="53">
                  <c:v>1191.0178375540133</c:v>
                </c:pt>
                <c:pt idx="54">
                  <c:v>598.43157290856152</c:v>
                </c:pt>
                <c:pt idx="55">
                  <c:v>-65.283871844141402</c:v>
                </c:pt>
                <c:pt idx="56">
                  <c:v>-705.66474272225935</c:v>
                </c:pt>
                <c:pt idx="57">
                  <c:v>-1331.4223638246729</c:v>
                </c:pt>
                <c:pt idx="58">
                  <c:v>-1943.2412687896317</c:v>
                </c:pt>
                <c:pt idx="59">
                  <c:v>-2651.9385716978695</c:v>
                </c:pt>
                <c:pt idx="60">
                  <c:v>-3403.1963760743661</c:v>
                </c:pt>
              </c:numCache>
            </c:numRef>
          </c:xVal>
          <c:yVal>
            <c:numRef>
              <c:f>'13 - Ceilings - Max'!$B$10:$B$70</c:f>
              <c:numCache>
                <c:formatCode>#,##0</c:formatCode>
                <c:ptCount val="6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F1-4967-B0CD-D46188B87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286256"/>
        <c:axId val="755284288"/>
      </c:scatterChart>
      <c:valAx>
        <c:axId val="75528625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Rate of Climb (ft/min)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284288"/>
        <c:crosses val="autoZero"/>
        <c:crossBetween val="midCat"/>
      </c:valAx>
      <c:valAx>
        <c:axId val="75528428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286256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1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T-38A Rate of Climb at Maximum Power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Absolute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'13 - Ceilings - Max'!$N$10:$N$70</c:f>
              <c:numCache>
                <c:formatCode>#,##0.0</c:formatCode>
                <c:ptCount val="61"/>
                <c:pt idx="0">
                  <c:v>25712.940987787417</c:v>
                </c:pt>
                <c:pt idx="1">
                  <c:v>25595.693176442248</c:v>
                </c:pt>
                <c:pt idx="2">
                  <c:v>25460.922987415321</c:v>
                </c:pt>
                <c:pt idx="3">
                  <c:v>25309.11689840526</c:v>
                </c:pt>
                <c:pt idx="4">
                  <c:v>25140.755393993579</c:v>
                </c:pt>
                <c:pt idx="5">
                  <c:v>24956.312991817191</c:v>
                </c:pt>
                <c:pt idx="6">
                  <c:v>24734.758476107967</c:v>
                </c:pt>
                <c:pt idx="7">
                  <c:v>24498.201319534706</c:v>
                </c:pt>
                <c:pt idx="8">
                  <c:v>24247.090030534608</c:v>
                </c:pt>
                <c:pt idx="9">
                  <c:v>23981.867651785386</c:v>
                </c:pt>
                <c:pt idx="10">
                  <c:v>23702.971784398025</c:v>
                </c:pt>
                <c:pt idx="11">
                  <c:v>23272.173330761809</c:v>
                </c:pt>
                <c:pt idx="12">
                  <c:v>22829.222662282009</c:v>
                </c:pt>
                <c:pt idx="13">
                  <c:v>22374.54274061964</c:v>
                </c:pt>
                <c:pt idx="14">
                  <c:v>21908.551657994707</c:v>
                </c:pt>
                <c:pt idx="15">
                  <c:v>21431.662662807266</c:v>
                </c:pt>
                <c:pt idx="16">
                  <c:v>20992.066894309151</c:v>
                </c:pt>
                <c:pt idx="17">
                  <c:v>20542.620020005459</c:v>
                </c:pt>
                <c:pt idx="18">
                  <c:v>20083.654608448556</c:v>
                </c:pt>
                <c:pt idx="19">
                  <c:v>19615.500853063804</c:v>
                </c:pt>
                <c:pt idx="20">
                  <c:v>19092.104532127159</c:v>
                </c:pt>
                <c:pt idx="21">
                  <c:v>18603.501168355811</c:v>
                </c:pt>
                <c:pt idx="22">
                  <c:v>18108.264746060286</c:v>
                </c:pt>
                <c:pt idx="23">
                  <c:v>17606.673346916272</c:v>
                </c:pt>
                <c:pt idx="24">
                  <c:v>17099.002961337093</c:v>
                </c:pt>
                <c:pt idx="25">
                  <c:v>16585.527486372794</c:v>
                </c:pt>
                <c:pt idx="26">
                  <c:v>16119.499787316459</c:v>
                </c:pt>
                <c:pt idx="27">
                  <c:v>15638.008665168474</c:v>
                </c:pt>
                <c:pt idx="28">
                  <c:v>15152.281972905857</c:v>
                </c:pt>
                <c:pt idx="29">
                  <c:v>14662.494905102842</c:v>
                </c:pt>
                <c:pt idx="30">
                  <c:v>14168.823739132302</c:v>
                </c:pt>
                <c:pt idx="31">
                  <c:v>13725.315428203432</c:v>
                </c:pt>
                <c:pt idx="32">
                  <c:v>13278.012217049629</c:v>
                </c:pt>
                <c:pt idx="33">
                  <c:v>12827.076119361376</c:v>
                </c:pt>
                <c:pt idx="34">
                  <c:v>12372.670429646565</c:v>
                </c:pt>
                <c:pt idx="35">
                  <c:v>11916.135692986891</c:v>
                </c:pt>
                <c:pt idx="36">
                  <c:v>11379.18152900424</c:v>
                </c:pt>
                <c:pt idx="37">
                  <c:v>10852.541969573542</c:v>
                </c:pt>
                <c:pt idx="38">
                  <c:v>10324.901266850233</c:v>
                </c:pt>
                <c:pt idx="39">
                  <c:v>9792.0811620609893</c:v>
                </c:pt>
                <c:pt idx="40">
                  <c:v>9254.3247086212687</c:v>
                </c:pt>
                <c:pt idx="41">
                  <c:v>8642.5587982859706</c:v>
                </c:pt>
                <c:pt idx="42">
                  <c:v>8026.3089641192364</c:v>
                </c:pt>
                <c:pt idx="43">
                  <c:v>7405.7856228811443</c:v>
                </c:pt>
                <c:pt idx="44">
                  <c:v>6778.9883938711964</c:v>
                </c:pt>
                <c:pt idx="45">
                  <c:v>6102.1317982662367</c:v>
                </c:pt>
                <c:pt idx="46">
                  <c:v>5530.3830594527026</c:v>
                </c:pt>
                <c:pt idx="47">
                  <c:v>4957.2719807495332</c:v>
                </c:pt>
                <c:pt idx="48">
                  <c:v>4318.2036323500588</c:v>
                </c:pt>
                <c:pt idx="49">
                  <c:v>3668.6538714940839</c:v>
                </c:pt>
                <c:pt idx="50">
                  <c:v>3013.9089582695024</c:v>
                </c:pt>
                <c:pt idx="51">
                  <c:v>2398.3928161878152</c:v>
                </c:pt>
                <c:pt idx="52">
                  <c:v>1790.8865995262991</c:v>
                </c:pt>
                <c:pt idx="53">
                  <c:v>1191.0178375540133</c:v>
                </c:pt>
                <c:pt idx="54">
                  <c:v>598.43157290856152</c:v>
                </c:pt>
                <c:pt idx="55">
                  <c:v>-65.283871844141402</c:v>
                </c:pt>
                <c:pt idx="56">
                  <c:v>-705.66474272225935</c:v>
                </c:pt>
                <c:pt idx="57">
                  <c:v>-1331.4223638246729</c:v>
                </c:pt>
                <c:pt idx="58">
                  <c:v>-1943.2412687896317</c:v>
                </c:pt>
                <c:pt idx="59">
                  <c:v>-2651.9385716978695</c:v>
                </c:pt>
                <c:pt idx="60">
                  <c:v>-3403.1963760743661</c:v>
                </c:pt>
              </c:numCache>
            </c:numRef>
          </c:xVal>
          <c:yVal>
            <c:numRef>
              <c:f>'13 - Ceilings - Max'!$B$10:$B$70</c:f>
              <c:numCache>
                <c:formatCode>#,##0</c:formatCode>
                <c:ptCount val="6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59-49D8-A9EF-2594C41F3ED9}"/>
            </c:ext>
          </c:extLst>
        </c:ser>
        <c:ser>
          <c:idx val="1"/>
          <c:order val="1"/>
          <c:tx>
            <c:v>Service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'13 - Ceilings - Max'!$O$10:$O$70</c:f>
              <c:numCache>
                <c:formatCode>#,##0.0</c:formatCode>
                <c:ptCount val="61"/>
                <c:pt idx="0">
                  <c:v>25612.940987787417</c:v>
                </c:pt>
                <c:pt idx="1">
                  <c:v>25495.693176442248</c:v>
                </c:pt>
                <c:pt idx="2">
                  <c:v>25360.922987415321</c:v>
                </c:pt>
                <c:pt idx="3">
                  <c:v>25209.11689840526</c:v>
                </c:pt>
                <c:pt idx="4">
                  <c:v>25040.755393993579</c:v>
                </c:pt>
                <c:pt idx="5">
                  <c:v>24856.312991817191</c:v>
                </c:pt>
                <c:pt idx="6">
                  <c:v>24634.758476107967</c:v>
                </c:pt>
                <c:pt idx="7">
                  <c:v>24398.201319534706</c:v>
                </c:pt>
                <c:pt idx="8">
                  <c:v>24147.090030534608</c:v>
                </c:pt>
                <c:pt idx="9">
                  <c:v>23881.867651785386</c:v>
                </c:pt>
                <c:pt idx="10">
                  <c:v>23602.971784398025</c:v>
                </c:pt>
                <c:pt idx="11">
                  <c:v>23172.173330761809</c:v>
                </c:pt>
                <c:pt idx="12">
                  <c:v>22729.222662282009</c:v>
                </c:pt>
                <c:pt idx="13">
                  <c:v>22274.54274061964</c:v>
                </c:pt>
                <c:pt idx="14">
                  <c:v>21808.551657994707</c:v>
                </c:pt>
                <c:pt idx="15">
                  <c:v>21331.662662807266</c:v>
                </c:pt>
                <c:pt idx="16">
                  <c:v>20892.066894309151</c:v>
                </c:pt>
                <c:pt idx="17">
                  <c:v>20442.620020005459</c:v>
                </c:pt>
                <c:pt idx="18">
                  <c:v>19983.654608448556</c:v>
                </c:pt>
                <c:pt idx="19">
                  <c:v>19515.500853063804</c:v>
                </c:pt>
                <c:pt idx="20">
                  <c:v>18992.104532127159</c:v>
                </c:pt>
                <c:pt idx="21">
                  <c:v>18503.501168355811</c:v>
                </c:pt>
                <c:pt idx="22">
                  <c:v>18008.264746060286</c:v>
                </c:pt>
                <c:pt idx="23">
                  <c:v>17506.673346916272</c:v>
                </c:pt>
                <c:pt idx="24">
                  <c:v>16999.002961337093</c:v>
                </c:pt>
                <c:pt idx="25">
                  <c:v>16485.527486372794</c:v>
                </c:pt>
                <c:pt idx="26">
                  <c:v>16019.499787316459</c:v>
                </c:pt>
                <c:pt idx="27">
                  <c:v>15538.008665168474</c:v>
                </c:pt>
                <c:pt idx="28">
                  <c:v>15052.281972905857</c:v>
                </c:pt>
                <c:pt idx="29">
                  <c:v>14562.494905102842</c:v>
                </c:pt>
                <c:pt idx="30">
                  <c:v>14068.823739132302</c:v>
                </c:pt>
                <c:pt idx="31">
                  <c:v>13625.315428203432</c:v>
                </c:pt>
                <c:pt idx="32">
                  <c:v>13178.012217049629</c:v>
                </c:pt>
                <c:pt idx="33">
                  <c:v>12727.076119361376</c:v>
                </c:pt>
                <c:pt idx="34">
                  <c:v>12272.670429646565</c:v>
                </c:pt>
                <c:pt idx="35">
                  <c:v>11816.135692986891</c:v>
                </c:pt>
                <c:pt idx="36">
                  <c:v>11279.18152900424</c:v>
                </c:pt>
                <c:pt idx="37">
                  <c:v>10752.541969573542</c:v>
                </c:pt>
                <c:pt idx="38">
                  <c:v>10224.901266850233</c:v>
                </c:pt>
                <c:pt idx="39">
                  <c:v>9692.0811620609893</c:v>
                </c:pt>
                <c:pt idx="40">
                  <c:v>9154.3247086212687</c:v>
                </c:pt>
                <c:pt idx="41">
                  <c:v>8542.5587982859706</c:v>
                </c:pt>
                <c:pt idx="42">
                  <c:v>7926.3089641192364</c:v>
                </c:pt>
                <c:pt idx="43">
                  <c:v>7305.7856228811443</c:v>
                </c:pt>
                <c:pt idx="44">
                  <c:v>6678.9883938711964</c:v>
                </c:pt>
                <c:pt idx="45">
                  <c:v>6002.1317982662367</c:v>
                </c:pt>
                <c:pt idx="46">
                  <c:v>5430.3830594527026</c:v>
                </c:pt>
                <c:pt idx="47">
                  <c:v>4857.2719807495332</c:v>
                </c:pt>
                <c:pt idx="48">
                  <c:v>4218.2036323500588</c:v>
                </c:pt>
                <c:pt idx="49">
                  <c:v>3568.6538714940839</c:v>
                </c:pt>
                <c:pt idx="50">
                  <c:v>2913.9089582695024</c:v>
                </c:pt>
                <c:pt idx="51">
                  <c:v>2298.3928161878152</c:v>
                </c:pt>
                <c:pt idx="52">
                  <c:v>1690.8865995262991</c:v>
                </c:pt>
                <c:pt idx="53">
                  <c:v>1091.0178375540133</c:v>
                </c:pt>
                <c:pt idx="54">
                  <c:v>498.43157290856152</c:v>
                </c:pt>
                <c:pt idx="55">
                  <c:v>-165.2838718441414</c:v>
                </c:pt>
                <c:pt idx="56">
                  <c:v>-805.66474272225935</c:v>
                </c:pt>
                <c:pt idx="57">
                  <c:v>-1431.4223638246729</c:v>
                </c:pt>
                <c:pt idx="58">
                  <c:v>-2043.2412687896317</c:v>
                </c:pt>
                <c:pt idx="59">
                  <c:v>-2751.9385716978695</c:v>
                </c:pt>
                <c:pt idx="60">
                  <c:v>-3503.1963760743661</c:v>
                </c:pt>
              </c:numCache>
            </c:numRef>
          </c:xVal>
          <c:yVal>
            <c:numRef>
              <c:f>'13 - Ceilings - Max'!$B$10:$B$70</c:f>
              <c:numCache>
                <c:formatCode>#,##0</c:formatCode>
                <c:ptCount val="6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59-49D8-A9EF-2594C41F3ED9}"/>
            </c:ext>
          </c:extLst>
        </c:ser>
        <c:ser>
          <c:idx val="2"/>
          <c:order val="2"/>
          <c:tx>
            <c:v>Cruise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'13 - Ceilings - Max'!$P$10:$P$70</c:f>
              <c:numCache>
                <c:formatCode>#,##0.0</c:formatCode>
                <c:ptCount val="61"/>
                <c:pt idx="0">
                  <c:v>25412.940987787417</c:v>
                </c:pt>
                <c:pt idx="1">
                  <c:v>25295.693176442248</c:v>
                </c:pt>
                <c:pt idx="2">
                  <c:v>25160.922987415321</c:v>
                </c:pt>
                <c:pt idx="3">
                  <c:v>25009.11689840526</c:v>
                </c:pt>
                <c:pt idx="4">
                  <c:v>24840.755393993579</c:v>
                </c:pt>
                <c:pt idx="5">
                  <c:v>24656.312991817191</c:v>
                </c:pt>
                <c:pt idx="6">
                  <c:v>24434.758476107967</c:v>
                </c:pt>
                <c:pt idx="7">
                  <c:v>24198.201319534706</c:v>
                </c:pt>
                <c:pt idx="8">
                  <c:v>23947.090030534608</c:v>
                </c:pt>
                <c:pt idx="9">
                  <c:v>23681.867651785386</c:v>
                </c:pt>
                <c:pt idx="10">
                  <c:v>23402.971784398025</c:v>
                </c:pt>
                <c:pt idx="11">
                  <c:v>22972.173330761809</c:v>
                </c:pt>
                <c:pt idx="12">
                  <c:v>22529.222662282009</c:v>
                </c:pt>
                <c:pt idx="13">
                  <c:v>22074.54274061964</c:v>
                </c:pt>
                <c:pt idx="14">
                  <c:v>21608.551657994707</c:v>
                </c:pt>
                <c:pt idx="15">
                  <c:v>21131.662662807266</c:v>
                </c:pt>
                <c:pt idx="16">
                  <c:v>20692.066894309151</c:v>
                </c:pt>
                <c:pt idx="17">
                  <c:v>20242.620020005459</c:v>
                </c:pt>
                <c:pt idx="18">
                  <c:v>19783.654608448556</c:v>
                </c:pt>
                <c:pt idx="19">
                  <c:v>19315.500853063804</c:v>
                </c:pt>
                <c:pt idx="20">
                  <c:v>18792.104532127159</c:v>
                </c:pt>
                <c:pt idx="21">
                  <c:v>18303.501168355811</c:v>
                </c:pt>
                <c:pt idx="22">
                  <c:v>17808.264746060286</c:v>
                </c:pt>
                <c:pt idx="23">
                  <c:v>17306.673346916272</c:v>
                </c:pt>
                <c:pt idx="24">
                  <c:v>16799.002961337093</c:v>
                </c:pt>
                <c:pt idx="25">
                  <c:v>16285.527486372794</c:v>
                </c:pt>
                <c:pt idx="26">
                  <c:v>15819.499787316459</c:v>
                </c:pt>
                <c:pt idx="27">
                  <c:v>15338.008665168474</c:v>
                </c:pt>
                <c:pt idx="28">
                  <c:v>14852.281972905857</c:v>
                </c:pt>
                <c:pt idx="29">
                  <c:v>14362.494905102842</c:v>
                </c:pt>
                <c:pt idx="30">
                  <c:v>13868.823739132302</c:v>
                </c:pt>
                <c:pt idx="31">
                  <c:v>13425.315428203432</c:v>
                </c:pt>
                <c:pt idx="32">
                  <c:v>12978.012217049629</c:v>
                </c:pt>
                <c:pt idx="33">
                  <c:v>12527.076119361376</c:v>
                </c:pt>
                <c:pt idx="34">
                  <c:v>12072.670429646565</c:v>
                </c:pt>
                <c:pt idx="35">
                  <c:v>11616.135692986891</c:v>
                </c:pt>
                <c:pt idx="36">
                  <c:v>11079.18152900424</c:v>
                </c:pt>
                <c:pt idx="37">
                  <c:v>10552.541969573542</c:v>
                </c:pt>
                <c:pt idx="38">
                  <c:v>10024.901266850233</c:v>
                </c:pt>
                <c:pt idx="39">
                  <c:v>9492.0811620609893</c:v>
                </c:pt>
                <c:pt idx="40">
                  <c:v>8954.3247086212687</c:v>
                </c:pt>
                <c:pt idx="41">
                  <c:v>8342.5587982859706</c:v>
                </c:pt>
                <c:pt idx="42">
                  <c:v>7726.3089641192364</c:v>
                </c:pt>
                <c:pt idx="43">
                  <c:v>7105.7856228811443</c:v>
                </c:pt>
                <c:pt idx="44">
                  <c:v>6478.9883938711964</c:v>
                </c:pt>
                <c:pt idx="45">
                  <c:v>5802.1317982662367</c:v>
                </c:pt>
                <c:pt idx="46">
                  <c:v>5230.3830594527026</c:v>
                </c:pt>
                <c:pt idx="47">
                  <c:v>4657.2719807495332</c:v>
                </c:pt>
                <c:pt idx="48">
                  <c:v>4018.2036323500588</c:v>
                </c:pt>
                <c:pt idx="49">
                  <c:v>3368.6538714940839</c:v>
                </c:pt>
                <c:pt idx="50">
                  <c:v>2713.9089582695024</c:v>
                </c:pt>
                <c:pt idx="51">
                  <c:v>2098.3928161878152</c:v>
                </c:pt>
                <c:pt idx="52">
                  <c:v>1490.8865995262991</c:v>
                </c:pt>
                <c:pt idx="53">
                  <c:v>891.01783755401334</c:v>
                </c:pt>
                <c:pt idx="54">
                  <c:v>298.43157290856152</c:v>
                </c:pt>
                <c:pt idx="55">
                  <c:v>-365.2838718441414</c:v>
                </c:pt>
                <c:pt idx="56">
                  <c:v>-1005.6647427222593</c:v>
                </c:pt>
                <c:pt idx="57">
                  <c:v>-1631.4223638246729</c:v>
                </c:pt>
                <c:pt idx="58">
                  <c:v>-2243.2412687896317</c:v>
                </c:pt>
                <c:pt idx="59">
                  <c:v>-2951.9385716978695</c:v>
                </c:pt>
                <c:pt idx="60">
                  <c:v>-3703.1963760743661</c:v>
                </c:pt>
              </c:numCache>
            </c:numRef>
          </c:xVal>
          <c:yVal>
            <c:numRef>
              <c:f>'13 - Ceilings - Max'!$B$10:$B$70</c:f>
              <c:numCache>
                <c:formatCode>#,##0</c:formatCode>
                <c:ptCount val="6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59-49D8-A9EF-2594C41F3ED9}"/>
            </c:ext>
          </c:extLst>
        </c:ser>
        <c:ser>
          <c:idx val="3"/>
          <c:order val="3"/>
          <c:tx>
            <c:v>Combat</c:v>
          </c:tx>
          <c:spPr>
            <a:ln w="19050" cap="rnd">
              <a:solidFill>
                <a:srgbClr val="FF99FF"/>
              </a:solidFill>
              <a:round/>
            </a:ln>
            <a:effectLst/>
          </c:spPr>
          <c:marker>
            <c:symbol val="none"/>
          </c:marker>
          <c:xVal>
            <c:numRef>
              <c:f>'13 - Ceilings - Max'!$Q$10:$Q$70</c:f>
              <c:numCache>
                <c:formatCode>#,##0.0</c:formatCode>
                <c:ptCount val="61"/>
                <c:pt idx="0">
                  <c:v>25212.940987787417</c:v>
                </c:pt>
                <c:pt idx="1">
                  <c:v>25095.693176442248</c:v>
                </c:pt>
                <c:pt idx="2">
                  <c:v>24960.922987415321</c:v>
                </c:pt>
                <c:pt idx="3">
                  <c:v>24809.11689840526</c:v>
                </c:pt>
                <c:pt idx="4">
                  <c:v>24640.755393993579</c:v>
                </c:pt>
                <c:pt idx="5">
                  <c:v>24456.312991817191</c:v>
                </c:pt>
                <c:pt idx="6">
                  <c:v>24234.758476107967</c:v>
                </c:pt>
                <c:pt idx="7">
                  <c:v>23998.201319534706</c:v>
                </c:pt>
                <c:pt idx="8">
                  <c:v>23747.090030534608</c:v>
                </c:pt>
                <c:pt idx="9">
                  <c:v>23481.867651785386</c:v>
                </c:pt>
                <c:pt idx="10">
                  <c:v>23202.971784398025</c:v>
                </c:pt>
                <c:pt idx="11">
                  <c:v>22772.173330761809</c:v>
                </c:pt>
                <c:pt idx="12">
                  <c:v>22329.222662282009</c:v>
                </c:pt>
                <c:pt idx="13">
                  <c:v>21874.54274061964</c:v>
                </c:pt>
                <c:pt idx="14">
                  <c:v>21408.551657994707</c:v>
                </c:pt>
                <c:pt idx="15">
                  <c:v>20931.662662807266</c:v>
                </c:pt>
                <c:pt idx="16">
                  <c:v>20492.066894309151</c:v>
                </c:pt>
                <c:pt idx="17">
                  <c:v>20042.620020005459</c:v>
                </c:pt>
                <c:pt idx="18">
                  <c:v>19583.654608448556</c:v>
                </c:pt>
                <c:pt idx="19">
                  <c:v>19115.500853063804</c:v>
                </c:pt>
                <c:pt idx="20">
                  <c:v>18592.104532127159</c:v>
                </c:pt>
                <c:pt idx="21">
                  <c:v>18103.501168355811</c:v>
                </c:pt>
                <c:pt idx="22">
                  <c:v>17608.264746060286</c:v>
                </c:pt>
                <c:pt idx="23">
                  <c:v>17106.673346916272</c:v>
                </c:pt>
                <c:pt idx="24">
                  <c:v>16599.002961337093</c:v>
                </c:pt>
                <c:pt idx="25">
                  <c:v>16085.527486372794</c:v>
                </c:pt>
                <c:pt idx="26">
                  <c:v>15619.499787316459</c:v>
                </c:pt>
                <c:pt idx="27">
                  <c:v>15138.008665168474</c:v>
                </c:pt>
                <c:pt idx="28">
                  <c:v>14652.281972905857</c:v>
                </c:pt>
                <c:pt idx="29">
                  <c:v>14162.494905102842</c:v>
                </c:pt>
                <c:pt idx="30">
                  <c:v>13668.823739132302</c:v>
                </c:pt>
                <c:pt idx="31">
                  <c:v>13225.315428203432</c:v>
                </c:pt>
                <c:pt idx="32">
                  <c:v>12778.012217049629</c:v>
                </c:pt>
                <c:pt idx="33">
                  <c:v>12327.076119361376</c:v>
                </c:pt>
                <c:pt idx="34">
                  <c:v>11872.670429646565</c:v>
                </c:pt>
                <c:pt idx="35">
                  <c:v>11416.135692986891</c:v>
                </c:pt>
                <c:pt idx="36">
                  <c:v>10879.18152900424</c:v>
                </c:pt>
                <c:pt idx="37">
                  <c:v>10352.541969573542</c:v>
                </c:pt>
                <c:pt idx="38">
                  <c:v>9824.9012668502328</c:v>
                </c:pt>
                <c:pt idx="39">
                  <c:v>9292.0811620609893</c:v>
                </c:pt>
                <c:pt idx="40">
                  <c:v>8754.3247086212687</c:v>
                </c:pt>
                <c:pt idx="41">
                  <c:v>8142.5587982859706</c:v>
                </c:pt>
                <c:pt idx="42">
                  <c:v>7526.3089641192364</c:v>
                </c:pt>
                <c:pt idx="43">
                  <c:v>6905.7856228811443</c:v>
                </c:pt>
                <c:pt idx="44">
                  <c:v>6278.9883938711964</c:v>
                </c:pt>
                <c:pt idx="45">
                  <c:v>5602.1317982662367</c:v>
                </c:pt>
                <c:pt idx="46">
                  <c:v>5030.3830594527026</c:v>
                </c:pt>
                <c:pt idx="47">
                  <c:v>4457.2719807495332</c:v>
                </c:pt>
                <c:pt idx="48">
                  <c:v>3818.2036323500588</c:v>
                </c:pt>
                <c:pt idx="49">
                  <c:v>3168.6538714940839</c:v>
                </c:pt>
                <c:pt idx="50">
                  <c:v>2513.9089582695024</c:v>
                </c:pt>
                <c:pt idx="51">
                  <c:v>1898.3928161878152</c:v>
                </c:pt>
                <c:pt idx="52">
                  <c:v>1290.8865995262991</c:v>
                </c:pt>
                <c:pt idx="53">
                  <c:v>691.01783755401334</c:v>
                </c:pt>
                <c:pt idx="54">
                  <c:v>98.43157290856152</c:v>
                </c:pt>
                <c:pt idx="55">
                  <c:v>-565.28387184414146</c:v>
                </c:pt>
                <c:pt idx="56">
                  <c:v>-1205.6647427222592</c:v>
                </c:pt>
                <c:pt idx="57">
                  <c:v>-1831.4223638246729</c:v>
                </c:pt>
                <c:pt idx="58">
                  <c:v>-2443.2412687896317</c:v>
                </c:pt>
                <c:pt idx="59">
                  <c:v>-3151.9385716978695</c:v>
                </c:pt>
                <c:pt idx="60">
                  <c:v>-3903.1963760743661</c:v>
                </c:pt>
              </c:numCache>
            </c:numRef>
          </c:xVal>
          <c:yVal>
            <c:numRef>
              <c:f>'13 - Ceilings - Max'!$B$10:$B$70</c:f>
              <c:numCache>
                <c:formatCode>#,##0</c:formatCode>
                <c:ptCount val="6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259-49D8-A9EF-2594C41F3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286256"/>
        <c:axId val="755284288"/>
      </c:scatterChart>
      <c:valAx>
        <c:axId val="755286256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Rate of Climb (ft/min)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284288"/>
        <c:crosses val="autoZero"/>
        <c:crossBetween val="midCat"/>
      </c:valAx>
      <c:valAx>
        <c:axId val="755284288"/>
        <c:scaling>
          <c:orientation val="minMax"/>
          <c:max val="56000"/>
          <c:min val="52000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286256"/>
        <c:crosses val="autoZero"/>
        <c:crossBetween val="midCat"/>
        <c:majorUnit val="1000"/>
        <c:minorUnit val="500"/>
      </c:valAx>
      <c:spPr>
        <a:noFill/>
        <a:ln w="12700">
          <a:solidFill>
            <a:schemeClr val="tx1"/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1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T-38A Time to Accelerate</a:t>
            </a:r>
          </a:p>
          <a:p>
            <a:pPr>
              <a:defRPr/>
            </a:pPr>
            <a:r>
              <a:rPr lang="en-US"/>
              <a:t> </a:t>
            </a:r>
            <a:r>
              <a:rPr lang="en-US" sz="1200" b="0"/>
              <a:t>10k ft; W = 10,000 lb; Max</a:t>
            </a:r>
            <a:r>
              <a:rPr lang="en-US" sz="1200" b="0" baseline="0"/>
              <a:t> </a:t>
            </a:r>
            <a:r>
              <a:rPr lang="en-US" sz="1200" b="0"/>
              <a:t>AB</a:t>
            </a:r>
            <a:endParaRPr lang="en-US" b="0"/>
          </a:p>
        </c:rich>
      </c:tx>
      <c:layout>
        <c:manualLayout>
          <c:xMode val="edge"/>
          <c:yMode val="edge"/>
          <c:x val="0.29847762591907773"/>
          <c:y val="3.03530041415400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'14 - Accel at 10k'!$C$8:$C$48</c:f>
              <c:numCache>
                <c:formatCode>0.0000</c:formatCode>
                <c:ptCount val="41"/>
                <c:pt idx="0">
                  <c:v>0.4</c:v>
                </c:pt>
                <c:pt idx="1">
                  <c:v>0.41</c:v>
                </c:pt>
                <c:pt idx="2">
                  <c:v>0.42</c:v>
                </c:pt>
                <c:pt idx="3">
                  <c:v>0.43</c:v>
                </c:pt>
                <c:pt idx="4">
                  <c:v>0.44</c:v>
                </c:pt>
                <c:pt idx="5">
                  <c:v>0.45</c:v>
                </c:pt>
                <c:pt idx="6">
                  <c:v>0.46</c:v>
                </c:pt>
                <c:pt idx="7">
                  <c:v>0.47</c:v>
                </c:pt>
                <c:pt idx="8">
                  <c:v>0.48</c:v>
                </c:pt>
                <c:pt idx="9">
                  <c:v>0.49</c:v>
                </c:pt>
                <c:pt idx="10">
                  <c:v>0.5</c:v>
                </c:pt>
                <c:pt idx="11">
                  <c:v>0.50999999999999901</c:v>
                </c:pt>
                <c:pt idx="12">
                  <c:v>0.51999999999999902</c:v>
                </c:pt>
                <c:pt idx="13">
                  <c:v>0.52999999999999903</c:v>
                </c:pt>
                <c:pt idx="14">
                  <c:v>0.53999999999999904</c:v>
                </c:pt>
                <c:pt idx="15">
                  <c:v>0.54999999999999905</c:v>
                </c:pt>
                <c:pt idx="16">
                  <c:v>0.55999999999999905</c:v>
                </c:pt>
                <c:pt idx="17">
                  <c:v>0.56999999999999895</c:v>
                </c:pt>
                <c:pt idx="18">
                  <c:v>0.57999999999999896</c:v>
                </c:pt>
                <c:pt idx="19">
                  <c:v>0.58999999999999897</c:v>
                </c:pt>
                <c:pt idx="20">
                  <c:v>0.59999999999999898</c:v>
                </c:pt>
                <c:pt idx="21">
                  <c:v>0.60999999999999899</c:v>
                </c:pt>
                <c:pt idx="22">
                  <c:v>0.619999999999999</c:v>
                </c:pt>
                <c:pt idx="23">
                  <c:v>0.62999999999999901</c:v>
                </c:pt>
                <c:pt idx="24">
                  <c:v>0.63999999999999901</c:v>
                </c:pt>
                <c:pt idx="25">
                  <c:v>0.64999999999999902</c:v>
                </c:pt>
                <c:pt idx="26">
                  <c:v>0.65999999999999903</c:v>
                </c:pt>
                <c:pt idx="27">
                  <c:v>0.66999999999999904</c:v>
                </c:pt>
                <c:pt idx="28">
                  <c:v>0.67999999999999905</c:v>
                </c:pt>
                <c:pt idx="29">
                  <c:v>0.68999999999999895</c:v>
                </c:pt>
                <c:pt idx="30">
                  <c:v>0.69999999999999896</c:v>
                </c:pt>
                <c:pt idx="31">
                  <c:v>0.70999999999999897</c:v>
                </c:pt>
                <c:pt idx="32">
                  <c:v>0.71999999999999897</c:v>
                </c:pt>
                <c:pt idx="33">
                  <c:v>0.72999999999999798</c:v>
                </c:pt>
                <c:pt idx="34">
                  <c:v>0.73999999999999799</c:v>
                </c:pt>
                <c:pt idx="35">
                  <c:v>0.749999999999998</c:v>
                </c:pt>
                <c:pt idx="36">
                  <c:v>0.75999999999999801</c:v>
                </c:pt>
                <c:pt idx="37">
                  <c:v>0.76999999999999802</c:v>
                </c:pt>
                <c:pt idx="38">
                  <c:v>0.77999999999999803</c:v>
                </c:pt>
                <c:pt idx="39">
                  <c:v>0.78999999999999804</c:v>
                </c:pt>
                <c:pt idx="40">
                  <c:v>0.79999999999999805</c:v>
                </c:pt>
              </c:numCache>
            </c:numRef>
          </c:xVal>
          <c:yVal>
            <c:numRef>
              <c:f>'14 - Accel at 10k'!$M$8:$M$48</c:f>
              <c:numCache>
                <c:formatCode>0.00</c:formatCode>
                <c:ptCount val="41"/>
                <c:pt idx="0">
                  <c:v>0</c:v>
                </c:pt>
                <c:pt idx="1">
                  <c:v>0.78747848966444867</c:v>
                </c:pt>
                <c:pt idx="2">
                  <c:v>1.5687428522371401</c:v>
                </c:pt>
                <c:pt idx="3">
                  <c:v>2.3454021672813039</c:v>
                </c:pt>
                <c:pt idx="4">
                  <c:v>3.1176236554911263</c:v>
                </c:pt>
                <c:pt idx="5">
                  <c:v>3.8862278335397926</c:v>
                </c:pt>
                <c:pt idx="6">
                  <c:v>4.6519196151860989</c:v>
                </c:pt>
                <c:pt idx="7">
                  <c:v>5.4147551270869947</c:v>
                </c:pt>
                <c:pt idx="8">
                  <c:v>6.174789043332062</c:v>
                </c:pt>
                <c:pt idx="9">
                  <c:v>6.9320747294673231</c:v>
                </c:pt>
                <c:pt idx="10">
                  <c:v>7.6866642800349965</c:v>
                </c:pt>
                <c:pt idx="11">
                  <c:v>8.4386085546472298</c:v>
                </c:pt>
                <c:pt idx="12">
                  <c:v>9.1879572126762561</c:v>
                </c:pt>
                <c:pt idx="13">
                  <c:v>9.9347587466210499</c:v>
                </c:pt>
                <c:pt idx="14">
                  <c:v>10.679345714419565</c:v>
                </c:pt>
                <c:pt idx="15">
                  <c:v>11.422547585432865</c:v>
                </c:pt>
                <c:pt idx="16">
                  <c:v>12.164915210357812</c:v>
                </c:pt>
                <c:pt idx="17">
                  <c:v>12.906508446610381</c:v>
                </c:pt>
                <c:pt idx="18">
                  <c:v>13.647386396021735</c:v>
                </c:pt>
                <c:pt idx="19">
                  <c:v>14.387607513046317</c:v>
                </c:pt>
                <c:pt idx="20">
                  <c:v>15.127229635241068</c:v>
                </c:pt>
                <c:pt idx="21">
                  <c:v>15.866310012883119</c:v>
                </c:pt>
                <c:pt idx="22">
                  <c:v>16.604905337781059</c:v>
                </c:pt>
                <c:pt idx="23">
                  <c:v>17.343071771321235</c:v>
                </c:pt>
                <c:pt idx="24">
                  <c:v>18.080864971788245</c:v>
                </c:pt>
                <c:pt idx="25">
                  <c:v>18.818340120997501</c:v>
                </c:pt>
                <c:pt idx="26">
                  <c:v>19.555551950275785</c:v>
                </c:pt>
                <c:pt idx="27">
                  <c:v>20.292554765824281</c:v>
                </c:pt>
                <c:pt idx="28">
                  <c:v>21.029402473497342</c:v>
                </c:pt>
                <c:pt idx="29">
                  <c:v>21.76614860302848</c:v>
                </c:pt>
                <c:pt idx="30">
                  <c:v>22.5028463317343</c:v>
                </c:pt>
                <c:pt idx="31">
                  <c:v>23.239548507725456</c:v>
                </c:pt>
                <c:pt idx="32">
                  <c:v>23.976307672652879</c:v>
                </c:pt>
                <c:pt idx="33">
                  <c:v>24.713176084016396</c:v>
                </c:pt>
                <c:pt idx="34">
                  <c:v>25.450205737062152</c:v>
                </c:pt>
                <c:pt idx="35">
                  <c:v>26.18744838629306</c:v>
                </c:pt>
                <c:pt idx="36">
                  <c:v>26.925174422792974</c:v>
                </c:pt>
                <c:pt idx="37">
                  <c:v>27.663987553960297</c:v>
                </c:pt>
                <c:pt idx="38">
                  <c:v>28.404283435746866</c:v>
                </c:pt>
                <c:pt idx="39">
                  <c:v>29.146133975232317</c:v>
                </c:pt>
                <c:pt idx="40">
                  <c:v>29.889611593396399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5D-4856-8BCE-3174CDAA0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837552"/>
        <c:axId val="521836896"/>
      </c:scatterChart>
      <c:valAx>
        <c:axId val="521837552"/>
        <c:scaling>
          <c:orientation val="minMax"/>
          <c:max val="0.8"/>
          <c:min val="0.4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6896"/>
        <c:crosses val="autoZero"/>
        <c:crossBetween val="midCat"/>
        <c:majorUnit val="5.000000000000001E-2"/>
      </c:valAx>
      <c:valAx>
        <c:axId val="521836896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to Accel (sec)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7552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1200" b="1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T-38A Fuel to Accelelerate</a:t>
            </a:r>
          </a:p>
          <a:p>
            <a:pPr>
              <a:defRPr/>
            </a:pPr>
            <a:r>
              <a:rPr lang="en-US" sz="1200" b="0"/>
              <a:t>10k ft; W = 10,000 lb;</a:t>
            </a:r>
            <a:r>
              <a:rPr lang="en-US" sz="1200" b="0" baseline="0"/>
              <a:t> Max AB</a:t>
            </a:r>
            <a:endParaRPr lang="en-US" sz="1200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'14 - Accel at 10k'!$C$8:$C$48</c:f>
              <c:numCache>
                <c:formatCode>0.0000</c:formatCode>
                <c:ptCount val="41"/>
                <c:pt idx="0">
                  <c:v>0.4</c:v>
                </c:pt>
                <c:pt idx="1">
                  <c:v>0.41</c:v>
                </c:pt>
                <c:pt idx="2">
                  <c:v>0.42</c:v>
                </c:pt>
                <c:pt idx="3">
                  <c:v>0.43</c:v>
                </c:pt>
                <c:pt idx="4">
                  <c:v>0.44</c:v>
                </c:pt>
                <c:pt idx="5">
                  <c:v>0.45</c:v>
                </c:pt>
                <c:pt idx="6">
                  <c:v>0.46</c:v>
                </c:pt>
                <c:pt idx="7">
                  <c:v>0.47</c:v>
                </c:pt>
                <c:pt idx="8">
                  <c:v>0.48</c:v>
                </c:pt>
                <c:pt idx="9">
                  <c:v>0.49</c:v>
                </c:pt>
                <c:pt idx="10">
                  <c:v>0.5</c:v>
                </c:pt>
                <c:pt idx="11">
                  <c:v>0.50999999999999901</c:v>
                </c:pt>
                <c:pt idx="12">
                  <c:v>0.51999999999999902</c:v>
                </c:pt>
                <c:pt idx="13">
                  <c:v>0.52999999999999903</c:v>
                </c:pt>
                <c:pt idx="14">
                  <c:v>0.53999999999999904</c:v>
                </c:pt>
                <c:pt idx="15">
                  <c:v>0.54999999999999905</c:v>
                </c:pt>
                <c:pt idx="16">
                  <c:v>0.55999999999999905</c:v>
                </c:pt>
                <c:pt idx="17">
                  <c:v>0.56999999999999895</c:v>
                </c:pt>
                <c:pt idx="18">
                  <c:v>0.57999999999999896</c:v>
                </c:pt>
                <c:pt idx="19">
                  <c:v>0.58999999999999897</c:v>
                </c:pt>
                <c:pt idx="20">
                  <c:v>0.59999999999999898</c:v>
                </c:pt>
                <c:pt idx="21">
                  <c:v>0.60999999999999899</c:v>
                </c:pt>
                <c:pt idx="22">
                  <c:v>0.619999999999999</c:v>
                </c:pt>
                <c:pt idx="23">
                  <c:v>0.62999999999999901</c:v>
                </c:pt>
                <c:pt idx="24">
                  <c:v>0.63999999999999901</c:v>
                </c:pt>
                <c:pt idx="25">
                  <c:v>0.64999999999999902</c:v>
                </c:pt>
                <c:pt idx="26">
                  <c:v>0.65999999999999903</c:v>
                </c:pt>
                <c:pt idx="27">
                  <c:v>0.66999999999999904</c:v>
                </c:pt>
                <c:pt idx="28">
                  <c:v>0.67999999999999905</c:v>
                </c:pt>
                <c:pt idx="29">
                  <c:v>0.68999999999999895</c:v>
                </c:pt>
                <c:pt idx="30">
                  <c:v>0.69999999999999896</c:v>
                </c:pt>
                <c:pt idx="31">
                  <c:v>0.70999999999999897</c:v>
                </c:pt>
                <c:pt idx="32">
                  <c:v>0.71999999999999897</c:v>
                </c:pt>
                <c:pt idx="33">
                  <c:v>0.72999999999999798</c:v>
                </c:pt>
                <c:pt idx="34">
                  <c:v>0.73999999999999799</c:v>
                </c:pt>
                <c:pt idx="35">
                  <c:v>0.749999999999998</c:v>
                </c:pt>
                <c:pt idx="36">
                  <c:v>0.75999999999999801</c:v>
                </c:pt>
                <c:pt idx="37">
                  <c:v>0.76999999999999802</c:v>
                </c:pt>
                <c:pt idx="38">
                  <c:v>0.77999999999999803</c:v>
                </c:pt>
                <c:pt idx="39">
                  <c:v>0.78999999999999804</c:v>
                </c:pt>
                <c:pt idx="40">
                  <c:v>0.79999999999999805</c:v>
                </c:pt>
              </c:numCache>
            </c:numRef>
          </c:xVal>
          <c:yVal>
            <c:numRef>
              <c:f>'14 - Accel at 10k'!$P$8:$P$48</c:f>
              <c:numCache>
                <c:formatCode>0.0</c:formatCode>
                <c:ptCount val="41"/>
                <c:pt idx="0">
                  <c:v>0</c:v>
                </c:pt>
                <c:pt idx="1">
                  <c:v>2.8634716831375622</c:v>
                </c:pt>
                <c:pt idx="2">
                  <c:v>5.7190456302721628</c:v>
                </c:pt>
                <c:pt idx="3">
                  <c:v>8.5723995879575678</c:v>
                </c:pt>
                <c:pt idx="4">
                  <c:v>11.423977775973743</c:v>
                </c:pt>
                <c:pt idx="5">
                  <c:v>14.276658565629615</c:v>
                </c:pt>
                <c:pt idx="6">
                  <c:v>17.132935402804712</c:v>
                </c:pt>
                <c:pt idx="7">
                  <c:v>19.992909128529543</c:v>
                </c:pt>
                <c:pt idx="8">
                  <c:v>22.856678278470714</c:v>
                </c:pt>
                <c:pt idx="9">
                  <c:v>25.724339519002719</c:v>
                </c:pt>
                <c:pt idx="10">
                  <c:v>28.595987691594637</c:v>
                </c:pt>
                <c:pt idx="11">
                  <c:v>31.47171585512142</c:v>
                </c:pt>
                <c:pt idx="12">
                  <c:v>34.351615326251256</c:v>
                </c:pt>
                <c:pt idx="13">
                  <c:v>37.235775717984737</c:v>
                </c:pt>
                <c:pt idx="14">
                  <c:v>40.125391790198066</c:v>
                </c:pt>
                <c:pt idx="15">
                  <c:v>43.023614850498355</c:v>
                </c:pt>
                <c:pt idx="16">
                  <c:v>45.93255126689089</c:v>
                </c:pt>
                <c:pt idx="17">
                  <c:v>48.85240532391456</c:v>
                </c:pt>
                <c:pt idx="18">
                  <c:v>51.78338169535354</c:v>
                </c:pt>
                <c:pt idx="19">
                  <c:v>54.725685817492391</c:v>
                </c:pt>
                <c:pt idx="20">
                  <c:v>57.679523962123319</c:v>
                </c:pt>
                <c:pt idx="21">
                  <c:v>60.645103308963662</c:v>
                </c:pt>
                <c:pt idx="22">
                  <c:v>63.622632017608431</c:v>
                </c:pt>
                <c:pt idx="23">
                  <c:v>66.612319299094921</c:v>
                </c:pt>
                <c:pt idx="24">
                  <c:v>69.614375487152259</c:v>
                </c:pt>
                <c:pt idx="25">
                  <c:v>72.629012109208745</c:v>
                </c:pt>
                <c:pt idx="26">
                  <c:v>75.656441957227131</c:v>
                </c:pt>
                <c:pt idx="27">
                  <c:v>78.696879158436133</c:v>
                </c:pt>
                <c:pt idx="28">
                  <c:v>81.75053924602652</c:v>
                </c:pt>
                <c:pt idx="29">
                  <c:v>84.817639229876917</c:v>
                </c:pt>
                <c:pt idx="30">
                  <c:v>87.898397667375249</c:v>
                </c:pt>
                <c:pt idx="31">
                  <c:v>90.993034734399231</c:v>
                </c:pt>
                <c:pt idx="32">
                  <c:v>94.1017722965193</c:v>
                </c:pt>
                <c:pt idx="33">
                  <c:v>97.224833980486522</c:v>
                </c:pt>
                <c:pt idx="34">
                  <c:v>100.36244524606853</c:v>
                </c:pt>
                <c:pt idx="35">
                  <c:v>103.51483345829071</c:v>
                </c:pt>
                <c:pt idx="36">
                  <c:v>106.68316788841543</c:v>
                </c:pt>
                <c:pt idx="37">
                  <c:v>109.87007084339832</c:v>
                </c:pt>
                <c:pt idx="38">
                  <c:v>113.07729735068142</c:v>
                </c:pt>
                <c:pt idx="39">
                  <c:v>116.3052160820823</c:v>
                </c:pt>
                <c:pt idx="40">
                  <c:v>119.55420201365075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E1-44D1-85EA-BEFD81926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837552"/>
        <c:axId val="521836896"/>
      </c:scatterChart>
      <c:valAx>
        <c:axId val="521837552"/>
        <c:scaling>
          <c:orientation val="minMax"/>
          <c:max val="0.8"/>
          <c:min val="0.4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6896"/>
        <c:crosses val="autoZero"/>
        <c:crossBetween val="midCat"/>
      </c:valAx>
      <c:valAx>
        <c:axId val="521836896"/>
        <c:scaling>
          <c:orientation val="minMax"/>
          <c:max val="120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Fuel to Accel (lb)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7552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1200" b="1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T-38A Distance to Accelelerate</a:t>
            </a:r>
          </a:p>
          <a:p>
            <a:pPr>
              <a:defRPr/>
            </a:pPr>
            <a:r>
              <a:rPr lang="en-US" sz="1200" b="0"/>
              <a:t>10k ft; W = 10,000 lb; Max AB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'14 - Accel at 10k'!$C$8:$C$48</c:f>
              <c:numCache>
                <c:formatCode>0.0000</c:formatCode>
                <c:ptCount val="41"/>
                <c:pt idx="0">
                  <c:v>0.4</c:v>
                </c:pt>
                <c:pt idx="1">
                  <c:v>0.41</c:v>
                </c:pt>
                <c:pt idx="2">
                  <c:v>0.42</c:v>
                </c:pt>
                <c:pt idx="3">
                  <c:v>0.43</c:v>
                </c:pt>
                <c:pt idx="4">
                  <c:v>0.44</c:v>
                </c:pt>
                <c:pt idx="5">
                  <c:v>0.45</c:v>
                </c:pt>
                <c:pt idx="6">
                  <c:v>0.46</c:v>
                </c:pt>
                <c:pt idx="7">
                  <c:v>0.47</c:v>
                </c:pt>
                <c:pt idx="8">
                  <c:v>0.48</c:v>
                </c:pt>
                <c:pt idx="9">
                  <c:v>0.49</c:v>
                </c:pt>
                <c:pt idx="10">
                  <c:v>0.5</c:v>
                </c:pt>
                <c:pt idx="11">
                  <c:v>0.50999999999999901</c:v>
                </c:pt>
                <c:pt idx="12">
                  <c:v>0.51999999999999902</c:v>
                </c:pt>
                <c:pt idx="13">
                  <c:v>0.52999999999999903</c:v>
                </c:pt>
                <c:pt idx="14">
                  <c:v>0.53999999999999904</c:v>
                </c:pt>
                <c:pt idx="15">
                  <c:v>0.54999999999999905</c:v>
                </c:pt>
                <c:pt idx="16">
                  <c:v>0.55999999999999905</c:v>
                </c:pt>
                <c:pt idx="17">
                  <c:v>0.56999999999999895</c:v>
                </c:pt>
                <c:pt idx="18">
                  <c:v>0.57999999999999896</c:v>
                </c:pt>
                <c:pt idx="19">
                  <c:v>0.58999999999999897</c:v>
                </c:pt>
                <c:pt idx="20">
                  <c:v>0.59999999999999898</c:v>
                </c:pt>
                <c:pt idx="21">
                  <c:v>0.60999999999999899</c:v>
                </c:pt>
                <c:pt idx="22">
                  <c:v>0.619999999999999</c:v>
                </c:pt>
                <c:pt idx="23">
                  <c:v>0.62999999999999901</c:v>
                </c:pt>
                <c:pt idx="24">
                  <c:v>0.63999999999999901</c:v>
                </c:pt>
                <c:pt idx="25">
                  <c:v>0.64999999999999902</c:v>
                </c:pt>
                <c:pt idx="26">
                  <c:v>0.65999999999999903</c:v>
                </c:pt>
                <c:pt idx="27">
                  <c:v>0.66999999999999904</c:v>
                </c:pt>
                <c:pt idx="28">
                  <c:v>0.67999999999999905</c:v>
                </c:pt>
                <c:pt idx="29">
                  <c:v>0.68999999999999895</c:v>
                </c:pt>
                <c:pt idx="30">
                  <c:v>0.69999999999999896</c:v>
                </c:pt>
                <c:pt idx="31">
                  <c:v>0.70999999999999897</c:v>
                </c:pt>
                <c:pt idx="32">
                  <c:v>0.71999999999999897</c:v>
                </c:pt>
                <c:pt idx="33">
                  <c:v>0.72999999999999798</c:v>
                </c:pt>
                <c:pt idx="34">
                  <c:v>0.73999999999999799</c:v>
                </c:pt>
                <c:pt idx="35">
                  <c:v>0.749999999999998</c:v>
                </c:pt>
                <c:pt idx="36">
                  <c:v>0.75999999999999801</c:v>
                </c:pt>
                <c:pt idx="37">
                  <c:v>0.76999999999999802</c:v>
                </c:pt>
                <c:pt idx="38">
                  <c:v>0.77999999999999803</c:v>
                </c:pt>
                <c:pt idx="39">
                  <c:v>0.78999999999999804</c:v>
                </c:pt>
                <c:pt idx="40">
                  <c:v>0.79999999999999805</c:v>
                </c:pt>
              </c:numCache>
            </c:numRef>
          </c:xVal>
          <c:yVal>
            <c:numRef>
              <c:f>'14 - Accel at 10k'!$S$8:$S$48</c:f>
              <c:numCache>
                <c:formatCode>0.00</c:formatCode>
                <c:ptCount val="41"/>
                <c:pt idx="0">
                  <c:v>0</c:v>
                </c:pt>
                <c:pt idx="1">
                  <c:v>5.6548246502806807E-2</c:v>
                </c:pt>
                <c:pt idx="2">
                  <c:v>0.11403549607580536</c:v>
                </c:pt>
                <c:pt idx="3">
                  <c:v>0.17256096540358487</c:v>
                </c:pt>
                <c:pt idx="4">
                  <c:v>0.2321212218353913</c:v>
                </c:pt>
                <c:pt idx="5">
                  <c:v>0.29276526825448446</c:v>
                </c:pt>
                <c:pt idx="6">
                  <c:v>0.35453714582119306</c:v>
                </c:pt>
                <c:pt idx="7">
                  <c:v>0.4174311542930651</c:v>
                </c:pt>
                <c:pt idx="8">
                  <c:v>0.48144176964051383</c:v>
                </c:pt>
                <c:pt idx="9">
                  <c:v>0.54656364612996922</c:v>
                </c:pt>
                <c:pt idx="10">
                  <c:v>0.61279161033807794</c:v>
                </c:pt>
                <c:pt idx="11">
                  <c:v>0.68012065536743704</c:v>
                </c:pt>
                <c:pt idx="12">
                  <c:v>0.74854593525579716</c:v>
                </c:pt>
                <c:pt idx="13">
                  <c:v>0.81806275956960439</c:v>
                </c:pt>
                <c:pt idx="14">
                  <c:v>0.88869364202121715</c:v>
                </c:pt>
                <c:pt idx="15">
                  <c:v>0.96051088291669573</c:v>
                </c:pt>
                <c:pt idx="16">
                  <c:v>1.0335637771313793</c:v>
                </c:pt>
                <c:pt idx="17">
                  <c:v>1.1078553627320642</c:v>
                </c:pt>
                <c:pt idx="18">
                  <c:v>1.183388919146432</c:v>
                </c:pt>
                <c:pt idx="19">
                  <c:v>1.2601679730280642</c:v>
                </c:pt>
                <c:pt idx="20">
                  <c:v>1.3381962968805534</c:v>
                </c:pt>
                <c:pt idx="21">
                  <c:v>1.4174779078594064</c:v>
                </c:pt>
                <c:pt idx="22">
                  <c:v>1.4980170667485821</c:v>
                </c:pt>
                <c:pt idx="23">
                  <c:v>1.5798182771076821</c:v>
                </c:pt>
                <c:pt idx="24">
                  <c:v>1.6628862845860592</c:v>
                </c:pt>
                <c:pt idx="25">
                  <c:v>1.7472260764004601</c:v>
                </c:pt>
                <c:pt idx="26">
                  <c:v>1.8328428809730544</c:v>
                </c:pt>
                <c:pt idx="27">
                  <c:v>1.9197421677269757</c:v>
                </c:pt>
                <c:pt idx="28">
                  <c:v>2.0079296470367898</c:v>
                </c:pt>
                <c:pt idx="29">
                  <c:v>2.0974112703314982</c:v>
                </c:pt>
                <c:pt idx="30">
                  <c:v>2.1881932303479794</c:v>
                </c:pt>
                <c:pt idx="31">
                  <c:v>2.2802819615329533</c:v>
                </c:pt>
                <c:pt idx="32">
                  <c:v>2.3736841405918021</c:v>
                </c:pt>
                <c:pt idx="33">
                  <c:v>2.468406687182787</c:v>
                </c:pt>
                <c:pt idx="34">
                  <c:v>2.5644567647554579</c:v>
                </c:pt>
                <c:pt idx="35">
                  <c:v>2.6618417815320696</c:v>
                </c:pt>
                <c:pt idx="36">
                  <c:v>2.7605986891726859</c:v>
                </c:pt>
                <c:pt idx="37">
                  <c:v>2.8608110885312685</c:v>
                </c:pt>
                <c:pt idx="38">
                  <c:v>2.9625372027773871</c:v>
                </c:pt>
                <c:pt idx="39">
                  <c:v>3.0657922983945074</c:v>
                </c:pt>
                <c:pt idx="40">
                  <c:v>3.1705920967933454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83-4CEF-BDC1-226B3B9B0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837552"/>
        <c:axId val="521836896"/>
      </c:scatterChart>
      <c:valAx>
        <c:axId val="521837552"/>
        <c:scaling>
          <c:orientation val="minMax"/>
          <c:max val="0.8"/>
          <c:min val="0.4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6896"/>
        <c:crosses val="autoZero"/>
        <c:crossBetween val="midCat"/>
      </c:valAx>
      <c:valAx>
        <c:axId val="521836896"/>
        <c:scaling>
          <c:orientation val="minMax"/>
          <c:max val="4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to Accel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7552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1200" b="1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T-38A Time to Accelelerate</a:t>
            </a:r>
          </a:p>
          <a:p>
            <a:pPr>
              <a:defRPr/>
            </a:pPr>
            <a:r>
              <a:rPr lang="en-US" sz="1200" b="0"/>
              <a:t>30k ft; W = 10,000 lb; Max</a:t>
            </a:r>
            <a:r>
              <a:rPr lang="en-US" sz="1200" b="0" baseline="0"/>
              <a:t> </a:t>
            </a:r>
            <a:r>
              <a:rPr lang="en-US" sz="1200" b="0"/>
              <a:t>AB</a:t>
            </a:r>
          </a:p>
        </c:rich>
      </c:tx>
      <c:layout>
        <c:manualLayout>
          <c:xMode val="edge"/>
          <c:yMode val="edge"/>
          <c:x val="0.32423466511130555"/>
          <c:y val="3.03377864282735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'14 - Accel at 30k'!$C$8:$C$48</c:f>
              <c:numCache>
                <c:formatCode>0.0000</c:formatCode>
                <c:ptCount val="41"/>
                <c:pt idx="0">
                  <c:v>0.5</c:v>
                </c:pt>
                <c:pt idx="1">
                  <c:v>0.51</c:v>
                </c:pt>
                <c:pt idx="2">
                  <c:v>0.52</c:v>
                </c:pt>
                <c:pt idx="3">
                  <c:v>0.53</c:v>
                </c:pt>
                <c:pt idx="4">
                  <c:v>0.54</c:v>
                </c:pt>
                <c:pt idx="5">
                  <c:v>0.55000000000000004</c:v>
                </c:pt>
                <c:pt idx="6">
                  <c:v>0.56000000000000005</c:v>
                </c:pt>
                <c:pt idx="7">
                  <c:v>0.56999999999999995</c:v>
                </c:pt>
                <c:pt idx="8">
                  <c:v>0.57999999999999996</c:v>
                </c:pt>
                <c:pt idx="9">
                  <c:v>0.59</c:v>
                </c:pt>
                <c:pt idx="10">
                  <c:v>0.6</c:v>
                </c:pt>
                <c:pt idx="11">
                  <c:v>0.61</c:v>
                </c:pt>
                <c:pt idx="12">
                  <c:v>0.62</c:v>
                </c:pt>
                <c:pt idx="13">
                  <c:v>0.63</c:v>
                </c:pt>
                <c:pt idx="14">
                  <c:v>0.64</c:v>
                </c:pt>
                <c:pt idx="15">
                  <c:v>0.65</c:v>
                </c:pt>
                <c:pt idx="16">
                  <c:v>0.66</c:v>
                </c:pt>
                <c:pt idx="17">
                  <c:v>0.67</c:v>
                </c:pt>
                <c:pt idx="18">
                  <c:v>0.68</c:v>
                </c:pt>
                <c:pt idx="19">
                  <c:v>0.69</c:v>
                </c:pt>
                <c:pt idx="20">
                  <c:v>0.7</c:v>
                </c:pt>
                <c:pt idx="21">
                  <c:v>0.71</c:v>
                </c:pt>
                <c:pt idx="22">
                  <c:v>0.72</c:v>
                </c:pt>
                <c:pt idx="23">
                  <c:v>0.73</c:v>
                </c:pt>
                <c:pt idx="24">
                  <c:v>0.74</c:v>
                </c:pt>
                <c:pt idx="25">
                  <c:v>0.75</c:v>
                </c:pt>
                <c:pt idx="26">
                  <c:v>0.76</c:v>
                </c:pt>
                <c:pt idx="27">
                  <c:v>0.77</c:v>
                </c:pt>
                <c:pt idx="28">
                  <c:v>0.78</c:v>
                </c:pt>
                <c:pt idx="29">
                  <c:v>0.79</c:v>
                </c:pt>
                <c:pt idx="30">
                  <c:v>0.8</c:v>
                </c:pt>
                <c:pt idx="31">
                  <c:v>0.81</c:v>
                </c:pt>
                <c:pt idx="32">
                  <c:v>0.82</c:v>
                </c:pt>
                <c:pt idx="33">
                  <c:v>0.83</c:v>
                </c:pt>
                <c:pt idx="34">
                  <c:v>0.84</c:v>
                </c:pt>
                <c:pt idx="35">
                  <c:v>0.85</c:v>
                </c:pt>
                <c:pt idx="36">
                  <c:v>0.86</c:v>
                </c:pt>
                <c:pt idx="37">
                  <c:v>0.87</c:v>
                </c:pt>
                <c:pt idx="38">
                  <c:v>0.88</c:v>
                </c:pt>
                <c:pt idx="39">
                  <c:v>0.89</c:v>
                </c:pt>
                <c:pt idx="40">
                  <c:v>0.9</c:v>
                </c:pt>
              </c:numCache>
            </c:numRef>
          </c:xVal>
          <c:yVal>
            <c:numRef>
              <c:f>'14 - Accel at 30k'!$M$8:$M$48</c:f>
              <c:numCache>
                <c:formatCode>0.00</c:formatCode>
                <c:ptCount val="41"/>
                <c:pt idx="0">
                  <c:v>0</c:v>
                </c:pt>
                <c:pt idx="1">
                  <c:v>1.7224761324072173</c:v>
                </c:pt>
                <c:pt idx="2">
                  <c:v>3.3629696931810349</c:v>
                </c:pt>
                <c:pt idx="3">
                  <c:v>4.9448057414613977</c:v>
                </c:pt>
                <c:pt idx="4">
                  <c:v>6.4832093754338693</c:v>
                </c:pt>
                <c:pt idx="5">
                  <c:v>7.9800118084382508</c:v>
                </c:pt>
                <c:pt idx="6">
                  <c:v>9.436934796310533</c:v>
                </c:pt>
                <c:pt idx="7">
                  <c:v>10.855602617335011</c:v>
                </c:pt>
                <c:pt idx="8">
                  <c:v>12.23910691353848</c:v>
                </c:pt>
                <c:pt idx="9">
                  <c:v>13.594946545411004</c:v>
                </c:pt>
                <c:pt idx="10">
                  <c:v>14.92847842351283</c:v>
                </c:pt>
                <c:pt idx="11">
                  <c:v>16.240238985655999</c:v>
                </c:pt>
                <c:pt idx="12">
                  <c:v>17.53229524277981</c:v>
                </c:pt>
                <c:pt idx="13">
                  <c:v>18.810323651341456</c:v>
                </c:pt>
                <c:pt idx="14">
                  <c:v>20.078238180213141</c:v>
                </c:pt>
                <c:pt idx="15">
                  <c:v>21.336188166175585</c:v>
                </c:pt>
                <c:pt idx="16">
                  <c:v>22.584318567630028</c:v>
                </c:pt>
                <c:pt idx="17">
                  <c:v>23.82332237853845</c:v>
                </c:pt>
                <c:pt idx="18">
                  <c:v>25.054731700570791</c:v>
                </c:pt>
                <c:pt idx="19">
                  <c:v>26.279505816098101</c:v>
                </c:pt>
                <c:pt idx="20">
                  <c:v>27.497745420651992</c:v>
                </c:pt>
                <c:pt idx="21">
                  <c:v>28.709548578016008</c:v>
                </c:pt>
                <c:pt idx="22">
                  <c:v>29.915010939555579</c:v>
                </c:pt>
                <c:pt idx="23">
                  <c:v>31.114225816209377</c:v>
                </c:pt>
                <c:pt idx="24">
                  <c:v>32.30728424774739</c:v>
                </c:pt>
                <c:pt idx="25">
                  <c:v>33.494275069442175</c:v>
                </c:pt>
                <c:pt idx="26">
                  <c:v>34.675284976269069</c:v>
                </c:pt>
                <c:pt idx="27">
                  <c:v>35.850398584745164</c:v>
                </c:pt>
                <c:pt idx="28">
                  <c:v>37.019698492511189</c:v>
                </c:pt>
                <c:pt idx="29">
                  <c:v>38.183265335755202</c:v>
                </c:pt>
                <c:pt idx="30">
                  <c:v>39.341177844571952</c:v>
                </c:pt>
                <c:pt idx="31">
                  <c:v>40.494576636352257</c:v>
                </c:pt>
                <c:pt idx="32">
                  <c:v>41.645409425464599</c:v>
                </c:pt>
                <c:pt idx="33">
                  <c:v>42.795159795787889</c:v>
                </c:pt>
                <c:pt idx="34">
                  <c:v>43.944541442872435</c:v>
                </c:pt>
                <c:pt idx="35">
                  <c:v>45.093718696503359</c:v>
                </c:pt>
                <c:pt idx="36">
                  <c:v>46.244371310707962</c:v>
                </c:pt>
                <c:pt idx="37">
                  <c:v>47.398259501175005</c:v>
                </c:pt>
                <c:pt idx="38">
                  <c:v>48.555706250577863</c:v>
                </c:pt>
                <c:pt idx="39">
                  <c:v>49.717044170722644</c:v>
                </c:pt>
                <c:pt idx="40">
                  <c:v>50.882616455644396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07-4DC8-9290-A90B6FA64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837552"/>
        <c:axId val="521836896"/>
      </c:scatterChart>
      <c:valAx>
        <c:axId val="521837552"/>
        <c:scaling>
          <c:orientation val="minMax"/>
          <c:max val="0.9"/>
          <c:min val="0.5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6896"/>
        <c:crosses val="autoZero"/>
        <c:crossBetween val="midCat"/>
        <c:majorUnit val="5.000000000000001E-2"/>
      </c:valAx>
      <c:valAx>
        <c:axId val="521836896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to Accel (sec)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7552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1200" b="1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T-38A Fuel to Accelelerate</a:t>
            </a:r>
          </a:p>
          <a:p>
            <a:pPr>
              <a:defRPr/>
            </a:pPr>
            <a:r>
              <a:rPr lang="en-US" sz="1200" b="0"/>
              <a:t>30k ft; W = 10,000 lb;</a:t>
            </a:r>
            <a:r>
              <a:rPr lang="en-US" sz="1200" b="0" baseline="0"/>
              <a:t> Max AB</a:t>
            </a:r>
            <a:endParaRPr lang="en-US" sz="1200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'14 - Accel at 30k'!$C$8:$C$48</c:f>
              <c:numCache>
                <c:formatCode>0.0000</c:formatCode>
                <c:ptCount val="41"/>
                <c:pt idx="0">
                  <c:v>0.5</c:v>
                </c:pt>
                <c:pt idx="1">
                  <c:v>0.51</c:v>
                </c:pt>
                <c:pt idx="2">
                  <c:v>0.52</c:v>
                </c:pt>
                <c:pt idx="3">
                  <c:v>0.53</c:v>
                </c:pt>
                <c:pt idx="4">
                  <c:v>0.54</c:v>
                </c:pt>
                <c:pt idx="5">
                  <c:v>0.55000000000000004</c:v>
                </c:pt>
                <c:pt idx="6">
                  <c:v>0.56000000000000005</c:v>
                </c:pt>
                <c:pt idx="7">
                  <c:v>0.56999999999999995</c:v>
                </c:pt>
                <c:pt idx="8">
                  <c:v>0.57999999999999996</c:v>
                </c:pt>
                <c:pt idx="9">
                  <c:v>0.59</c:v>
                </c:pt>
                <c:pt idx="10">
                  <c:v>0.6</c:v>
                </c:pt>
                <c:pt idx="11">
                  <c:v>0.61</c:v>
                </c:pt>
                <c:pt idx="12">
                  <c:v>0.62</c:v>
                </c:pt>
                <c:pt idx="13">
                  <c:v>0.63</c:v>
                </c:pt>
                <c:pt idx="14">
                  <c:v>0.64</c:v>
                </c:pt>
                <c:pt idx="15">
                  <c:v>0.65</c:v>
                </c:pt>
                <c:pt idx="16">
                  <c:v>0.66</c:v>
                </c:pt>
                <c:pt idx="17">
                  <c:v>0.67</c:v>
                </c:pt>
                <c:pt idx="18">
                  <c:v>0.68</c:v>
                </c:pt>
                <c:pt idx="19">
                  <c:v>0.69</c:v>
                </c:pt>
                <c:pt idx="20">
                  <c:v>0.7</c:v>
                </c:pt>
                <c:pt idx="21">
                  <c:v>0.71</c:v>
                </c:pt>
                <c:pt idx="22">
                  <c:v>0.72</c:v>
                </c:pt>
                <c:pt idx="23">
                  <c:v>0.73</c:v>
                </c:pt>
                <c:pt idx="24">
                  <c:v>0.74</c:v>
                </c:pt>
                <c:pt idx="25">
                  <c:v>0.75</c:v>
                </c:pt>
                <c:pt idx="26">
                  <c:v>0.76</c:v>
                </c:pt>
                <c:pt idx="27">
                  <c:v>0.77</c:v>
                </c:pt>
                <c:pt idx="28">
                  <c:v>0.78</c:v>
                </c:pt>
                <c:pt idx="29">
                  <c:v>0.79</c:v>
                </c:pt>
                <c:pt idx="30">
                  <c:v>0.8</c:v>
                </c:pt>
                <c:pt idx="31">
                  <c:v>0.81</c:v>
                </c:pt>
                <c:pt idx="32">
                  <c:v>0.82</c:v>
                </c:pt>
                <c:pt idx="33">
                  <c:v>0.83</c:v>
                </c:pt>
                <c:pt idx="34">
                  <c:v>0.84</c:v>
                </c:pt>
                <c:pt idx="35">
                  <c:v>0.85</c:v>
                </c:pt>
                <c:pt idx="36">
                  <c:v>0.86</c:v>
                </c:pt>
                <c:pt idx="37">
                  <c:v>0.87</c:v>
                </c:pt>
                <c:pt idx="38">
                  <c:v>0.88</c:v>
                </c:pt>
                <c:pt idx="39">
                  <c:v>0.89</c:v>
                </c:pt>
                <c:pt idx="40">
                  <c:v>0.9</c:v>
                </c:pt>
              </c:numCache>
            </c:numRef>
          </c:xVal>
          <c:yVal>
            <c:numRef>
              <c:f>'14 - Accel at 30k'!$P$8:$P$48</c:f>
              <c:numCache>
                <c:formatCode>0.0</c:formatCode>
                <c:ptCount val="41"/>
                <c:pt idx="0">
                  <c:v>0</c:v>
                </c:pt>
                <c:pt idx="1">
                  <c:v>3.4212925271064756</c:v>
                </c:pt>
                <c:pt idx="2">
                  <c:v>6.7005975502703823</c:v>
                </c:pt>
                <c:pt idx="3">
                  <c:v>9.8827536617229548</c:v>
                </c:pt>
                <c:pt idx="4">
                  <c:v>12.997091348952685</c:v>
                </c:pt>
                <c:pt idx="5">
                  <c:v>16.046236890379895</c:v>
                </c:pt>
                <c:pt idx="6">
                  <c:v>19.032662023655018</c:v>
                </c:pt>
                <c:pt idx="7">
                  <c:v>21.958703089586734</c:v>
                </c:pt>
                <c:pt idx="8">
                  <c:v>24.829803493974353</c:v>
                </c:pt>
                <c:pt idx="9">
                  <c:v>27.660726576194207</c:v>
                </c:pt>
                <c:pt idx="10">
                  <c:v>30.462022112936513</c:v>
                </c:pt>
                <c:pt idx="11">
                  <c:v>33.234256708877041</c:v>
                </c:pt>
                <c:pt idx="12">
                  <c:v>35.981271544670562</c:v>
                </c:pt>
                <c:pt idx="13">
                  <c:v>38.714706466871057</c:v>
                </c:pt>
                <c:pt idx="14">
                  <c:v>41.442625780559936</c:v>
                </c:pt>
                <c:pt idx="15">
                  <c:v>44.165095576651339</c:v>
                </c:pt>
                <c:pt idx="16">
                  <c:v>46.882178109115863</c:v>
                </c:pt>
                <c:pt idx="17">
                  <c:v>49.595141155907022</c:v>
                </c:pt>
                <c:pt idx="18">
                  <c:v>52.307126922963732</c:v>
                </c:pt>
                <c:pt idx="19">
                  <c:v>55.020067212240349</c:v>
                </c:pt>
                <c:pt idx="20">
                  <c:v>57.73401767569888</c:v>
                </c:pt>
                <c:pt idx="21">
                  <c:v>60.449031908616078</c:v>
                </c:pt>
                <c:pt idx="22">
                  <c:v>63.165161809970783</c:v>
                </c:pt>
                <c:pt idx="23">
                  <c:v>65.882457622916448</c:v>
                </c:pt>
                <c:pt idx="24">
                  <c:v>68.600967973600774</c:v>
                </c:pt>
                <c:pt idx="25">
                  <c:v>71.320739908459672</c:v>
                </c:pt>
                <c:pt idx="26">
                  <c:v>74.041818930055044</c:v>
                </c:pt>
                <c:pt idx="27">
                  <c:v>76.764249031522212</c:v>
                </c:pt>
                <c:pt idx="28">
                  <c:v>79.488072729689691</c:v>
                </c:pt>
                <c:pt idx="29">
                  <c:v>82.213331096930631</c:v>
                </c:pt>
                <c:pt idx="30">
                  <c:v>84.940063791802544</c:v>
                </c:pt>
                <c:pt idx="31">
                  <c:v>87.670827577974748</c:v>
                </c:pt>
                <c:pt idx="32">
                  <c:v>90.410143837859238</c:v>
                </c:pt>
                <c:pt idx="33">
                  <c:v>93.161497558590668</c:v>
                </c:pt>
                <c:pt idx="34">
                  <c:v>95.926578169515764</c:v>
                </c:pt>
                <c:pt idx="35">
                  <c:v>98.705773716068748</c:v>
                </c:pt>
                <c:pt idx="36">
                  <c:v>101.50316270699629</c:v>
                </c:pt>
                <c:pt idx="37">
                  <c:v>104.32308433838847</c:v>
                </c:pt>
                <c:pt idx="38">
                  <c:v>107.1664142862377</c:v>
                </c:pt>
                <c:pt idx="39">
                  <c:v>110.03406431924711</c:v>
                </c:pt>
                <c:pt idx="40">
                  <c:v>112.92698515395648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49-49D8-A390-F2E2E0CCD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837552"/>
        <c:axId val="521836896"/>
      </c:scatterChart>
      <c:valAx>
        <c:axId val="521837552"/>
        <c:scaling>
          <c:orientation val="minMax"/>
          <c:max val="0.9"/>
          <c:min val="0.5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6896"/>
        <c:crosses val="autoZero"/>
        <c:crossBetween val="midCat"/>
      </c:valAx>
      <c:valAx>
        <c:axId val="521836896"/>
        <c:scaling>
          <c:orientation val="minMax"/>
          <c:max val="120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Fuel to Accel (lb)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7552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1200" b="1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T-38A Distance to Accelerate</a:t>
            </a:r>
          </a:p>
          <a:p>
            <a:pPr>
              <a:defRPr/>
            </a:pPr>
            <a:r>
              <a:rPr lang="en-US" sz="1200" b="0"/>
              <a:t>30k ft; W = 10,000 lb; Max AB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'14 - Accel at 30k'!$C$8:$C$48</c:f>
              <c:numCache>
                <c:formatCode>0.0000</c:formatCode>
                <c:ptCount val="41"/>
                <c:pt idx="0">
                  <c:v>0.5</c:v>
                </c:pt>
                <c:pt idx="1">
                  <c:v>0.51</c:v>
                </c:pt>
                <c:pt idx="2">
                  <c:v>0.52</c:v>
                </c:pt>
                <c:pt idx="3">
                  <c:v>0.53</c:v>
                </c:pt>
                <c:pt idx="4">
                  <c:v>0.54</c:v>
                </c:pt>
                <c:pt idx="5">
                  <c:v>0.55000000000000004</c:v>
                </c:pt>
                <c:pt idx="6">
                  <c:v>0.56000000000000005</c:v>
                </c:pt>
                <c:pt idx="7">
                  <c:v>0.56999999999999995</c:v>
                </c:pt>
                <c:pt idx="8">
                  <c:v>0.57999999999999996</c:v>
                </c:pt>
                <c:pt idx="9">
                  <c:v>0.59</c:v>
                </c:pt>
                <c:pt idx="10">
                  <c:v>0.6</c:v>
                </c:pt>
                <c:pt idx="11">
                  <c:v>0.61</c:v>
                </c:pt>
                <c:pt idx="12">
                  <c:v>0.62</c:v>
                </c:pt>
                <c:pt idx="13">
                  <c:v>0.63</c:v>
                </c:pt>
                <c:pt idx="14">
                  <c:v>0.64</c:v>
                </c:pt>
                <c:pt idx="15">
                  <c:v>0.65</c:v>
                </c:pt>
                <c:pt idx="16">
                  <c:v>0.66</c:v>
                </c:pt>
                <c:pt idx="17">
                  <c:v>0.67</c:v>
                </c:pt>
                <c:pt idx="18">
                  <c:v>0.68</c:v>
                </c:pt>
                <c:pt idx="19">
                  <c:v>0.69</c:v>
                </c:pt>
                <c:pt idx="20">
                  <c:v>0.7</c:v>
                </c:pt>
                <c:pt idx="21">
                  <c:v>0.71</c:v>
                </c:pt>
                <c:pt idx="22">
                  <c:v>0.72</c:v>
                </c:pt>
                <c:pt idx="23">
                  <c:v>0.73</c:v>
                </c:pt>
                <c:pt idx="24">
                  <c:v>0.74</c:v>
                </c:pt>
                <c:pt idx="25">
                  <c:v>0.75</c:v>
                </c:pt>
                <c:pt idx="26">
                  <c:v>0.76</c:v>
                </c:pt>
                <c:pt idx="27">
                  <c:v>0.77</c:v>
                </c:pt>
                <c:pt idx="28">
                  <c:v>0.78</c:v>
                </c:pt>
                <c:pt idx="29">
                  <c:v>0.79</c:v>
                </c:pt>
                <c:pt idx="30">
                  <c:v>0.8</c:v>
                </c:pt>
                <c:pt idx="31">
                  <c:v>0.81</c:v>
                </c:pt>
                <c:pt idx="32">
                  <c:v>0.82</c:v>
                </c:pt>
                <c:pt idx="33">
                  <c:v>0.83</c:v>
                </c:pt>
                <c:pt idx="34">
                  <c:v>0.84</c:v>
                </c:pt>
                <c:pt idx="35">
                  <c:v>0.85</c:v>
                </c:pt>
                <c:pt idx="36">
                  <c:v>0.86</c:v>
                </c:pt>
                <c:pt idx="37">
                  <c:v>0.87</c:v>
                </c:pt>
                <c:pt idx="38">
                  <c:v>0.88</c:v>
                </c:pt>
                <c:pt idx="39">
                  <c:v>0.89</c:v>
                </c:pt>
                <c:pt idx="40">
                  <c:v>0.9</c:v>
                </c:pt>
              </c:numCache>
            </c:numRef>
          </c:xVal>
          <c:yVal>
            <c:numRef>
              <c:f>'14 - Accel at 30k'!$S$8:$S$48</c:f>
              <c:numCache>
                <c:formatCode>0.00</c:formatCode>
                <c:ptCount val="41"/>
                <c:pt idx="0">
                  <c:v>0</c:v>
                </c:pt>
                <c:pt idx="1">
                  <c:v>0.14238921915641492</c:v>
                </c:pt>
                <c:pt idx="2">
                  <c:v>0.28068670232214116</c:v>
                </c:pt>
                <c:pt idx="3">
                  <c:v>0.41662858784263251</c:v>
                </c:pt>
                <c:pt idx="4">
                  <c:v>0.55135619503448419</c:v>
                </c:pt>
                <c:pt idx="5">
                  <c:v>0.68489069983012318</c:v>
                </c:pt>
                <c:pt idx="6">
                  <c:v>0.81725232668877457</c:v>
                </c:pt>
                <c:pt idx="7">
                  <c:v>0.94846073988592616</c:v>
                </c:pt>
                <c:pt idx="8">
                  <c:v>1.0786816943716473</c:v>
                </c:pt>
                <c:pt idx="9">
                  <c:v>1.2085181669513749</c:v>
                </c:pt>
                <c:pt idx="10">
                  <c:v>1.338401338591682</c:v>
                </c:pt>
                <c:pt idx="11">
                  <c:v>1.4683113024438017</c:v>
                </c:pt>
                <c:pt idx="12">
                  <c:v>1.5983848714876288</c:v>
                </c:pt>
                <c:pt idx="13">
                  <c:v>1.7291382870679537</c:v>
                </c:pt>
                <c:pt idx="14">
                  <c:v>1.8609324636844817</c:v>
                </c:pt>
                <c:pt idx="15">
                  <c:v>1.9937500570885691</c:v>
                </c:pt>
                <c:pt idx="16">
                  <c:v>2.1275739869495083</c:v>
                </c:pt>
                <c:pt idx="17">
                  <c:v>2.2624475420058343</c:v>
                </c:pt>
                <c:pt idx="18">
                  <c:v>2.3985101300163323</c:v>
                </c:pt>
                <c:pt idx="19">
                  <c:v>2.5358444521957439</c:v>
                </c:pt>
                <c:pt idx="20">
                  <c:v>2.6744402415417317</c:v>
                </c:pt>
                <c:pt idx="21">
                  <c:v>2.8142874218345177</c:v>
                </c:pt>
                <c:pt idx="22">
                  <c:v>2.9553761160754646</c:v>
                </c:pt>
                <c:pt idx="23">
                  <c:v>3.0976966392349499</c:v>
                </c:pt>
                <c:pt idx="24">
                  <c:v>3.2412394912606057</c:v>
                </c:pt>
                <c:pt idx="25">
                  <c:v>3.3859953503369509</c:v>
                </c:pt>
                <c:pt idx="26">
                  <c:v>3.5319550663853114</c:v>
                </c:pt>
                <c:pt idx="27">
                  <c:v>3.6791096547935154</c:v>
                </c:pt>
                <c:pt idx="28">
                  <c:v>3.827450290365376</c:v>
                </c:pt>
                <c:pt idx="29">
                  <c:v>3.9769683014805088</c:v>
                </c:pt>
                <c:pt idx="30">
                  <c:v>4.1276551644555033</c:v>
                </c:pt>
                <c:pt idx="31">
                  <c:v>4.2796426709436703</c:v>
                </c:pt>
                <c:pt idx="32">
                  <c:v>4.4331758892015811</c:v>
                </c:pt>
                <c:pt idx="33">
                  <c:v>4.5884467727047831</c:v>
                </c:pt>
                <c:pt idx="34">
                  <c:v>4.745549328803615</c:v>
                </c:pt>
                <c:pt idx="35">
                  <c:v>4.9045050806612336</c:v>
                </c:pt>
                <c:pt idx="36">
                  <c:v>5.0655484546221263</c:v>
                </c:pt>
                <c:pt idx="37">
                  <c:v>5.2289335189833297</c:v>
                </c:pt>
                <c:pt idx="38">
                  <c:v>5.394717128136377</c:v>
                </c:pt>
                <c:pt idx="39">
                  <c:v>5.562959117545561</c:v>
                </c:pt>
                <c:pt idx="40">
                  <c:v>5.7337225064315032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74-487A-A107-39437551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837552"/>
        <c:axId val="521836896"/>
      </c:scatterChart>
      <c:valAx>
        <c:axId val="521837552"/>
        <c:scaling>
          <c:orientation val="minMax"/>
          <c:max val="0.9"/>
          <c:min val="0.5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6896"/>
        <c:crosses val="autoZero"/>
        <c:crossBetween val="midCat"/>
      </c:valAx>
      <c:valAx>
        <c:axId val="521836896"/>
        <c:scaling>
          <c:orientation val="minMax"/>
          <c:max val="6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to Accel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7552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1200" b="1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T-38A Time to Decelerate </a:t>
            </a:r>
          </a:p>
          <a:p>
            <a:pPr>
              <a:defRPr/>
            </a:pPr>
            <a:r>
              <a:rPr lang="en-US" sz="1200" b="0"/>
              <a:t>30k ft; W = 10,000 lb; Idle Pwr</a:t>
            </a:r>
          </a:p>
        </c:rich>
      </c:tx>
      <c:layout>
        <c:manualLayout>
          <c:xMode val="edge"/>
          <c:yMode val="edge"/>
          <c:x val="0.33646876054762087"/>
          <c:y val="2.25670251108786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Speed Brake</c:v>
          </c:tx>
          <c:spPr>
            <a:ln w="31750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'15 - Decel at 30k SPBK'!$C$8:$C$48</c:f>
              <c:numCache>
                <c:formatCode>0.0000</c:formatCode>
                <c:ptCount val="41"/>
                <c:pt idx="0">
                  <c:v>0.9</c:v>
                </c:pt>
                <c:pt idx="1">
                  <c:v>0.89</c:v>
                </c:pt>
                <c:pt idx="2">
                  <c:v>0.88</c:v>
                </c:pt>
                <c:pt idx="3">
                  <c:v>0.87</c:v>
                </c:pt>
                <c:pt idx="4">
                  <c:v>0.86</c:v>
                </c:pt>
                <c:pt idx="5">
                  <c:v>0.85</c:v>
                </c:pt>
                <c:pt idx="6">
                  <c:v>0.84</c:v>
                </c:pt>
                <c:pt idx="7">
                  <c:v>0.83</c:v>
                </c:pt>
                <c:pt idx="8">
                  <c:v>0.82</c:v>
                </c:pt>
                <c:pt idx="9">
                  <c:v>0.81</c:v>
                </c:pt>
                <c:pt idx="10">
                  <c:v>0.8</c:v>
                </c:pt>
                <c:pt idx="11">
                  <c:v>0.79</c:v>
                </c:pt>
                <c:pt idx="12">
                  <c:v>0.78</c:v>
                </c:pt>
                <c:pt idx="13">
                  <c:v>0.77</c:v>
                </c:pt>
                <c:pt idx="14">
                  <c:v>0.76</c:v>
                </c:pt>
                <c:pt idx="15">
                  <c:v>0.75</c:v>
                </c:pt>
                <c:pt idx="16">
                  <c:v>0.74</c:v>
                </c:pt>
                <c:pt idx="17">
                  <c:v>0.73</c:v>
                </c:pt>
                <c:pt idx="18">
                  <c:v>0.72</c:v>
                </c:pt>
                <c:pt idx="19">
                  <c:v>0.71</c:v>
                </c:pt>
                <c:pt idx="20">
                  <c:v>0.7</c:v>
                </c:pt>
                <c:pt idx="21">
                  <c:v>0.69</c:v>
                </c:pt>
                <c:pt idx="22">
                  <c:v>0.68</c:v>
                </c:pt>
                <c:pt idx="23">
                  <c:v>0.67</c:v>
                </c:pt>
                <c:pt idx="24">
                  <c:v>0.66</c:v>
                </c:pt>
                <c:pt idx="25">
                  <c:v>0.65</c:v>
                </c:pt>
                <c:pt idx="26">
                  <c:v>0.64</c:v>
                </c:pt>
                <c:pt idx="27">
                  <c:v>0.63</c:v>
                </c:pt>
                <c:pt idx="28">
                  <c:v>0.62</c:v>
                </c:pt>
                <c:pt idx="29">
                  <c:v>0.61</c:v>
                </c:pt>
                <c:pt idx="30">
                  <c:v>0.6</c:v>
                </c:pt>
                <c:pt idx="31">
                  <c:v>0.59</c:v>
                </c:pt>
                <c:pt idx="32">
                  <c:v>0.57999999999999996</c:v>
                </c:pt>
                <c:pt idx="33">
                  <c:v>0.56999999999999995</c:v>
                </c:pt>
                <c:pt idx="34">
                  <c:v>0.56000000000000005</c:v>
                </c:pt>
                <c:pt idx="35">
                  <c:v>0.55000000000000004</c:v>
                </c:pt>
                <c:pt idx="36">
                  <c:v>0.54</c:v>
                </c:pt>
                <c:pt idx="37">
                  <c:v>0.53</c:v>
                </c:pt>
                <c:pt idx="38">
                  <c:v>0.52</c:v>
                </c:pt>
                <c:pt idx="39">
                  <c:v>0.51</c:v>
                </c:pt>
                <c:pt idx="40">
                  <c:v>0.5</c:v>
                </c:pt>
              </c:numCache>
            </c:numRef>
          </c:xVal>
          <c:yVal>
            <c:numRef>
              <c:f>'15 - Decel at 30k SPBK'!$M$8:$M$48</c:f>
              <c:numCache>
                <c:formatCode>0.00</c:formatCode>
                <c:ptCount val="41"/>
                <c:pt idx="0">
                  <c:v>0</c:v>
                </c:pt>
                <c:pt idx="1">
                  <c:v>0.93785328940246504</c:v>
                </c:pt>
                <c:pt idx="2">
                  <c:v>1.8967900956817694</c:v>
                </c:pt>
                <c:pt idx="3">
                  <c:v>2.8774036241623699</c:v>
                </c:pt>
                <c:pt idx="4">
                  <c:v>3.8803108451233488</c:v>
                </c:pt>
                <c:pt idx="5">
                  <c:v>4.9061484625744942</c:v>
                </c:pt>
                <c:pt idx="6">
                  <c:v>5.9543777125460506</c:v>
                </c:pt>
                <c:pt idx="7">
                  <c:v>7.0243754319332119</c:v>
                </c:pt>
                <c:pt idx="8">
                  <c:v>8.1167317947341608</c:v>
                </c:pt>
                <c:pt idx="9">
                  <c:v>9.2311208875824047</c:v>
                </c:pt>
                <c:pt idx="10">
                  <c:v>10.366835227582239</c:v>
                </c:pt>
                <c:pt idx="11">
                  <c:v>11.52304706180171</c:v>
                </c:pt>
                <c:pt idx="12">
                  <c:v>12.699170400406308</c:v>
                </c:pt>
                <c:pt idx="13">
                  <c:v>13.895654071499404</c:v>
                </c:pt>
                <c:pt idx="14">
                  <c:v>15.112957263929067</c:v>
                </c:pt>
                <c:pt idx="15">
                  <c:v>16.351549635496433</c:v>
                </c:pt>
                <c:pt idx="16">
                  <c:v>17.611911412203163</c:v>
                </c:pt>
                <c:pt idx="17">
                  <c:v>18.894533471036048</c:v>
                </c:pt>
                <c:pt idx="18">
                  <c:v>20.199917404114494</c:v>
                </c:pt>
                <c:pt idx="19">
                  <c:v>21.528575561834586</c:v>
                </c:pt>
                <c:pt idx="20">
                  <c:v>22.881031072438542</c:v>
                </c:pt>
                <c:pt idx="21">
                  <c:v>24.257817835220614</c:v>
                </c:pt>
                <c:pt idx="22">
                  <c:v>25.659480484349416</c:v>
                </c:pt>
                <c:pt idx="23">
                  <c:v>27.086574320042544</c:v>
                </c:pt>
                <c:pt idx="24">
                  <c:v>28.538231694860457</c:v>
                </c:pt>
                <c:pt idx="25">
                  <c:v>30.01298565709472</c:v>
                </c:pt>
                <c:pt idx="26">
                  <c:v>31.510740182126639</c:v>
                </c:pt>
                <c:pt idx="27">
                  <c:v>33.031875145358669</c:v>
                </c:pt>
                <c:pt idx="28">
                  <c:v>34.576771459139628</c:v>
                </c:pt>
                <c:pt idx="29">
                  <c:v>36.139655582115871</c:v>
                </c:pt>
                <c:pt idx="30">
                  <c:v>37.712865988901918</c:v>
                </c:pt>
                <c:pt idx="31">
                  <c:v>39.294813189918372</c:v>
                </c:pt>
                <c:pt idx="32">
                  <c:v>40.885468534081127</c:v>
                </c:pt>
                <c:pt idx="33">
                  <c:v>42.478054934193565</c:v>
                </c:pt>
                <c:pt idx="34">
                  <c:v>44.064257242915204</c:v>
                </c:pt>
                <c:pt idx="35">
                  <c:v>45.642669306138352</c:v>
                </c:pt>
                <c:pt idx="36">
                  <c:v>47.213523789610264</c:v>
                </c:pt>
                <c:pt idx="37">
                  <c:v>48.777047084317509</c:v>
                </c:pt>
                <c:pt idx="38">
                  <c:v>50.333459571388907</c:v>
                </c:pt>
                <c:pt idx="39">
                  <c:v>51.871385030697517</c:v>
                </c:pt>
                <c:pt idx="40">
                  <c:v>53.375756267776218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C2-4279-87F2-446E09C2BC27}"/>
            </c:ext>
          </c:extLst>
        </c:ser>
        <c:ser>
          <c:idx val="0"/>
          <c:order val="1"/>
          <c:tx>
            <c:v>No Speed Brake</c:v>
          </c:tx>
          <c:spPr>
            <a:ln w="2540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'15 - Decel at 30k'!$C$8:$C$48</c:f>
              <c:numCache>
                <c:formatCode>0.0000</c:formatCode>
                <c:ptCount val="41"/>
                <c:pt idx="0">
                  <c:v>0.9</c:v>
                </c:pt>
                <c:pt idx="1">
                  <c:v>0.89</c:v>
                </c:pt>
                <c:pt idx="2">
                  <c:v>0.88</c:v>
                </c:pt>
                <c:pt idx="3">
                  <c:v>0.87</c:v>
                </c:pt>
                <c:pt idx="4">
                  <c:v>0.86</c:v>
                </c:pt>
                <c:pt idx="5">
                  <c:v>0.85</c:v>
                </c:pt>
                <c:pt idx="6">
                  <c:v>0.84</c:v>
                </c:pt>
                <c:pt idx="7">
                  <c:v>0.83</c:v>
                </c:pt>
                <c:pt idx="8">
                  <c:v>0.82</c:v>
                </c:pt>
                <c:pt idx="9">
                  <c:v>0.81</c:v>
                </c:pt>
                <c:pt idx="10">
                  <c:v>0.8</c:v>
                </c:pt>
                <c:pt idx="11">
                  <c:v>0.79</c:v>
                </c:pt>
                <c:pt idx="12">
                  <c:v>0.78</c:v>
                </c:pt>
                <c:pt idx="13">
                  <c:v>0.77</c:v>
                </c:pt>
                <c:pt idx="14">
                  <c:v>0.76</c:v>
                </c:pt>
                <c:pt idx="15">
                  <c:v>0.75</c:v>
                </c:pt>
                <c:pt idx="16">
                  <c:v>0.74</c:v>
                </c:pt>
                <c:pt idx="17">
                  <c:v>0.73</c:v>
                </c:pt>
                <c:pt idx="18">
                  <c:v>0.72</c:v>
                </c:pt>
                <c:pt idx="19">
                  <c:v>0.71</c:v>
                </c:pt>
                <c:pt idx="20">
                  <c:v>0.7</c:v>
                </c:pt>
                <c:pt idx="21">
                  <c:v>0.69</c:v>
                </c:pt>
                <c:pt idx="22">
                  <c:v>0.68</c:v>
                </c:pt>
                <c:pt idx="23">
                  <c:v>0.67</c:v>
                </c:pt>
                <c:pt idx="24">
                  <c:v>0.66</c:v>
                </c:pt>
                <c:pt idx="25">
                  <c:v>0.65</c:v>
                </c:pt>
                <c:pt idx="26">
                  <c:v>0.64</c:v>
                </c:pt>
                <c:pt idx="27">
                  <c:v>0.63</c:v>
                </c:pt>
                <c:pt idx="28">
                  <c:v>0.62</c:v>
                </c:pt>
                <c:pt idx="29">
                  <c:v>0.61</c:v>
                </c:pt>
                <c:pt idx="30">
                  <c:v>0.6</c:v>
                </c:pt>
                <c:pt idx="31">
                  <c:v>0.59</c:v>
                </c:pt>
                <c:pt idx="32">
                  <c:v>0.57999999999999996</c:v>
                </c:pt>
                <c:pt idx="33">
                  <c:v>0.56999999999999995</c:v>
                </c:pt>
                <c:pt idx="34">
                  <c:v>0.56000000000000005</c:v>
                </c:pt>
                <c:pt idx="35">
                  <c:v>0.55000000000000004</c:v>
                </c:pt>
                <c:pt idx="36">
                  <c:v>0.54</c:v>
                </c:pt>
                <c:pt idx="37">
                  <c:v>0.53</c:v>
                </c:pt>
                <c:pt idx="38">
                  <c:v>0.52</c:v>
                </c:pt>
                <c:pt idx="39">
                  <c:v>0.51</c:v>
                </c:pt>
                <c:pt idx="40">
                  <c:v>0.5</c:v>
                </c:pt>
              </c:numCache>
            </c:numRef>
          </c:xVal>
          <c:yVal>
            <c:numRef>
              <c:f>'15 - Decel at 30k'!$M$8:$M$48</c:f>
              <c:numCache>
                <c:formatCode>0.00</c:formatCode>
                <c:ptCount val="41"/>
                <c:pt idx="0">
                  <c:v>0</c:v>
                </c:pt>
                <c:pt idx="1">
                  <c:v>2.2411834500189984</c:v>
                </c:pt>
                <c:pt idx="2">
                  <c:v>4.5319917822841873</c:v>
                </c:pt>
                <c:pt idx="3">
                  <c:v>6.8733798417353213</c:v>
                </c:pt>
                <c:pt idx="4">
                  <c:v>9.2663225752139553</c:v>
                </c:pt>
                <c:pt idx="5">
                  <c:v>11.71179130559165</c:v>
                </c:pt>
                <c:pt idx="6">
                  <c:v>14.203981000843786</c:v>
                </c:pt>
                <c:pt idx="7">
                  <c:v>16.736602091465492</c:v>
                </c:pt>
                <c:pt idx="8">
                  <c:v>19.310164454467305</c:v>
                </c:pt>
                <c:pt idx="9">
                  <c:v>21.92007646110811</c:v>
                </c:pt>
                <c:pt idx="10">
                  <c:v>24.559730402788638</c:v>
                </c:pt>
                <c:pt idx="11">
                  <c:v>27.22206362016388</c:v>
                </c:pt>
                <c:pt idx="12">
                  <c:v>29.901621611922774</c:v>
                </c:pt>
                <c:pt idx="13">
                  <c:v>32.598489083593392</c:v>
                </c:pt>
                <c:pt idx="14">
                  <c:v>35.312747586608133</c:v>
                </c:pt>
                <c:pt idx="15">
                  <c:v>38.044475312304058</c:v>
                </c:pt>
                <c:pt idx="16">
                  <c:v>40.793746922874931</c:v>
                </c:pt>
                <c:pt idx="17">
                  <c:v>43.560633378125232</c:v>
                </c:pt>
                <c:pt idx="18">
                  <c:v>46.345201758064626</c:v>
                </c:pt>
                <c:pt idx="19">
                  <c:v>49.147515081393301</c:v>
                </c:pt>
                <c:pt idx="20">
                  <c:v>51.967632119941143</c:v>
                </c:pt>
                <c:pt idx="21">
                  <c:v>54.805607209136866</c:v>
                </c:pt>
                <c:pt idx="22">
                  <c:v>57.661490054597202</c:v>
                </c:pt>
                <c:pt idx="23">
                  <c:v>60.535325534941101</c:v>
                </c:pt>
                <c:pt idx="24">
                  <c:v>63.421580701970697</c:v>
                </c:pt>
                <c:pt idx="25">
                  <c:v>66.312706928368513</c:v>
                </c:pt>
                <c:pt idx="26">
                  <c:v>69.206771024224693</c:v>
                </c:pt>
                <c:pt idx="27">
                  <c:v>72.103811444660735</c:v>
                </c:pt>
                <c:pt idx="28">
                  <c:v>75.003864432050577</c:v>
                </c:pt>
                <c:pt idx="29">
                  <c:v>77.886347756605645</c:v>
                </c:pt>
                <c:pt idx="30">
                  <c:v>80.726285522583467</c:v>
                </c:pt>
                <c:pt idx="31">
                  <c:v>83.520371348049835</c:v>
                </c:pt>
                <c:pt idx="32">
                  <c:v>86.270852593732712</c:v>
                </c:pt>
                <c:pt idx="33">
                  <c:v>88.960905998299495</c:v>
                </c:pt>
                <c:pt idx="34">
                  <c:v>91.571581911567719</c:v>
                </c:pt>
                <c:pt idx="35">
                  <c:v>94.104338448441439</c:v>
                </c:pt>
                <c:pt idx="36">
                  <c:v>96.565008882617207</c:v>
                </c:pt>
                <c:pt idx="37">
                  <c:v>98.958827995245301</c:v>
                </c:pt>
                <c:pt idx="38">
                  <c:v>101.29051211085498</c:v>
                </c:pt>
                <c:pt idx="39">
                  <c:v>103.53999980422587</c:v>
                </c:pt>
                <c:pt idx="40">
                  <c:v>105.68203958216037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C2-4279-87F2-446E09C2B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837552"/>
        <c:axId val="521836896"/>
      </c:scatterChart>
      <c:valAx>
        <c:axId val="521837552"/>
        <c:scaling>
          <c:orientation val="minMax"/>
          <c:max val="0.9"/>
          <c:min val="0.5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6896"/>
        <c:crosses val="autoZero"/>
        <c:crossBetween val="midCat"/>
        <c:majorUnit val="5.000000000000001E-2"/>
      </c:valAx>
      <c:valAx>
        <c:axId val="521836896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to Decel (sec)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7552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1200" b="1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T-38A Fuel to Decelerate</a:t>
            </a:r>
          </a:p>
          <a:p>
            <a:pPr>
              <a:defRPr/>
            </a:pPr>
            <a:r>
              <a:rPr lang="en-US" sz="1200" b="0"/>
              <a:t>30kft; W = 10,000 lb;</a:t>
            </a:r>
            <a:r>
              <a:rPr lang="en-US" sz="1200" b="0" baseline="0"/>
              <a:t> Idle Pwr</a:t>
            </a:r>
            <a:endParaRPr lang="en-US" sz="1200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Speed Brake</c:v>
          </c:tx>
          <c:spPr>
            <a:ln w="317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'15 - Decel at 30k SPBK'!$C$8:$C$48</c:f>
              <c:numCache>
                <c:formatCode>0.0000</c:formatCode>
                <c:ptCount val="41"/>
                <c:pt idx="0">
                  <c:v>0.9</c:v>
                </c:pt>
                <c:pt idx="1">
                  <c:v>0.89</c:v>
                </c:pt>
                <c:pt idx="2">
                  <c:v>0.88</c:v>
                </c:pt>
                <c:pt idx="3">
                  <c:v>0.87</c:v>
                </c:pt>
                <c:pt idx="4">
                  <c:v>0.86</c:v>
                </c:pt>
                <c:pt idx="5">
                  <c:v>0.85</c:v>
                </c:pt>
                <c:pt idx="6">
                  <c:v>0.84</c:v>
                </c:pt>
                <c:pt idx="7">
                  <c:v>0.83</c:v>
                </c:pt>
                <c:pt idx="8">
                  <c:v>0.82</c:v>
                </c:pt>
                <c:pt idx="9">
                  <c:v>0.81</c:v>
                </c:pt>
                <c:pt idx="10">
                  <c:v>0.8</c:v>
                </c:pt>
                <c:pt idx="11">
                  <c:v>0.79</c:v>
                </c:pt>
                <c:pt idx="12">
                  <c:v>0.78</c:v>
                </c:pt>
                <c:pt idx="13">
                  <c:v>0.77</c:v>
                </c:pt>
                <c:pt idx="14">
                  <c:v>0.76</c:v>
                </c:pt>
                <c:pt idx="15">
                  <c:v>0.75</c:v>
                </c:pt>
                <c:pt idx="16">
                  <c:v>0.74</c:v>
                </c:pt>
                <c:pt idx="17">
                  <c:v>0.73</c:v>
                </c:pt>
                <c:pt idx="18">
                  <c:v>0.72</c:v>
                </c:pt>
                <c:pt idx="19">
                  <c:v>0.71</c:v>
                </c:pt>
                <c:pt idx="20">
                  <c:v>0.7</c:v>
                </c:pt>
                <c:pt idx="21">
                  <c:v>0.69</c:v>
                </c:pt>
                <c:pt idx="22">
                  <c:v>0.68</c:v>
                </c:pt>
                <c:pt idx="23">
                  <c:v>0.67</c:v>
                </c:pt>
                <c:pt idx="24">
                  <c:v>0.66</c:v>
                </c:pt>
                <c:pt idx="25">
                  <c:v>0.65</c:v>
                </c:pt>
                <c:pt idx="26">
                  <c:v>0.64</c:v>
                </c:pt>
                <c:pt idx="27">
                  <c:v>0.63</c:v>
                </c:pt>
                <c:pt idx="28">
                  <c:v>0.62</c:v>
                </c:pt>
                <c:pt idx="29">
                  <c:v>0.61</c:v>
                </c:pt>
                <c:pt idx="30">
                  <c:v>0.6</c:v>
                </c:pt>
                <c:pt idx="31">
                  <c:v>0.59</c:v>
                </c:pt>
                <c:pt idx="32">
                  <c:v>0.57999999999999996</c:v>
                </c:pt>
                <c:pt idx="33">
                  <c:v>0.56999999999999995</c:v>
                </c:pt>
                <c:pt idx="34">
                  <c:v>0.56000000000000005</c:v>
                </c:pt>
                <c:pt idx="35">
                  <c:v>0.55000000000000004</c:v>
                </c:pt>
                <c:pt idx="36">
                  <c:v>0.54</c:v>
                </c:pt>
                <c:pt idx="37">
                  <c:v>0.53</c:v>
                </c:pt>
                <c:pt idx="38">
                  <c:v>0.52</c:v>
                </c:pt>
                <c:pt idx="39">
                  <c:v>0.51</c:v>
                </c:pt>
                <c:pt idx="40">
                  <c:v>0.5</c:v>
                </c:pt>
              </c:numCache>
            </c:numRef>
          </c:xVal>
          <c:yVal>
            <c:numRef>
              <c:f>'15 - Decel at 30k SPBK'!$P$8:$P$48</c:f>
              <c:numCache>
                <c:formatCode>0.0</c:formatCode>
                <c:ptCount val="41"/>
                <c:pt idx="0">
                  <c:v>0</c:v>
                </c:pt>
                <c:pt idx="1">
                  <c:v>0.1125423947282958</c:v>
                </c:pt>
                <c:pt idx="2">
                  <c:v>0.22761481148181234</c:v>
                </c:pt>
                <c:pt idx="3">
                  <c:v>0.34528843489948441</c:v>
                </c:pt>
                <c:pt idx="4">
                  <c:v>0.46563730141480186</c:v>
                </c:pt>
                <c:pt idx="5">
                  <c:v>0.58873781550893933</c:v>
                </c:pt>
                <c:pt idx="6">
                  <c:v>0.71452532550552605</c:v>
                </c:pt>
                <c:pt idx="7">
                  <c:v>0.84292505183198541</c:v>
                </c:pt>
                <c:pt idx="8">
                  <c:v>0.97400781536809922</c:v>
                </c:pt>
                <c:pt idx="9">
                  <c:v>1.1077345065098885</c:v>
                </c:pt>
                <c:pt idx="10">
                  <c:v>1.2440202273098686</c:v>
                </c:pt>
                <c:pt idx="11">
                  <c:v>1.3827656474162051</c:v>
                </c:pt>
                <c:pt idx="12">
                  <c:v>1.5239004480487568</c:v>
                </c:pt>
                <c:pt idx="13">
                  <c:v>1.6674784885799283</c:v>
                </c:pt>
                <c:pt idx="14">
                  <c:v>1.8135548716714878</c:v>
                </c:pt>
                <c:pt idx="15">
                  <c:v>1.9621859562595716</c:v>
                </c:pt>
                <c:pt idx="16">
                  <c:v>2.1134293694643795</c:v>
                </c:pt>
                <c:pt idx="17">
                  <c:v>2.2673440165243255</c:v>
                </c:pt>
                <c:pt idx="18">
                  <c:v>2.4239900884937389</c:v>
                </c:pt>
                <c:pt idx="19">
                  <c:v>2.5834290674201497</c:v>
                </c:pt>
                <c:pt idx="20">
                  <c:v>2.7457237286926244</c:v>
                </c:pt>
                <c:pt idx="21">
                  <c:v>2.9109381402264729</c:v>
                </c:pt>
                <c:pt idx="22">
                  <c:v>3.0791376581219287</c:v>
                </c:pt>
                <c:pt idx="23">
                  <c:v>3.250388918405104</c:v>
                </c:pt>
                <c:pt idx="24">
                  <c:v>3.4245878033832535</c:v>
                </c:pt>
                <c:pt idx="25">
                  <c:v>3.6015582788513654</c:v>
                </c:pt>
                <c:pt idx="26">
                  <c:v>3.7812888218551954</c:v>
                </c:pt>
                <c:pt idx="27">
                  <c:v>3.9638250174430389</c:v>
                </c:pt>
                <c:pt idx="28">
                  <c:v>4.1492125750967546</c:v>
                </c:pt>
                <c:pt idx="29">
                  <c:v>4.3367586698539036</c:v>
                </c:pt>
                <c:pt idx="30">
                  <c:v>4.5255439186682294</c:v>
                </c:pt>
                <c:pt idx="31">
                  <c:v>4.7153775827902038</c:v>
                </c:pt>
                <c:pt idx="32">
                  <c:v>4.9062562240897343</c:v>
                </c:pt>
                <c:pt idx="33">
                  <c:v>5.097366592103227</c:v>
                </c:pt>
                <c:pt idx="34">
                  <c:v>5.2877108691498238</c:v>
                </c:pt>
                <c:pt idx="35">
                  <c:v>5.4771203167366016</c:v>
                </c:pt>
                <c:pt idx="36">
                  <c:v>5.6656228547532308</c:v>
                </c:pt>
                <c:pt idx="37">
                  <c:v>5.8532456501181001</c:v>
                </c:pt>
                <c:pt idx="38">
                  <c:v>6.0400151485666678</c:v>
                </c:pt>
                <c:pt idx="39">
                  <c:v>6.2245662036837013</c:v>
                </c:pt>
                <c:pt idx="40">
                  <c:v>6.4050907521331455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99-4403-B31A-C1A4DDA756EC}"/>
            </c:ext>
          </c:extLst>
        </c:ser>
        <c:ser>
          <c:idx val="0"/>
          <c:order val="1"/>
          <c:tx>
            <c:v>No Speed Brake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'15 - Decel at 30k'!$C$8:$C$48</c:f>
              <c:numCache>
                <c:formatCode>0.0000</c:formatCode>
                <c:ptCount val="41"/>
                <c:pt idx="0">
                  <c:v>0.9</c:v>
                </c:pt>
                <c:pt idx="1">
                  <c:v>0.89</c:v>
                </c:pt>
                <c:pt idx="2">
                  <c:v>0.88</c:v>
                </c:pt>
                <c:pt idx="3">
                  <c:v>0.87</c:v>
                </c:pt>
                <c:pt idx="4">
                  <c:v>0.86</c:v>
                </c:pt>
                <c:pt idx="5">
                  <c:v>0.85</c:v>
                </c:pt>
                <c:pt idx="6">
                  <c:v>0.84</c:v>
                </c:pt>
                <c:pt idx="7">
                  <c:v>0.83</c:v>
                </c:pt>
                <c:pt idx="8">
                  <c:v>0.82</c:v>
                </c:pt>
                <c:pt idx="9">
                  <c:v>0.81</c:v>
                </c:pt>
                <c:pt idx="10">
                  <c:v>0.8</c:v>
                </c:pt>
                <c:pt idx="11">
                  <c:v>0.79</c:v>
                </c:pt>
                <c:pt idx="12">
                  <c:v>0.78</c:v>
                </c:pt>
                <c:pt idx="13">
                  <c:v>0.77</c:v>
                </c:pt>
                <c:pt idx="14">
                  <c:v>0.76</c:v>
                </c:pt>
                <c:pt idx="15">
                  <c:v>0.75</c:v>
                </c:pt>
                <c:pt idx="16">
                  <c:v>0.74</c:v>
                </c:pt>
                <c:pt idx="17">
                  <c:v>0.73</c:v>
                </c:pt>
                <c:pt idx="18">
                  <c:v>0.72</c:v>
                </c:pt>
                <c:pt idx="19">
                  <c:v>0.71</c:v>
                </c:pt>
                <c:pt idx="20">
                  <c:v>0.7</c:v>
                </c:pt>
                <c:pt idx="21">
                  <c:v>0.69</c:v>
                </c:pt>
                <c:pt idx="22">
                  <c:v>0.68</c:v>
                </c:pt>
                <c:pt idx="23">
                  <c:v>0.67</c:v>
                </c:pt>
                <c:pt idx="24">
                  <c:v>0.66</c:v>
                </c:pt>
                <c:pt idx="25">
                  <c:v>0.65</c:v>
                </c:pt>
                <c:pt idx="26">
                  <c:v>0.64</c:v>
                </c:pt>
                <c:pt idx="27">
                  <c:v>0.63</c:v>
                </c:pt>
                <c:pt idx="28">
                  <c:v>0.62</c:v>
                </c:pt>
                <c:pt idx="29">
                  <c:v>0.61</c:v>
                </c:pt>
                <c:pt idx="30">
                  <c:v>0.6</c:v>
                </c:pt>
                <c:pt idx="31">
                  <c:v>0.59</c:v>
                </c:pt>
                <c:pt idx="32">
                  <c:v>0.57999999999999996</c:v>
                </c:pt>
                <c:pt idx="33">
                  <c:v>0.56999999999999995</c:v>
                </c:pt>
                <c:pt idx="34">
                  <c:v>0.56000000000000005</c:v>
                </c:pt>
                <c:pt idx="35">
                  <c:v>0.55000000000000004</c:v>
                </c:pt>
                <c:pt idx="36">
                  <c:v>0.54</c:v>
                </c:pt>
                <c:pt idx="37">
                  <c:v>0.53</c:v>
                </c:pt>
                <c:pt idx="38">
                  <c:v>0.52</c:v>
                </c:pt>
                <c:pt idx="39">
                  <c:v>0.51</c:v>
                </c:pt>
                <c:pt idx="40">
                  <c:v>0.5</c:v>
                </c:pt>
              </c:numCache>
            </c:numRef>
          </c:xVal>
          <c:yVal>
            <c:numRef>
              <c:f>'15 - Decel at 30k'!$P$8:$P$48</c:f>
              <c:numCache>
                <c:formatCode>0.0</c:formatCode>
                <c:ptCount val="41"/>
                <c:pt idx="0">
                  <c:v>0</c:v>
                </c:pt>
                <c:pt idx="1">
                  <c:v>0.26894201400227979</c:v>
                </c:pt>
                <c:pt idx="2">
                  <c:v>0.54383901387410238</c:v>
                </c:pt>
                <c:pt idx="3">
                  <c:v>0.82480558100823842</c:v>
                </c:pt>
                <c:pt idx="4">
                  <c:v>1.1119587090256744</c:v>
                </c:pt>
                <c:pt idx="5">
                  <c:v>1.4054149566709977</c:v>
                </c:pt>
                <c:pt idx="6">
                  <c:v>1.704477720101254</c:v>
                </c:pt>
                <c:pt idx="7">
                  <c:v>2.0083922509758589</c:v>
                </c:pt>
                <c:pt idx="8">
                  <c:v>2.3172197345360761</c:v>
                </c:pt>
                <c:pt idx="9">
                  <c:v>2.6304091753329724</c:v>
                </c:pt>
                <c:pt idx="10">
                  <c:v>2.9471676483346356</c:v>
                </c:pt>
                <c:pt idx="11">
                  <c:v>3.2666476344196647</c:v>
                </c:pt>
                <c:pt idx="12">
                  <c:v>3.5881945934307318</c:v>
                </c:pt>
                <c:pt idx="13">
                  <c:v>3.9118186900312057</c:v>
                </c:pt>
                <c:pt idx="14">
                  <c:v>4.237529710392975</c:v>
                </c:pt>
                <c:pt idx="15">
                  <c:v>4.5653370374764863</c:v>
                </c:pt>
                <c:pt idx="16">
                  <c:v>4.8952496307449911</c:v>
                </c:pt>
                <c:pt idx="17">
                  <c:v>5.2272760053750273</c:v>
                </c:pt>
                <c:pt idx="18">
                  <c:v>5.561424210967755</c:v>
                </c:pt>
                <c:pt idx="19">
                  <c:v>5.897701809767196</c:v>
                </c:pt>
                <c:pt idx="20">
                  <c:v>6.2361158543929376</c:v>
                </c:pt>
                <c:pt idx="21">
                  <c:v>6.576672865096425</c:v>
                </c:pt>
                <c:pt idx="22">
                  <c:v>6.9193788065516646</c:v>
                </c:pt>
                <c:pt idx="23">
                  <c:v>7.2642390641929326</c:v>
                </c:pt>
                <c:pt idx="24">
                  <c:v>7.6105896842364844</c:v>
                </c:pt>
                <c:pt idx="25">
                  <c:v>7.9575248314042222</c:v>
                </c:pt>
                <c:pt idx="26">
                  <c:v>8.304812522906964</c:v>
                </c:pt>
                <c:pt idx="27">
                  <c:v>8.6524573733592902</c:v>
                </c:pt>
                <c:pt idx="28">
                  <c:v>9.0004637318460716</c:v>
                </c:pt>
                <c:pt idx="29">
                  <c:v>9.3463617307926796</c:v>
                </c:pt>
                <c:pt idx="30">
                  <c:v>9.6871542627100169</c:v>
                </c:pt>
                <c:pt idx="31">
                  <c:v>10.022444561765981</c:v>
                </c:pt>
                <c:pt idx="32">
                  <c:v>10.352502311247926</c:v>
                </c:pt>
                <c:pt idx="33">
                  <c:v>10.67530871979594</c:v>
                </c:pt>
                <c:pt idx="34">
                  <c:v>10.988589829388127</c:v>
                </c:pt>
                <c:pt idx="35">
                  <c:v>11.292520613812973</c:v>
                </c:pt>
                <c:pt idx="36">
                  <c:v>11.587801065914066</c:v>
                </c:pt>
                <c:pt idx="37">
                  <c:v>11.875059359429438</c:v>
                </c:pt>
                <c:pt idx="38">
                  <c:v>12.154861453302599</c:v>
                </c:pt>
                <c:pt idx="39">
                  <c:v>12.424799976507106</c:v>
                </c:pt>
                <c:pt idx="40">
                  <c:v>12.681844749859247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99-4403-B31A-C1A4DDA75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837552"/>
        <c:axId val="521836896"/>
      </c:scatterChart>
      <c:valAx>
        <c:axId val="521837552"/>
        <c:scaling>
          <c:orientation val="minMax"/>
          <c:max val="0.9"/>
          <c:min val="0.5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6896"/>
        <c:crosses val="autoZero"/>
        <c:crossBetween val="midCat"/>
      </c:valAx>
      <c:valAx>
        <c:axId val="521836896"/>
        <c:scaling>
          <c:orientation val="minMax"/>
          <c:max val="14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Fuel to Decel (lb)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7552"/>
        <c:crosses val="autoZero"/>
        <c:crossBetween val="midCat"/>
        <c:minorUnit val="1"/>
      </c:valAx>
      <c:spPr>
        <a:noFill/>
        <a:ln w="12700">
          <a:solidFill>
            <a:schemeClr val="tx1"/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1200" b="1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T-38A Distance to Decelerate</a:t>
            </a:r>
          </a:p>
          <a:p>
            <a:pPr>
              <a:defRPr/>
            </a:pPr>
            <a:r>
              <a:rPr lang="en-US" sz="1200" b="0"/>
              <a:t>30k ft; W = 10,000 lb; Idle Pwr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Speed Brake</c:v>
          </c:tx>
          <c:spPr>
            <a:ln w="317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'15 - Decel at 30k SPBK'!$C$8:$C$48</c:f>
              <c:numCache>
                <c:formatCode>0.0000</c:formatCode>
                <c:ptCount val="41"/>
                <c:pt idx="0">
                  <c:v>0.9</c:v>
                </c:pt>
                <c:pt idx="1">
                  <c:v>0.89</c:v>
                </c:pt>
                <c:pt idx="2">
                  <c:v>0.88</c:v>
                </c:pt>
                <c:pt idx="3">
                  <c:v>0.87</c:v>
                </c:pt>
                <c:pt idx="4">
                  <c:v>0.86</c:v>
                </c:pt>
                <c:pt idx="5">
                  <c:v>0.85</c:v>
                </c:pt>
                <c:pt idx="6">
                  <c:v>0.84</c:v>
                </c:pt>
                <c:pt idx="7">
                  <c:v>0.83</c:v>
                </c:pt>
                <c:pt idx="8">
                  <c:v>0.82</c:v>
                </c:pt>
                <c:pt idx="9">
                  <c:v>0.81</c:v>
                </c:pt>
                <c:pt idx="10">
                  <c:v>0.8</c:v>
                </c:pt>
                <c:pt idx="11">
                  <c:v>0.79</c:v>
                </c:pt>
                <c:pt idx="12">
                  <c:v>0.78</c:v>
                </c:pt>
                <c:pt idx="13">
                  <c:v>0.77</c:v>
                </c:pt>
                <c:pt idx="14">
                  <c:v>0.76</c:v>
                </c:pt>
                <c:pt idx="15">
                  <c:v>0.75</c:v>
                </c:pt>
                <c:pt idx="16">
                  <c:v>0.74</c:v>
                </c:pt>
                <c:pt idx="17">
                  <c:v>0.73</c:v>
                </c:pt>
                <c:pt idx="18">
                  <c:v>0.72</c:v>
                </c:pt>
                <c:pt idx="19">
                  <c:v>0.71</c:v>
                </c:pt>
                <c:pt idx="20">
                  <c:v>0.7</c:v>
                </c:pt>
                <c:pt idx="21">
                  <c:v>0.69</c:v>
                </c:pt>
                <c:pt idx="22">
                  <c:v>0.68</c:v>
                </c:pt>
                <c:pt idx="23">
                  <c:v>0.67</c:v>
                </c:pt>
                <c:pt idx="24">
                  <c:v>0.66</c:v>
                </c:pt>
                <c:pt idx="25">
                  <c:v>0.65</c:v>
                </c:pt>
                <c:pt idx="26">
                  <c:v>0.64</c:v>
                </c:pt>
                <c:pt idx="27">
                  <c:v>0.63</c:v>
                </c:pt>
                <c:pt idx="28">
                  <c:v>0.62</c:v>
                </c:pt>
                <c:pt idx="29">
                  <c:v>0.61</c:v>
                </c:pt>
                <c:pt idx="30">
                  <c:v>0.6</c:v>
                </c:pt>
                <c:pt idx="31">
                  <c:v>0.59</c:v>
                </c:pt>
                <c:pt idx="32">
                  <c:v>0.57999999999999996</c:v>
                </c:pt>
                <c:pt idx="33">
                  <c:v>0.56999999999999995</c:v>
                </c:pt>
                <c:pt idx="34">
                  <c:v>0.56000000000000005</c:v>
                </c:pt>
                <c:pt idx="35">
                  <c:v>0.55000000000000004</c:v>
                </c:pt>
                <c:pt idx="36">
                  <c:v>0.54</c:v>
                </c:pt>
                <c:pt idx="37">
                  <c:v>0.53</c:v>
                </c:pt>
                <c:pt idx="38">
                  <c:v>0.52</c:v>
                </c:pt>
                <c:pt idx="39">
                  <c:v>0.51</c:v>
                </c:pt>
                <c:pt idx="40">
                  <c:v>0.5</c:v>
                </c:pt>
              </c:numCache>
            </c:numRef>
          </c:xVal>
          <c:yVal>
            <c:numRef>
              <c:f>'15 - Decel at 30k SPBK'!$S$8:$S$48</c:f>
              <c:numCache>
                <c:formatCode>0.00</c:formatCode>
                <c:ptCount val="41"/>
                <c:pt idx="0">
                  <c:v>0</c:v>
                </c:pt>
                <c:pt idx="1">
                  <c:v>0.13740117884404227</c:v>
                </c:pt>
                <c:pt idx="2">
                  <c:v>0.27632149928445776</c:v>
                </c:pt>
                <c:pt idx="3">
                  <c:v>0.41677690254140326</c:v>
                </c:pt>
                <c:pt idx="4">
                  <c:v>0.55878378171632781</c:v>
                </c:pt>
                <c:pt idx="5">
                  <c:v>0.70235826198162865</c:v>
                </c:pt>
                <c:pt idx="6">
                  <c:v>0.84735074945205047</c:v>
                </c:pt>
                <c:pt idx="7">
                  <c:v>0.99360275996747394</c:v>
                </c:pt>
                <c:pt idx="8">
                  <c:v>1.1411227277190443</c:v>
                </c:pt>
                <c:pt idx="9">
                  <c:v>1.2897939729556991</c:v>
                </c:pt>
                <c:pt idx="10">
                  <c:v>1.4394511356383433</c:v>
                </c:pt>
                <c:pt idx="11">
                  <c:v>1.589916678506633</c:v>
                </c:pt>
                <c:pt idx="12">
                  <c:v>1.7410481957334185</c:v>
                </c:pt>
                <c:pt idx="13">
                  <c:v>1.8928374390597054</c:v>
                </c:pt>
                <c:pt idx="14">
                  <c:v>2.0452752535466638</c:v>
                </c:pt>
                <c:pt idx="15">
                  <c:v>2.1983515231093516</c:v>
                </c:pt>
                <c:pt idx="16">
                  <c:v>2.3520551140719816</c:v>
                </c:pt>
                <c:pt idx="17">
                  <c:v>2.5063738159301523</c:v>
                </c:pt>
                <c:pt idx="18">
                  <c:v>2.6612942792236916</c:v>
                </c:pt>
                <c:pt idx="19">
                  <c:v>2.8168019504262123</c:v>
                </c:pt>
                <c:pt idx="20">
                  <c:v>2.9728810037609348</c:v>
                </c:pt>
                <c:pt idx="21">
                  <c:v>3.1295142698570277</c:v>
                </c:pt>
                <c:pt idx="22">
                  <c:v>3.2866831611667742</c:v>
                </c:pt>
                <c:pt idx="23">
                  <c:v>3.444367594071478</c:v>
                </c:pt>
                <c:pt idx="24">
                  <c:v>3.6023898609456002</c:v>
                </c:pt>
                <c:pt idx="25">
                  <c:v>3.760512257911655</c:v>
                </c:pt>
                <c:pt idx="26">
                  <c:v>3.9186490310303608</c:v>
                </c:pt>
                <c:pt idx="27">
                  <c:v>4.076764365650102</c:v>
                </c:pt>
                <c:pt idx="28">
                  <c:v>4.234820687709214</c:v>
                </c:pt>
                <c:pt idx="29">
                  <c:v>4.392158972908951</c:v>
                </c:pt>
                <c:pt idx="30">
                  <c:v>4.547961573608764</c:v>
                </c:pt>
                <c:pt idx="31">
                  <c:v>4.7020398699056551</c:v>
                </c:pt>
                <c:pt idx="32">
                  <c:v>4.8543625149451399</c:v>
                </c:pt>
                <c:pt idx="33">
                  <c:v>5.0042631127912927</c:v>
                </c:pt>
                <c:pt idx="34">
                  <c:v>5.1509662978869626</c:v>
                </c:pt>
                <c:pt idx="35">
                  <c:v>5.2943652217014936</c:v>
                </c:pt>
                <c:pt idx="36">
                  <c:v>5.4345061454006851</c:v>
                </c:pt>
                <c:pt idx="37">
                  <c:v>5.5714336380514187</c:v>
                </c:pt>
                <c:pt idx="38">
                  <c:v>5.7051906404728374</c:v>
                </c:pt>
                <c:pt idx="39">
                  <c:v>5.8348413903474965</c:v>
                </c:pt>
                <c:pt idx="40">
                  <c:v>5.9592008759385369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A1-4244-83F6-6D7894BE8404}"/>
            </c:ext>
          </c:extLst>
        </c:ser>
        <c:ser>
          <c:idx val="0"/>
          <c:order val="1"/>
          <c:tx>
            <c:v>No Speed Brake</c:v>
          </c:tx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'15 - Decel at 30k'!$C$8:$C$48</c:f>
              <c:numCache>
                <c:formatCode>0.0000</c:formatCode>
                <c:ptCount val="41"/>
                <c:pt idx="0">
                  <c:v>0.9</c:v>
                </c:pt>
                <c:pt idx="1">
                  <c:v>0.89</c:v>
                </c:pt>
                <c:pt idx="2">
                  <c:v>0.88</c:v>
                </c:pt>
                <c:pt idx="3">
                  <c:v>0.87</c:v>
                </c:pt>
                <c:pt idx="4">
                  <c:v>0.86</c:v>
                </c:pt>
                <c:pt idx="5">
                  <c:v>0.85</c:v>
                </c:pt>
                <c:pt idx="6">
                  <c:v>0.84</c:v>
                </c:pt>
                <c:pt idx="7">
                  <c:v>0.83</c:v>
                </c:pt>
                <c:pt idx="8">
                  <c:v>0.82</c:v>
                </c:pt>
                <c:pt idx="9">
                  <c:v>0.81</c:v>
                </c:pt>
                <c:pt idx="10">
                  <c:v>0.8</c:v>
                </c:pt>
                <c:pt idx="11">
                  <c:v>0.79</c:v>
                </c:pt>
                <c:pt idx="12">
                  <c:v>0.78</c:v>
                </c:pt>
                <c:pt idx="13">
                  <c:v>0.77</c:v>
                </c:pt>
                <c:pt idx="14">
                  <c:v>0.76</c:v>
                </c:pt>
                <c:pt idx="15">
                  <c:v>0.75</c:v>
                </c:pt>
                <c:pt idx="16">
                  <c:v>0.74</c:v>
                </c:pt>
                <c:pt idx="17">
                  <c:v>0.73</c:v>
                </c:pt>
                <c:pt idx="18">
                  <c:v>0.72</c:v>
                </c:pt>
                <c:pt idx="19">
                  <c:v>0.71</c:v>
                </c:pt>
                <c:pt idx="20">
                  <c:v>0.7</c:v>
                </c:pt>
                <c:pt idx="21">
                  <c:v>0.69</c:v>
                </c:pt>
                <c:pt idx="22">
                  <c:v>0.68</c:v>
                </c:pt>
                <c:pt idx="23">
                  <c:v>0.67</c:v>
                </c:pt>
                <c:pt idx="24">
                  <c:v>0.66</c:v>
                </c:pt>
                <c:pt idx="25">
                  <c:v>0.65</c:v>
                </c:pt>
                <c:pt idx="26">
                  <c:v>0.64</c:v>
                </c:pt>
                <c:pt idx="27">
                  <c:v>0.63</c:v>
                </c:pt>
                <c:pt idx="28">
                  <c:v>0.62</c:v>
                </c:pt>
                <c:pt idx="29">
                  <c:v>0.61</c:v>
                </c:pt>
                <c:pt idx="30">
                  <c:v>0.6</c:v>
                </c:pt>
                <c:pt idx="31">
                  <c:v>0.59</c:v>
                </c:pt>
                <c:pt idx="32">
                  <c:v>0.57999999999999996</c:v>
                </c:pt>
                <c:pt idx="33">
                  <c:v>0.56999999999999995</c:v>
                </c:pt>
                <c:pt idx="34">
                  <c:v>0.56000000000000005</c:v>
                </c:pt>
                <c:pt idx="35">
                  <c:v>0.55000000000000004</c:v>
                </c:pt>
                <c:pt idx="36">
                  <c:v>0.54</c:v>
                </c:pt>
                <c:pt idx="37">
                  <c:v>0.53</c:v>
                </c:pt>
                <c:pt idx="38">
                  <c:v>0.52</c:v>
                </c:pt>
                <c:pt idx="39">
                  <c:v>0.51</c:v>
                </c:pt>
                <c:pt idx="40">
                  <c:v>0.5</c:v>
                </c:pt>
              </c:numCache>
            </c:numRef>
          </c:xVal>
          <c:yVal>
            <c:numRef>
              <c:f>'15 - Decel at 30k'!$S$8:$S$48</c:f>
              <c:numCache>
                <c:formatCode>0.00</c:formatCode>
                <c:ptCount val="41"/>
                <c:pt idx="0">
                  <c:v>0</c:v>
                </c:pt>
                <c:pt idx="1">
                  <c:v>0.3283469296509765</c:v>
                </c:pt>
                <c:pt idx="2">
                  <c:v>0.66021429098485962</c:v>
                </c:pt>
                <c:pt idx="3">
                  <c:v>0.99557638269570425</c:v>
                </c:pt>
                <c:pt idx="4">
                  <c:v>1.3344056607419887</c:v>
                </c:pt>
                <c:pt idx="5">
                  <c:v>1.6766692860917811</c:v>
                </c:pt>
                <c:pt idx="6">
                  <c:v>2.0213923351505296</c:v>
                </c:pt>
                <c:pt idx="7">
                  <c:v>2.3675621630538406</c:v>
                </c:pt>
                <c:pt idx="8">
                  <c:v>2.7151152599417507</c:v>
                </c:pt>
                <c:pt idx="9">
                  <c:v>3.0633050174291063</c:v>
                </c:pt>
                <c:pt idx="10">
                  <c:v>3.4111417096874983</c:v>
                </c:pt>
                <c:pt idx="11">
                  <c:v>3.7576088543687094</c:v>
                </c:pt>
                <c:pt idx="12">
                  <c:v>4.1019313004075313</c:v>
                </c:pt>
                <c:pt idx="13">
                  <c:v>4.4440634019699168</c:v>
                </c:pt>
                <c:pt idx="14">
                  <c:v>4.7839587022741741</c:v>
                </c:pt>
                <c:pt idx="15">
                  <c:v>5.1215699287839396</c:v>
                </c:pt>
                <c:pt idx="16">
                  <c:v>5.4568489945935372</c:v>
                </c:pt>
                <c:pt idx="17">
                  <c:v>5.7897470006918512</c:v>
                </c:pt>
                <c:pt idx="18">
                  <c:v>6.1202142391505205</c:v>
                </c:pt>
                <c:pt idx="19">
                  <c:v>6.4482001972832119</c:v>
                </c:pt>
                <c:pt idx="20">
                  <c:v>6.7736535628235748</c:v>
                </c:pt>
                <c:pt idx="21">
                  <c:v>7.0965222301703133</c:v>
                </c:pt>
                <c:pt idx="22">
                  <c:v>7.4167533077484382</c:v>
                </c:pt>
                <c:pt idx="23">
                  <c:v>7.7342931265364214</c:v>
                </c:pt>
                <c:pt idx="24">
                  <c:v>8.0484806147020596</c:v>
                </c:pt>
                <c:pt idx="25">
                  <c:v>8.358465751583374</c:v>
                </c:pt>
                <c:pt idx="26">
                  <c:v>8.664028478765017</c:v>
                </c:pt>
                <c:pt idx="27">
                  <c:v>8.9651631752622212</c:v>
                </c:pt>
                <c:pt idx="28">
                  <c:v>9.2618638048608286</c:v>
                </c:pt>
                <c:pt idx="29">
                  <c:v>9.5520484556196266</c:v>
                </c:pt>
                <c:pt idx="30">
                  <c:v>9.8333011652739515</c:v>
                </c:pt>
                <c:pt idx="31">
                  <c:v>10.105439188223476</c:v>
                </c:pt>
                <c:pt idx="32">
                  <c:v>10.368827847502418</c:v>
                </c:pt>
                <c:pt idx="33">
                  <c:v>10.622026426589976</c:v>
                </c:pt>
                <c:pt idx="34">
                  <c:v>10.863480161478094</c:v>
                </c:pt>
                <c:pt idx="35">
                  <c:v>11.093581394314759</c:v>
                </c:pt>
                <c:pt idx="36">
                  <c:v>11.313105628540779</c:v>
                </c:pt>
                <c:pt idx="37">
                  <c:v>11.522747307728517</c:v>
                </c:pt>
                <c:pt idx="38">
                  <c:v>11.723130612596771</c:v>
                </c:pt>
                <c:pt idx="39">
                  <c:v>11.912767740010258</c:v>
                </c:pt>
                <c:pt idx="40">
                  <c:v>12.089840365658674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A1-4244-83F6-6D7894BE8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837552"/>
        <c:axId val="521836896"/>
      </c:scatterChart>
      <c:valAx>
        <c:axId val="521837552"/>
        <c:scaling>
          <c:orientation val="minMax"/>
          <c:max val="0.9"/>
          <c:min val="0.5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6896"/>
        <c:crosses val="autoZero"/>
        <c:crossBetween val="midCat"/>
      </c:valAx>
      <c:valAx>
        <c:axId val="521836896"/>
        <c:scaling>
          <c:orientation val="minMax"/>
          <c:max val="14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to Decel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7552"/>
        <c:crosses val="autoZero"/>
        <c:crossBetween val="midCat"/>
        <c:minorUnit val="1"/>
      </c:valAx>
      <c:spPr>
        <a:noFill/>
        <a:ln w="12700">
          <a:solidFill>
            <a:schemeClr val="tx1"/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1200" b="1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T-38A Time to Decel at 30k; W = 10,000 lb; Idle Pwr</a:t>
            </a:r>
          </a:p>
        </c:rich>
      </c:tx>
      <c:layout>
        <c:manualLayout>
          <c:xMode val="edge"/>
          <c:yMode val="edge"/>
          <c:x val="0.14151866151866149"/>
          <c:y val="2.25669924270267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'15 - Decel at 30k SPBK'!$C$8:$C$48</c:f>
              <c:numCache>
                <c:formatCode>0.0000</c:formatCode>
                <c:ptCount val="41"/>
                <c:pt idx="0">
                  <c:v>0.9</c:v>
                </c:pt>
                <c:pt idx="1">
                  <c:v>0.89</c:v>
                </c:pt>
                <c:pt idx="2">
                  <c:v>0.88</c:v>
                </c:pt>
                <c:pt idx="3">
                  <c:v>0.87</c:v>
                </c:pt>
                <c:pt idx="4">
                  <c:v>0.86</c:v>
                </c:pt>
                <c:pt idx="5">
                  <c:v>0.85</c:v>
                </c:pt>
                <c:pt idx="6">
                  <c:v>0.84</c:v>
                </c:pt>
                <c:pt idx="7">
                  <c:v>0.83</c:v>
                </c:pt>
                <c:pt idx="8">
                  <c:v>0.82</c:v>
                </c:pt>
                <c:pt idx="9">
                  <c:v>0.81</c:v>
                </c:pt>
                <c:pt idx="10">
                  <c:v>0.8</c:v>
                </c:pt>
                <c:pt idx="11">
                  <c:v>0.79</c:v>
                </c:pt>
                <c:pt idx="12">
                  <c:v>0.78</c:v>
                </c:pt>
                <c:pt idx="13">
                  <c:v>0.77</c:v>
                </c:pt>
                <c:pt idx="14">
                  <c:v>0.76</c:v>
                </c:pt>
                <c:pt idx="15">
                  <c:v>0.75</c:v>
                </c:pt>
                <c:pt idx="16">
                  <c:v>0.74</c:v>
                </c:pt>
                <c:pt idx="17">
                  <c:v>0.73</c:v>
                </c:pt>
                <c:pt idx="18">
                  <c:v>0.72</c:v>
                </c:pt>
                <c:pt idx="19">
                  <c:v>0.71</c:v>
                </c:pt>
                <c:pt idx="20">
                  <c:v>0.7</c:v>
                </c:pt>
                <c:pt idx="21">
                  <c:v>0.69</c:v>
                </c:pt>
                <c:pt idx="22">
                  <c:v>0.68</c:v>
                </c:pt>
                <c:pt idx="23">
                  <c:v>0.67</c:v>
                </c:pt>
                <c:pt idx="24">
                  <c:v>0.66</c:v>
                </c:pt>
                <c:pt idx="25">
                  <c:v>0.65</c:v>
                </c:pt>
                <c:pt idx="26">
                  <c:v>0.64</c:v>
                </c:pt>
                <c:pt idx="27">
                  <c:v>0.63</c:v>
                </c:pt>
                <c:pt idx="28">
                  <c:v>0.62</c:v>
                </c:pt>
                <c:pt idx="29">
                  <c:v>0.61</c:v>
                </c:pt>
                <c:pt idx="30">
                  <c:v>0.6</c:v>
                </c:pt>
                <c:pt idx="31">
                  <c:v>0.59</c:v>
                </c:pt>
                <c:pt idx="32">
                  <c:v>0.57999999999999996</c:v>
                </c:pt>
                <c:pt idx="33">
                  <c:v>0.56999999999999995</c:v>
                </c:pt>
                <c:pt idx="34">
                  <c:v>0.56000000000000005</c:v>
                </c:pt>
                <c:pt idx="35">
                  <c:v>0.55000000000000004</c:v>
                </c:pt>
                <c:pt idx="36">
                  <c:v>0.54</c:v>
                </c:pt>
                <c:pt idx="37">
                  <c:v>0.53</c:v>
                </c:pt>
                <c:pt idx="38">
                  <c:v>0.52</c:v>
                </c:pt>
                <c:pt idx="39">
                  <c:v>0.51</c:v>
                </c:pt>
                <c:pt idx="40">
                  <c:v>0.5</c:v>
                </c:pt>
              </c:numCache>
            </c:numRef>
          </c:xVal>
          <c:yVal>
            <c:numRef>
              <c:f>'15 - Decel at 30k SPBK'!$M$8:$M$48</c:f>
              <c:numCache>
                <c:formatCode>0.00</c:formatCode>
                <c:ptCount val="41"/>
                <c:pt idx="0">
                  <c:v>0</c:v>
                </c:pt>
                <c:pt idx="1">
                  <c:v>0.93785328940246504</c:v>
                </c:pt>
                <c:pt idx="2">
                  <c:v>1.8967900956817694</c:v>
                </c:pt>
                <c:pt idx="3">
                  <c:v>2.8774036241623699</c:v>
                </c:pt>
                <c:pt idx="4">
                  <c:v>3.8803108451233488</c:v>
                </c:pt>
                <c:pt idx="5">
                  <c:v>4.9061484625744942</c:v>
                </c:pt>
                <c:pt idx="6">
                  <c:v>5.9543777125460506</c:v>
                </c:pt>
                <c:pt idx="7">
                  <c:v>7.0243754319332119</c:v>
                </c:pt>
                <c:pt idx="8">
                  <c:v>8.1167317947341608</c:v>
                </c:pt>
                <c:pt idx="9">
                  <c:v>9.2311208875824047</c:v>
                </c:pt>
                <c:pt idx="10">
                  <c:v>10.366835227582239</c:v>
                </c:pt>
                <c:pt idx="11">
                  <c:v>11.52304706180171</c:v>
                </c:pt>
                <c:pt idx="12">
                  <c:v>12.699170400406308</c:v>
                </c:pt>
                <c:pt idx="13">
                  <c:v>13.895654071499404</c:v>
                </c:pt>
                <c:pt idx="14">
                  <c:v>15.112957263929067</c:v>
                </c:pt>
                <c:pt idx="15">
                  <c:v>16.351549635496433</c:v>
                </c:pt>
                <c:pt idx="16">
                  <c:v>17.611911412203163</c:v>
                </c:pt>
                <c:pt idx="17">
                  <c:v>18.894533471036048</c:v>
                </c:pt>
                <c:pt idx="18">
                  <c:v>20.199917404114494</c:v>
                </c:pt>
                <c:pt idx="19">
                  <c:v>21.528575561834586</c:v>
                </c:pt>
                <c:pt idx="20">
                  <c:v>22.881031072438542</c:v>
                </c:pt>
                <c:pt idx="21">
                  <c:v>24.257817835220614</c:v>
                </c:pt>
                <c:pt idx="22">
                  <c:v>25.659480484349416</c:v>
                </c:pt>
                <c:pt idx="23">
                  <c:v>27.086574320042544</c:v>
                </c:pt>
                <c:pt idx="24">
                  <c:v>28.538231694860457</c:v>
                </c:pt>
                <c:pt idx="25">
                  <c:v>30.01298565709472</c:v>
                </c:pt>
                <c:pt idx="26">
                  <c:v>31.510740182126639</c:v>
                </c:pt>
                <c:pt idx="27">
                  <c:v>33.031875145358669</c:v>
                </c:pt>
                <c:pt idx="28">
                  <c:v>34.576771459139628</c:v>
                </c:pt>
                <c:pt idx="29">
                  <c:v>36.139655582115871</c:v>
                </c:pt>
                <c:pt idx="30">
                  <c:v>37.712865988901918</c:v>
                </c:pt>
                <c:pt idx="31">
                  <c:v>39.294813189918372</c:v>
                </c:pt>
                <c:pt idx="32">
                  <c:v>40.885468534081127</c:v>
                </c:pt>
                <c:pt idx="33">
                  <c:v>42.478054934193565</c:v>
                </c:pt>
                <c:pt idx="34">
                  <c:v>44.064257242915204</c:v>
                </c:pt>
                <c:pt idx="35">
                  <c:v>45.642669306138352</c:v>
                </c:pt>
                <c:pt idx="36">
                  <c:v>47.213523789610264</c:v>
                </c:pt>
                <c:pt idx="37">
                  <c:v>48.777047084317509</c:v>
                </c:pt>
                <c:pt idx="38">
                  <c:v>50.333459571388907</c:v>
                </c:pt>
                <c:pt idx="39">
                  <c:v>51.871385030697517</c:v>
                </c:pt>
                <c:pt idx="40">
                  <c:v>53.375756267776218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EA-4739-822D-2407C3204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837552"/>
        <c:axId val="521836896"/>
      </c:scatterChart>
      <c:valAx>
        <c:axId val="521837552"/>
        <c:scaling>
          <c:orientation val="minMax"/>
          <c:max val="0.9"/>
          <c:min val="0.5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6896"/>
        <c:crosses val="autoZero"/>
        <c:crossBetween val="midCat"/>
        <c:majorUnit val="5.000000000000001E-2"/>
      </c:valAx>
      <c:valAx>
        <c:axId val="521836896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to Accel (sec)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7552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1200" b="1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T-38A Fuel to Decel at 30k; W = 10,000 lb;</a:t>
            </a:r>
            <a:r>
              <a:rPr lang="en-US" baseline="0"/>
              <a:t> Idle Pwr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'15 - Decel at 30k SPBK'!$C$8:$C$48</c:f>
              <c:numCache>
                <c:formatCode>0.0000</c:formatCode>
                <c:ptCount val="41"/>
                <c:pt idx="0">
                  <c:v>0.9</c:v>
                </c:pt>
                <c:pt idx="1">
                  <c:v>0.89</c:v>
                </c:pt>
                <c:pt idx="2">
                  <c:v>0.88</c:v>
                </c:pt>
                <c:pt idx="3">
                  <c:v>0.87</c:v>
                </c:pt>
                <c:pt idx="4">
                  <c:v>0.86</c:v>
                </c:pt>
                <c:pt idx="5">
                  <c:v>0.85</c:v>
                </c:pt>
                <c:pt idx="6">
                  <c:v>0.84</c:v>
                </c:pt>
                <c:pt idx="7">
                  <c:v>0.83</c:v>
                </c:pt>
                <c:pt idx="8">
                  <c:v>0.82</c:v>
                </c:pt>
                <c:pt idx="9">
                  <c:v>0.81</c:v>
                </c:pt>
                <c:pt idx="10">
                  <c:v>0.8</c:v>
                </c:pt>
                <c:pt idx="11">
                  <c:v>0.79</c:v>
                </c:pt>
                <c:pt idx="12">
                  <c:v>0.78</c:v>
                </c:pt>
                <c:pt idx="13">
                  <c:v>0.77</c:v>
                </c:pt>
                <c:pt idx="14">
                  <c:v>0.76</c:v>
                </c:pt>
                <c:pt idx="15">
                  <c:v>0.75</c:v>
                </c:pt>
                <c:pt idx="16">
                  <c:v>0.74</c:v>
                </c:pt>
                <c:pt idx="17">
                  <c:v>0.73</c:v>
                </c:pt>
                <c:pt idx="18">
                  <c:v>0.72</c:v>
                </c:pt>
                <c:pt idx="19">
                  <c:v>0.71</c:v>
                </c:pt>
                <c:pt idx="20">
                  <c:v>0.7</c:v>
                </c:pt>
                <c:pt idx="21">
                  <c:v>0.69</c:v>
                </c:pt>
                <c:pt idx="22">
                  <c:v>0.68</c:v>
                </c:pt>
                <c:pt idx="23">
                  <c:v>0.67</c:v>
                </c:pt>
                <c:pt idx="24">
                  <c:v>0.66</c:v>
                </c:pt>
                <c:pt idx="25">
                  <c:v>0.65</c:v>
                </c:pt>
                <c:pt idx="26">
                  <c:v>0.64</c:v>
                </c:pt>
                <c:pt idx="27">
                  <c:v>0.63</c:v>
                </c:pt>
                <c:pt idx="28">
                  <c:v>0.62</c:v>
                </c:pt>
                <c:pt idx="29">
                  <c:v>0.61</c:v>
                </c:pt>
                <c:pt idx="30">
                  <c:v>0.6</c:v>
                </c:pt>
                <c:pt idx="31">
                  <c:v>0.59</c:v>
                </c:pt>
                <c:pt idx="32">
                  <c:v>0.57999999999999996</c:v>
                </c:pt>
                <c:pt idx="33">
                  <c:v>0.56999999999999995</c:v>
                </c:pt>
                <c:pt idx="34">
                  <c:v>0.56000000000000005</c:v>
                </c:pt>
                <c:pt idx="35">
                  <c:v>0.55000000000000004</c:v>
                </c:pt>
                <c:pt idx="36">
                  <c:v>0.54</c:v>
                </c:pt>
                <c:pt idx="37">
                  <c:v>0.53</c:v>
                </c:pt>
                <c:pt idx="38">
                  <c:v>0.52</c:v>
                </c:pt>
                <c:pt idx="39">
                  <c:v>0.51</c:v>
                </c:pt>
                <c:pt idx="40">
                  <c:v>0.5</c:v>
                </c:pt>
              </c:numCache>
            </c:numRef>
          </c:xVal>
          <c:yVal>
            <c:numRef>
              <c:f>'15 - Decel at 30k SPBK'!$P$8:$P$48</c:f>
              <c:numCache>
                <c:formatCode>0.0</c:formatCode>
                <c:ptCount val="41"/>
                <c:pt idx="0">
                  <c:v>0</c:v>
                </c:pt>
                <c:pt idx="1">
                  <c:v>0.1125423947282958</c:v>
                </c:pt>
                <c:pt idx="2">
                  <c:v>0.22761481148181234</c:v>
                </c:pt>
                <c:pt idx="3">
                  <c:v>0.34528843489948441</c:v>
                </c:pt>
                <c:pt idx="4">
                  <c:v>0.46563730141480186</c:v>
                </c:pt>
                <c:pt idx="5">
                  <c:v>0.58873781550893933</c:v>
                </c:pt>
                <c:pt idx="6">
                  <c:v>0.71452532550552605</c:v>
                </c:pt>
                <c:pt idx="7">
                  <c:v>0.84292505183198541</c:v>
                </c:pt>
                <c:pt idx="8">
                  <c:v>0.97400781536809922</c:v>
                </c:pt>
                <c:pt idx="9">
                  <c:v>1.1077345065098885</c:v>
                </c:pt>
                <c:pt idx="10">
                  <c:v>1.2440202273098686</c:v>
                </c:pt>
                <c:pt idx="11">
                  <c:v>1.3827656474162051</c:v>
                </c:pt>
                <c:pt idx="12">
                  <c:v>1.5239004480487568</c:v>
                </c:pt>
                <c:pt idx="13">
                  <c:v>1.6674784885799283</c:v>
                </c:pt>
                <c:pt idx="14">
                  <c:v>1.8135548716714878</c:v>
                </c:pt>
                <c:pt idx="15">
                  <c:v>1.9621859562595716</c:v>
                </c:pt>
                <c:pt idx="16">
                  <c:v>2.1134293694643795</c:v>
                </c:pt>
                <c:pt idx="17">
                  <c:v>2.2673440165243255</c:v>
                </c:pt>
                <c:pt idx="18">
                  <c:v>2.4239900884937389</c:v>
                </c:pt>
                <c:pt idx="19">
                  <c:v>2.5834290674201497</c:v>
                </c:pt>
                <c:pt idx="20">
                  <c:v>2.7457237286926244</c:v>
                </c:pt>
                <c:pt idx="21">
                  <c:v>2.9109381402264729</c:v>
                </c:pt>
                <c:pt idx="22">
                  <c:v>3.0791376581219287</c:v>
                </c:pt>
                <c:pt idx="23">
                  <c:v>3.250388918405104</c:v>
                </c:pt>
                <c:pt idx="24">
                  <c:v>3.4245878033832535</c:v>
                </c:pt>
                <c:pt idx="25">
                  <c:v>3.6015582788513654</c:v>
                </c:pt>
                <c:pt idx="26">
                  <c:v>3.7812888218551954</c:v>
                </c:pt>
                <c:pt idx="27">
                  <c:v>3.9638250174430389</c:v>
                </c:pt>
                <c:pt idx="28">
                  <c:v>4.1492125750967546</c:v>
                </c:pt>
                <c:pt idx="29">
                  <c:v>4.3367586698539036</c:v>
                </c:pt>
                <c:pt idx="30">
                  <c:v>4.5255439186682294</c:v>
                </c:pt>
                <c:pt idx="31">
                  <c:v>4.7153775827902038</c:v>
                </c:pt>
                <c:pt idx="32">
                  <c:v>4.9062562240897343</c:v>
                </c:pt>
                <c:pt idx="33">
                  <c:v>5.097366592103227</c:v>
                </c:pt>
                <c:pt idx="34">
                  <c:v>5.2877108691498238</c:v>
                </c:pt>
                <c:pt idx="35">
                  <c:v>5.4771203167366016</c:v>
                </c:pt>
                <c:pt idx="36">
                  <c:v>5.6656228547532308</c:v>
                </c:pt>
                <c:pt idx="37">
                  <c:v>5.8532456501181001</c:v>
                </c:pt>
                <c:pt idx="38">
                  <c:v>6.0400151485666678</c:v>
                </c:pt>
                <c:pt idx="39">
                  <c:v>6.2245662036837013</c:v>
                </c:pt>
                <c:pt idx="40">
                  <c:v>6.4050907521331455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46-43D1-89C3-E6BFFD3F8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837552"/>
        <c:axId val="521836896"/>
      </c:scatterChart>
      <c:valAx>
        <c:axId val="521837552"/>
        <c:scaling>
          <c:orientation val="minMax"/>
          <c:max val="0.9"/>
          <c:min val="0.5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6896"/>
        <c:crosses val="autoZero"/>
        <c:crossBetween val="midCat"/>
      </c:valAx>
      <c:valAx>
        <c:axId val="521836896"/>
        <c:scaling>
          <c:orientation val="minMax"/>
          <c:max val="14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Fuel to Accel (lb)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7552"/>
        <c:crosses val="autoZero"/>
        <c:crossBetween val="midCat"/>
        <c:minorUnit val="1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1200" b="1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T-38A Distance to Accel at 30k; W = 10,000 lb; Idle Pwr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'15 - Decel at 30k SPBK'!$C$8:$C$48</c:f>
              <c:numCache>
                <c:formatCode>0.0000</c:formatCode>
                <c:ptCount val="41"/>
                <c:pt idx="0">
                  <c:v>0.9</c:v>
                </c:pt>
                <c:pt idx="1">
                  <c:v>0.89</c:v>
                </c:pt>
                <c:pt idx="2">
                  <c:v>0.88</c:v>
                </c:pt>
                <c:pt idx="3">
                  <c:v>0.87</c:v>
                </c:pt>
                <c:pt idx="4">
                  <c:v>0.86</c:v>
                </c:pt>
                <c:pt idx="5">
                  <c:v>0.85</c:v>
                </c:pt>
                <c:pt idx="6">
                  <c:v>0.84</c:v>
                </c:pt>
                <c:pt idx="7">
                  <c:v>0.83</c:v>
                </c:pt>
                <c:pt idx="8">
                  <c:v>0.82</c:v>
                </c:pt>
                <c:pt idx="9">
                  <c:v>0.81</c:v>
                </c:pt>
                <c:pt idx="10">
                  <c:v>0.8</c:v>
                </c:pt>
                <c:pt idx="11">
                  <c:v>0.79</c:v>
                </c:pt>
                <c:pt idx="12">
                  <c:v>0.78</c:v>
                </c:pt>
                <c:pt idx="13">
                  <c:v>0.77</c:v>
                </c:pt>
                <c:pt idx="14">
                  <c:v>0.76</c:v>
                </c:pt>
                <c:pt idx="15">
                  <c:v>0.75</c:v>
                </c:pt>
                <c:pt idx="16">
                  <c:v>0.74</c:v>
                </c:pt>
                <c:pt idx="17">
                  <c:v>0.73</c:v>
                </c:pt>
                <c:pt idx="18">
                  <c:v>0.72</c:v>
                </c:pt>
                <c:pt idx="19">
                  <c:v>0.71</c:v>
                </c:pt>
                <c:pt idx="20">
                  <c:v>0.7</c:v>
                </c:pt>
                <c:pt idx="21">
                  <c:v>0.69</c:v>
                </c:pt>
                <c:pt idx="22">
                  <c:v>0.68</c:v>
                </c:pt>
                <c:pt idx="23">
                  <c:v>0.67</c:v>
                </c:pt>
                <c:pt idx="24">
                  <c:v>0.66</c:v>
                </c:pt>
                <c:pt idx="25">
                  <c:v>0.65</c:v>
                </c:pt>
                <c:pt idx="26">
                  <c:v>0.64</c:v>
                </c:pt>
                <c:pt idx="27">
                  <c:v>0.63</c:v>
                </c:pt>
                <c:pt idx="28">
                  <c:v>0.62</c:v>
                </c:pt>
                <c:pt idx="29">
                  <c:v>0.61</c:v>
                </c:pt>
                <c:pt idx="30">
                  <c:v>0.6</c:v>
                </c:pt>
                <c:pt idx="31">
                  <c:v>0.59</c:v>
                </c:pt>
                <c:pt idx="32">
                  <c:v>0.57999999999999996</c:v>
                </c:pt>
                <c:pt idx="33">
                  <c:v>0.56999999999999995</c:v>
                </c:pt>
                <c:pt idx="34">
                  <c:v>0.56000000000000005</c:v>
                </c:pt>
                <c:pt idx="35">
                  <c:v>0.55000000000000004</c:v>
                </c:pt>
                <c:pt idx="36">
                  <c:v>0.54</c:v>
                </c:pt>
                <c:pt idx="37">
                  <c:v>0.53</c:v>
                </c:pt>
                <c:pt idx="38">
                  <c:v>0.52</c:v>
                </c:pt>
                <c:pt idx="39">
                  <c:v>0.51</c:v>
                </c:pt>
                <c:pt idx="40">
                  <c:v>0.5</c:v>
                </c:pt>
              </c:numCache>
            </c:numRef>
          </c:xVal>
          <c:yVal>
            <c:numRef>
              <c:f>'15 - Decel at 30k SPBK'!$S$8:$S$48</c:f>
              <c:numCache>
                <c:formatCode>0.00</c:formatCode>
                <c:ptCount val="41"/>
                <c:pt idx="0">
                  <c:v>0</c:v>
                </c:pt>
                <c:pt idx="1">
                  <c:v>0.13740117884404227</c:v>
                </c:pt>
                <c:pt idx="2">
                  <c:v>0.27632149928445776</c:v>
                </c:pt>
                <c:pt idx="3">
                  <c:v>0.41677690254140326</c:v>
                </c:pt>
                <c:pt idx="4">
                  <c:v>0.55878378171632781</c:v>
                </c:pt>
                <c:pt idx="5">
                  <c:v>0.70235826198162865</c:v>
                </c:pt>
                <c:pt idx="6">
                  <c:v>0.84735074945205047</c:v>
                </c:pt>
                <c:pt idx="7">
                  <c:v>0.99360275996747394</c:v>
                </c:pt>
                <c:pt idx="8">
                  <c:v>1.1411227277190443</c:v>
                </c:pt>
                <c:pt idx="9">
                  <c:v>1.2897939729556991</c:v>
                </c:pt>
                <c:pt idx="10">
                  <c:v>1.4394511356383433</c:v>
                </c:pt>
                <c:pt idx="11">
                  <c:v>1.589916678506633</c:v>
                </c:pt>
                <c:pt idx="12">
                  <c:v>1.7410481957334185</c:v>
                </c:pt>
                <c:pt idx="13">
                  <c:v>1.8928374390597054</c:v>
                </c:pt>
                <c:pt idx="14">
                  <c:v>2.0452752535466638</c:v>
                </c:pt>
                <c:pt idx="15">
                  <c:v>2.1983515231093516</c:v>
                </c:pt>
                <c:pt idx="16">
                  <c:v>2.3520551140719816</c:v>
                </c:pt>
                <c:pt idx="17">
                  <c:v>2.5063738159301523</c:v>
                </c:pt>
                <c:pt idx="18">
                  <c:v>2.6612942792236916</c:v>
                </c:pt>
                <c:pt idx="19">
                  <c:v>2.8168019504262123</c:v>
                </c:pt>
                <c:pt idx="20">
                  <c:v>2.9728810037609348</c:v>
                </c:pt>
                <c:pt idx="21">
                  <c:v>3.1295142698570277</c:v>
                </c:pt>
                <c:pt idx="22">
                  <c:v>3.2866831611667742</c:v>
                </c:pt>
                <c:pt idx="23">
                  <c:v>3.444367594071478</c:v>
                </c:pt>
                <c:pt idx="24">
                  <c:v>3.6023898609456002</c:v>
                </c:pt>
                <c:pt idx="25">
                  <c:v>3.760512257911655</c:v>
                </c:pt>
                <c:pt idx="26">
                  <c:v>3.9186490310303608</c:v>
                </c:pt>
                <c:pt idx="27">
                  <c:v>4.076764365650102</c:v>
                </c:pt>
                <c:pt idx="28">
                  <c:v>4.234820687709214</c:v>
                </c:pt>
                <c:pt idx="29">
                  <c:v>4.392158972908951</c:v>
                </c:pt>
                <c:pt idx="30">
                  <c:v>4.547961573608764</c:v>
                </c:pt>
                <c:pt idx="31">
                  <c:v>4.7020398699056551</c:v>
                </c:pt>
                <c:pt idx="32">
                  <c:v>4.8543625149451399</c:v>
                </c:pt>
                <c:pt idx="33">
                  <c:v>5.0042631127912927</c:v>
                </c:pt>
                <c:pt idx="34">
                  <c:v>5.1509662978869626</c:v>
                </c:pt>
                <c:pt idx="35">
                  <c:v>5.2943652217014936</c:v>
                </c:pt>
                <c:pt idx="36">
                  <c:v>5.4345061454006851</c:v>
                </c:pt>
                <c:pt idx="37">
                  <c:v>5.5714336380514187</c:v>
                </c:pt>
                <c:pt idx="38">
                  <c:v>5.7051906404728374</c:v>
                </c:pt>
                <c:pt idx="39">
                  <c:v>5.8348413903474965</c:v>
                </c:pt>
                <c:pt idx="40">
                  <c:v>5.9592008759385369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06-4D04-8508-9CB5FEF40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837552"/>
        <c:axId val="521836896"/>
      </c:scatterChart>
      <c:valAx>
        <c:axId val="521837552"/>
        <c:scaling>
          <c:orientation val="minMax"/>
          <c:max val="0.9"/>
          <c:min val="0.5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6896"/>
        <c:crosses val="autoZero"/>
        <c:crossBetween val="midCat"/>
      </c:valAx>
      <c:valAx>
        <c:axId val="521836896"/>
        <c:scaling>
          <c:orientation val="minMax"/>
          <c:max val="14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to Accel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37552"/>
        <c:crosses val="autoZero"/>
        <c:crossBetween val="midCat"/>
        <c:minorUnit val="1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1200" b="1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6653CC-ED33-438C-B023-51BE5F0BBB88}">
  <sheetPr codeName="Chart1">
    <tabColor theme="9" tint="0.79998168889431442"/>
  </sheetPr>
  <sheetViews>
    <sheetView zoomScale="93" workbookViewId="0" zoomToFit="1"/>
  </sheetViews>
  <pageMargins left="0.7" right="0.7" top="0.75" bottom="0.75" header="0.3" footer="0.3"/>
  <pageSetup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040739C-FE6A-4061-B250-370C0DDE9DC2}">
  <sheetPr codeName="Chart29">
    <tabColor theme="9" tint="0.79998168889431442"/>
  </sheetPr>
  <sheetViews>
    <sheetView zoomScale="93" workbookViewId="0" zoomToFit="1"/>
  </sheetViews>
  <pageMargins left="0.7" right="0.7" top="0.75" bottom="0.75" header="0.3" footer="0.3"/>
  <pageSetup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38BD0D-C305-4B3D-A5A2-0AD26C8EA1E1}">
  <sheetPr codeName="Chart34">
    <tabColor rgb="FFCCFFCC"/>
  </sheetPr>
  <sheetViews>
    <sheetView zoomScale="114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.xml"/><Relationship Id="rId2" Type="http://schemas.openxmlformats.org/officeDocument/2006/relationships/chart" Target="../charts/chart49.xml"/><Relationship Id="rId1" Type="http://schemas.openxmlformats.org/officeDocument/2006/relationships/chart" Target="../charts/chart48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498475</xdr:colOff>
      <xdr:row>1</xdr:row>
      <xdr:rowOff>171450</xdr:rowOff>
    </xdr:from>
    <xdr:to>
      <xdr:col>8</xdr:col>
      <xdr:colOff>193675</xdr:colOff>
      <xdr:row>16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5DAA1E8-74E6-1AEE-A607-4E6297C75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120650</xdr:colOff>
      <xdr:row>1</xdr:row>
      <xdr:rowOff>177800</xdr:rowOff>
    </xdr:from>
    <xdr:to>
      <xdr:col>16</xdr:col>
      <xdr:colOff>425450</xdr:colOff>
      <xdr:row>16</xdr:row>
      <xdr:rowOff>158750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E1E0DA6-3C70-419E-B284-E3C3DF5426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190500</xdr:colOff>
      <xdr:row>16</xdr:row>
      <xdr:rowOff>158750</xdr:rowOff>
    </xdr:from>
    <xdr:to>
      <xdr:col>12</xdr:col>
      <xdr:colOff>495300</xdr:colOff>
      <xdr:row>31</xdr:row>
      <xdr:rowOff>139700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A404521-1672-4D6D-A6BD-657A96B00D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1</xdr:row>
      <xdr:rowOff>61912</xdr:rowOff>
    </xdr:from>
    <xdr:to>
      <xdr:col>8</xdr:col>
      <xdr:colOff>209550</xdr:colOff>
      <xdr:row>15</xdr:row>
      <xdr:rowOff>138112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A873A07-C597-E1DD-A843-5FDF631041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16</xdr:col>
      <xdr:colOff>304800</xdr:colOff>
      <xdr:row>15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D003988-AEE2-441C-99BB-EE13DD1F28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17</xdr:row>
      <xdr:rowOff>0</xdr:rowOff>
    </xdr:from>
    <xdr:to>
      <xdr:col>8</xdr:col>
      <xdr:colOff>304800</xdr:colOff>
      <xdr:row>31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19EEC5F-842D-4B99-9C7E-54323261E0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17</xdr:row>
      <xdr:rowOff>0</xdr:rowOff>
    </xdr:from>
    <xdr:to>
      <xdr:col>16</xdr:col>
      <xdr:colOff>304800</xdr:colOff>
      <xdr:row>31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9A2744B-ABC7-4940-AF0F-F7E836C08C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4</xdr:row>
      <xdr:rowOff>0</xdr:rowOff>
    </xdr:from>
    <xdr:to>
      <xdr:col>14</xdr:col>
      <xdr:colOff>133482</xdr:colOff>
      <xdr:row>19</xdr:row>
      <xdr:rowOff>12844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C2F130-5094-9C5E-B115-AF816AE79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48800" y="755650"/>
          <a:ext cx="2571882" cy="280684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0</xdr:row>
      <xdr:rowOff>12699</xdr:rowOff>
    </xdr:from>
    <xdr:to>
      <xdr:col>11</xdr:col>
      <xdr:colOff>590550</xdr:colOff>
      <xdr:row>28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80529A-56DF-CEE7-0F39-8FF4763F4F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177800</xdr:rowOff>
    </xdr:from>
    <xdr:to>
      <xdr:col>8</xdr:col>
      <xdr:colOff>203200</xdr:colOff>
      <xdr:row>39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095F612-6759-F321-C9EC-B367D20AF4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203200</xdr:colOff>
      <xdr:row>0</xdr:row>
      <xdr:rowOff>0</xdr:rowOff>
    </xdr:from>
    <xdr:to>
      <xdr:col>16</xdr:col>
      <xdr:colOff>406400</xdr:colOff>
      <xdr:row>20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7F22D28-0E67-CE7C-42B0-D467CFE84D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203200</xdr:colOff>
      <xdr:row>19</xdr:row>
      <xdr:rowOff>177800</xdr:rowOff>
    </xdr:from>
    <xdr:to>
      <xdr:col>16</xdr:col>
      <xdr:colOff>406400</xdr:colOff>
      <xdr:row>39</xdr:row>
      <xdr:rowOff>177800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E62E99E-9564-8CBC-D616-47523AA525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8</xdr:col>
      <xdr:colOff>203200</xdr:colOff>
      <xdr:row>20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13F2C6-EE41-4794-875B-0C2A4900D8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278191</xdr:colOff>
      <xdr:row>8</xdr:row>
      <xdr:rowOff>24190</xdr:rowOff>
    </xdr:from>
    <xdr:to>
      <xdr:col>12</xdr:col>
      <xdr:colOff>30239</xdr:colOff>
      <xdr:row>9</xdr:row>
      <xdr:rowOff>200422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BE043D3-726F-7D3C-9F0E-7CFE2B954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64286" y="1886857"/>
          <a:ext cx="2195286" cy="412089"/>
        </a:xfrm>
        <a:prstGeom prst="rect">
          <a:avLst/>
        </a:prstGeom>
      </xdr:spPr>
    </xdr:pic>
    <xdr:clientData/>
  </xdr:twoCellAnchor>
  <xdr:twoCellAnchor editAs="oneCell">
    <xdr:from>
      <xdr:col>12</xdr:col>
      <xdr:colOff>290286</xdr:colOff>
      <xdr:row>7</xdr:row>
      <xdr:rowOff>223762</xdr:rowOff>
    </xdr:from>
    <xdr:to>
      <xdr:col>16</xdr:col>
      <xdr:colOff>458868</xdr:colOff>
      <xdr:row>9</xdr:row>
      <xdr:rowOff>217467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34B7CB6-2BAE-9057-6FD7-7D62CB71A3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19619" y="1850572"/>
          <a:ext cx="2611820" cy="465419"/>
        </a:xfrm>
        <a:prstGeom prst="rect">
          <a:avLst/>
        </a:prstGeom>
      </xdr:spPr>
    </xdr:pic>
    <xdr:clientData/>
  </xdr:twoCellAnchor>
  <xdr:twoCellAnchor editAs="oneCell">
    <xdr:from>
      <xdr:col>8</xdr:col>
      <xdr:colOff>332620</xdr:colOff>
      <xdr:row>9</xdr:row>
      <xdr:rowOff>181429</xdr:rowOff>
    </xdr:from>
    <xdr:to>
      <xdr:col>12</xdr:col>
      <xdr:colOff>42143</xdr:colOff>
      <xdr:row>14</xdr:row>
      <xdr:rowOff>208705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0A28E6D-D096-BBC5-FCA0-E1CEF12F8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218715" y="2279953"/>
          <a:ext cx="2152761" cy="1206562"/>
        </a:xfrm>
        <a:prstGeom prst="rect">
          <a:avLst/>
        </a:prstGeom>
      </xdr:spPr>
    </xdr:pic>
    <xdr:clientData/>
  </xdr:twoCellAnchor>
  <xdr:twoCellAnchor editAs="oneCell">
    <xdr:from>
      <xdr:col>12</xdr:col>
      <xdr:colOff>278191</xdr:colOff>
      <xdr:row>9</xdr:row>
      <xdr:rowOff>169333</xdr:rowOff>
    </xdr:from>
    <xdr:to>
      <xdr:col>14</xdr:col>
      <xdr:colOff>587001</xdr:colOff>
      <xdr:row>12</xdr:row>
      <xdr:rowOff>1540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39BCDE-473A-5A67-080D-50C4AC89F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607524" y="2267857"/>
          <a:ext cx="1530429" cy="539778"/>
        </a:xfrm>
        <a:prstGeom prst="rect">
          <a:avLst/>
        </a:prstGeom>
      </xdr:spPr>
    </xdr:pic>
    <xdr:clientData/>
  </xdr:twoCellAnchor>
  <xdr:twoCellAnchor editAs="oneCell">
    <xdr:from>
      <xdr:col>8</xdr:col>
      <xdr:colOff>49267</xdr:colOff>
      <xdr:row>18</xdr:row>
      <xdr:rowOff>10948</xdr:rowOff>
    </xdr:from>
    <xdr:to>
      <xdr:col>10</xdr:col>
      <xdr:colOff>358086</xdr:colOff>
      <xdr:row>19</xdr:row>
      <xdr:rowOff>150897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3DC56D4-32F8-4D27-08D2-23515E84A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15603" y="4423103"/>
          <a:ext cx="1524078" cy="577880"/>
        </a:xfrm>
        <a:prstGeom prst="rect">
          <a:avLst/>
        </a:prstGeom>
      </xdr:spPr>
    </xdr:pic>
    <xdr:clientData/>
  </xdr:twoCellAnchor>
  <xdr:twoCellAnchor editAs="oneCell">
    <xdr:from>
      <xdr:col>8</xdr:col>
      <xdr:colOff>38319</xdr:colOff>
      <xdr:row>19</xdr:row>
      <xdr:rowOff>136854</xdr:rowOff>
    </xdr:from>
    <xdr:to>
      <xdr:col>10</xdr:col>
      <xdr:colOff>239183</xdr:colOff>
      <xdr:row>21</xdr:row>
      <xdr:rowOff>254906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5A0D983F-8581-4D2C-049D-342946CDE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04655" y="4986940"/>
          <a:ext cx="1416123" cy="57788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36</xdr:row>
      <xdr:rowOff>176212</xdr:rowOff>
    </xdr:from>
    <xdr:to>
      <xdr:col>5</xdr:col>
      <xdr:colOff>219075</xdr:colOff>
      <xdr:row>51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4EB996-BB56-4E68-90CC-F48B42503E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37</xdr:row>
      <xdr:rowOff>0</xdr:rowOff>
    </xdr:from>
    <xdr:to>
      <xdr:col>10</xdr:col>
      <xdr:colOff>219075</xdr:colOff>
      <xdr:row>51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A598875-466A-44CB-AF39-11AC2A5D4E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66</xdr:row>
      <xdr:rowOff>0</xdr:rowOff>
    </xdr:from>
    <xdr:to>
      <xdr:col>15</xdr:col>
      <xdr:colOff>219075</xdr:colOff>
      <xdr:row>80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5BD32A9-DE65-4295-9AA6-B6749DF610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4222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EA8F54-0CF2-41B0-BB0A-CBB6338D01B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9537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81AACB-1F3F-4B2A-8B79-7502570D5D9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590551</xdr:colOff>
      <xdr:row>0</xdr:row>
      <xdr:rowOff>146050</xdr:rowOff>
    </xdr:from>
    <xdr:to>
      <xdr:col>13</xdr:col>
      <xdr:colOff>57151</xdr:colOff>
      <xdr:row>24</xdr:row>
      <xdr:rowOff>44450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4F9D9F-765A-BF27-0797-BDC0994CAE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488607-AA38-C95F-6BF3-65E13D7A63E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212725</xdr:colOff>
      <xdr:row>4</xdr:row>
      <xdr:rowOff>101600</xdr:rowOff>
    </xdr:from>
    <xdr:to>
      <xdr:col>8</xdr:col>
      <xdr:colOff>415925</xdr:colOff>
      <xdr:row>24</xdr:row>
      <xdr:rowOff>101600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4785EC7-FB1D-353D-AFEB-64D3CD14C0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41275</xdr:colOff>
      <xdr:row>4</xdr:row>
      <xdr:rowOff>111125</xdr:rowOff>
    </xdr:from>
    <xdr:to>
      <xdr:col>17</xdr:col>
      <xdr:colOff>244475</xdr:colOff>
      <xdr:row>24</xdr:row>
      <xdr:rowOff>111125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21416BF-726C-75D5-DB70-82D1BC414F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431800</xdr:colOff>
      <xdr:row>4</xdr:row>
      <xdr:rowOff>101600</xdr:rowOff>
    </xdr:from>
    <xdr:to>
      <xdr:col>26</xdr:col>
      <xdr:colOff>25400</xdr:colOff>
      <xdr:row>24</xdr:row>
      <xdr:rowOff>101600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D0D838AF-F00F-127D-14D6-E8B3F6C170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327025</xdr:colOff>
      <xdr:row>24</xdr:row>
      <xdr:rowOff>187325</xdr:rowOff>
    </xdr:from>
    <xdr:to>
      <xdr:col>8</xdr:col>
      <xdr:colOff>530225</xdr:colOff>
      <xdr:row>44</xdr:row>
      <xdr:rowOff>187325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CABC53B-E800-31D0-44EB-96C3C40BB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88900</xdr:colOff>
      <xdr:row>25</xdr:row>
      <xdr:rowOff>34925</xdr:rowOff>
    </xdr:from>
    <xdr:to>
      <xdr:col>17</xdr:col>
      <xdr:colOff>292100</xdr:colOff>
      <xdr:row>45</xdr:row>
      <xdr:rowOff>34925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1F17A47-2DC9-9DDA-4E91-63E632F3E7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536575</xdr:colOff>
      <xdr:row>25</xdr:row>
      <xdr:rowOff>53975</xdr:rowOff>
    </xdr:from>
    <xdr:to>
      <xdr:col>26</xdr:col>
      <xdr:colOff>130175</xdr:colOff>
      <xdr:row>45</xdr:row>
      <xdr:rowOff>53975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BF45AF-43B2-532D-C897-D1A4EE039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463176</xdr:colOff>
      <xdr:row>3</xdr:row>
      <xdr:rowOff>37773</xdr:rowOff>
    </xdr:from>
    <xdr:to>
      <xdr:col>16</xdr:col>
      <xdr:colOff>40347</xdr:colOff>
      <xdr:row>21</xdr:row>
      <xdr:rowOff>33617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A61A22-BCD4-C988-CD18-C8EDD9E94C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222248</xdr:colOff>
      <xdr:row>2</xdr:row>
      <xdr:rowOff>154265</xdr:rowOff>
    </xdr:from>
    <xdr:to>
      <xdr:col>24</xdr:col>
      <xdr:colOff>358588</xdr:colOff>
      <xdr:row>20</xdr:row>
      <xdr:rowOff>164351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3BF5E74-2D0F-1485-F20B-C26B2F5149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425823</xdr:colOff>
      <xdr:row>21</xdr:row>
      <xdr:rowOff>89648</xdr:rowOff>
    </xdr:from>
    <xdr:to>
      <xdr:col>16</xdr:col>
      <xdr:colOff>2994</xdr:colOff>
      <xdr:row>40</xdr:row>
      <xdr:rowOff>40669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0C36E7-9584-4990-9D3E-163A0DB753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231587</xdr:colOff>
      <xdr:row>21</xdr:row>
      <xdr:rowOff>74705</xdr:rowOff>
    </xdr:from>
    <xdr:to>
      <xdr:col>24</xdr:col>
      <xdr:colOff>367927</xdr:colOff>
      <xdr:row>40</xdr:row>
      <xdr:rowOff>47438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82DB52B-1E14-4C4A-A260-0578DD67B7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51</xdr:row>
      <xdr:rowOff>109536</xdr:rowOff>
    </xdr:from>
    <xdr:to>
      <xdr:col>7</xdr:col>
      <xdr:colOff>533400</xdr:colOff>
      <xdr:row>69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2FD491-ABCD-4031-824C-6D07BED443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104776</xdr:colOff>
      <xdr:row>51</xdr:row>
      <xdr:rowOff>104775</xdr:rowOff>
    </xdr:from>
    <xdr:to>
      <xdr:col>16</xdr:col>
      <xdr:colOff>495301</xdr:colOff>
      <xdr:row>69</xdr:row>
      <xdr:rowOff>52388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20AD14-2E38-4E27-A371-3C719F307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171451</xdr:colOff>
      <xdr:row>51</xdr:row>
      <xdr:rowOff>114300</xdr:rowOff>
    </xdr:from>
    <xdr:to>
      <xdr:col>25</xdr:col>
      <xdr:colOff>561976</xdr:colOff>
      <xdr:row>69</xdr:row>
      <xdr:rowOff>61913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E5D3F76-525E-4B23-B39E-1027ADA21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95249</xdr:colOff>
      <xdr:row>60</xdr:row>
      <xdr:rowOff>80961</xdr:rowOff>
    </xdr:from>
    <xdr:to>
      <xdr:col>7</xdr:col>
      <xdr:colOff>485774</xdr:colOff>
      <xdr:row>78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D5E11F-1187-45D5-8CC4-24128C676D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</xdr:colOff>
      <xdr:row>60</xdr:row>
      <xdr:rowOff>76200</xdr:rowOff>
    </xdr:from>
    <xdr:to>
      <xdr:col>16</xdr:col>
      <xdr:colOff>447675</xdr:colOff>
      <xdr:row>78</xdr:row>
      <xdr:rowOff>23813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11A264C-1FB0-4902-AB9B-5C1E7DB5CE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123825</xdr:colOff>
      <xdr:row>60</xdr:row>
      <xdr:rowOff>85725</xdr:rowOff>
    </xdr:from>
    <xdr:to>
      <xdr:col>25</xdr:col>
      <xdr:colOff>514350</xdr:colOff>
      <xdr:row>78</xdr:row>
      <xdr:rowOff>33338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A523ABF-8907-4597-AE2D-23A64A38B4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396875</xdr:colOff>
      <xdr:row>1</xdr:row>
      <xdr:rowOff>73025</xdr:rowOff>
    </xdr:from>
    <xdr:to>
      <xdr:col>13</xdr:col>
      <xdr:colOff>92075</xdr:colOff>
      <xdr:row>15</xdr:row>
      <xdr:rowOff>111125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2B5DAC-69C5-501B-C0D9-9C8AECABB5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292100</xdr:colOff>
      <xdr:row>1</xdr:row>
      <xdr:rowOff>44450</xdr:rowOff>
    </xdr:from>
    <xdr:to>
      <xdr:col>20</xdr:col>
      <xdr:colOff>596900</xdr:colOff>
      <xdr:row>15</xdr:row>
      <xdr:rowOff>82550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4215A83-20D9-4BAE-A18D-8E99AEE99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400050</xdr:colOff>
      <xdr:row>15</xdr:row>
      <xdr:rowOff>152400</xdr:rowOff>
    </xdr:from>
    <xdr:to>
      <xdr:col>13</xdr:col>
      <xdr:colOff>95250</xdr:colOff>
      <xdr:row>30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62275E0-73D0-4203-86BB-0507112146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146050</xdr:colOff>
      <xdr:row>19</xdr:row>
      <xdr:rowOff>57150</xdr:rowOff>
    </xdr:from>
    <xdr:to>
      <xdr:col>4</xdr:col>
      <xdr:colOff>1003300</xdr:colOff>
      <xdr:row>40</xdr:row>
      <xdr:rowOff>6350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96C504D-3469-FDB1-498B-3DE3EC5ED6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288925</xdr:colOff>
      <xdr:row>15</xdr:row>
      <xdr:rowOff>161925</xdr:rowOff>
    </xdr:from>
    <xdr:to>
      <xdr:col>20</xdr:col>
      <xdr:colOff>593725</xdr:colOff>
      <xdr:row>30</xdr:row>
      <xdr:rowOff>136525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9EA6505-5488-6984-2E04-D0C324CA4E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51</xdr:row>
      <xdr:rowOff>109536</xdr:rowOff>
    </xdr:from>
    <xdr:to>
      <xdr:col>7</xdr:col>
      <xdr:colOff>533400</xdr:colOff>
      <xdr:row>69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B50DB7-4F32-4235-8FE5-6944432CD3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104776</xdr:colOff>
      <xdr:row>51</xdr:row>
      <xdr:rowOff>104775</xdr:rowOff>
    </xdr:from>
    <xdr:to>
      <xdr:col>16</xdr:col>
      <xdr:colOff>495301</xdr:colOff>
      <xdr:row>69</xdr:row>
      <xdr:rowOff>52388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5EDC6E4-3BA7-4F2C-986A-E69CD4EB10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171451</xdr:colOff>
      <xdr:row>51</xdr:row>
      <xdr:rowOff>114300</xdr:rowOff>
    </xdr:from>
    <xdr:to>
      <xdr:col>25</xdr:col>
      <xdr:colOff>561976</xdr:colOff>
      <xdr:row>69</xdr:row>
      <xdr:rowOff>61913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5E68A43-51E7-49A1-81BF-D2E63961E5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</xdr:colOff>
      <xdr:row>60</xdr:row>
      <xdr:rowOff>66675</xdr:rowOff>
    </xdr:from>
    <xdr:to>
      <xdr:col>6</xdr:col>
      <xdr:colOff>347662</xdr:colOff>
      <xdr:row>74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885818-96FB-4695-8C96-0F55ABC69F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76</xdr:row>
      <xdr:rowOff>52388</xdr:rowOff>
    </xdr:from>
    <xdr:to>
      <xdr:col>6</xdr:col>
      <xdr:colOff>361950</xdr:colOff>
      <xdr:row>90</xdr:row>
      <xdr:rowOff>71438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7F1AEF9-9948-47E8-83D9-7A266B8AC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</xdr:colOff>
      <xdr:row>74</xdr:row>
      <xdr:rowOff>71437</xdr:rowOff>
    </xdr:from>
    <xdr:to>
      <xdr:col>7</xdr:col>
      <xdr:colOff>57150</xdr:colOff>
      <xdr:row>88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F8EF6E4-F0C3-4442-B7E6-0CDA6ABF50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7</xdr:col>
      <xdr:colOff>57150</xdr:colOff>
      <xdr:row>105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04E3EA8-16EE-4EFF-A978-5453C0263B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447675</xdr:colOff>
      <xdr:row>52</xdr:row>
      <xdr:rowOff>119061</xdr:rowOff>
    </xdr:from>
    <xdr:to>
      <xdr:col>8</xdr:col>
      <xdr:colOff>381000</xdr:colOff>
      <xdr:row>70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C3DD6E-1174-44A1-8C9C-D922C61506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409576</xdr:colOff>
      <xdr:row>52</xdr:row>
      <xdr:rowOff>114300</xdr:rowOff>
    </xdr:from>
    <xdr:to>
      <xdr:col>17</xdr:col>
      <xdr:colOff>85726</xdr:colOff>
      <xdr:row>70</xdr:row>
      <xdr:rowOff>61913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268C8A3-4D9D-4357-A79D-27C97EA5DE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476251</xdr:colOff>
      <xdr:row>52</xdr:row>
      <xdr:rowOff>123825</xdr:rowOff>
    </xdr:from>
    <xdr:to>
      <xdr:col>27</xdr:col>
      <xdr:colOff>276226</xdr:colOff>
      <xdr:row>70</xdr:row>
      <xdr:rowOff>71438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E1D259-A8A3-42FE-B847-ED0F2162F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52</xdr:row>
      <xdr:rowOff>4761</xdr:rowOff>
    </xdr:from>
    <xdr:to>
      <xdr:col>7</xdr:col>
      <xdr:colOff>647700</xdr:colOff>
      <xdr:row>69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B5752E-A337-4279-B2B3-C3CC9ECCD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676276</xdr:colOff>
      <xdr:row>52</xdr:row>
      <xdr:rowOff>0</xdr:rowOff>
    </xdr:from>
    <xdr:to>
      <xdr:col>16</xdr:col>
      <xdr:colOff>352426</xdr:colOff>
      <xdr:row>69</xdr:row>
      <xdr:rowOff>138113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FC1C2C2-2B39-454C-92AD-0798A37FE3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28576</xdr:colOff>
      <xdr:row>52</xdr:row>
      <xdr:rowOff>9525</xdr:rowOff>
    </xdr:from>
    <xdr:to>
      <xdr:col>26</xdr:col>
      <xdr:colOff>438151</xdr:colOff>
      <xdr:row>69</xdr:row>
      <xdr:rowOff>147638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669B498-4360-4489-86FA-201AED00BE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180974</xdr:colOff>
      <xdr:row>52</xdr:row>
      <xdr:rowOff>4761</xdr:rowOff>
    </xdr:from>
    <xdr:to>
      <xdr:col>8</xdr:col>
      <xdr:colOff>152399</xdr:colOff>
      <xdr:row>69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E1C65E-BECC-4437-8E90-5DB6CD64AE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676276</xdr:colOff>
      <xdr:row>52</xdr:row>
      <xdr:rowOff>0</xdr:rowOff>
    </xdr:from>
    <xdr:to>
      <xdr:col>16</xdr:col>
      <xdr:colOff>352426</xdr:colOff>
      <xdr:row>69</xdr:row>
      <xdr:rowOff>138113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B141783-1D1F-4019-81DF-22D7E3ED6C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285751</xdr:colOff>
      <xdr:row>52</xdr:row>
      <xdr:rowOff>19050</xdr:rowOff>
    </xdr:from>
    <xdr:to>
      <xdr:col>25</xdr:col>
      <xdr:colOff>590551</xdr:colOff>
      <xdr:row>69</xdr:row>
      <xdr:rowOff>157163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A8A4B5F-A1AB-44DC-A6DB-C1325A207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52</xdr:row>
      <xdr:rowOff>4761</xdr:rowOff>
    </xdr:from>
    <xdr:to>
      <xdr:col>8</xdr:col>
      <xdr:colOff>142875</xdr:colOff>
      <xdr:row>69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7B65F6-C0A5-484E-B46C-5A92951D76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676276</xdr:colOff>
      <xdr:row>52</xdr:row>
      <xdr:rowOff>0</xdr:rowOff>
    </xdr:from>
    <xdr:to>
      <xdr:col>16</xdr:col>
      <xdr:colOff>352426</xdr:colOff>
      <xdr:row>69</xdr:row>
      <xdr:rowOff>138113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B1594E-4055-449B-AEAC-D38E1A7D19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200026</xdr:colOff>
      <xdr:row>51</xdr:row>
      <xdr:rowOff>180975</xdr:rowOff>
    </xdr:from>
    <xdr:to>
      <xdr:col>25</xdr:col>
      <xdr:colOff>504826</xdr:colOff>
      <xdr:row>69</xdr:row>
      <xdr:rowOff>128588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D043D66-4FFF-40C1-8028-82ACD3FF9E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802F6E-03F7-4EA1-90EC-26CD450FCB03}" name="KTAS" displayName="KTAS" ref="B3:O16" headerRowCount="0" totalsRowShown="0">
  <tableColumns count="14">
    <tableColumn id="1" xr3:uid="{2E9B08CF-D98C-48C6-8C53-A31DAB62C6B9}" name="50"/>
    <tableColumn id="2" xr3:uid="{B67D5C51-E657-4FBB-ADCA-155378A7762E}" name="100"/>
    <tableColumn id="3" xr3:uid="{B9EAA7BC-D7A2-46E5-B16E-5CAD9EE890B4}" name="150"/>
    <tableColumn id="4" xr3:uid="{B2A64C11-49E8-40EA-8F18-CA308BDC74F8}" name="200"/>
    <tableColumn id="5" xr3:uid="{4E40959D-DB35-4876-8EA2-EC5193AC09BD}" name="250"/>
    <tableColumn id="6" xr3:uid="{EC729249-0518-4D8A-B9D4-60E3C0A2C7BE}" name="300"/>
    <tableColumn id="7" xr3:uid="{0A0AD628-496E-43E0-B5DE-82C4CC6DDD1A}" name="350"/>
    <tableColumn id="8" xr3:uid="{134851D7-3580-4D0D-9D1E-8F45F4D87F27}" name="400"/>
    <tableColumn id="9" xr3:uid="{10F9FDC7-613A-4AA4-83F8-03EF467EEAC6}" name="450"/>
    <tableColumn id="10" xr3:uid="{9BF31CC5-FF39-44EF-BE4C-F993E07ADB57}" name="500"/>
    <tableColumn id="11" xr3:uid="{A1CAF79E-88B6-41F5-86AD-1F7714806A3F}" name="550"/>
    <tableColumn id="12" xr3:uid="{0F606D57-06D3-445F-94EA-A67CF1246A18}" name="600"/>
    <tableColumn id="13" xr3:uid="{9660B7BD-8B4E-4E75-B384-E5D1F2F51EE5}" name="650"/>
    <tableColumn id="14" xr3:uid="{747E4FA8-707C-40F4-94C4-A745154154AC}" name="700" dataDxfId="1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721DA3-88CC-4C9A-A200-2360100AFA9A}" name="KEAS" displayName="KEAS" ref="B18:P31" headerRowCount="0" totalsRowShown="0">
  <tableColumns count="15">
    <tableColumn id="1" xr3:uid="{A0794542-D34C-4F31-8A6E-EBA9DA4AA463}" name="50"/>
    <tableColumn id="2" xr3:uid="{06A06C20-595A-478B-9681-B4ABE880D623}" name="100"/>
    <tableColumn id="3" xr3:uid="{0B0EAD85-D153-44F9-8F20-540B4545C65D}" name="150"/>
    <tableColumn id="4" xr3:uid="{159790E2-9AAA-4194-9974-E574FD10215C}" name="200"/>
    <tableColumn id="5" xr3:uid="{22B5714B-6D7D-493F-B84E-D7E717C50AF3}" name="250"/>
    <tableColumn id="6" xr3:uid="{2B787067-C899-47C7-865F-9118F54D3E21}" name="300"/>
    <tableColumn id="7" xr3:uid="{5FE844ED-E9B0-47F0-A4EA-E08C2306ABC5}" name="350"/>
    <tableColumn id="8" xr3:uid="{29A925E1-1BE4-472D-98DD-645B0B33657D}" name="400"/>
    <tableColumn id="9" xr3:uid="{37D7F209-D277-4BED-8E28-4FC4EDDC197B}" name="450"/>
    <tableColumn id="10" xr3:uid="{9C860FF3-0B73-4F3F-84C7-D9AC693B7CD7}" name="500"/>
    <tableColumn id="11" xr3:uid="{311629E1-BBE1-4CD9-A829-623121815E40}" name="550"/>
    <tableColumn id="12" xr3:uid="{2BA3BFDA-7DC7-40CE-9A66-F631E99D89B8}" name="600"/>
    <tableColumn id="15" xr3:uid="{27469A84-00BA-4261-AC34-93E8C19E438C}" name="h"/>
    <tableColumn id="16" xr3:uid="{CB3F9179-217D-4EF0-9A87-7C25F6AE6361}" name="a (kts)" dataDxfId="11">
      <calculatedColumnFormula array="1">Linterp(KEAS[[#This Row],[h]], atmos_h, atmos_vela)</calculatedColumnFormula>
    </tableColumn>
    <tableColumn id="18" xr3:uid="{F1F7B321-B313-4910-A45F-5BAACF819ADC}" name="Column1" dataDxfId="1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9D8EF39-B71B-4BD9-81E0-2BD6ED461357}" name="KCAS_qc" displayName="KCAS_qc" ref="B33:Q46" headerRowCount="0" totalsRowShown="0">
  <tableColumns count="16">
    <tableColumn id="1" xr3:uid="{5F8A76D9-E3E5-49D3-A549-43C3050F5FAB}" name="50"/>
    <tableColumn id="2" xr3:uid="{2C1B2968-3140-4C2F-B508-51FD6FFC691D}" name="100"/>
    <tableColumn id="3" xr3:uid="{C57CB204-0372-42BC-8808-C28F52802D02}" name="150"/>
    <tableColumn id="4" xr3:uid="{1E85BB9D-1538-4436-826C-318DA23BDF68}" name="200"/>
    <tableColumn id="5" xr3:uid="{444444C4-327C-497C-B7E3-8B5A65E3F34D}" name="250"/>
    <tableColumn id="6" xr3:uid="{25E8B1DC-3131-4A3D-979B-3A0245B154AD}" name="300"/>
    <tableColumn id="7" xr3:uid="{2BC4EBCD-8FFA-4A7C-8232-469CBF3826C2}" name="350"/>
    <tableColumn id="8" xr3:uid="{553CCA62-FF5D-491E-9324-8A74515F71B6}" name="400"/>
    <tableColumn id="9" xr3:uid="{30B7B817-9ACD-4E97-B851-D55C9F994FFF}" name="450"/>
    <tableColumn id="10" xr3:uid="{93DFB39D-4E2A-419D-BBCC-1EE2025329FF}" name="500"/>
    <tableColumn id="11" xr3:uid="{6DCBB779-CB8A-47C5-9827-741E0DEB7F73}" name="550"/>
    <tableColumn id="12" xr3:uid="{85D6F01D-C113-43D9-A160-F88B2FF07CA1}" name="600"/>
    <tableColumn id="15" xr3:uid="{E731D892-BCCE-48F9-A7F8-4FAF4CECCF3F}" name="h"/>
    <tableColumn id="16" xr3:uid="{B921061C-9CE0-408C-9E23-DAE14EFA73A8}" name="a (kts)" dataDxfId="9">
      <calculatedColumnFormula array="1">Linterp(KCAS_qc[[#This Row],[h]], atmos_h, atmos_vela)</calculatedColumnFormula>
    </tableColumn>
    <tableColumn id="18" xr3:uid="{EDB5AA30-D0AE-4E02-9AB5-8CDE7EC51569}" name="Column1" dataDxfId="8"/>
    <tableColumn id="19" xr3:uid="{E31CACC1-6501-464A-A16E-094EE907AD92}" name="Column2" dataDxfId="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CD024DD-0548-4ACF-A1EC-B6EA6FA7B953}" name="KCAS_qc5" displayName="KCAS_qc5" ref="B48:Q61" headerRowCount="0" totalsRowShown="0">
  <tableColumns count="16">
    <tableColumn id="1" xr3:uid="{F064486B-B5EF-4744-A3BC-9DAFA6C8351F}" name="50"/>
    <tableColumn id="2" xr3:uid="{BA2E9065-AACD-448E-9E6D-0EE2178D8EE0}" name="100"/>
    <tableColumn id="3" xr3:uid="{7F895FDC-045E-4123-B99C-692AD7EC2B42}" name="150"/>
    <tableColumn id="4" xr3:uid="{DA4D6EAC-7FD5-4AE5-9693-67657F5C199C}" name="200"/>
    <tableColumn id="5" xr3:uid="{845C02B9-07CE-4C56-AFDC-43744EFB0557}" name="250"/>
    <tableColumn id="6" xr3:uid="{20E95C1C-F784-4520-A888-59CDAE23D2E9}" name="300"/>
    <tableColumn id="7" xr3:uid="{FD40C10E-6F6F-4A9D-97D9-B35C9A55BCD1}" name="350"/>
    <tableColumn id="8" xr3:uid="{BDD287A0-8C4E-431F-9C3F-2CC3B1B0FAAB}" name="400"/>
    <tableColumn id="9" xr3:uid="{23B0A447-FCAA-4CBE-BC36-FD8A4FB546B9}" name="450"/>
    <tableColumn id="10" xr3:uid="{3E75DB8F-14B3-4770-91FD-00F5F2067C53}" name="500"/>
    <tableColumn id="11" xr3:uid="{F1E466D8-3508-4A0A-8996-E7E6AEEBA66D}" name="550"/>
    <tableColumn id="12" xr3:uid="{B62C26B3-5D89-4C22-BD6C-1639EF60EE70}" name="600"/>
    <tableColumn id="15" xr3:uid="{01586418-67EF-4F52-9D0B-899BC801FE18}" name="h"/>
    <tableColumn id="16" xr3:uid="{CD6FE6F7-D905-4390-AE0F-416852FFE8DC}" name="a (kts)" dataDxfId="6">
      <calculatedColumnFormula array="1">Linterp(KCAS_qc5[[#This Row],[h]], atmos_h, atmos_vela)</calculatedColumnFormula>
    </tableColumn>
    <tableColumn id="18" xr3:uid="{4A3B077A-F602-4BA8-B7AF-6097108D1270}" name="Column1" dataDxfId="5"/>
    <tableColumn id="19" xr3:uid="{6707375F-D972-4B41-847E-0C5AA0436E9C}" name="Column2" dataDxfId="4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CCCE94D-BF5A-4273-99DB-E187C6C4E1D0}" name="KCAS_qc56" displayName="KCAS_qc56" ref="B63:Q124" headerRowCount="0" totalsRowShown="0">
  <tableColumns count="16">
    <tableColumn id="11" xr3:uid="{7A91DAD0-F7AF-4653-A6DF-AC947A3BA780}" name="Column3" dataDxfId="3"/>
    <tableColumn id="1" xr3:uid="{C22FB044-4DDF-427F-80E2-65563E33B306}" name="50"/>
    <tableColumn id="2" xr3:uid="{BB8DC98E-3E5E-4EB2-947F-707615AA9064}" name="100"/>
    <tableColumn id="3" xr3:uid="{45C4D8E4-9C95-4949-BD61-DD194B1BB90D}" name="150"/>
    <tableColumn id="4" xr3:uid="{25A449E1-797B-4003-B94C-DF3B1750C3F6}" name="200"/>
    <tableColumn id="5" xr3:uid="{4FB2CC54-A3B0-4B14-A0C1-4DBCF6389088}" name="250"/>
    <tableColumn id="6" xr3:uid="{F2F07821-015B-419B-9606-AD6F6B92BAAF}" name="300"/>
    <tableColumn id="7" xr3:uid="{A7A9B94B-E351-45CE-9766-D2D11F184357}" name="350"/>
    <tableColumn id="8" xr3:uid="{E9C5A2EC-1656-4DC1-84C8-3AB23EA9B942}" name="400"/>
    <tableColumn id="9" xr3:uid="{CB9B516E-D781-429C-AF68-CAEC1449F100}" name="450"/>
    <tableColumn id="10" xr3:uid="{1E60CFC9-0BB9-4FB0-9B63-7D3B17D7139B}" name="500"/>
    <tableColumn id="27" xr3:uid="{6A9E2E84-B663-4833-B50E-B90D5E38BF52}" name="Column4"/>
    <tableColumn id="15" xr3:uid="{A164DA55-12CA-4499-A226-761526032631}" name="h"/>
    <tableColumn id="16" xr3:uid="{F09F5356-4F82-4614-A84A-A8E9A79D60A8}" name="a (kts)" dataDxfId="2">
      <calculatedColumnFormula array="1">Linterp(KCAS_qc56[[#This Row],[h]], atmos_h, atmos_vela)</calculatedColumnFormula>
    </tableColumn>
    <tableColumn id="18" xr3:uid="{C00D76D5-D3E9-4FCF-A868-EE0287CB75B0}" name="Column1" dataDxfId="1"/>
    <tableColumn id="19" xr3:uid="{401BDF66-4F27-4C21-AAC4-49E053F3CF95}" name="Column2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70C0"/>
  </sheetPr>
  <dimension ref="A2:AE212"/>
  <sheetViews>
    <sheetView zoomScaleNormal="100" workbookViewId="0">
      <selection activeCell="O88" sqref="O88"/>
    </sheetView>
  </sheetViews>
  <sheetFormatPr defaultRowHeight="14.5"/>
  <cols>
    <col min="1" max="1" width="5.453125" customWidth="1"/>
    <col min="2" max="15" width="10.7265625" customWidth="1"/>
    <col min="16" max="16" width="10.54296875" customWidth="1"/>
    <col min="17" max="17" width="5.7265625" customWidth="1"/>
    <col min="18" max="31" width="10.7265625" customWidth="1"/>
  </cols>
  <sheetData>
    <row r="2" spans="2:11">
      <c r="B2" t="s">
        <v>35</v>
      </c>
      <c r="C2">
        <v>170</v>
      </c>
      <c r="D2" t="s">
        <v>3</v>
      </c>
      <c r="E2" t="s">
        <v>177</v>
      </c>
      <c r="G2" t="s">
        <v>31</v>
      </c>
      <c r="H2" s="18">
        <v>72000</v>
      </c>
      <c r="J2" t="s">
        <v>31</v>
      </c>
      <c r="K2" s="18">
        <v>-29400</v>
      </c>
    </row>
    <row r="3" spans="2:11">
      <c r="B3" t="s">
        <v>45</v>
      </c>
      <c r="C3">
        <v>25.25</v>
      </c>
      <c r="D3" t="s">
        <v>2</v>
      </c>
      <c r="E3" t="s">
        <v>177</v>
      </c>
      <c r="G3" t="s">
        <v>38</v>
      </c>
      <c r="H3" s="18">
        <v>9800</v>
      </c>
      <c r="J3" t="s">
        <v>38</v>
      </c>
      <c r="K3" s="18">
        <v>9800</v>
      </c>
    </row>
    <row r="4" spans="2:11">
      <c r="B4" t="s">
        <v>21</v>
      </c>
      <c r="C4" s="3">
        <f>_xlfn.SINGLE(b)*_xlfn.SINGLE(b)/_xlfn.SINGLE(S)</f>
        <v>3.7503676470588236</v>
      </c>
      <c r="E4" t="s">
        <v>177</v>
      </c>
    </row>
    <row r="5" spans="2:11">
      <c r="B5" t="s">
        <v>32</v>
      </c>
      <c r="C5">
        <v>2</v>
      </c>
      <c r="E5" t="s">
        <v>176</v>
      </c>
      <c r="G5" s="18">
        <v>7000</v>
      </c>
      <c r="H5">
        <v>7.33</v>
      </c>
      <c r="J5" s="18">
        <v>7000</v>
      </c>
      <c r="K5" s="3">
        <v>-3</v>
      </c>
    </row>
    <row r="6" spans="2:11">
      <c r="B6" t="s">
        <v>4</v>
      </c>
      <c r="C6" s="3">
        <v>0.8</v>
      </c>
      <c r="E6" t="s">
        <v>178</v>
      </c>
      <c r="G6" s="18">
        <v>9800</v>
      </c>
      <c r="H6">
        <v>7.33</v>
      </c>
      <c r="J6" s="18">
        <v>9800</v>
      </c>
      <c r="K6" s="3">
        <v>-3</v>
      </c>
    </row>
    <row r="7" spans="2:11">
      <c r="B7" t="s">
        <v>33</v>
      </c>
      <c r="C7">
        <v>7.33</v>
      </c>
      <c r="D7" t="s">
        <v>37</v>
      </c>
      <c r="E7" t="s">
        <v>178</v>
      </c>
      <c r="G7" s="18">
        <v>10000</v>
      </c>
      <c r="H7" s="3">
        <f>$H$2/G7</f>
        <v>7.2</v>
      </c>
      <c r="J7" s="18">
        <v>10000</v>
      </c>
      <c r="K7" s="3">
        <f>$K$2/J7</f>
        <v>-2.94</v>
      </c>
    </row>
    <row r="8" spans="2:11">
      <c r="B8" t="s">
        <v>34</v>
      </c>
      <c r="C8">
        <v>1.58</v>
      </c>
      <c r="E8" t="s">
        <v>178</v>
      </c>
      <c r="G8" s="18">
        <v>11000</v>
      </c>
      <c r="H8" s="3">
        <f>$H$2/G8</f>
        <v>6.5454545454545459</v>
      </c>
      <c r="J8" s="18">
        <v>11000</v>
      </c>
      <c r="K8" s="3">
        <f>$K$2/J8</f>
        <v>-2.6727272727272728</v>
      </c>
    </row>
    <row r="9" spans="2:11">
      <c r="B9" t="s">
        <v>231</v>
      </c>
      <c r="C9">
        <v>700</v>
      </c>
      <c r="D9" t="s">
        <v>36</v>
      </c>
      <c r="E9" t="s">
        <v>178</v>
      </c>
      <c r="G9" s="18">
        <v>12000</v>
      </c>
      <c r="H9" s="3">
        <f>$H$2/G9</f>
        <v>6</v>
      </c>
      <c r="J9" s="18">
        <v>12000</v>
      </c>
      <c r="K9" s="3">
        <f>$K$2/J9</f>
        <v>-2.4500000000000002</v>
      </c>
    </row>
    <row r="10" spans="2:11">
      <c r="B10" t="s">
        <v>22</v>
      </c>
      <c r="C10" s="1" cm="1">
        <f t="array" ref="C10">1481.4*(maxKEAS/661.1)^2</f>
        <v>1660.8641313948933</v>
      </c>
      <c r="D10" t="s">
        <v>39</v>
      </c>
      <c r="E10" t="s">
        <v>178</v>
      </c>
      <c r="G10" s="18">
        <v>12800</v>
      </c>
      <c r="H10" s="3">
        <f>$H$2/G10</f>
        <v>5.625</v>
      </c>
      <c r="J10" s="18">
        <v>12800</v>
      </c>
      <c r="K10" s="3">
        <f>$K$2/J10</f>
        <v>-2.296875</v>
      </c>
    </row>
    <row r="11" spans="2:11">
      <c r="B11" t="s">
        <v>180</v>
      </c>
      <c r="C11" s="18">
        <v>50000</v>
      </c>
      <c r="D11" t="s">
        <v>2</v>
      </c>
      <c r="E11" t="s">
        <v>178</v>
      </c>
      <c r="G11" s="18">
        <v>14000</v>
      </c>
      <c r="H11" s="3">
        <f>$H$2/G11</f>
        <v>5.1428571428571432</v>
      </c>
      <c r="J11" s="18">
        <v>14000</v>
      </c>
      <c r="K11" s="3">
        <f>$K$2/J11</f>
        <v>-2.1</v>
      </c>
    </row>
    <row r="12" spans="2:11">
      <c r="B12" t="s">
        <v>60</v>
      </c>
      <c r="C12" s="3">
        <v>0.91</v>
      </c>
      <c r="E12" t="s">
        <v>174</v>
      </c>
    </row>
    <row r="13" spans="2:11">
      <c r="B13" t="s">
        <v>61</v>
      </c>
      <c r="C13" s="3">
        <v>0.95</v>
      </c>
      <c r="E13" t="s">
        <v>179</v>
      </c>
      <c r="G13" t="s">
        <v>480</v>
      </c>
      <c r="I13" s="18">
        <v>3790</v>
      </c>
      <c r="J13" t="s">
        <v>5</v>
      </c>
    </row>
    <row r="18" spans="1:15">
      <c r="B18" t="s">
        <v>40</v>
      </c>
    </row>
    <row r="19" spans="1:15">
      <c r="A19" s="540" t="s">
        <v>367</v>
      </c>
      <c r="B19" s="532" t="s">
        <v>544</v>
      </c>
      <c r="C19" s="533"/>
      <c r="D19" s="533"/>
      <c r="E19" s="533"/>
      <c r="F19" s="533"/>
      <c r="G19" s="533"/>
      <c r="H19" s="533"/>
      <c r="I19" s="533"/>
      <c r="J19" s="533"/>
      <c r="K19" s="533"/>
      <c r="L19" s="534"/>
    </row>
    <row r="20" spans="1:15">
      <c r="A20" s="537"/>
      <c r="B20" s="411"/>
      <c r="C20" s="422">
        <v>0</v>
      </c>
      <c r="D20" s="422">
        <v>0.1</v>
      </c>
      <c r="E20" s="422">
        <v>0.2</v>
      </c>
      <c r="F20" s="422">
        <v>0.3</v>
      </c>
      <c r="G20" s="422">
        <v>0.35</v>
      </c>
      <c r="H20" s="422">
        <v>0.4</v>
      </c>
      <c r="I20" s="422">
        <v>0.5</v>
      </c>
      <c r="J20" s="422">
        <v>0.6</v>
      </c>
      <c r="K20" s="422">
        <v>0.7</v>
      </c>
      <c r="L20" s="423">
        <v>0.80001</v>
      </c>
      <c r="M20" t="s">
        <v>74</v>
      </c>
      <c r="O20" s="3"/>
    </row>
    <row r="21" spans="1:15">
      <c r="A21" s="537"/>
      <c r="B21" s="420">
        <v>0</v>
      </c>
      <c r="C21" s="2">
        <v>1.6199999999999999E-2</v>
      </c>
      <c r="D21" s="2">
        <v>1.745E-2</v>
      </c>
      <c r="E21" s="2">
        <v>2.12E-2</v>
      </c>
      <c r="F21" s="2">
        <v>2.7449999999999999E-2</v>
      </c>
      <c r="G21" s="2">
        <v>3.1512499999999999E-2</v>
      </c>
      <c r="H21" s="2">
        <v>3.8600000000000002E-2</v>
      </c>
      <c r="I21" s="2">
        <v>5.8700000000000002E-2</v>
      </c>
      <c r="J21" s="2">
        <v>0.09</v>
      </c>
      <c r="K21" s="2">
        <v>0.13379999999999997</v>
      </c>
      <c r="L21" s="419">
        <v>0.19220000000000004</v>
      </c>
      <c r="O21" s="2"/>
    </row>
    <row r="22" spans="1:15">
      <c r="A22" s="537"/>
      <c r="B22" s="420">
        <v>0.1</v>
      </c>
      <c r="C22" s="2">
        <v>1.6E-2</v>
      </c>
      <c r="D22" s="2">
        <v>1.7250000000000001E-2</v>
      </c>
      <c r="E22" s="2">
        <v>2.1000000000000001E-2</v>
      </c>
      <c r="F22" s="2">
        <v>2.725E-2</v>
      </c>
      <c r="G22" s="2">
        <v>3.13125E-2</v>
      </c>
      <c r="H22" s="2">
        <v>3.8400000000000004E-2</v>
      </c>
      <c r="I22" s="2">
        <v>5.8500000000000003E-2</v>
      </c>
      <c r="J22" s="2">
        <v>8.9799999999999991E-2</v>
      </c>
      <c r="K22" s="2">
        <v>0.1336</v>
      </c>
      <c r="L22" s="419">
        <v>0.19200000000000006</v>
      </c>
    </row>
    <row r="23" spans="1:15">
      <c r="A23" s="537"/>
      <c r="B23" s="420">
        <v>0.2</v>
      </c>
      <c r="C23" s="2">
        <v>1.5800000000000002E-2</v>
      </c>
      <c r="D23" s="2">
        <v>1.7050000000000003E-2</v>
      </c>
      <c r="E23" s="2">
        <v>2.0800000000000003E-2</v>
      </c>
      <c r="F23" s="2">
        <v>2.7050000000000001E-2</v>
      </c>
      <c r="G23" s="2">
        <v>3.1112500000000001E-2</v>
      </c>
      <c r="H23" s="2">
        <v>3.8200000000000005E-2</v>
      </c>
      <c r="I23" s="2">
        <v>5.8300000000000005E-2</v>
      </c>
      <c r="J23" s="2">
        <v>8.9599999999999985E-2</v>
      </c>
      <c r="K23" s="2">
        <v>0.13339999999999999</v>
      </c>
      <c r="L23" s="419">
        <v>0.19180000000000005</v>
      </c>
    </row>
    <row r="24" spans="1:15">
      <c r="A24" s="537"/>
      <c r="B24" s="420">
        <v>0.3</v>
      </c>
      <c r="C24" s="2">
        <v>1.5599999999999999E-2</v>
      </c>
      <c r="D24" s="2">
        <v>1.685E-2</v>
      </c>
      <c r="E24" s="2">
        <v>2.06E-2</v>
      </c>
      <c r="F24" s="2">
        <v>2.6849999999999999E-2</v>
      </c>
      <c r="G24" s="2">
        <v>3.0912499999999996E-2</v>
      </c>
      <c r="H24" s="2">
        <v>3.8000000000000006E-2</v>
      </c>
      <c r="I24" s="2">
        <v>5.8099999999999999E-2</v>
      </c>
      <c r="J24" s="2">
        <v>8.9399999999999993E-2</v>
      </c>
      <c r="K24" s="2">
        <v>0.13319999999999999</v>
      </c>
      <c r="L24" s="419">
        <v>0.19160000000000005</v>
      </c>
    </row>
    <row r="25" spans="1:15">
      <c r="A25" s="537"/>
      <c r="B25" s="420">
        <v>0.4</v>
      </c>
      <c r="C25" s="2">
        <v>1.54E-2</v>
      </c>
      <c r="D25" s="2">
        <v>1.6650000000000002E-2</v>
      </c>
      <c r="E25" s="2">
        <v>2.0400000000000001E-2</v>
      </c>
      <c r="F25" s="2">
        <v>2.665E-2</v>
      </c>
      <c r="G25" s="2">
        <v>3.0712499999999997E-2</v>
      </c>
      <c r="H25" s="2">
        <v>3.78E-2</v>
      </c>
      <c r="I25" s="2">
        <v>5.7900000000000007E-2</v>
      </c>
      <c r="J25" s="2">
        <v>8.9199999999999988E-2</v>
      </c>
      <c r="K25" s="2">
        <v>0.13299999999999998</v>
      </c>
      <c r="L25" s="419">
        <v>0.19140000000000004</v>
      </c>
    </row>
    <row r="26" spans="1:15">
      <c r="A26" s="537"/>
      <c r="B26" s="420">
        <v>0.5</v>
      </c>
      <c r="C26" s="2">
        <v>1.52E-2</v>
      </c>
      <c r="D26" s="2">
        <v>1.6449999999999999E-2</v>
      </c>
      <c r="E26" s="2">
        <v>2.0200000000000003E-2</v>
      </c>
      <c r="F26" s="2">
        <v>2.6450000000000001E-2</v>
      </c>
      <c r="G26" s="2">
        <v>3.0512499999999998E-2</v>
      </c>
      <c r="H26" s="2">
        <v>3.7600000000000001E-2</v>
      </c>
      <c r="I26" s="2">
        <v>5.7700000000000001E-2</v>
      </c>
      <c r="J26" s="2">
        <v>8.8999999999999996E-2</v>
      </c>
      <c r="K26" s="2">
        <v>0.13279999999999997</v>
      </c>
      <c r="L26" s="419">
        <v>0.19120000000000004</v>
      </c>
    </row>
    <row r="27" spans="1:15">
      <c r="A27" s="537"/>
      <c r="B27" s="420">
        <v>0.6</v>
      </c>
      <c r="C27" s="2">
        <v>1.4999999999999999E-2</v>
      </c>
      <c r="D27" s="2">
        <v>1.6250000000000001E-2</v>
      </c>
      <c r="E27" s="2">
        <v>0.02</v>
      </c>
      <c r="F27" s="2">
        <v>2.6249999999999999E-2</v>
      </c>
      <c r="G27" s="2">
        <v>3.0312499999999999E-2</v>
      </c>
      <c r="H27" s="2">
        <v>3.7400000000000003E-2</v>
      </c>
      <c r="I27" s="2">
        <v>5.7500000000000002E-2</v>
      </c>
      <c r="J27" s="2">
        <v>8.879999999999999E-2</v>
      </c>
      <c r="K27" s="2">
        <v>0.1326</v>
      </c>
      <c r="L27" s="419">
        <v>0.19100000000000006</v>
      </c>
    </row>
    <row r="28" spans="1:15">
      <c r="A28" s="537"/>
      <c r="B28" s="420">
        <v>0.7</v>
      </c>
      <c r="C28" s="2">
        <v>1.4800000000000001E-2</v>
      </c>
      <c r="D28" s="2">
        <v>1.6050000000000002E-2</v>
      </c>
      <c r="E28" s="2">
        <v>1.9800000000000002E-2</v>
      </c>
      <c r="F28" s="2">
        <v>2.605E-2</v>
      </c>
      <c r="G28" s="2">
        <v>3.01125E-2</v>
      </c>
      <c r="H28" s="2">
        <v>3.7200000000000004E-2</v>
      </c>
      <c r="I28" s="2">
        <v>5.7300000000000004E-2</v>
      </c>
      <c r="J28" s="2">
        <v>8.8599999999999984E-2</v>
      </c>
      <c r="K28" s="2">
        <v>0.13239999999999999</v>
      </c>
      <c r="L28" s="419">
        <v>0.19080000000000005</v>
      </c>
    </row>
    <row r="29" spans="1:15">
      <c r="A29" s="537"/>
      <c r="B29" s="420">
        <v>0.8</v>
      </c>
      <c r="C29" s="2">
        <v>1.46E-2</v>
      </c>
      <c r="D29" s="2">
        <v>1.585E-2</v>
      </c>
      <c r="E29" s="2">
        <v>1.9599999999999999E-2</v>
      </c>
      <c r="F29" s="2">
        <v>2.5849999999999998E-2</v>
      </c>
      <c r="G29" s="2">
        <v>2.9912499999999998E-2</v>
      </c>
      <c r="H29" s="2">
        <v>3.7000000000000005E-2</v>
      </c>
      <c r="I29" s="2">
        <v>5.5850000000000004E-2</v>
      </c>
      <c r="J29" s="2">
        <v>8.299999999999999E-2</v>
      </c>
      <c r="K29" s="2">
        <v>0.12092999999999998</v>
      </c>
      <c r="L29" s="419">
        <v>0.17076000000000002</v>
      </c>
    </row>
    <row r="30" spans="1:15">
      <c r="A30" s="537"/>
      <c r="B30" s="420">
        <v>0.85</v>
      </c>
      <c r="C30" s="2">
        <v>1.4999999999999999E-2</v>
      </c>
      <c r="D30" s="2">
        <v>1.6250000000000001E-2</v>
      </c>
      <c r="E30" s="2">
        <v>0.02</v>
      </c>
      <c r="F30" s="2">
        <v>2.6249999999999999E-2</v>
      </c>
      <c r="G30" s="2">
        <v>3.0312499999999999E-2</v>
      </c>
      <c r="H30" s="2">
        <v>3.6600000000000008E-2</v>
      </c>
      <c r="I30" s="2">
        <v>5.425E-2</v>
      </c>
      <c r="J30" s="2">
        <v>7.9799999999999996E-2</v>
      </c>
      <c r="K30" s="2">
        <v>0.11447</v>
      </c>
      <c r="L30" s="419">
        <v>0.15964</v>
      </c>
    </row>
    <row r="31" spans="1:15">
      <c r="A31" s="537"/>
      <c r="B31" s="420">
        <v>0.9</v>
      </c>
      <c r="C31" s="2">
        <v>1.6E-2</v>
      </c>
      <c r="D31" s="2">
        <v>1.7260000000000001E-2</v>
      </c>
      <c r="E31" s="2">
        <v>2.104E-2</v>
      </c>
      <c r="F31" s="2">
        <v>2.734E-2</v>
      </c>
      <c r="G31" s="2">
        <v>3.1434999999999998E-2</v>
      </c>
      <c r="H31" s="2">
        <v>3.712E-2</v>
      </c>
      <c r="I31" s="2">
        <v>5.3499999999999999E-2</v>
      </c>
      <c r="J31" s="2">
        <v>7.7919999999999989E-2</v>
      </c>
      <c r="K31" s="2">
        <v>0.10958999999999998</v>
      </c>
      <c r="L31" s="419">
        <v>0.15040000000000003</v>
      </c>
    </row>
    <row r="32" spans="1:15">
      <c r="A32" s="537"/>
      <c r="B32" s="420">
        <v>0.92</v>
      </c>
      <c r="C32" s="2">
        <v>1.6500000000000001E-2</v>
      </c>
      <c r="D32" s="2">
        <v>1.7770000000000001E-2</v>
      </c>
      <c r="E32" s="2">
        <v>2.1580000000000002E-2</v>
      </c>
      <c r="F32" s="2">
        <v>2.7930000000000003E-2</v>
      </c>
      <c r="G32" s="2">
        <v>3.2057500000000003E-2</v>
      </c>
      <c r="H32" s="2">
        <v>3.7620000000000001E-2</v>
      </c>
      <c r="I32" s="2">
        <v>5.3999999999999999E-2</v>
      </c>
      <c r="J32" s="2">
        <v>7.7700000000000005E-2</v>
      </c>
      <c r="K32" s="2">
        <v>0.10812999999999999</v>
      </c>
      <c r="L32" s="419">
        <v>0.14706000000000002</v>
      </c>
    </row>
    <row r="33" spans="1:12">
      <c r="A33" s="537"/>
      <c r="B33" s="420">
        <v>0.94</v>
      </c>
      <c r="C33" s="2">
        <v>1.7500000000000002E-2</v>
      </c>
      <c r="D33" s="2">
        <v>1.8780000000000002E-2</v>
      </c>
      <c r="E33" s="2">
        <v>2.2620000000000001E-2</v>
      </c>
      <c r="F33" s="2">
        <v>2.9020000000000001E-2</v>
      </c>
      <c r="G33" s="2">
        <v>3.3180000000000001E-2</v>
      </c>
      <c r="H33" s="2">
        <v>3.8940000000000002E-2</v>
      </c>
      <c r="I33" s="2">
        <v>5.5E-2</v>
      </c>
      <c r="J33" s="2">
        <v>7.7979999999999994E-2</v>
      </c>
      <c r="K33" s="2">
        <v>0.10765999999999999</v>
      </c>
      <c r="L33" s="419">
        <v>0.14550000000000002</v>
      </c>
    </row>
    <row r="34" spans="1:12">
      <c r="A34" s="537"/>
      <c r="B34" s="420">
        <v>0.96</v>
      </c>
      <c r="C34" s="2">
        <v>2.0500000000000001E-2</v>
      </c>
      <c r="D34" s="2">
        <v>2.179E-2</v>
      </c>
      <c r="E34" s="2">
        <v>2.5660000000000002E-2</v>
      </c>
      <c r="F34" s="2">
        <v>3.211E-2</v>
      </c>
      <c r="G34" s="2">
        <v>3.6302500000000001E-2</v>
      </c>
      <c r="H34" s="2">
        <v>4.2260000000000006E-2</v>
      </c>
      <c r="I34" s="2">
        <v>5.8499999999999996E-2</v>
      </c>
      <c r="J34" s="2">
        <v>8.0619999999999997E-2</v>
      </c>
      <c r="K34" s="2">
        <v>0.10918999999999998</v>
      </c>
      <c r="L34" s="419">
        <v>0.14530000000000001</v>
      </c>
    </row>
    <row r="35" spans="1:12">
      <c r="A35" s="537"/>
      <c r="B35" s="420">
        <v>0.98</v>
      </c>
      <c r="C35" s="2">
        <v>2.9000000000000001E-2</v>
      </c>
      <c r="D35" s="2">
        <v>3.031E-2</v>
      </c>
      <c r="E35" s="2">
        <v>3.424E-2</v>
      </c>
      <c r="F35" s="2">
        <v>4.079E-2</v>
      </c>
      <c r="G35" s="2">
        <v>4.5047500000000004E-2</v>
      </c>
      <c r="H35" s="2">
        <v>5.108E-2</v>
      </c>
      <c r="I35" s="2">
        <v>6.7500000000000004E-2</v>
      </c>
      <c r="J35" s="2">
        <v>8.8760000000000006E-2</v>
      </c>
      <c r="K35" s="2">
        <v>0.11670999999999999</v>
      </c>
      <c r="L35" s="419">
        <v>0.15188000000000001</v>
      </c>
    </row>
    <row r="36" spans="1:12">
      <c r="A36" s="537"/>
      <c r="B36" s="420">
        <v>1</v>
      </c>
      <c r="C36" s="2">
        <v>3.3000000000000002E-2</v>
      </c>
      <c r="D36" s="2">
        <v>3.4340000000000002E-2</v>
      </c>
      <c r="E36" s="2">
        <v>3.8360000000000005E-2</v>
      </c>
      <c r="F36" s="2">
        <v>4.5060000000000003E-2</v>
      </c>
      <c r="G36" s="2">
        <v>4.9415000000000001E-2</v>
      </c>
      <c r="H36" s="2">
        <v>5.5400000000000005E-2</v>
      </c>
      <c r="I36" s="2">
        <v>7.2000000000000008E-2</v>
      </c>
      <c r="J36" s="2">
        <v>9.2760000000000009E-2</v>
      </c>
      <c r="K36" s="2">
        <v>0.12021999999999999</v>
      </c>
      <c r="L36" s="419">
        <v>0.15460000000000002</v>
      </c>
    </row>
    <row r="37" spans="1:12">
      <c r="A37" s="537"/>
      <c r="B37" s="420">
        <v>1.02</v>
      </c>
      <c r="C37" s="2">
        <v>3.5000000000000003E-2</v>
      </c>
      <c r="D37" s="2">
        <v>3.6380000000000003E-2</v>
      </c>
      <c r="E37" s="2">
        <v>4.052E-2</v>
      </c>
      <c r="F37" s="2">
        <v>4.7420000000000004E-2</v>
      </c>
      <c r="G37" s="2">
        <v>5.1905000000000007E-2</v>
      </c>
      <c r="H37" s="2">
        <v>5.7880000000000001E-2</v>
      </c>
      <c r="I37" s="2">
        <v>7.4500000000000011E-2</v>
      </c>
      <c r="J37" s="2">
        <v>9.5119999999999996E-2</v>
      </c>
      <c r="K37" s="2">
        <v>0.12172999999999999</v>
      </c>
      <c r="L37" s="419">
        <v>0.15532000000000001</v>
      </c>
    </row>
    <row r="38" spans="1:12">
      <c r="A38" s="537"/>
      <c r="B38" s="420">
        <v>1.04</v>
      </c>
      <c r="C38" s="2">
        <v>3.6499999999999998E-2</v>
      </c>
      <c r="D38" s="2">
        <v>3.7929999999999998E-2</v>
      </c>
      <c r="E38" s="2">
        <v>4.2220000000000001E-2</v>
      </c>
      <c r="F38" s="2">
        <v>4.9369999999999997E-2</v>
      </c>
      <c r="G38" s="2">
        <v>5.4017499999999996E-2</v>
      </c>
      <c r="H38" s="2">
        <v>5.9859999999999997E-2</v>
      </c>
      <c r="I38" s="2">
        <v>7.6499999999999999E-2</v>
      </c>
      <c r="J38" s="2">
        <v>9.6979999999999997E-2</v>
      </c>
      <c r="K38" s="2">
        <v>0.12372</v>
      </c>
      <c r="L38" s="419">
        <v>0.15618000000000001</v>
      </c>
    </row>
    <row r="39" spans="1:12">
      <c r="A39" s="537"/>
      <c r="B39" s="420">
        <v>1.06</v>
      </c>
      <c r="C39" s="2">
        <v>3.7499999999999999E-2</v>
      </c>
      <c r="D39" s="2">
        <v>3.9E-2</v>
      </c>
      <c r="E39" s="2">
        <v>4.3499999999999997E-2</v>
      </c>
      <c r="F39" s="2">
        <v>5.0999999999999997E-2</v>
      </c>
      <c r="G39" s="2">
        <v>5.5874999999999994E-2</v>
      </c>
      <c r="H39" s="2">
        <v>6.1499999999999999E-2</v>
      </c>
      <c r="I39" s="2">
        <v>7.825E-2</v>
      </c>
      <c r="J39" s="2">
        <v>9.870000000000001E-2</v>
      </c>
      <c r="K39" s="2">
        <v>0.12520999999999999</v>
      </c>
      <c r="L39" s="419">
        <v>0.15718000000000001</v>
      </c>
    </row>
    <row r="40" spans="1:12">
      <c r="A40" s="537"/>
      <c r="B40" s="420">
        <v>1.08</v>
      </c>
      <c r="C40" s="2">
        <v>3.85E-2</v>
      </c>
      <c r="D40" s="2">
        <v>4.0079999999999998E-2</v>
      </c>
      <c r="E40" s="2">
        <v>4.4819999999999999E-2</v>
      </c>
      <c r="F40" s="2">
        <v>5.2719999999999996E-2</v>
      </c>
      <c r="G40" s="2">
        <v>5.7854999999999997E-2</v>
      </c>
      <c r="H40" s="2">
        <v>6.3780000000000003E-2</v>
      </c>
      <c r="I40" s="2">
        <v>8.0250000000000002E-2</v>
      </c>
      <c r="J40" s="2">
        <v>0.10077999999999998</v>
      </c>
      <c r="K40" s="2">
        <v>0.12718999999999997</v>
      </c>
      <c r="L40" s="419">
        <v>0.15882000000000002</v>
      </c>
    </row>
    <row r="41" spans="1:12">
      <c r="A41" s="537"/>
      <c r="B41" s="420">
        <v>1.1000000000000001</v>
      </c>
      <c r="C41" s="2">
        <v>3.9300000000000002E-2</v>
      </c>
      <c r="D41" s="2">
        <v>4.0960000000000003E-2</v>
      </c>
      <c r="E41" s="2">
        <v>4.5940000000000002E-2</v>
      </c>
      <c r="F41" s="2">
        <v>5.4240000000000003E-2</v>
      </c>
      <c r="G41" s="2">
        <v>5.9635000000000001E-2</v>
      </c>
      <c r="H41" s="2">
        <v>6.5860000000000002E-2</v>
      </c>
      <c r="I41" s="2">
        <v>8.2299999999999998E-2</v>
      </c>
      <c r="J41" s="2">
        <v>0.10301999999999999</v>
      </c>
      <c r="K41" s="2">
        <v>0.12896999999999997</v>
      </c>
      <c r="L41" s="419">
        <v>0.16026000000000001</v>
      </c>
    </row>
    <row r="42" spans="1:12">
      <c r="A42" s="537"/>
      <c r="B42" s="420">
        <v>1.1499999999999999</v>
      </c>
      <c r="C42" s="2">
        <v>4.0800000000000003E-2</v>
      </c>
      <c r="D42" s="2">
        <v>4.265E-2</v>
      </c>
      <c r="E42" s="2">
        <v>4.8200000000000007E-2</v>
      </c>
      <c r="F42" s="2">
        <v>5.7450000000000001E-2</v>
      </c>
      <c r="G42" s="2">
        <v>6.3462500000000005E-2</v>
      </c>
      <c r="H42" s="2">
        <v>7.0400000000000004E-2</v>
      </c>
      <c r="I42" s="2">
        <v>8.7800000000000003E-2</v>
      </c>
      <c r="J42" s="2">
        <v>0.10847999999999999</v>
      </c>
      <c r="K42" s="2">
        <v>0.13389999999999996</v>
      </c>
      <c r="L42" s="419">
        <v>0.16432000000000002</v>
      </c>
    </row>
    <row r="43" spans="1:12">
      <c r="A43" s="537"/>
      <c r="B43" s="420">
        <v>1.2</v>
      </c>
      <c r="C43" s="2">
        <v>4.2000000000000003E-2</v>
      </c>
      <c r="D43" s="2">
        <v>4.4000000000000004E-2</v>
      </c>
      <c r="E43" s="2">
        <v>0.05</v>
      </c>
      <c r="F43" s="2">
        <v>0.06</v>
      </c>
      <c r="G43" s="2">
        <v>6.6500000000000004E-2</v>
      </c>
      <c r="H43" s="2">
        <v>7.400000000000001E-2</v>
      </c>
      <c r="I43" s="2">
        <v>9.1999999999999998E-2</v>
      </c>
      <c r="J43" s="2">
        <v>0.11399999999999999</v>
      </c>
      <c r="K43" s="2">
        <v>0.13999999999999999</v>
      </c>
      <c r="L43" s="419">
        <v>0.17000000000000004</v>
      </c>
    </row>
    <row r="44" spans="1:12">
      <c r="A44" s="537"/>
      <c r="B44" s="420">
        <v>1.3</v>
      </c>
      <c r="C44" s="2">
        <v>4.3299999999999998E-2</v>
      </c>
      <c r="D44" s="2">
        <v>4.555E-2</v>
      </c>
      <c r="E44" s="2">
        <v>5.2299999999999999E-2</v>
      </c>
      <c r="F44" s="2">
        <v>6.3549999999999995E-2</v>
      </c>
      <c r="G44" s="2">
        <v>7.0862499999999995E-2</v>
      </c>
      <c r="H44" s="2">
        <v>7.9300000000000009E-2</v>
      </c>
      <c r="I44" s="2">
        <v>9.955E-2</v>
      </c>
      <c r="J44" s="2">
        <v>0.12429999999999999</v>
      </c>
      <c r="K44" s="2">
        <v>0.15354999999999999</v>
      </c>
      <c r="L44" s="419">
        <v>0.18730000000000002</v>
      </c>
    </row>
    <row r="45" spans="1:12">
      <c r="A45" s="537"/>
      <c r="B45" s="420">
        <v>1.4</v>
      </c>
      <c r="C45" s="2">
        <v>4.3999999999999997E-2</v>
      </c>
      <c r="D45" s="2">
        <v>4.65E-2</v>
      </c>
      <c r="E45" s="2">
        <v>5.3999999999999999E-2</v>
      </c>
      <c r="F45" s="2">
        <v>6.6500000000000004E-2</v>
      </c>
      <c r="G45" s="2">
        <v>7.4624999999999997E-2</v>
      </c>
      <c r="H45" s="2">
        <v>8.4000000000000005E-2</v>
      </c>
      <c r="I45" s="2">
        <v>0.1065</v>
      </c>
      <c r="J45" s="2">
        <v>0.13400000000000001</v>
      </c>
      <c r="K45" s="2">
        <v>0.16649999999999998</v>
      </c>
      <c r="L45" s="419">
        <v>0.20400000000000001</v>
      </c>
    </row>
    <row r="46" spans="1:12">
      <c r="A46" s="537"/>
      <c r="B46" s="420">
        <v>1.5</v>
      </c>
      <c r="C46" s="2">
        <v>4.3999999999999997E-2</v>
      </c>
      <c r="D46" s="2">
        <v>4.675E-2</v>
      </c>
      <c r="E46" s="2">
        <v>5.5E-2</v>
      </c>
      <c r="F46" s="2">
        <v>6.8750000000000006E-2</v>
      </c>
      <c r="G46" s="2">
        <v>7.7687499999999993E-2</v>
      </c>
      <c r="H46" s="2">
        <v>8.8000000000000009E-2</v>
      </c>
      <c r="I46" s="2">
        <v>0.11275</v>
      </c>
      <c r="J46" s="2">
        <v>0.14300000000000002</v>
      </c>
      <c r="K46" s="2">
        <v>0.17874999999999996</v>
      </c>
      <c r="L46" s="419">
        <v>0.22000000000000003</v>
      </c>
    </row>
    <row r="47" spans="1:12">
      <c r="A47" s="537"/>
      <c r="B47" s="421">
        <v>1.6</v>
      </c>
      <c r="C47" s="2">
        <v>4.3999999999999997E-2</v>
      </c>
      <c r="D47" s="2">
        <v>4.7E-2</v>
      </c>
      <c r="E47" s="2">
        <v>5.5999999999999994E-2</v>
      </c>
      <c r="F47" s="2">
        <v>7.0999999999999994E-2</v>
      </c>
      <c r="G47" s="2">
        <v>8.0749999999999988E-2</v>
      </c>
      <c r="H47" s="2">
        <v>9.1999999999999998E-2</v>
      </c>
      <c r="I47" s="2">
        <v>0.11899999999999999</v>
      </c>
      <c r="J47" s="2">
        <v>0.152</v>
      </c>
      <c r="K47" s="2">
        <v>0.191</v>
      </c>
      <c r="L47" s="419">
        <v>0.23599999999999999</v>
      </c>
    </row>
    <row r="48" spans="1:12">
      <c r="A48" s="541"/>
      <c r="B48" s="542" t="s">
        <v>545</v>
      </c>
      <c r="C48" s="543"/>
      <c r="D48" s="543"/>
      <c r="E48" s="543"/>
      <c r="F48" s="543"/>
      <c r="G48" s="543"/>
      <c r="H48" s="543"/>
      <c r="I48" s="543"/>
      <c r="J48" s="543"/>
      <c r="K48" s="543"/>
      <c r="L48" s="544"/>
    </row>
    <row r="50" spans="1:31">
      <c r="B50" t="s">
        <v>41</v>
      </c>
      <c r="R50" t="s">
        <v>42</v>
      </c>
    </row>
    <row r="51" spans="1:31">
      <c r="A51" s="409"/>
      <c r="B51" s="535" t="s">
        <v>221</v>
      </c>
      <c r="C51" s="535"/>
      <c r="D51" s="535"/>
      <c r="E51" s="535"/>
      <c r="F51" s="535"/>
      <c r="G51" s="535"/>
      <c r="H51" s="535"/>
      <c r="I51" s="535"/>
      <c r="J51" s="535"/>
      <c r="K51" s="535"/>
      <c r="L51" s="535"/>
      <c r="M51" s="535"/>
      <c r="N51" s="535"/>
      <c r="O51" s="536"/>
      <c r="Q51" s="409"/>
      <c r="R51" s="535" t="s">
        <v>221</v>
      </c>
      <c r="S51" s="535"/>
      <c r="T51" s="535"/>
      <c r="U51" s="535"/>
      <c r="V51" s="535"/>
      <c r="W51" s="535"/>
      <c r="X51" s="535"/>
      <c r="Y51" s="535"/>
      <c r="Z51" s="535"/>
      <c r="AA51" s="535"/>
      <c r="AB51" s="535"/>
      <c r="AC51" s="535"/>
      <c r="AD51" s="535"/>
      <c r="AE51" s="536"/>
    </row>
    <row r="52" spans="1:31">
      <c r="A52" s="537" t="s">
        <v>367</v>
      </c>
      <c r="B52" s="417"/>
      <c r="C52" s="415">
        <v>0</v>
      </c>
      <c r="D52" s="415">
        <v>5000</v>
      </c>
      <c r="E52" s="415">
        <v>10000</v>
      </c>
      <c r="F52" s="415">
        <v>15000</v>
      </c>
      <c r="G52" s="415">
        <v>20000</v>
      </c>
      <c r="H52" s="415">
        <v>25000</v>
      </c>
      <c r="I52" s="415">
        <v>30000</v>
      </c>
      <c r="J52" s="415">
        <v>35000</v>
      </c>
      <c r="K52" s="415">
        <v>40000</v>
      </c>
      <c r="L52" s="415">
        <v>45000</v>
      </c>
      <c r="M52" s="415">
        <v>50000</v>
      </c>
      <c r="N52" s="415">
        <v>55000</v>
      </c>
      <c r="O52" s="416">
        <v>60000</v>
      </c>
      <c r="Q52" s="537" t="s">
        <v>367</v>
      </c>
      <c r="R52" s="417"/>
      <c r="S52" s="415">
        <v>0</v>
      </c>
      <c r="T52" s="415">
        <v>5000</v>
      </c>
      <c r="U52" s="415">
        <v>10000</v>
      </c>
      <c r="V52" s="415">
        <v>15000</v>
      </c>
      <c r="W52" s="415">
        <v>20000</v>
      </c>
      <c r="X52" s="415">
        <v>25000</v>
      </c>
      <c r="Y52" s="415">
        <v>30000</v>
      </c>
      <c r="Z52" s="415">
        <v>35000</v>
      </c>
      <c r="AA52" s="415">
        <v>40000</v>
      </c>
      <c r="AB52" s="415">
        <v>45000</v>
      </c>
      <c r="AC52" s="415">
        <v>50000</v>
      </c>
      <c r="AD52" s="415">
        <v>55000</v>
      </c>
      <c r="AE52" s="416">
        <v>60000</v>
      </c>
    </row>
    <row r="53" spans="1:31">
      <c r="A53" s="537"/>
      <c r="B53" s="412">
        <v>0</v>
      </c>
      <c r="C53" s="14">
        <v>2750</v>
      </c>
      <c r="D53" s="14">
        <v>2369.5871470214929</v>
      </c>
      <c r="E53" s="14">
        <v>2030.8065075763254</v>
      </c>
      <c r="F53" s="14">
        <v>1730.3896062223366</v>
      </c>
      <c r="G53" s="14">
        <v>1465.2160704809276</v>
      </c>
      <c r="H53" s="14">
        <v>1232.3122102750115</v>
      </c>
      <c r="I53" s="14">
        <v>1028.8495562324867</v>
      </c>
      <c r="J53" s="14">
        <v>852.14335394761633</v>
      </c>
      <c r="K53" s="14">
        <v>676.96608983285034</v>
      </c>
      <c r="L53" s="14">
        <v>532.35080652362694</v>
      </c>
      <c r="M53" s="14">
        <v>418.6286218211161</v>
      </c>
      <c r="N53" s="14">
        <v>329.20007044277696</v>
      </c>
      <c r="O53" s="406">
        <v>258.87548230239713</v>
      </c>
      <c r="Q53" s="537"/>
      <c r="R53" s="412">
        <v>0</v>
      </c>
      <c r="S53" s="14">
        <v>7260</v>
      </c>
      <c r="T53" s="14">
        <v>6147.2453640570075</v>
      </c>
      <c r="U53" s="14">
        <v>5173.7443275089336</v>
      </c>
      <c r="V53" s="14">
        <v>4326.2615025118394</v>
      </c>
      <c r="W53" s="14">
        <v>3592.3921789746414</v>
      </c>
      <c r="X53" s="14">
        <v>2960.5390293262353</v>
      </c>
      <c r="Y53" s="14">
        <v>2419.8885943380046</v>
      </c>
      <c r="Z53" s="14">
        <v>1960.3875390758474</v>
      </c>
      <c r="AA53" s="14">
        <v>1549.675531882463</v>
      </c>
      <c r="AB53" s="14">
        <v>1218.6297535985198</v>
      </c>
      <c r="AC53" s="14">
        <v>958.302848436678</v>
      </c>
      <c r="AD53" s="14">
        <v>753.58766402186654</v>
      </c>
      <c r="AE53" s="406">
        <v>592.60427775245</v>
      </c>
    </row>
    <row r="54" spans="1:31">
      <c r="A54" s="537"/>
      <c r="B54" s="412">
        <v>0.1</v>
      </c>
      <c r="C54" s="14">
        <v>2870</v>
      </c>
      <c r="D54" s="14">
        <v>2498.8373550408473</v>
      </c>
      <c r="E54" s="14">
        <v>2163.7320244358666</v>
      </c>
      <c r="F54" s="14">
        <v>1856.2361230385065</v>
      </c>
      <c r="G54" s="14">
        <v>1582.4333561194019</v>
      </c>
      <c r="H54" s="14">
        <v>1339.8594577171943</v>
      </c>
      <c r="I54" s="14">
        <v>1126.1226051853764</v>
      </c>
      <c r="J54" s="14">
        <v>938.90704089501003</v>
      </c>
      <c r="K54" s="14">
        <v>750.81693599643404</v>
      </c>
      <c r="L54" s="14">
        <v>586.55379773330537</v>
      </c>
      <c r="M54" s="14">
        <v>455.16348336186809</v>
      </c>
      <c r="N54" s="14">
        <v>353.14189374770621</v>
      </c>
      <c r="O54" s="406">
        <v>273.93732854544567</v>
      </c>
      <c r="Q54" s="537"/>
      <c r="R54" s="412">
        <v>0.1</v>
      </c>
      <c r="S54" s="14">
        <v>7576.8000000000011</v>
      </c>
      <c r="T54" s="14">
        <v>6482.5496566419351</v>
      </c>
      <c r="U54" s="14">
        <v>5512.3894107640635</v>
      </c>
      <c r="V54" s="14">
        <v>4640.8987026945179</v>
      </c>
      <c r="W54" s="14">
        <v>3879.7835532926133</v>
      </c>
      <c r="X54" s="14">
        <v>3218.913344612889</v>
      </c>
      <c r="Y54" s="14">
        <v>2648.6780614390523</v>
      </c>
      <c r="Z54" s="14">
        <v>2159.99063396357</v>
      </c>
      <c r="AA54" s="14">
        <v>1718.7310444514592</v>
      </c>
      <c r="AB54" s="14">
        <v>1342.7084194194599</v>
      </c>
      <c r="AC54" s="14">
        <v>1041.9365515729701</v>
      </c>
      <c r="AD54" s="14">
        <v>808.39403958709318</v>
      </c>
      <c r="AE54" s="406">
        <v>627.08307209441068</v>
      </c>
    </row>
    <row r="55" spans="1:31">
      <c r="A55" s="537"/>
      <c r="B55" s="412">
        <v>0.2</v>
      </c>
      <c r="C55" s="14">
        <v>2990</v>
      </c>
      <c r="D55" s="14">
        <v>2628.0875630602013</v>
      </c>
      <c r="E55" s="14">
        <v>2296.657541295408</v>
      </c>
      <c r="F55" s="14">
        <v>1982.0826398546765</v>
      </c>
      <c r="G55" s="14">
        <v>1699.650641757876</v>
      </c>
      <c r="H55" s="14">
        <v>1447.406705159377</v>
      </c>
      <c r="I55" s="14">
        <v>1223.3956541382661</v>
      </c>
      <c r="J55" s="14">
        <v>1025.6707278424037</v>
      </c>
      <c r="K55" s="14">
        <v>824.66778216001774</v>
      </c>
      <c r="L55" s="14">
        <v>640.7567889429838</v>
      </c>
      <c r="M55" s="14">
        <v>491.69834490262002</v>
      </c>
      <c r="N55" s="14">
        <v>377.08371705263539</v>
      </c>
      <c r="O55" s="406">
        <v>288.99917478849426</v>
      </c>
      <c r="Q55" s="537"/>
      <c r="R55" s="412">
        <v>0.2</v>
      </c>
      <c r="S55" s="14">
        <v>7893.6</v>
      </c>
      <c r="T55" s="14">
        <v>6817.8539492268619</v>
      </c>
      <c r="U55" s="14">
        <v>5851.0344940191935</v>
      </c>
      <c r="V55" s="14">
        <v>4955.5359028771973</v>
      </c>
      <c r="W55" s="14">
        <v>4167.1749276105847</v>
      </c>
      <c r="X55" s="14">
        <v>3477.2876598995413</v>
      </c>
      <c r="Y55" s="14">
        <v>2877.4675285401004</v>
      </c>
      <c r="Z55" s="14">
        <v>2359.5937288512928</v>
      </c>
      <c r="AA55" s="14">
        <v>1887.7865570204551</v>
      </c>
      <c r="AB55" s="14">
        <v>1466.7870852404003</v>
      </c>
      <c r="AC55" s="14">
        <v>1125.5702547092617</v>
      </c>
      <c r="AD55" s="14">
        <v>863.20041515231958</v>
      </c>
      <c r="AE55" s="406">
        <v>661.56186643637136</v>
      </c>
    </row>
    <row r="56" spans="1:31">
      <c r="A56" s="537"/>
      <c r="B56" s="412">
        <v>0.3</v>
      </c>
      <c r="C56" s="14">
        <v>3110</v>
      </c>
      <c r="D56" s="14">
        <v>2757.3377710795553</v>
      </c>
      <c r="E56" s="14">
        <v>2429.5830581549494</v>
      </c>
      <c r="F56" s="14">
        <v>2107.9291566708466</v>
      </c>
      <c r="G56" s="14">
        <v>1816.8679273963503</v>
      </c>
      <c r="H56" s="14">
        <v>1554.9539526015599</v>
      </c>
      <c r="I56" s="14">
        <v>1320.6687030911557</v>
      </c>
      <c r="J56" s="14">
        <v>1112.4344147897973</v>
      </c>
      <c r="K56" s="14">
        <v>898.51862832360143</v>
      </c>
      <c r="L56" s="14">
        <v>694.95978015266212</v>
      </c>
      <c r="M56" s="14">
        <v>528.23320644337196</v>
      </c>
      <c r="N56" s="14">
        <v>401.02554035756464</v>
      </c>
      <c r="O56" s="406">
        <v>304.06102103154279</v>
      </c>
      <c r="Q56" s="537"/>
      <c r="R56" s="412">
        <v>0.3</v>
      </c>
      <c r="S56" s="14">
        <v>8210.4</v>
      </c>
      <c r="T56" s="14">
        <v>7153.1582418117896</v>
      </c>
      <c r="U56" s="14">
        <v>6189.6795772743235</v>
      </c>
      <c r="V56" s="14">
        <v>5270.1731030598776</v>
      </c>
      <c r="W56" s="14">
        <v>4454.5663019285557</v>
      </c>
      <c r="X56" s="14">
        <v>3735.6619751861949</v>
      </c>
      <c r="Y56" s="14">
        <v>3106.256995641148</v>
      </c>
      <c r="Z56" s="14">
        <v>2559.1968237390151</v>
      </c>
      <c r="AA56" s="14">
        <v>2056.8420695894511</v>
      </c>
      <c r="AB56" s="14">
        <v>1590.8657510613402</v>
      </c>
      <c r="AC56" s="14">
        <v>1209.2039578455538</v>
      </c>
      <c r="AD56" s="14">
        <v>918.00679071754632</v>
      </c>
      <c r="AE56" s="406">
        <v>696.04066077833204</v>
      </c>
    </row>
    <row r="57" spans="1:31">
      <c r="A57" s="537"/>
      <c r="B57" s="412">
        <v>0.4</v>
      </c>
      <c r="C57" s="14">
        <v>3230</v>
      </c>
      <c r="D57" s="14">
        <v>2886.5879790989097</v>
      </c>
      <c r="E57" s="14">
        <v>2562.5085750144908</v>
      </c>
      <c r="F57" s="14">
        <v>2233.7756734870163</v>
      </c>
      <c r="G57" s="14">
        <v>1934.0852130348244</v>
      </c>
      <c r="H57" s="14">
        <v>1662.5012000437428</v>
      </c>
      <c r="I57" s="14">
        <v>1417.9417520440454</v>
      </c>
      <c r="J57" s="14">
        <v>1199.1981017371911</v>
      </c>
      <c r="K57" s="14">
        <v>972.36947448718513</v>
      </c>
      <c r="L57" s="14">
        <v>749.16277136234055</v>
      </c>
      <c r="M57" s="14">
        <v>564.76806798412395</v>
      </c>
      <c r="N57" s="14">
        <v>424.96736366249388</v>
      </c>
      <c r="O57" s="406">
        <v>319.12286727459139</v>
      </c>
      <c r="Q57" s="537"/>
      <c r="R57" s="412">
        <v>0.4</v>
      </c>
      <c r="S57" s="14">
        <v>8527.2000000000007</v>
      </c>
      <c r="T57" s="14">
        <v>7488.4625343967173</v>
      </c>
      <c r="U57" s="14">
        <v>6528.3246605294544</v>
      </c>
      <c r="V57" s="14">
        <v>5584.8103032425561</v>
      </c>
      <c r="W57" s="14">
        <v>4741.9576762465276</v>
      </c>
      <c r="X57" s="14">
        <v>3994.0362904728486</v>
      </c>
      <c r="Y57" s="14">
        <v>3335.0464627421957</v>
      </c>
      <c r="Z57" s="14">
        <v>2758.799918626738</v>
      </c>
      <c r="AA57" s="14">
        <v>2225.8975821584472</v>
      </c>
      <c r="AB57" s="14">
        <v>1714.9444168822806</v>
      </c>
      <c r="AC57" s="14">
        <v>1292.8376609818456</v>
      </c>
      <c r="AD57" s="14">
        <v>972.81316628277307</v>
      </c>
      <c r="AE57" s="406">
        <v>730.51945512029283</v>
      </c>
    </row>
    <row r="58" spans="1:31">
      <c r="A58" s="537"/>
      <c r="B58" s="412">
        <v>0.5</v>
      </c>
      <c r="C58" s="14">
        <v>3350</v>
      </c>
      <c r="D58" s="14">
        <v>3015.8381871182637</v>
      </c>
      <c r="E58" s="14">
        <v>2695.4340918740318</v>
      </c>
      <c r="F58" s="14">
        <v>2359.6221903031865</v>
      </c>
      <c r="G58" s="14">
        <v>2051.3024986732985</v>
      </c>
      <c r="H58" s="14">
        <v>1770.0484474859254</v>
      </c>
      <c r="I58" s="14">
        <v>1515.2148009969351</v>
      </c>
      <c r="J58" s="14">
        <v>1285.9617886845847</v>
      </c>
      <c r="K58" s="14">
        <v>1046.2203206507688</v>
      </c>
      <c r="L58" s="14">
        <v>803.36576257201887</v>
      </c>
      <c r="M58" s="14">
        <v>601.30292952487594</v>
      </c>
      <c r="N58" s="14">
        <v>448.90918696742312</v>
      </c>
      <c r="O58" s="406">
        <v>334.18471351763992</v>
      </c>
      <c r="Q58" s="537"/>
      <c r="R58" s="412">
        <v>0.5</v>
      </c>
      <c r="S58" s="14">
        <v>8844</v>
      </c>
      <c r="T58" s="14">
        <v>7823.7668269816459</v>
      </c>
      <c r="U58" s="14">
        <v>6866.9697437845844</v>
      </c>
      <c r="V58" s="14">
        <v>5899.4475034252355</v>
      </c>
      <c r="W58" s="14">
        <v>5029.3490505644977</v>
      </c>
      <c r="X58" s="14">
        <v>4252.4106057595009</v>
      </c>
      <c r="Y58" s="14">
        <v>3563.8359298432438</v>
      </c>
      <c r="Z58" s="14">
        <v>2958.4030135144608</v>
      </c>
      <c r="AA58" s="14">
        <v>2394.9530947274429</v>
      </c>
      <c r="AB58" s="14">
        <v>1839.0230827032206</v>
      </c>
      <c r="AC58" s="14">
        <v>1376.4713641181377</v>
      </c>
      <c r="AD58" s="14">
        <v>1027.6195418479997</v>
      </c>
      <c r="AE58" s="406">
        <v>764.99824946225351</v>
      </c>
    </row>
    <row r="59" spans="1:31">
      <c r="A59" s="537"/>
      <c r="B59" s="412">
        <v>0.6</v>
      </c>
      <c r="C59" s="14">
        <v>3470</v>
      </c>
      <c r="D59" s="14">
        <v>3145.0883951376181</v>
      </c>
      <c r="E59" s="14">
        <v>2828.3596087335732</v>
      </c>
      <c r="F59" s="14">
        <v>2485.4687071193562</v>
      </c>
      <c r="G59" s="14">
        <v>2168.519784311773</v>
      </c>
      <c r="H59" s="14">
        <v>1877.5956949281083</v>
      </c>
      <c r="I59" s="14">
        <v>1612.4878499498245</v>
      </c>
      <c r="J59" s="14">
        <v>1372.7254756319785</v>
      </c>
      <c r="K59" s="14">
        <v>1120.0711668143524</v>
      </c>
      <c r="L59" s="14">
        <v>857.5687537816973</v>
      </c>
      <c r="M59" s="14">
        <v>637.83779106562781</v>
      </c>
      <c r="N59" s="14">
        <v>472.85101027235237</v>
      </c>
      <c r="O59" s="406">
        <v>349.24655976068851</v>
      </c>
      <c r="Q59" s="537"/>
      <c r="R59" s="412">
        <v>0.6</v>
      </c>
      <c r="S59" s="14">
        <v>9160.8000000000011</v>
      </c>
      <c r="T59" s="14">
        <v>8159.0711195665735</v>
      </c>
      <c r="U59" s="14">
        <v>7205.6148270397143</v>
      </c>
      <c r="V59" s="14">
        <v>6214.084703607914</v>
      </c>
      <c r="W59" s="14">
        <v>5316.7404248824705</v>
      </c>
      <c r="X59" s="14">
        <v>4510.7849210461554</v>
      </c>
      <c r="Y59" s="14">
        <v>3792.6253969442905</v>
      </c>
      <c r="Z59" s="14">
        <v>3158.0061084021836</v>
      </c>
      <c r="AA59" s="14">
        <v>2564.0086072964391</v>
      </c>
      <c r="AB59" s="14">
        <v>1963.1017485241609</v>
      </c>
      <c r="AC59" s="14">
        <v>1460.1050672544295</v>
      </c>
      <c r="AD59" s="14">
        <v>1082.4259174132264</v>
      </c>
      <c r="AE59" s="406">
        <v>799.4770438042143</v>
      </c>
    </row>
    <row r="60" spans="1:31">
      <c r="A60" s="537"/>
      <c r="B60" s="412">
        <v>0.7</v>
      </c>
      <c r="C60" s="14">
        <v>3590</v>
      </c>
      <c r="D60" s="14">
        <v>3274.3386031569721</v>
      </c>
      <c r="E60" s="14">
        <v>2961.2851255931146</v>
      </c>
      <c r="F60" s="14">
        <v>2611.3152239355263</v>
      </c>
      <c r="G60" s="14">
        <v>2285.7370699502471</v>
      </c>
      <c r="H60" s="14">
        <v>1985.1429423702912</v>
      </c>
      <c r="I60" s="14">
        <v>1709.7608989027142</v>
      </c>
      <c r="J60" s="14">
        <v>1459.4891625793721</v>
      </c>
      <c r="K60" s="14">
        <v>1193.9220129779362</v>
      </c>
      <c r="L60" s="14">
        <v>911.77174499137573</v>
      </c>
      <c r="M60" s="14">
        <v>674.3726526063798</v>
      </c>
      <c r="N60" s="14">
        <v>496.79283357728156</v>
      </c>
      <c r="O60" s="406">
        <v>364.30840600373705</v>
      </c>
      <c r="Q60" s="537"/>
      <c r="R60" s="412">
        <v>0.7</v>
      </c>
      <c r="S60" s="14">
        <v>9477.6</v>
      </c>
      <c r="T60" s="14">
        <v>8494.3754121514994</v>
      </c>
      <c r="U60" s="14">
        <v>7544.2599102948434</v>
      </c>
      <c r="V60" s="14">
        <v>6528.7219037905943</v>
      </c>
      <c r="W60" s="14">
        <v>5604.1317992004424</v>
      </c>
      <c r="X60" s="14">
        <v>4769.1592363328082</v>
      </c>
      <c r="Y60" s="14">
        <v>4021.4148640453386</v>
      </c>
      <c r="Z60" s="14">
        <v>3357.609203289906</v>
      </c>
      <c r="AA60" s="14">
        <v>2733.0641198654353</v>
      </c>
      <c r="AB60" s="14">
        <v>2087.1804143451013</v>
      </c>
      <c r="AC60" s="14">
        <v>1543.7387703907216</v>
      </c>
      <c r="AD60" s="14">
        <v>1137.232292978453</v>
      </c>
      <c r="AE60" s="406">
        <v>833.95583814617498</v>
      </c>
    </row>
    <row r="61" spans="1:31">
      <c r="A61" s="537"/>
      <c r="B61" s="412">
        <v>0.8</v>
      </c>
      <c r="C61" s="14">
        <v>3710</v>
      </c>
      <c r="D61" s="14">
        <v>3403.5888111763261</v>
      </c>
      <c r="E61" s="14">
        <v>3094.210642452656</v>
      </c>
      <c r="F61" s="14">
        <v>2737.161740751696</v>
      </c>
      <c r="G61" s="14">
        <v>2402.9543555887212</v>
      </c>
      <c r="H61" s="14">
        <v>2092.6901898124738</v>
      </c>
      <c r="I61" s="14">
        <v>1807.0339478556039</v>
      </c>
      <c r="J61" s="14">
        <v>1546.2528495267657</v>
      </c>
      <c r="K61" s="14">
        <v>1267.7728591415198</v>
      </c>
      <c r="L61" s="14">
        <v>965.97473620105404</v>
      </c>
      <c r="M61" s="14">
        <v>710.90751414713179</v>
      </c>
      <c r="N61" s="14">
        <v>520.73465688221086</v>
      </c>
      <c r="O61" s="406">
        <v>379.37025224678558</v>
      </c>
      <c r="Q61" s="537"/>
      <c r="R61" s="412">
        <v>0.8</v>
      </c>
      <c r="S61" s="14">
        <v>9794.4</v>
      </c>
      <c r="T61" s="14">
        <v>8829.6797047364271</v>
      </c>
      <c r="U61" s="14">
        <v>7882.9049935499743</v>
      </c>
      <c r="V61" s="14">
        <v>6843.3591039732728</v>
      </c>
      <c r="W61" s="14">
        <v>5891.5231735184125</v>
      </c>
      <c r="X61" s="14">
        <v>5027.5335516194609</v>
      </c>
      <c r="Y61" s="14">
        <v>4250.2043311463858</v>
      </c>
      <c r="Z61" s="14">
        <v>3557.2122981776288</v>
      </c>
      <c r="AA61" s="14">
        <v>2902.1196324344314</v>
      </c>
      <c r="AB61" s="14">
        <v>2211.2590801660413</v>
      </c>
      <c r="AC61" s="14">
        <v>1627.3724735270134</v>
      </c>
      <c r="AD61" s="14">
        <v>1192.0386685436799</v>
      </c>
      <c r="AE61" s="406">
        <v>868.43463248813566</v>
      </c>
    </row>
    <row r="62" spans="1:31">
      <c r="A62" s="537"/>
      <c r="B62" s="412">
        <v>0.9</v>
      </c>
      <c r="C62" s="14">
        <v>3830</v>
      </c>
      <c r="D62" s="14">
        <v>3532.8390191956805</v>
      </c>
      <c r="E62" s="14">
        <v>3227.1361593121974</v>
      </c>
      <c r="F62" s="14">
        <v>2863.0082575678662</v>
      </c>
      <c r="G62" s="14">
        <v>2520.1716412271953</v>
      </c>
      <c r="H62" s="14">
        <v>2200.2374372546569</v>
      </c>
      <c r="I62" s="14">
        <v>1904.3069968084935</v>
      </c>
      <c r="J62" s="14">
        <v>1633.0165364741595</v>
      </c>
      <c r="K62" s="14">
        <v>1341.6237053051034</v>
      </c>
      <c r="L62" s="14">
        <v>1020.1777274107325</v>
      </c>
      <c r="M62" s="14">
        <v>747.44237568788367</v>
      </c>
      <c r="N62" s="14">
        <v>544.6764801871401</v>
      </c>
      <c r="O62" s="406">
        <v>394.43209848983417</v>
      </c>
      <c r="Q62" s="537"/>
      <c r="R62" s="412">
        <v>0.9</v>
      </c>
      <c r="S62" s="14">
        <v>10111.200000000001</v>
      </c>
      <c r="T62" s="14">
        <v>9164.9839973213548</v>
      </c>
      <c r="U62" s="14">
        <v>8221.5500768051061</v>
      </c>
      <c r="V62" s="14">
        <v>7157.9963041559531</v>
      </c>
      <c r="W62" s="14">
        <v>6178.9145478363844</v>
      </c>
      <c r="X62" s="14">
        <v>5285.9078669061146</v>
      </c>
      <c r="Y62" s="14">
        <v>4478.9937982474339</v>
      </c>
      <c r="Z62" s="14">
        <v>3756.8153930653511</v>
      </c>
      <c r="AA62" s="14">
        <v>3071.1751450034267</v>
      </c>
      <c r="AB62" s="14">
        <v>2335.3377459869816</v>
      </c>
      <c r="AC62" s="14">
        <v>1711.0061766633053</v>
      </c>
      <c r="AD62" s="14">
        <v>1246.8450441089064</v>
      </c>
      <c r="AE62" s="406">
        <v>902.91342683009657</v>
      </c>
    </row>
    <row r="63" spans="1:31">
      <c r="A63" s="537"/>
      <c r="B63" s="412">
        <v>1</v>
      </c>
      <c r="C63" s="14">
        <v>3950</v>
      </c>
      <c r="D63" s="14">
        <v>3662.0892272150345</v>
      </c>
      <c r="E63" s="14">
        <v>3360.0616761717383</v>
      </c>
      <c r="F63" s="14">
        <v>2988.8547743840359</v>
      </c>
      <c r="G63" s="14">
        <v>2637.3889268656699</v>
      </c>
      <c r="H63" s="14">
        <v>2307.7846846968396</v>
      </c>
      <c r="I63" s="14">
        <v>2001.5800457613832</v>
      </c>
      <c r="J63" s="14">
        <v>1719.780223421553</v>
      </c>
      <c r="K63" s="14">
        <v>1415.4745514686872</v>
      </c>
      <c r="L63" s="14">
        <v>1074.3807186204108</v>
      </c>
      <c r="M63" s="14">
        <v>783.97723722863566</v>
      </c>
      <c r="N63" s="14">
        <v>568.61830349206923</v>
      </c>
      <c r="O63" s="406">
        <v>409.49394473288271</v>
      </c>
      <c r="Q63" s="537"/>
      <c r="R63" s="412">
        <v>1</v>
      </c>
      <c r="S63" s="14">
        <v>10428</v>
      </c>
      <c r="T63" s="14">
        <v>9500.2882899062824</v>
      </c>
      <c r="U63" s="14">
        <v>8560.1951600602351</v>
      </c>
      <c r="V63" s="14">
        <v>7472.6335043386307</v>
      </c>
      <c r="W63" s="14">
        <v>6466.3059221543554</v>
      </c>
      <c r="X63" s="14">
        <v>5544.2821821927673</v>
      </c>
      <c r="Y63" s="14">
        <v>4707.783265348482</v>
      </c>
      <c r="Z63" s="14">
        <v>3956.418487953074</v>
      </c>
      <c r="AA63" s="14">
        <v>3240.2306575724228</v>
      </c>
      <c r="AB63" s="14">
        <v>2459.4164118079216</v>
      </c>
      <c r="AC63" s="14">
        <v>1794.6398797995969</v>
      </c>
      <c r="AD63" s="14">
        <v>1301.6514196741327</v>
      </c>
      <c r="AE63" s="406">
        <v>937.39222117205702</v>
      </c>
    </row>
    <row r="64" spans="1:31">
      <c r="A64" s="537"/>
      <c r="B64" s="412">
        <v>1.1000000000000001</v>
      </c>
      <c r="C64" s="14">
        <v>4070</v>
      </c>
      <c r="D64" s="14">
        <v>3791.3394352343889</v>
      </c>
      <c r="E64" s="14">
        <v>3492.9871930312797</v>
      </c>
      <c r="F64" s="14">
        <v>3114.701291200206</v>
      </c>
      <c r="G64" s="14">
        <v>2754.606212504144</v>
      </c>
      <c r="H64" s="14">
        <v>2415.3319321390222</v>
      </c>
      <c r="I64" s="14">
        <v>2098.8530947142731</v>
      </c>
      <c r="J64" s="14">
        <v>1806.5439103689466</v>
      </c>
      <c r="K64" s="14">
        <v>1489.3253976322708</v>
      </c>
      <c r="L64" s="14">
        <v>1128.5837098300892</v>
      </c>
      <c r="M64" s="14">
        <v>820.51209876938765</v>
      </c>
      <c r="N64" s="14">
        <v>592.56012679699847</v>
      </c>
      <c r="O64" s="406">
        <v>424.5557909759313</v>
      </c>
      <c r="Q64" s="537"/>
      <c r="R64" s="412">
        <v>1.1000000000000001</v>
      </c>
      <c r="S64" s="14">
        <v>10744.800000000001</v>
      </c>
      <c r="T64" s="14">
        <v>9835.5925824912119</v>
      </c>
      <c r="U64" s="14">
        <v>8898.840243315366</v>
      </c>
      <c r="V64" s="14">
        <v>7787.270704521311</v>
      </c>
      <c r="W64" s="14">
        <v>6753.6972964723273</v>
      </c>
      <c r="X64" s="14">
        <v>5802.6564974794201</v>
      </c>
      <c r="Y64" s="14">
        <v>4936.5727324495301</v>
      </c>
      <c r="Z64" s="14">
        <v>4156.0215828407963</v>
      </c>
      <c r="AA64" s="14">
        <v>3409.2861701414186</v>
      </c>
      <c r="AB64" s="14">
        <v>2583.495077628862</v>
      </c>
      <c r="AC64" s="14">
        <v>1878.2735829358894</v>
      </c>
      <c r="AD64" s="14">
        <v>1356.4577952393593</v>
      </c>
      <c r="AE64" s="406">
        <v>971.87101551401793</v>
      </c>
    </row>
    <row r="65" spans="1:31">
      <c r="A65" s="537"/>
      <c r="B65" s="412">
        <v>1.2</v>
      </c>
      <c r="C65" s="14">
        <v>4190</v>
      </c>
      <c r="D65" s="14">
        <v>3920.5896432537429</v>
      </c>
      <c r="E65" s="14">
        <v>3625.9127098908211</v>
      </c>
      <c r="F65" s="14">
        <v>3240.5478080163762</v>
      </c>
      <c r="G65" s="14">
        <v>2871.8234981426181</v>
      </c>
      <c r="H65" s="14">
        <v>2522.8791795812053</v>
      </c>
      <c r="I65" s="14">
        <v>2196.1261436671625</v>
      </c>
      <c r="J65" s="14">
        <v>1893.3075973163404</v>
      </c>
      <c r="K65" s="14">
        <v>1563.1762437958546</v>
      </c>
      <c r="L65" s="14">
        <v>1182.7867010397676</v>
      </c>
      <c r="M65" s="14">
        <v>857.04696031013953</v>
      </c>
      <c r="N65" s="14">
        <v>616.50195010192772</v>
      </c>
      <c r="O65" s="406">
        <v>439.61763721897984</v>
      </c>
      <c r="Q65" s="537"/>
      <c r="R65" s="412">
        <v>1.2</v>
      </c>
      <c r="S65" s="14">
        <v>11061.6</v>
      </c>
      <c r="T65" s="14">
        <v>10170.89687507614</v>
      </c>
      <c r="U65" s="14">
        <v>9237.4853265704951</v>
      </c>
      <c r="V65" s="14">
        <v>8101.9079047039904</v>
      </c>
      <c r="W65" s="14">
        <v>7041.0886707902982</v>
      </c>
      <c r="X65" s="14">
        <v>6061.0308127660737</v>
      </c>
      <c r="Y65" s="14">
        <v>5165.3621995505773</v>
      </c>
      <c r="Z65" s="14">
        <v>4355.6246777285196</v>
      </c>
      <c r="AA65" s="14">
        <v>3578.3416827104147</v>
      </c>
      <c r="AB65" s="14">
        <v>2707.5737434498024</v>
      </c>
      <c r="AC65" s="14">
        <v>1961.9072860721808</v>
      </c>
      <c r="AD65" s="14">
        <v>1411.264170804586</v>
      </c>
      <c r="AE65" s="406">
        <v>1006.3498098559785</v>
      </c>
    </row>
    <row r="66" spans="1:31">
      <c r="A66" s="537"/>
      <c r="B66" s="412">
        <v>1.3</v>
      </c>
      <c r="C66" s="14">
        <v>4310</v>
      </c>
      <c r="D66" s="14">
        <v>4049.8398512730969</v>
      </c>
      <c r="E66" s="14">
        <v>3758.8382267503625</v>
      </c>
      <c r="F66" s="14">
        <v>3366.3943248325459</v>
      </c>
      <c r="G66" s="14">
        <v>2989.0407837810922</v>
      </c>
      <c r="H66" s="14">
        <v>2630.426427023388</v>
      </c>
      <c r="I66" s="14">
        <v>2293.3991926200524</v>
      </c>
      <c r="J66" s="14">
        <v>1980.071284263734</v>
      </c>
      <c r="K66" s="14">
        <v>1637.0270899594382</v>
      </c>
      <c r="L66" s="14">
        <v>1236.9896922494461</v>
      </c>
      <c r="M66" s="14">
        <v>893.58182185089152</v>
      </c>
      <c r="N66" s="14">
        <v>640.44377340685696</v>
      </c>
      <c r="O66" s="406">
        <v>454.67948346202843</v>
      </c>
      <c r="Q66" s="537"/>
      <c r="R66" s="412">
        <v>1.3</v>
      </c>
      <c r="S66" s="14">
        <v>11378.4</v>
      </c>
      <c r="T66" s="14">
        <v>10506.201167661067</v>
      </c>
      <c r="U66" s="14">
        <v>9576.130409825626</v>
      </c>
      <c r="V66" s="14">
        <v>8416.5451048866689</v>
      </c>
      <c r="W66" s="14">
        <v>7328.4800451082683</v>
      </c>
      <c r="X66" s="14">
        <v>6319.4051280527274</v>
      </c>
      <c r="Y66" s="14">
        <v>5394.1516666516263</v>
      </c>
      <c r="Z66" s="14">
        <v>4555.2277726162411</v>
      </c>
      <c r="AA66" s="14">
        <v>3747.3971952794104</v>
      </c>
      <c r="AB66" s="14">
        <v>2831.6524092707423</v>
      </c>
      <c r="AC66" s="14">
        <v>2045.5409892084731</v>
      </c>
      <c r="AD66" s="14">
        <v>1466.0705463698127</v>
      </c>
      <c r="AE66" s="406">
        <v>1040.8286041979395</v>
      </c>
    </row>
    <row r="67" spans="1:31">
      <c r="A67" s="537"/>
      <c r="B67" s="412">
        <v>1.4</v>
      </c>
      <c r="C67" s="14">
        <v>4430</v>
      </c>
      <c r="D67" s="14">
        <v>4179.0900592924509</v>
      </c>
      <c r="E67" s="14">
        <v>3891.7637436099035</v>
      </c>
      <c r="F67" s="14">
        <v>3492.240841648716</v>
      </c>
      <c r="G67" s="14">
        <v>3106.2580694195667</v>
      </c>
      <c r="H67" s="14">
        <v>2737.9736744655706</v>
      </c>
      <c r="I67" s="14">
        <v>2390.6722415729419</v>
      </c>
      <c r="J67" s="14">
        <v>2066.8349712111276</v>
      </c>
      <c r="K67" s="14">
        <v>1710.8779361230218</v>
      </c>
      <c r="L67" s="14">
        <v>1291.1926834591243</v>
      </c>
      <c r="M67" s="14">
        <v>930.11668339164351</v>
      </c>
      <c r="N67" s="14">
        <v>664.38559671178621</v>
      </c>
      <c r="O67" s="406">
        <v>469.74132970507696</v>
      </c>
      <c r="Q67" s="537"/>
      <c r="R67" s="412">
        <v>1.4</v>
      </c>
      <c r="S67" s="14">
        <v>11695.2</v>
      </c>
      <c r="T67" s="14">
        <v>10841.505460245993</v>
      </c>
      <c r="U67" s="14">
        <v>9914.775493080755</v>
      </c>
      <c r="V67" s="14">
        <v>8731.1823050693492</v>
      </c>
      <c r="W67" s="14">
        <v>7615.871419426242</v>
      </c>
      <c r="X67" s="14">
        <v>6577.779443339381</v>
      </c>
      <c r="Y67" s="14">
        <v>5622.9411337526726</v>
      </c>
      <c r="Z67" s="14">
        <v>4754.8308675039643</v>
      </c>
      <c r="AA67" s="14">
        <v>3916.4527078484066</v>
      </c>
      <c r="AB67" s="14">
        <v>2955.7310750916827</v>
      </c>
      <c r="AC67" s="14">
        <v>2129.1746923447649</v>
      </c>
      <c r="AD67" s="14">
        <v>1520.8769219350393</v>
      </c>
      <c r="AE67" s="406">
        <v>1075.3073985399001</v>
      </c>
    </row>
    <row r="68" spans="1:31">
      <c r="A68" s="537"/>
      <c r="B68" s="413">
        <v>1.5</v>
      </c>
      <c r="C68" s="14">
        <v>4550</v>
      </c>
      <c r="D68" s="14">
        <v>4308.3402673118053</v>
      </c>
      <c r="E68" s="14">
        <v>4024.6892604694449</v>
      </c>
      <c r="F68" s="14">
        <v>3618.0873584648857</v>
      </c>
      <c r="G68" s="14">
        <v>3223.4753550580408</v>
      </c>
      <c r="H68" s="14">
        <v>2845.5209219077537</v>
      </c>
      <c r="I68" s="14">
        <v>2487.9452905258313</v>
      </c>
      <c r="J68" s="14">
        <v>2153.5986581585212</v>
      </c>
      <c r="K68" s="14">
        <v>1784.7287822866056</v>
      </c>
      <c r="L68" s="14">
        <v>1345.3956746688027</v>
      </c>
      <c r="M68" s="14">
        <v>966.65154493239538</v>
      </c>
      <c r="N68" s="14">
        <v>688.32742001671545</v>
      </c>
      <c r="O68" s="406">
        <v>484.8031759481255</v>
      </c>
      <c r="Q68" s="537"/>
      <c r="R68" s="413">
        <v>1.5</v>
      </c>
      <c r="S68" s="14">
        <v>12012</v>
      </c>
      <c r="T68" s="14">
        <v>11176.809752830921</v>
      </c>
      <c r="U68" s="14">
        <v>10253.420576335886</v>
      </c>
      <c r="V68" s="14">
        <v>9045.8195052520259</v>
      </c>
      <c r="W68" s="14">
        <v>7903.262793744213</v>
      </c>
      <c r="X68" s="14">
        <v>6836.1537586260347</v>
      </c>
      <c r="Y68" s="14">
        <v>5851.7306008537198</v>
      </c>
      <c r="Z68" s="14">
        <v>4954.4339623916867</v>
      </c>
      <c r="AA68" s="14">
        <v>4085.5082204174032</v>
      </c>
      <c r="AB68" s="14">
        <v>3079.8097409126226</v>
      </c>
      <c r="AC68" s="14">
        <v>2212.8083954810563</v>
      </c>
      <c r="AD68" s="14">
        <v>1575.6832975002662</v>
      </c>
      <c r="AE68" s="406">
        <v>1109.7861928818606</v>
      </c>
    </row>
    <row r="69" spans="1:31">
      <c r="A69" s="537"/>
      <c r="B69" s="418">
        <v>1.6</v>
      </c>
      <c r="C69" s="407">
        <v>4670</v>
      </c>
      <c r="D69" s="407">
        <v>4437.5904753311597</v>
      </c>
      <c r="E69" s="407">
        <v>4157.6147773289858</v>
      </c>
      <c r="F69" s="407">
        <v>3743.9338752810559</v>
      </c>
      <c r="G69" s="407">
        <v>3340.6926406965149</v>
      </c>
      <c r="H69" s="407">
        <v>2953.0681693499364</v>
      </c>
      <c r="I69" s="407">
        <v>2585.2183394787212</v>
      </c>
      <c r="J69" s="407">
        <v>2240.3623451059152</v>
      </c>
      <c r="K69" s="407">
        <v>1858.5796284501891</v>
      </c>
      <c r="L69" s="407">
        <v>1399.5986658784811</v>
      </c>
      <c r="M69" s="407">
        <v>1003.1864064731474</v>
      </c>
      <c r="N69" s="407">
        <v>712.26924332164469</v>
      </c>
      <c r="O69" s="408">
        <v>499.86502219117409</v>
      </c>
      <c r="Q69" s="537"/>
      <c r="R69" s="418">
        <v>1.6</v>
      </c>
      <c r="S69" s="407">
        <v>12328.800000000001</v>
      </c>
      <c r="T69" s="407">
        <v>11512.11404541585</v>
      </c>
      <c r="U69" s="407">
        <v>10592.065659591015</v>
      </c>
      <c r="V69" s="407">
        <v>9360.4567054347081</v>
      </c>
      <c r="W69" s="407">
        <v>8190.654168062184</v>
      </c>
      <c r="X69" s="407">
        <v>7094.5280739126874</v>
      </c>
      <c r="Y69" s="407">
        <v>6080.5200679547679</v>
      </c>
      <c r="Z69" s="407">
        <v>5154.03705727941</v>
      </c>
      <c r="AA69" s="407">
        <v>4254.5637329863976</v>
      </c>
      <c r="AB69" s="407">
        <v>3203.888406733563</v>
      </c>
      <c r="AC69" s="407">
        <v>2296.4420986173486</v>
      </c>
      <c r="AD69" s="407">
        <v>1630.489673065493</v>
      </c>
      <c r="AE69" s="408">
        <v>1144.2649872238214</v>
      </c>
    </row>
    <row r="70" spans="1:31">
      <c r="A70" s="410"/>
      <c r="B70" s="538" t="s">
        <v>540</v>
      </c>
      <c r="C70" s="538"/>
      <c r="D70" s="538"/>
      <c r="E70" s="538"/>
      <c r="F70" s="538"/>
      <c r="G70" s="538"/>
      <c r="H70" s="538"/>
      <c r="I70" s="538"/>
      <c r="J70" s="538"/>
      <c r="K70" s="538"/>
      <c r="L70" s="538"/>
      <c r="M70" s="538"/>
      <c r="N70" s="538"/>
      <c r="O70" s="539"/>
      <c r="Q70" s="410"/>
      <c r="R70" s="538" t="s">
        <v>542</v>
      </c>
      <c r="S70" s="538"/>
      <c r="T70" s="538"/>
      <c r="U70" s="538"/>
      <c r="V70" s="538"/>
      <c r="W70" s="538"/>
      <c r="X70" s="538"/>
      <c r="Y70" s="538"/>
      <c r="Z70" s="538"/>
      <c r="AA70" s="538"/>
      <c r="AB70" s="538"/>
      <c r="AC70" s="538"/>
      <c r="AD70" s="538"/>
      <c r="AE70" s="539"/>
    </row>
    <row r="72" spans="1:31" ht="14.5" customHeight="1">
      <c r="B72" t="s">
        <v>43</v>
      </c>
      <c r="R72" t="s">
        <v>44</v>
      </c>
    </row>
    <row r="73" spans="1:31" ht="14.5" customHeight="1">
      <c r="A73" s="409"/>
      <c r="B73" s="535" t="s">
        <v>221</v>
      </c>
      <c r="C73" s="535"/>
      <c r="D73" s="535"/>
      <c r="E73" s="535"/>
      <c r="F73" s="535"/>
      <c r="G73" s="535"/>
      <c r="H73" s="535"/>
      <c r="I73" s="535"/>
      <c r="J73" s="535"/>
      <c r="K73" s="535"/>
      <c r="L73" s="535"/>
      <c r="M73" s="535"/>
      <c r="N73" s="535"/>
      <c r="O73" s="536"/>
      <c r="Q73" s="409"/>
      <c r="R73" s="535" t="s">
        <v>221</v>
      </c>
      <c r="S73" s="535"/>
      <c r="T73" s="535"/>
      <c r="U73" s="535"/>
      <c r="V73" s="535"/>
      <c r="W73" s="535"/>
      <c r="X73" s="535"/>
      <c r="Y73" s="535"/>
      <c r="Z73" s="535"/>
      <c r="AA73" s="535"/>
      <c r="AB73" s="535"/>
      <c r="AC73" s="535"/>
      <c r="AD73" s="535"/>
      <c r="AE73" s="536"/>
    </row>
    <row r="74" spans="1:31">
      <c r="A74" s="537" t="s">
        <v>367</v>
      </c>
      <c r="B74" s="411"/>
      <c r="C74" s="415">
        <v>0</v>
      </c>
      <c r="D74" s="415">
        <v>5000</v>
      </c>
      <c r="E74" s="415">
        <v>10000</v>
      </c>
      <c r="F74" s="415">
        <v>15000</v>
      </c>
      <c r="G74" s="415">
        <v>20000</v>
      </c>
      <c r="H74" s="415">
        <v>25000</v>
      </c>
      <c r="I74" s="415">
        <v>30000</v>
      </c>
      <c r="J74" s="415">
        <v>35000</v>
      </c>
      <c r="K74" s="415">
        <v>40000</v>
      </c>
      <c r="L74" s="415">
        <v>45000</v>
      </c>
      <c r="M74" s="415">
        <v>50000</v>
      </c>
      <c r="N74" s="415">
        <v>55000</v>
      </c>
      <c r="O74" s="416">
        <v>60000</v>
      </c>
      <c r="Q74" s="537" t="s">
        <v>367</v>
      </c>
      <c r="R74" s="411"/>
      <c r="S74" s="415">
        <v>0</v>
      </c>
      <c r="T74" s="415">
        <v>5000</v>
      </c>
      <c r="U74" s="415">
        <v>10000</v>
      </c>
      <c r="V74" s="415">
        <v>15000</v>
      </c>
      <c r="W74" s="415">
        <v>20000</v>
      </c>
      <c r="X74" s="415">
        <v>25000</v>
      </c>
      <c r="Y74" s="415">
        <v>30000</v>
      </c>
      <c r="Z74" s="415">
        <v>35000</v>
      </c>
      <c r="AA74" s="415">
        <v>40000</v>
      </c>
      <c r="AB74" s="415">
        <v>45000</v>
      </c>
      <c r="AC74" s="415">
        <v>50000</v>
      </c>
      <c r="AD74" s="415">
        <v>55000</v>
      </c>
      <c r="AE74" s="416">
        <v>60000</v>
      </c>
    </row>
    <row r="75" spans="1:31">
      <c r="A75" s="537"/>
      <c r="B75" s="412">
        <v>0</v>
      </c>
      <c r="C75" s="14">
        <v>1900</v>
      </c>
      <c r="D75" s="14">
        <v>1637.1693015784861</v>
      </c>
      <c r="E75" s="14">
        <v>1403.1026779618248</v>
      </c>
      <c r="F75" s="14">
        <v>1195.5419097536144</v>
      </c>
      <c r="G75" s="14">
        <v>1012.3311032413682</v>
      </c>
      <c r="H75" s="14">
        <v>851.41570891728065</v>
      </c>
      <c r="I75" s="14">
        <v>710.84151157880899</v>
      </c>
      <c r="J75" s="14">
        <v>588.75359000017136</v>
      </c>
      <c r="K75" s="14">
        <v>467.72202570269661</v>
      </c>
      <c r="L75" s="14">
        <v>367.80601177996044</v>
      </c>
      <c r="M75" s="14">
        <v>289.23432053095297</v>
      </c>
      <c r="N75" s="14">
        <v>227.4473213968277</v>
      </c>
      <c r="O75" s="406">
        <v>178.85942413620165</v>
      </c>
      <c r="Q75" s="537"/>
      <c r="R75" s="412">
        <v>0</v>
      </c>
      <c r="S75" s="14">
        <v>2166</v>
      </c>
      <c r="T75" s="14">
        <v>1834.0128730781648</v>
      </c>
      <c r="U75" s="14">
        <v>1543.571654736136</v>
      </c>
      <c r="V75" s="14">
        <v>1290.7276052948544</v>
      </c>
      <c r="W75" s="14">
        <v>1071.7798153800377</v>
      </c>
      <c r="X75" s="14">
        <v>883.26825585683537</v>
      </c>
      <c r="Y75" s="14">
        <v>721.96676244299135</v>
      </c>
      <c r="Z75" s="14">
        <v>584.87595174081071</v>
      </c>
      <c r="AA75" s="14">
        <v>462.34121240460257</v>
      </c>
      <c r="AB75" s="14">
        <v>363.57466202402111</v>
      </c>
      <c r="AC75" s="14">
        <v>285.90688288069487</v>
      </c>
      <c r="AD75" s="14">
        <v>224.83069976189566</v>
      </c>
      <c r="AE75" s="406">
        <v>176.80177212283837</v>
      </c>
    </row>
    <row r="76" spans="1:31">
      <c r="A76" s="537"/>
      <c r="B76" s="412">
        <v>0.1</v>
      </c>
      <c r="C76" s="14">
        <v>1920</v>
      </c>
      <c r="D76" s="14">
        <v>1671.6360237169804</v>
      </c>
      <c r="E76" s="14">
        <v>1447.411183581672</v>
      </c>
      <c r="F76" s="14">
        <v>1239.588190639274</v>
      </c>
      <c r="G76" s="14">
        <v>1054.9555707462678</v>
      </c>
      <c r="H76" s="14">
        <v>891.7459267080992</v>
      </c>
      <c r="I76" s="14">
        <v>748.25422271453579</v>
      </c>
      <c r="J76" s="14">
        <v>622.83932415807601</v>
      </c>
      <c r="K76" s="14">
        <v>497.26236416813009</v>
      </c>
      <c r="L76" s="14">
        <v>387.16422292627419</v>
      </c>
      <c r="M76" s="14">
        <v>301.41260771120363</v>
      </c>
      <c r="N76" s="14">
        <v>234.62986838830648</v>
      </c>
      <c r="O76" s="406">
        <v>182.62488569696379</v>
      </c>
      <c r="Q76" s="537"/>
      <c r="R76" s="412">
        <v>0.1</v>
      </c>
      <c r="S76" s="14">
        <v>2188.7999999999997</v>
      </c>
      <c r="T76" s="14">
        <v>1872.6236704061257</v>
      </c>
      <c r="U76" s="14">
        <v>1592.3160227804351</v>
      </c>
      <c r="V76" s="14">
        <v>1338.2807275951911</v>
      </c>
      <c r="W76" s="14">
        <v>1116.9073865539337</v>
      </c>
      <c r="X76" s="14">
        <v>925.10727850268552</v>
      </c>
      <c r="Y76" s="14">
        <v>759.96501309788562</v>
      </c>
      <c r="Z76" s="14">
        <v>618.73719105212069</v>
      </c>
      <c r="AA76" s="14">
        <v>491.54171003015642</v>
      </c>
      <c r="AB76" s="14">
        <v>382.71017055160121</v>
      </c>
      <c r="AC76" s="14">
        <v>297.94506742303992</v>
      </c>
      <c r="AD76" s="14">
        <v>231.93061659648185</v>
      </c>
      <c r="AE76" s="406">
        <v>180.52391469384548</v>
      </c>
    </row>
    <row r="77" spans="1:31">
      <c r="A77" s="537"/>
      <c r="B77" s="412">
        <v>0.2</v>
      </c>
      <c r="C77" s="14">
        <v>1940</v>
      </c>
      <c r="D77" s="14">
        <v>1706.102745855475</v>
      </c>
      <c r="E77" s="14">
        <v>1491.719689201519</v>
      </c>
      <c r="F77" s="14">
        <v>1283.6344715249334</v>
      </c>
      <c r="G77" s="14">
        <v>1097.5800382511675</v>
      </c>
      <c r="H77" s="14">
        <v>932.07614449891776</v>
      </c>
      <c r="I77" s="14">
        <v>785.66693385026258</v>
      </c>
      <c r="J77" s="14">
        <v>656.92505831598066</v>
      </c>
      <c r="K77" s="14">
        <v>526.80270263356351</v>
      </c>
      <c r="L77" s="14">
        <v>406.52243407258788</v>
      </c>
      <c r="M77" s="14">
        <v>313.59089489145424</v>
      </c>
      <c r="N77" s="14">
        <v>241.81241537978525</v>
      </c>
      <c r="O77" s="406">
        <v>186.39034725772592</v>
      </c>
      <c r="Q77" s="537"/>
      <c r="R77" s="412">
        <v>0.2</v>
      </c>
      <c r="S77" s="14">
        <v>2211.6</v>
      </c>
      <c r="T77" s="14">
        <v>1911.2344677340875</v>
      </c>
      <c r="U77" s="14">
        <v>1641.060390824734</v>
      </c>
      <c r="V77" s="14">
        <v>1385.8338498955279</v>
      </c>
      <c r="W77" s="14">
        <v>1162.03495772783</v>
      </c>
      <c r="X77" s="14">
        <v>966.94630114853555</v>
      </c>
      <c r="Y77" s="14">
        <v>797.96326375277988</v>
      </c>
      <c r="Z77" s="14">
        <v>652.59843036343079</v>
      </c>
      <c r="AA77" s="14">
        <v>520.74220765571022</v>
      </c>
      <c r="AB77" s="14">
        <v>401.84567907918125</v>
      </c>
      <c r="AC77" s="14">
        <v>309.98325196538491</v>
      </c>
      <c r="AD77" s="14">
        <v>239.03053343106799</v>
      </c>
      <c r="AE77" s="406">
        <v>184.24605726485257</v>
      </c>
    </row>
    <row r="78" spans="1:31">
      <c r="A78" s="537"/>
      <c r="B78" s="412">
        <v>0.3</v>
      </c>
      <c r="C78" s="14">
        <v>1960</v>
      </c>
      <c r="D78" s="14">
        <v>1740.5694679939693</v>
      </c>
      <c r="E78" s="14">
        <v>1536.0281948213662</v>
      </c>
      <c r="F78" s="14">
        <v>1327.680752410593</v>
      </c>
      <c r="G78" s="14">
        <v>1140.2045057560672</v>
      </c>
      <c r="H78" s="14">
        <v>972.40636228973631</v>
      </c>
      <c r="I78" s="14">
        <v>823.07964498598938</v>
      </c>
      <c r="J78" s="14">
        <v>691.01079247388532</v>
      </c>
      <c r="K78" s="14">
        <v>556.34304109899699</v>
      </c>
      <c r="L78" s="14">
        <v>425.88064521890158</v>
      </c>
      <c r="M78" s="14">
        <v>325.7691820717049</v>
      </c>
      <c r="N78" s="14">
        <v>248.99496237126402</v>
      </c>
      <c r="O78" s="406">
        <v>190.15580881848808</v>
      </c>
      <c r="Q78" s="537"/>
      <c r="R78" s="412">
        <v>0.3</v>
      </c>
      <c r="S78" s="14">
        <v>2234.3999999999996</v>
      </c>
      <c r="T78" s="14">
        <v>1949.8452650620484</v>
      </c>
      <c r="U78" s="14">
        <v>1689.8047588690333</v>
      </c>
      <c r="V78" s="14">
        <v>1433.3869721958645</v>
      </c>
      <c r="W78" s="14">
        <v>1207.1625289017265</v>
      </c>
      <c r="X78" s="14">
        <v>1008.7853237943856</v>
      </c>
      <c r="Y78" s="14">
        <v>835.96151440767414</v>
      </c>
      <c r="Z78" s="14">
        <v>686.45966967474089</v>
      </c>
      <c r="AA78" s="14">
        <v>549.94270528126401</v>
      </c>
      <c r="AB78" s="14">
        <v>420.9811876067613</v>
      </c>
      <c r="AC78" s="14">
        <v>322.02143650772996</v>
      </c>
      <c r="AD78" s="14">
        <v>246.13045026565422</v>
      </c>
      <c r="AE78" s="406">
        <v>187.96819983585971</v>
      </c>
    </row>
    <row r="79" spans="1:31">
      <c r="A79" s="537"/>
      <c r="B79" s="412">
        <v>0.4</v>
      </c>
      <c r="C79" s="14">
        <v>1980</v>
      </c>
      <c r="D79" s="14">
        <v>1775.0361901324638</v>
      </c>
      <c r="E79" s="14">
        <v>1580.3367004412132</v>
      </c>
      <c r="F79" s="14">
        <v>1371.7270332962523</v>
      </c>
      <c r="G79" s="14">
        <v>1182.8289732609669</v>
      </c>
      <c r="H79" s="14">
        <v>1012.7365800805549</v>
      </c>
      <c r="I79" s="14">
        <v>860.49235612171617</v>
      </c>
      <c r="J79" s="14">
        <v>725.09652663178997</v>
      </c>
      <c r="K79" s="14">
        <v>585.88337956443047</v>
      </c>
      <c r="L79" s="14">
        <v>445.23885636521527</v>
      </c>
      <c r="M79" s="14">
        <v>337.94746925195557</v>
      </c>
      <c r="N79" s="14">
        <v>256.1775093627428</v>
      </c>
      <c r="O79" s="406">
        <v>193.92127037925022</v>
      </c>
      <c r="Q79" s="537"/>
      <c r="R79" s="412">
        <v>0.4</v>
      </c>
      <c r="S79" s="14">
        <v>2257.1999999999998</v>
      </c>
      <c r="T79" s="14">
        <v>1988.4560623900099</v>
      </c>
      <c r="U79" s="14">
        <v>1738.5491269133322</v>
      </c>
      <c r="V79" s="14">
        <v>1480.9400944962015</v>
      </c>
      <c r="W79" s="14">
        <v>1252.2901000756231</v>
      </c>
      <c r="X79" s="14">
        <v>1050.6243464402357</v>
      </c>
      <c r="Y79" s="14">
        <v>873.95976506256852</v>
      </c>
      <c r="Z79" s="14">
        <v>720.32090898605111</v>
      </c>
      <c r="AA79" s="14">
        <v>579.14320290681781</v>
      </c>
      <c r="AB79" s="14">
        <v>440.11669613434134</v>
      </c>
      <c r="AC79" s="14">
        <v>334.05962105007507</v>
      </c>
      <c r="AD79" s="14">
        <v>253.23036710024041</v>
      </c>
      <c r="AE79" s="406">
        <v>191.69034240686682</v>
      </c>
    </row>
    <row r="80" spans="1:31">
      <c r="A80" s="537"/>
      <c r="B80" s="412">
        <v>0.5</v>
      </c>
      <c r="C80" s="14">
        <v>2000</v>
      </c>
      <c r="D80" s="14">
        <v>1809.5029122709582</v>
      </c>
      <c r="E80" s="14">
        <v>1624.6452060610604</v>
      </c>
      <c r="F80" s="14">
        <v>1415.7733141819119</v>
      </c>
      <c r="G80" s="14">
        <v>1225.4534407658666</v>
      </c>
      <c r="H80" s="14">
        <v>1053.0667978713734</v>
      </c>
      <c r="I80" s="14">
        <v>897.90506725744297</v>
      </c>
      <c r="J80" s="14">
        <v>759.18226078969462</v>
      </c>
      <c r="K80" s="14">
        <v>615.42371802986395</v>
      </c>
      <c r="L80" s="14">
        <v>464.59706751152902</v>
      </c>
      <c r="M80" s="14">
        <v>350.12575643220623</v>
      </c>
      <c r="N80" s="14">
        <v>263.36005635422157</v>
      </c>
      <c r="O80" s="406">
        <v>197.68673194001235</v>
      </c>
      <c r="Q80" s="537"/>
      <c r="R80" s="412">
        <v>0.5</v>
      </c>
      <c r="S80" s="14">
        <v>2280</v>
      </c>
      <c r="T80" s="14">
        <v>2027.0668597179713</v>
      </c>
      <c r="U80" s="14">
        <v>1787.2934949576313</v>
      </c>
      <c r="V80" s="14">
        <v>1528.493216796538</v>
      </c>
      <c r="W80" s="14">
        <v>1297.4176712495191</v>
      </c>
      <c r="X80" s="14">
        <v>1092.4633690860858</v>
      </c>
      <c r="Y80" s="14">
        <v>911.95801571746279</v>
      </c>
      <c r="Z80" s="14">
        <v>754.18214829736098</v>
      </c>
      <c r="AA80" s="14">
        <v>608.34370053237183</v>
      </c>
      <c r="AB80" s="14">
        <v>459.25220466192138</v>
      </c>
      <c r="AC80" s="14">
        <v>346.09780559242006</v>
      </c>
      <c r="AD80" s="14">
        <v>260.33028393482653</v>
      </c>
      <c r="AE80" s="406">
        <v>195.41248497787396</v>
      </c>
    </row>
    <row r="81" spans="1:31">
      <c r="A81" s="537"/>
      <c r="B81" s="412">
        <v>0.6</v>
      </c>
      <c r="C81" s="14">
        <v>2020</v>
      </c>
      <c r="D81" s="14">
        <v>1843.9696344094527</v>
      </c>
      <c r="E81" s="14">
        <v>1668.9537116809074</v>
      </c>
      <c r="F81" s="14">
        <v>1459.8195950675713</v>
      </c>
      <c r="G81" s="14">
        <v>1268.0779082707663</v>
      </c>
      <c r="H81" s="14">
        <v>1093.397015662192</v>
      </c>
      <c r="I81" s="14">
        <v>935.31777839316976</v>
      </c>
      <c r="J81" s="14">
        <v>793.26799494759928</v>
      </c>
      <c r="K81" s="14">
        <v>644.96405649529743</v>
      </c>
      <c r="L81" s="14">
        <v>483.95527865784271</v>
      </c>
      <c r="M81" s="14">
        <v>362.30404361245684</v>
      </c>
      <c r="N81" s="14">
        <v>270.54260334570034</v>
      </c>
      <c r="O81" s="406">
        <v>201.45219350077448</v>
      </c>
      <c r="Q81" s="537"/>
      <c r="R81" s="412">
        <v>0.6</v>
      </c>
      <c r="S81" s="14">
        <v>2302.7999999999997</v>
      </c>
      <c r="T81" s="14">
        <v>2065.6776570459328</v>
      </c>
      <c r="U81" s="14">
        <v>1836.0378630019302</v>
      </c>
      <c r="V81" s="14">
        <v>1576.0463390968746</v>
      </c>
      <c r="W81" s="14">
        <v>1342.5452424234154</v>
      </c>
      <c r="X81" s="14">
        <v>1134.302391731936</v>
      </c>
      <c r="Y81" s="14">
        <v>949.95626637235716</v>
      </c>
      <c r="Z81" s="14">
        <v>788.0433876086712</v>
      </c>
      <c r="AA81" s="14">
        <v>637.54419815792573</v>
      </c>
      <c r="AB81" s="14">
        <v>478.38771318950148</v>
      </c>
      <c r="AC81" s="14">
        <v>358.13599013476511</v>
      </c>
      <c r="AD81" s="14">
        <v>267.43020076941275</v>
      </c>
      <c r="AE81" s="406">
        <v>199.13462754888107</v>
      </c>
    </row>
    <row r="82" spans="1:31">
      <c r="A82" s="537"/>
      <c r="B82" s="412">
        <v>0.7</v>
      </c>
      <c r="C82" s="14">
        <v>2040</v>
      </c>
      <c r="D82" s="14">
        <v>1878.4363565479471</v>
      </c>
      <c r="E82" s="14">
        <v>1713.2622173007546</v>
      </c>
      <c r="F82" s="14">
        <v>1503.8658759532307</v>
      </c>
      <c r="G82" s="14">
        <v>1310.702375775666</v>
      </c>
      <c r="H82" s="14">
        <v>1133.7272334530105</v>
      </c>
      <c r="I82" s="14">
        <v>972.73048952889656</v>
      </c>
      <c r="J82" s="14">
        <v>827.35372910550393</v>
      </c>
      <c r="K82" s="14">
        <v>674.50439496073091</v>
      </c>
      <c r="L82" s="14">
        <v>503.3134898041564</v>
      </c>
      <c r="M82" s="14">
        <v>374.4823307927075</v>
      </c>
      <c r="N82" s="14">
        <v>277.72515033717912</v>
      </c>
      <c r="O82" s="406">
        <v>205.21765506153662</v>
      </c>
      <c r="Q82" s="537"/>
      <c r="R82" s="412">
        <v>0.7</v>
      </c>
      <c r="S82" s="14">
        <v>2325.6</v>
      </c>
      <c r="T82" s="14">
        <v>2104.2884543738937</v>
      </c>
      <c r="U82" s="14">
        <v>1884.7822310462295</v>
      </c>
      <c r="V82" s="14">
        <v>1623.5994613972114</v>
      </c>
      <c r="W82" s="14">
        <v>1387.6728135973117</v>
      </c>
      <c r="X82" s="14">
        <v>1176.1414143777861</v>
      </c>
      <c r="Y82" s="14">
        <v>987.95451702725143</v>
      </c>
      <c r="Z82" s="14">
        <v>821.9046269199813</v>
      </c>
      <c r="AA82" s="14">
        <v>666.74469578347941</v>
      </c>
      <c r="AB82" s="14">
        <v>497.52322171708158</v>
      </c>
      <c r="AC82" s="14">
        <v>370.17417467711016</v>
      </c>
      <c r="AD82" s="14">
        <v>274.53011760399897</v>
      </c>
      <c r="AE82" s="406">
        <v>202.85677011988818</v>
      </c>
    </row>
    <row r="83" spans="1:31">
      <c r="A83" s="537"/>
      <c r="B83" s="412">
        <v>0.8</v>
      </c>
      <c r="C83" s="14">
        <v>2060</v>
      </c>
      <c r="D83" s="14">
        <v>1912.9030786864416</v>
      </c>
      <c r="E83" s="14">
        <v>1757.5707229206016</v>
      </c>
      <c r="F83" s="14">
        <v>1547.9121568388903</v>
      </c>
      <c r="G83" s="14">
        <v>1353.3268432805658</v>
      </c>
      <c r="H83" s="14">
        <v>1174.0574512438291</v>
      </c>
      <c r="I83" s="14">
        <v>1010.1432006646234</v>
      </c>
      <c r="J83" s="14">
        <v>861.43946326340858</v>
      </c>
      <c r="K83" s="14">
        <v>704.04473342616438</v>
      </c>
      <c r="L83" s="14">
        <v>522.67170095047015</v>
      </c>
      <c r="M83" s="14">
        <v>386.66061797295816</v>
      </c>
      <c r="N83" s="14">
        <v>284.90769732865789</v>
      </c>
      <c r="O83" s="406">
        <v>208.98311662229878</v>
      </c>
      <c r="Q83" s="537"/>
      <c r="R83" s="412">
        <v>0.8</v>
      </c>
      <c r="S83" s="14">
        <v>2348.3999999999996</v>
      </c>
      <c r="T83" s="14">
        <v>2142.8992517018555</v>
      </c>
      <c r="U83" s="14">
        <v>1933.5265990905284</v>
      </c>
      <c r="V83" s="14">
        <v>1671.1525836975482</v>
      </c>
      <c r="W83" s="14">
        <v>1432.8003847712082</v>
      </c>
      <c r="X83" s="14">
        <v>1217.9804370236361</v>
      </c>
      <c r="Y83" s="14">
        <v>1025.9527676821456</v>
      </c>
      <c r="Z83" s="14">
        <v>855.7658662312914</v>
      </c>
      <c r="AA83" s="14">
        <v>695.94519340903332</v>
      </c>
      <c r="AB83" s="14">
        <v>516.65873024466168</v>
      </c>
      <c r="AC83" s="14">
        <v>382.21235921945521</v>
      </c>
      <c r="AD83" s="14">
        <v>281.63003443858508</v>
      </c>
      <c r="AE83" s="406">
        <v>206.57891269089535</v>
      </c>
    </row>
    <row r="84" spans="1:31">
      <c r="A84" s="537"/>
      <c r="B84" s="412">
        <v>0.9</v>
      </c>
      <c r="C84" s="14">
        <v>2080</v>
      </c>
      <c r="D84" s="14">
        <v>1947.369800824936</v>
      </c>
      <c r="E84" s="14">
        <v>1801.8792285404488</v>
      </c>
      <c r="F84" s="14">
        <v>1591.9584377245496</v>
      </c>
      <c r="G84" s="14">
        <v>1395.9513107854655</v>
      </c>
      <c r="H84" s="14">
        <v>1214.3876690346476</v>
      </c>
      <c r="I84" s="14">
        <v>1047.55591180035</v>
      </c>
      <c r="J84" s="14">
        <v>895.52519742131324</v>
      </c>
      <c r="K84" s="14">
        <v>733.58507189159786</v>
      </c>
      <c r="L84" s="14">
        <v>542.02991209678385</v>
      </c>
      <c r="M84" s="14">
        <v>398.83890515320883</v>
      </c>
      <c r="N84" s="14">
        <v>292.09024432013666</v>
      </c>
      <c r="O84" s="406">
        <v>212.74857818306091</v>
      </c>
      <c r="Q84" s="537"/>
      <c r="R84" s="412">
        <v>0.9</v>
      </c>
      <c r="S84" s="14">
        <v>2371.1999999999998</v>
      </c>
      <c r="T84" s="14">
        <v>2181.5100490298169</v>
      </c>
      <c r="U84" s="14">
        <v>1982.2709671348277</v>
      </c>
      <c r="V84" s="14">
        <v>1718.7057059978849</v>
      </c>
      <c r="W84" s="14">
        <v>1477.9279559451045</v>
      </c>
      <c r="X84" s="14">
        <v>1259.8194596694864</v>
      </c>
      <c r="Y84" s="14">
        <v>1063.9510183370398</v>
      </c>
      <c r="Z84" s="14">
        <v>889.62710554260138</v>
      </c>
      <c r="AA84" s="14">
        <v>725.14569103458723</v>
      </c>
      <c r="AB84" s="14">
        <v>535.79423877224167</v>
      </c>
      <c r="AC84" s="14">
        <v>394.25054376180026</v>
      </c>
      <c r="AD84" s="14">
        <v>288.72995127317125</v>
      </c>
      <c r="AE84" s="406">
        <v>210.30105526190246</v>
      </c>
    </row>
    <row r="85" spans="1:31">
      <c r="A85" s="537"/>
      <c r="B85" s="414">
        <v>1</v>
      </c>
      <c r="C85" s="407">
        <v>2100</v>
      </c>
      <c r="D85" s="407">
        <v>1981.8365229634305</v>
      </c>
      <c r="E85" s="407">
        <v>1846.1877341602958</v>
      </c>
      <c r="F85" s="407">
        <v>1636.0047186102092</v>
      </c>
      <c r="G85" s="407">
        <v>1438.5757782903652</v>
      </c>
      <c r="H85" s="407">
        <v>1254.7178868254662</v>
      </c>
      <c r="I85" s="407">
        <v>1084.9686229360768</v>
      </c>
      <c r="J85" s="407">
        <v>929.61093157921789</v>
      </c>
      <c r="K85" s="407">
        <v>763.12541035703134</v>
      </c>
      <c r="L85" s="407">
        <v>561.38812324309754</v>
      </c>
      <c r="M85" s="407">
        <v>411.01719233345949</v>
      </c>
      <c r="N85" s="407">
        <v>299.27279131161544</v>
      </c>
      <c r="O85" s="408">
        <v>216.51403974382305</v>
      </c>
      <c r="Q85" s="537"/>
      <c r="R85" s="414">
        <v>1</v>
      </c>
      <c r="S85" s="407">
        <v>2394</v>
      </c>
      <c r="T85" s="407">
        <v>2220.1208463577782</v>
      </c>
      <c r="U85" s="407">
        <v>2031.0153351791266</v>
      </c>
      <c r="V85" s="407">
        <v>1766.2588282982217</v>
      </c>
      <c r="W85" s="407">
        <v>1523.0555271190008</v>
      </c>
      <c r="X85" s="407">
        <v>1301.6584823153362</v>
      </c>
      <c r="Y85" s="407">
        <v>1101.9492689919341</v>
      </c>
      <c r="Z85" s="407">
        <v>923.4883448539116</v>
      </c>
      <c r="AA85" s="407">
        <v>754.34618866014091</v>
      </c>
      <c r="AB85" s="407">
        <v>554.92974729982166</v>
      </c>
      <c r="AC85" s="407">
        <v>406.28872830414531</v>
      </c>
      <c r="AD85" s="407">
        <v>295.82986810775748</v>
      </c>
      <c r="AE85" s="408">
        <v>214.02319783290955</v>
      </c>
    </row>
    <row r="86" spans="1:31">
      <c r="A86" s="410"/>
      <c r="B86" s="538" t="s">
        <v>539</v>
      </c>
      <c r="C86" s="538"/>
      <c r="D86" s="538"/>
      <c r="E86" s="538"/>
      <c r="F86" s="538"/>
      <c r="G86" s="538"/>
      <c r="H86" s="538"/>
      <c r="I86" s="538"/>
      <c r="J86" s="538"/>
      <c r="K86" s="538"/>
      <c r="L86" s="538"/>
      <c r="M86" s="538"/>
      <c r="N86" s="538"/>
      <c r="O86" s="539"/>
      <c r="Q86" s="410"/>
      <c r="R86" s="538" t="s">
        <v>543</v>
      </c>
      <c r="S86" s="538"/>
      <c r="T86" s="538"/>
      <c r="U86" s="538"/>
      <c r="V86" s="538"/>
      <c r="W86" s="538"/>
      <c r="X86" s="538"/>
      <c r="Y86" s="538"/>
      <c r="Z86" s="538"/>
      <c r="AA86" s="538"/>
      <c r="AB86" s="538"/>
      <c r="AC86" s="538"/>
      <c r="AD86" s="538"/>
      <c r="AE86" s="539"/>
    </row>
    <row r="88" spans="1:31">
      <c r="B88" t="s">
        <v>280</v>
      </c>
      <c r="R88" t="s">
        <v>281</v>
      </c>
    </row>
    <row r="89" spans="1:31">
      <c r="A89" s="409"/>
      <c r="B89" s="532" t="s">
        <v>221</v>
      </c>
      <c r="C89" s="533"/>
      <c r="D89" s="533"/>
      <c r="E89" s="533"/>
      <c r="F89" s="533"/>
      <c r="G89" s="533"/>
      <c r="H89" s="533"/>
      <c r="I89" s="533"/>
      <c r="J89" s="533"/>
      <c r="K89" s="533"/>
      <c r="L89" s="533"/>
      <c r="M89" s="534"/>
    </row>
    <row r="90" spans="1:31">
      <c r="A90" s="537" t="s">
        <v>367</v>
      </c>
      <c r="B90" s="411"/>
      <c r="C90" s="415">
        <v>0</v>
      </c>
      <c r="D90" s="415">
        <v>5000</v>
      </c>
      <c r="E90" s="415">
        <v>10000</v>
      </c>
      <c r="F90" s="415">
        <v>15000</v>
      </c>
      <c r="G90" s="415">
        <v>20000</v>
      </c>
      <c r="H90" s="415">
        <v>25000</v>
      </c>
      <c r="I90" s="415">
        <v>30000</v>
      </c>
      <c r="J90" s="415">
        <v>35000</v>
      </c>
      <c r="K90" s="415">
        <v>40000</v>
      </c>
      <c r="L90" s="415">
        <v>45000</v>
      </c>
      <c r="M90" s="416">
        <v>50000</v>
      </c>
      <c r="R90" t="s">
        <v>233</v>
      </c>
      <c r="T90" s="3">
        <v>0</v>
      </c>
      <c r="U90" s="3">
        <v>0.2</v>
      </c>
      <c r="V90" s="3">
        <v>0.4</v>
      </c>
      <c r="W90" s="3">
        <v>0.6</v>
      </c>
      <c r="X90" s="3">
        <v>0.8</v>
      </c>
      <c r="Y90" s="3">
        <v>1</v>
      </c>
    </row>
    <row r="91" spans="1:31">
      <c r="A91" s="537"/>
      <c r="B91" s="412">
        <v>0</v>
      </c>
      <c r="C91" s="14">
        <v>1770</v>
      </c>
      <c r="D91" s="14">
        <v>1525.1525503826792</v>
      </c>
      <c r="E91" s="14">
        <v>1307.1010859727483</v>
      </c>
      <c r="F91" s="14">
        <v>1113.7418996776109</v>
      </c>
      <c r="G91" s="14">
        <v>943.06660870033591</v>
      </c>
      <c r="H91" s="14">
        <v>793.16124021619044</v>
      </c>
      <c r="I91" s="14">
        <v>662.20529057358976</v>
      </c>
      <c r="J91" s="14">
        <v>548.47075614803043</v>
      </c>
      <c r="K91" s="14">
        <v>435.69744556773873</v>
      </c>
      <c r="L91" s="14">
        <v>342.62260699873303</v>
      </c>
      <c r="M91" s="406">
        <v>269.43066116360194</v>
      </c>
      <c r="R91" t="s">
        <v>282</v>
      </c>
      <c r="T91">
        <v>0</v>
      </c>
      <c r="U91">
        <v>5000</v>
      </c>
      <c r="V91">
        <v>10000</v>
      </c>
      <c r="W91">
        <v>15000</v>
      </c>
      <c r="X91">
        <v>20000</v>
      </c>
      <c r="Y91">
        <v>25000</v>
      </c>
      <c r="Z91">
        <v>30000</v>
      </c>
      <c r="AA91">
        <v>35000</v>
      </c>
      <c r="AB91">
        <v>40000</v>
      </c>
      <c r="AC91">
        <v>45000</v>
      </c>
      <c r="AD91">
        <v>50000</v>
      </c>
    </row>
    <row r="92" spans="1:31">
      <c r="A92" s="537"/>
      <c r="B92" s="413">
        <v>0.1</v>
      </c>
      <c r="C92" s="14">
        <v>1790</v>
      </c>
      <c r="D92" s="14">
        <v>1559.6192746851125</v>
      </c>
      <c r="E92" s="14">
        <v>1351.4095973616552</v>
      </c>
      <c r="F92" s="14">
        <v>1157.7881894953696</v>
      </c>
      <c r="G92" s="14">
        <v>985.69108818961661</v>
      </c>
      <c r="H92" s="14">
        <v>833.49147276955603</v>
      </c>
      <c r="I92" s="14">
        <v>699.61801885458351</v>
      </c>
      <c r="J92" s="14">
        <v>582.55650935497022</v>
      </c>
      <c r="K92" s="14">
        <v>465.23625543673796</v>
      </c>
      <c r="L92" s="14">
        <v>361.97981643368968</v>
      </c>
      <c r="M92" s="406">
        <v>281.6083181653467</v>
      </c>
      <c r="R92" t="s">
        <v>283</v>
      </c>
      <c r="S92" s="1">
        <v>0</v>
      </c>
      <c r="T92" s="14">
        <v>0</v>
      </c>
      <c r="U92" s="14">
        <v>385.86000000000007</v>
      </c>
      <c r="V92" s="14">
        <v>771.72000000000014</v>
      </c>
      <c r="W92" s="14">
        <v>1157.5800000000002</v>
      </c>
      <c r="X92" s="14">
        <v>1543.4400000000003</v>
      </c>
      <c r="Y92" s="14">
        <v>1929.3000000000002</v>
      </c>
    </row>
    <row r="93" spans="1:31">
      <c r="A93" s="537"/>
      <c r="B93" s="413">
        <v>0.2</v>
      </c>
      <c r="C93" s="14">
        <v>1810</v>
      </c>
      <c r="D93" s="14">
        <v>1594.085998987546</v>
      </c>
      <c r="E93" s="14">
        <v>1395.7181087505619</v>
      </c>
      <c r="F93" s="14">
        <v>1201.8344793131282</v>
      </c>
      <c r="G93" s="14">
        <v>1028.3155676788974</v>
      </c>
      <c r="H93" s="14">
        <v>873.82170532292173</v>
      </c>
      <c r="I93" s="14">
        <v>737.03074713557737</v>
      </c>
      <c r="J93" s="14">
        <v>616.64226256191</v>
      </c>
      <c r="K93" s="14">
        <v>494.77506530573714</v>
      </c>
      <c r="L93" s="14">
        <v>381.33702586864638</v>
      </c>
      <c r="M93" s="406">
        <v>293.78597516709141</v>
      </c>
      <c r="S93" s="1">
        <v>0.1</v>
      </c>
      <c r="T93" s="14">
        <v>0</v>
      </c>
      <c r="U93" s="14">
        <v>390.22</v>
      </c>
      <c r="V93" s="14">
        <v>780.44</v>
      </c>
      <c r="W93" s="14">
        <v>1170.6600000000001</v>
      </c>
      <c r="X93" s="14">
        <v>1560.88</v>
      </c>
      <c r="Y93" s="14">
        <v>1951.1000000000001</v>
      </c>
    </row>
    <row r="94" spans="1:31">
      <c r="A94" s="537"/>
      <c r="B94" s="413">
        <v>0.3</v>
      </c>
      <c r="C94" s="14">
        <v>1830</v>
      </c>
      <c r="D94" s="14">
        <v>1628.5527232899794</v>
      </c>
      <c r="E94" s="14">
        <v>1440.0266201394686</v>
      </c>
      <c r="F94" s="14">
        <v>1245.8807691308868</v>
      </c>
      <c r="G94" s="14">
        <v>1070.9400471681781</v>
      </c>
      <c r="H94" s="14">
        <v>914.15193787628732</v>
      </c>
      <c r="I94" s="14">
        <v>774.44347541657112</v>
      </c>
      <c r="J94" s="14">
        <v>650.72801576884967</v>
      </c>
      <c r="K94" s="14">
        <v>524.31387517473638</v>
      </c>
      <c r="L94" s="14">
        <v>400.69423530360302</v>
      </c>
      <c r="M94" s="406">
        <v>305.96363216883611</v>
      </c>
      <c r="S94" s="1">
        <v>0.2</v>
      </c>
      <c r="T94" s="14">
        <v>0</v>
      </c>
      <c r="U94" s="14">
        <v>394.58000000000004</v>
      </c>
      <c r="V94" s="14">
        <v>789.16000000000008</v>
      </c>
      <c r="W94" s="14">
        <v>1183.74</v>
      </c>
      <c r="X94" s="14">
        <v>1578.3200000000002</v>
      </c>
      <c r="Y94" s="14">
        <v>1972.9</v>
      </c>
    </row>
    <row r="95" spans="1:31">
      <c r="A95" s="537"/>
      <c r="B95" s="413">
        <v>0.4</v>
      </c>
      <c r="C95" s="14">
        <v>1850</v>
      </c>
      <c r="D95" s="14">
        <v>1663.0194475924129</v>
      </c>
      <c r="E95" s="14">
        <v>1484.3351315283753</v>
      </c>
      <c r="F95" s="14">
        <v>1289.9270589486455</v>
      </c>
      <c r="G95" s="14">
        <v>1113.5645266574588</v>
      </c>
      <c r="H95" s="14">
        <v>954.48217042965291</v>
      </c>
      <c r="I95" s="14">
        <v>811.85620369756487</v>
      </c>
      <c r="J95" s="14">
        <v>684.81376897578946</v>
      </c>
      <c r="K95" s="14">
        <v>553.85268504373562</v>
      </c>
      <c r="L95" s="14">
        <v>420.05144473855972</v>
      </c>
      <c r="M95" s="406">
        <v>318.14128917058088</v>
      </c>
      <c r="S95" s="1">
        <v>0.3</v>
      </c>
      <c r="T95" s="14">
        <v>0</v>
      </c>
      <c r="U95" s="14">
        <v>398.94</v>
      </c>
      <c r="V95" s="14">
        <v>797.88</v>
      </c>
      <c r="W95" s="14">
        <v>1196.82</v>
      </c>
      <c r="X95" s="14">
        <v>1595.76</v>
      </c>
      <c r="Y95" s="14">
        <v>1994.6999999999998</v>
      </c>
    </row>
    <row r="96" spans="1:31">
      <c r="A96" s="537"/>
      <c r="B96" s="413">
        <v>0.5</v>
      </c>
      <c r="C96" s="14">
        <v>1870</v>
      </c>
      <c r="D96" s="14">
        <v>1697.4861718948462</v>
      </c>
      <c r="E96" s="14">
        <v>1528.643642917282</v>
      </c>
      <c r="F96" s="14">
        <v>1333.9733487664041</v>
      </c>
      <c r="G96" s="14">
        <v>1156.1890061467395</v>
      </c>
      <c r="H96" s="14">
        <v>994.8124029830185</v>
      </c>
      <c r="I96" s="14">
        <v>849.26893197855861</v>
      </c>
      <c r="J96" s="14">
        <v>718.89952218272924</v>
      </c>
      <c r="K96" s="14">
        <v>583.39149491273486</v>
      </c>
      <c r="L96" s="14">
        <v>439.40865417351637</v>
      </c>
      <c r="M96" s="406">
        <v>330.31894617232558</v>
      </c>
      <c r="S96" s="1">
        <v>0.4</v>
      </c>
      <c r="T96" s="14">
        <v>0</v>
      </c>
      <c r="U96" s="14">
        <v>403.30000000000007</v>
      </c>
      <c r="V96" s="14">
        <v>806.60000000000014</v>
      </c>
      <c r="W96" s="14">
        <v>1209.9000000000001</v>
      </c>
      <c r="X96" s="14">
        <v>1613.2000000000003</v>
      </c>
      <c r="Y96" s="14">
        <v>2016.5000000000002</v>
      </c>
    </row>
    <row r="97" spans="1:25">
      <c r="A97" s="537"/>
      <c r="B97" s="413">
        <v>0.6</v>
      </c>
      <c r="C97" s="14">
        <v>1890</v>
      </c>
      <c r="D97" s="14">
        <v>1731.9528961972796</v>
      </c>
      <c r="E97" s="14">
        <v>1572.9521543061887</v>
      </c>
      <c r="F97" s="14">
        <v>1378.0196385841627</v>
      </c>
      <c r="G97" s="14">
        <v>1198.8134856360202</v>
      </c>
      <c r="H97" s="14">
        <v>1035.1426355363842</v>
      </c>
      <c r="I97" s="14">
        <v>886.68166025955247</v>
      </c>
      <c r="J97" s="14">
        <v>752.98527538966891</v>
      </c>
      <c r="K97" s="14">
        <v>612.93030478173409</v>
      </c>
      <c r="L97" s="14">
        <v>458.76586360847301</v>
      </c>
      <c r="M97" s="406">
        <v>342.49660317407029</v>
      </c>
      <c r="S97" s="1">
        <v>0.5</v>
      </c>
      <c r="T97" s="14">
        <v>0</v>
      </c>
      <c r="U97" s="14">
        <v>407.66</v>
      </c>
      <c r="V97" s="14">
        <v>815.32</v>
      </c>
      <c r="W97" s="14">
        <v>1222.98</v>
      </c>
      <c r="X97" s="14">
        <v>1630.64</v>
      </c>
      <c r="Y97" s="14">
        <v>2038.3</v>
      </c>
    </row>
    <row r="98" spans="1:25">
      <c r="A98" s="537"/>
      <c r="B98" s="413">
        <v>0.7</v>
      </c>
      <c r="C98" s="14">
        <v>1910</v>
      </c>
      <c r="D98" s="14">
        <v>1766.4196204997131</v>
      </c>
      <c r="E98" s="14">
        <v>1617.2606656950954</v>
      </c>
      <c r="F98" s="14">
        <v>1422.0659284019214</v>
      </c>
      <c r="G98" s="14">
        <v>1241.4379651253009</v>
      </c>
      <c r="H98" s="14">
        <v>1075.4728680897497</v>
      </c>
      <c r="I98" s="14">
        <v>924.09438854054622</v>
      </c>
      <c r="J98" s="14">
        <v>787.0710285966087</v>
      </c>
      <c r="K98" s="14">
        <v>642.46911465073333</v>
      </c>
      <c r="L98" s="14">
        <v>478.12307304342971</v>
      </c>
      <c r="M98" s="406">
        <v>354.67426017581499</v>
      </c>
      <c r="S98" s="1">
        <v>0.6</v>
      </c>
      <c r="T98" s="14">
        <v>0</v>
      </c>
      <c r="U98" s="14">
        <v>412.0200000000001</v>
      </c>
      <c r="V98" s="14">
        <v>824.04000000000019</v>
      </c>
      <c r="W98" s="14">
        <v>1236.0600000000002</v>
      </c>
      <c r="X98" s="14">
        <v>1648.0800000000004</v>
      </c>
      <c r="Y98" s="14">
        <v>2060.1000000000004</v>
      </c>
    </row>
    <row r="99" spans="1:25">
      <c r="A99" s="537"/>
      <c r="B99" s="413">
        <v>0.8</v>
      </c>
      <c r="C99" s="14">
        <v>1930</v>
      </c>
      <c r="D99" s="14">
        <v>1800.8863448021466</v>
      </c>
      <c r="E99" s="14">
        <v>1661.5691770840021</v>
      </c>
      <c r="F99" s="14">
        <v>1466.11221821968</v>
      </c>
      <c r="G99" s="14">
        <v>1284.0624446145816</v>
      </c>
      <c r="H99" s="14">
        <v>1115.8031006431154</v>
      </c>
      <c r="I99" s="14">
        <v>961.50711682153997</v>
      </c>
      <c r="J99" s="14">
        <v>821.15678180354848</v>
      </c>
      <c r="K99" s="14">
        <v>672.00792451973257</v>
      </c>
      <c r="L99" s="14">
        <v>497.48028247838636</v>
      </c>
      <c r="M99" s="406">
        <v>366.85191717755976</v>
      </c>
      <c r="S99" s="1">
        <v>0.7</v>
      </c>
      <c r="T99" s="14">
        <v>0</v>
      </c>
      <c r="U99" s="14">
        <v>416.38000000000005</v>
      </c>
      <c r="V99" s="14">
        <v>832.7600000000001</v>
      </c>
      <c r="W99" s="14">
        <v>1249.1400000000001</v>
      </c>
      <c r="X99" s="14">
        <v>1665.5200000000002</v>
      </c>
      <c r="Y99" s="14">
        <v>2081.9</v>
      </c>
    </row>
    <row r="100" spans="1:25">
      <c r="A100" s="537"/>
      <c r="B100" s="413">
        <v>0.9</v>
      </c>
      <c r="C100" s="14">
        <v>1950</v>
      </c>
      <c r="D100" s="14">
        <v>1835.3530691045801</v>
      </c>
      <c r="E100" s="14">
        <v>1705.8776884729089</v>
      </c>
      <c r="F100" s="14">
        <v>1510.1585080374387</v>
      </c>
      <c r="G100" s="14">
        <v>1326.6869241038623</v>
      </c>
      <c r="H100" s="14">
        <v>1156.1333331964811</v>
      </c>
      <c r="I100" s="14">
        <v>998.91984510253371</v>
      </c>
      <c r="J100" s="14">
        <v>855.24253501048815</v>
      </c>
      <c r="K100" s="14">
        <v>701.54673438873181</v>
      </c>
      <c r="L100" s="14">
        <v>516.837491913343</v>
      </c>
      <c r="M100" s="406">
        <v>379.02957417930446</v>
      </c>
      <c r="S100" s="1">
        <v>0.8</v>
      </c>
      <c r="T100" s="14">
        <v>0</v>
      </c>
      <c r="U100" s="14">
        <v>420.74000000000007</v>
      </c>
      <c r="V100" s="14">
        <v>841.48000000000013</v>
      </c>
      <c r="W100" s="14">
        <v>1262.22</v>
      </c>
      <c r="X100" s="14">
        <v>1682.9600000000003</v>
      </c>
      <c r="Y100" s="14">
        <v>2103.7000000000003</v>
      </c>
    </row>
    <row r="101" spans="1:25">
      <c r="A101" s="537"/>
      <c r="B101" s="414">
        <v>1</v>
      </c>
      <c r="C101" s="407">
        <v>1970</v>
      </c>
      <c r="D101" s="407">
        <v>1869.8197934070133</v>
      </c>
      <c r="E101" s="407">
        <v>1750.1861998618156</v>
      </c>
      <c r="F101" s="407">
        <v>1554.2047978551973</v>
      </c>
      <c r="G101" s="407">
        <v>1369.311403593143</v>
      </c>
      <c r="H101" s="407">
        <v>1196.4635657498466</v>
      </c>
      <c r="I101" s="407">
        <v>1036.3325733835275</v>
      </c>
      <c r="J101" s="407">
        <v>889.32828821742794</v>
      </c>
      <c r="K101" s="407">
        <v>731.08554425773104</v>
      </c>
      <c r="L101" s="407">
        <v>536.19470134829976</v>
      </c>
      <c r="M101" s="408">
        <v>391.20723118104917</v>
      </c>
      <c r="S101" s="1">
        <v>0.9</v>
      </c>
      <c r="T101" s="14">
        <v>0</v>
      </c>
      <c r="U101" s="14">
        <v>425.1</v>
      </c>
      <c r="V101" s="14">
        <v>850.2</v>
      </c>
      <c r="W101" s="14">
        <v>1275.3</v>
      </c>
      <c r="X101" s="14">
        <v>1700.4</v>
      </c>
      <c r="Y101" s="14">
        <v>2125.5</v>
      </c>
    </row>
    <row r="102" spans="1:25">
      <c r="A102" s="410"/>
      <c r="B102" s="532" t="s">
        <v>541</v>
      </c>
      <c r="C102" s="533"/>
      <c r="D102" s="533"/>
      <c r="E102" s="533"/>
      <c r="F102" s="533"/>
      <c r="G102" s="533"/>
      <c r="H102" s="533"/>
      <c r="I102" s="533"/>
      <c r="J102" s="533"/>
      <c r="K102" s="533"/>
      <c r="L102" s="533"/>
      <c r="M102" s="534"/>
      <c r="S102" s="1">
        <v>1</v>
      </c>
      <c r="T102" s="14">
        <v>0</v>
      </c>
      <c r="U102" s="14">
        <v>429.46000000000004</v>
      </c>
      <c r="V102" s="14">
        <v>858.92000000000007</v>
      </c>
      <c r="W102" s="14">
        <v>1288.3800000000001</v>
      </c>
      <c r="X102" s="14">
        <v>1717.8400000000001</v>
      </c>
      <c r="Y102" s="14">
        <v>2147.3000000000002</v>
      </c>
    </row>
    <row r="103" spans="1:25">
      <c r="R103" t="s">
        <v>284</v>
      </c>
      <c r="S103" s="1">
        <v>0</v>
      </c>
      <c r="T103" s="14">
        <v>0</v>
      </c>
      <c r="U103" s="14">
        <v>326.71849346977928</v>
      </c>
      <c r="V103" s="14">
        <v>653.43698693955855</v>
      </c>
      <c r="W103" s="14">
        <v>980.15548040933766</v>
      </c>
      <c r="X103" s="14">
        <v>1306.8739738791171</v>
      </c>
      <c r="Y103" s="14">
        <v>1633.5924673488962</v>
      </c>
    </row>
    <row r="104" spans="1:25">
      <c r="S104" s="1">
        <v>0.1</v>
      </c>
      <c r="T104" s="14">
        <v>0</v>
      </c>
      <c r="U104" s="14">
        <v>334.10196224875727</v>
      </c>
      <c r="V104" s="14">
        <v>668.20392449751455</v>
      </c>
      <c r="W104" s="14">
        <v>1002.3058867462718</v>
      </c>
      <c r="X104" s="14">
        <v>1336.4078489950291</v>
      </c>
      <c r="Y104" s="14">
        <v>1670.5098112437863</v>
      </c>
    </row>
    <row r="105" spans="1:25">
      <c r="S105" s="1">
        <v>0.2</v>
      </c>
      <c r="T105" s="14">
        <v>0</v>
      </c>
      <c r="U105" s="14">
        <v>341.48543102773544</v>
      </c>
      <c r="V105" s="14">
        <v>682.97086205547089</v>
      </c>
      <c r="W105" s="14">
        <v>1024.4562930832062</v>
      </c>
      <c r="X105" s="14">
        <v>1365.9417241109418</v>
      </c>
      <c r="Y105" s="14">
        <v>1707.4271551386771</v>
      </c>
    </row>
    <row r="106" spans="1:25">
      <c r="S106" s="1">
        <v>0.3</v>
      </c>
      <c r="T106" s="14">
        <v>0</v>
      </c>
      <c r="U106" s="14">
        <v>348.86889980671344</v>
      </c>
      <c r="V106" s="14">
        <v>697.73779961342689</v>
      </c>
      <c r="W106" s="14">
        <v>1046.6066994201403</v>
      </c>
      <c r="X106" s="14">
        <v>1395.4755992268538</v>
      </c>
      <c r="Y106" s="14">
        <v>1744.3444990335672</v>
      </c>
    </row>
    <row r="107" spans="1:25">
      <c r="S107" s="1">
        <v>0.4</v>
      </c>
      <c r="T107" s="14">
        <v>0</v>
      </c>
      <c r="U107" s="14">
        <v>356.25236858569156</v>
      </c>
      <c r="V107" s="14">
        <v>712.50473717138311</v>
      </c>
      <c r="W107" s="14">
        <v>1068.7571057570744</v>
      </c>
      <c r="X107" s="14">
        <v>1425.0094743427662</v>
      </c>
      <c r="Y107" s="14">
        <v>1781.2618429284576</v>
      </c>
    </row>
    <row r="108" spans="1:25">
      <c r="S108" s="1">
        <v>0.5</v>
      </c>
      <c r="T108" s="14">
        <v>0</v>
      </c>
      <c r="U108" s="14">
        <v>363.63583736466956</v>
      </c>
      <c r="V108" s="14">
        <v>727.27167472933911</v>
      </c>
      <c r="W108" s="14">
        <v>1090.9075120940086</v>
      </c>
      <c r="X108" s="14">
        <v>1454.5433494586782</v>
      </c>
      <c r="Y108" s="14">
        <v>1818.1791868233477</v>
      </c>
    </row>
    <row r="109" spans="1:25">
      <c r="S109" s="1">
        <v>0.6</v>
      </c>
      <c r="T109" s="14">
        <v>0</v>
      </c>
      <c r="U109" s="14">
        <v>371.01930614364767</v>
      </c>
      <c r="V109" s="14">
        <v>742.03861228729534</v>
      </c>
      <c r="W109" s="14">
        <v>1113.0579184309429</v>
      </c>
      <c r="X109" s="14">
        <v>1484.0772245745907</v>
      </c>
      <c r="Y109" s="14">
        <v>1855.0965307182382</v>
      </c>
    </row>
    <row r="110" spans="1:25">
      <c r="S110" s="1">
        <v>0.7</v>
      </c>
      <c r="T110" s="14">
        <v>0</v>
      </c>
      <c r="U110" s="14">
        <v>378.40277492262572</v>
      </c>
      <c r="V110" s="14">
        <v>756.80554984525145</v>
      </c>
      <c r="W110" s="14">
        <v>1135.208324767877</v>
      </c>
      <c r="X110" s="14">
        <v>1513.6110996905029</v>
      </c>
      <c r="Y110" s="14">
        <v>1892.0138746131286</v>
      </c>
    </row>
    <row r="111" spans="1:25">
      <c r="S111" s="1">
        <v>0.8</v>
      </c>
      <c r="T111" s="14">
        <v>0</v>
      </c>
      <c r="U111" s="14">
        <v>385.78624370160378</v>
      </c>
      <c r="V111" s="14">
        <v>771.57248740320756</v>
      </c>
      <c r="W111" s="14">
        <v>1157.3587311048111</v>
      </c>
      <c r="X111" s="14">
        <v>1543.1449748064151</v>
      </c>
      <c r="Y111" s="14">
        <v>1928.9312185080187</v>
      </c>
    </row>
    <row r="112" spans="1:25">
      <c r="S112" s="1">
        <v>0.9</v>
      </c>
      <c r="T112" s="14">
        <v>0</v>
      </c>
      <c r="U112" s="14">
        <v>393.16971248058184</v>
      </c>
      <c r="V112" s="14">
        <v>786.33942496116367</v>
      </c>
      <c r="W112" s="14">
        <v>1179.5091374417455</v>
      </c>
      <c r="X112" s="14">
        <v>1572.6788499223273</v>
      </c>
      <c r="Y112" s="14">
        <v>1965.848562402909</v>
      </c>
    </row>
    <row r="113" spans="18:25">
      <c r="S113" s="1">
        <v>1</v>
      </c>
      <c r="T113" s="14">
        <v>0</v>
      </c>
      <c r="U113" s="14">
        <v>400.55318125955984</v>
      </c>
      <c r="V113" s="14">
        <v>801.10636251911967</v>
      </c>
      <c r="W113" s="14">
        <v>1201.6595437786793</v>
      </c>
      <c r="X113" s="14">
        <v>1602.2127250382393</v>
      </c>
      <c r="Y113" s="14">
        <v>2002.7659062977991</v>
      </c>
    </row>
    <row r="114" spans="18:25">
      <c r="R114" t="s">
        <v>285</v>
      </c>
      <c r="S114" s="1">
        <v>0</v>
      </c>
      <c r="T114" s="14">
        <v>0</v>
      </c>
      <c r="U114" s="14">
        <v>274.97813728317959</v>
      </c>
      <c r="V114" s="14">
        <v>549.95627456635896</v>
      </c>
      <c r="W114" s="14">
        <v>824.93441184953883</v>
      </c>
      <c r="X114" s="14">
        <v>1099.9125491327184</v>
      </c>
      <c r="Y114" s="14">
        <v>1374.890686415898</v>
      </c>
    </row>
    <row r="115" spans="18:25">
      <c r="S115" s="1">
        <v>0.1</v>
      </c>
      <c r="T115" s="14">
        <v>0</v>
      </c>
      <c r="U115" s="14">
        <v>284.29943007243997</v>
      </c>
      <c r="V115" s="14">
        <v>568.59886014487995</v>
      </c>
      <c r="W115" s="14">
        <v>852.89829021731987</v>
      </c>
      <c r="X115" s="14">
        <v>1137.1977202897599</v>
      </c>
      <c r="Y115" s="14">
        <v>1421.4971503621998</v>
      </c>
    </row>
    <row r="116" spans="18:25">
      <c r="S116" s="1">
        <v>0.2</v>
      </c>
      <c r="T116" s="14">
        <v>0</v>
      </c>
      <c r="U116" s="14">
        <v>293.62072286170036</v>
      </c>
      <c r="V116" s="14">
        <v>587.24144572340072</v>
      </c>
      <c r="W116" s="14">
        <v>880.8621685851009</v>
      </c>
      <c r="X116" s="14">
        <v>1174.4828914468014</v>
      </c>
      <c r="Y116" s="14">
        <v>1468.1036143085016</v>
      </c>
    </row>
    <row r="117" spans="18:25">
      <c r="S117" s="1">
        <v>0.3</v>
      </c>
      <c r="T117" s="14">
        <v>0</v>
      </c>
      <c r="U117" s="14">
        <v>302.94201565096063</v>
      </c>
      <c r="V117" s="14">
        <v>605.88403130192125</v>
      </c>
      <c r="W117" s="14">
        <v>908.82604695288171</v>
      </c>
      <c r="X117" s="14">
        <v>1211.7680626038425</v>
      </c>
      <c r="Y117" s="14">
        <v>1514.710078254803</v>
      </c>
    </row>
    <row r="118" spans="18:25">
      <c r="S118" s="1">
        <v>0.4</v>
      </c>
      <c r="T118" s="14">
        <v>0</v>
      </c>
      <c r="U118" s="14">
        <v>312.26330844022095</v>
      </c>
      <c r="V118" s="14">
        <v>624.52661688044191</v>
      </c>
      <c r="W118" s="14">
        <v>936.78992532066286</v>
      </c>
      <c r="X118" s="14">
        <v>1249.0532337608838</v>
      </c>
      <c r="Y118" s="14">
        <v>1561.3165422011048</v>
      </c>
    </row>
    <row r="119" spans="18:25">
      <c r="S119" s="1">
        <v>0.5</v>
      </c>
      <c r="T119" s="14">
        <v>0</v>
      </c>
      <c r="U119" s="14">
        <v>321.58460122948128</v>
      </c>
      <c r="V119" s="14">
        <v>643.16920245896256</v>
      </c>
      <c r="W119" s="14">
        <v>964.75380368844378</v>
      </c>
      <c r="X119" s="14">
        <v>1286.3384049179251</v>
      </c>
      <c r="Y119" s="14">
        <v>1607.9230061474063</v>
      </c>
    </row>
    <row r="120" spans="18:25">
      <c r="S120" s="1">
        <v>0.6</v>
      </c>
      <c r="T120" s="14">
        <v>0</v>
      </c>
      <c r="U120" s="14">
        <v>330.90589401874161</v>
      </c>
      <c r="V120" s="14">
        <v>661.81178803748321</v>
      </c>
      <c r="W120" s="14">
        <v>992.7176820562247</v>
      </c>
      <c r="X120" s="14">
        <v>1323.6235760749664</v>
      </c>
      <c r="Y120" s="14">
        <v>1654.5294700937079</v>
      </c>
    </row>
    <row r="121" spans="18:25">
      <c r="S121" s="1">
        <v>0.7</v>
      </c>
      <c r="T121" s="14">
        <v>0</v>
      </c>
      <c r="U121" s="14">
        <v>340.22718680800193</v>
      </c>
      <c r="V121" s="14">
        <v>680.45437361600386</v>
      </c>
      <c r="W121" s="14">
        <v>1020.6815604240056</v>
      </c>
      <c r="X121" s="14">
        <v>1360.9087472320077</v>
      </c>
      <c r="Y121" s="14">
        <v>1701.1359340400095</v>
      </c>
    </row>
    <row r="122" spans="18:25">
      <c r="S122" s="1">
        <v>0.8</v>
      </c>
      <c r="T122" s="14">
        <v>0</v>
      </c>
      <c r="U122" s="14">
        <v>349.54847959726226</v>
      </c>
      <c r="V122" s="14">
        <v>699.09695919452452</v>
      </c>
      <c r="W122" s="14">
        <v>1048.6454387917868</v>
      </c>
      <c r="X122" s="14">
        <v>1398.193918389049</v>
      </c>
      <c r="Y122" s="14">
        <v>1747.7423979863113</v>
      </c>
    </row>
    <row r="123" spans="18:25">
      <c r="S123" s="1">
        <v>0.9</v>
      </c>
      <c r="T123" s="14">
        <v>0</v>
      </c>
      <c r="U123" s="14">
        <v>358.86977238652258</v>
      </c>
      <c r="V123" s="14">
        <v>717.73954477304517</v>
      </c>
      <c r="W123" s="14">
        <v>1076.6093171595676</v>
      </c>
      <c r="X123" s="14">
        <v>1435.4790895460903</v>
      </c>
      <c r="Y123" s="14">
        <v>1794.3488619326129</v>
      </c>
    </row>
    <row r="124" spans="18:25">
      <c r="S124" s="1">
        <v>1</v>
      </c>
      <c r="T124" s="14">
        <v>0</v>
      </c>
      <c r="U124" s="14">
        <v>368.19106517578285</v>
      </c>
      <c r="V124" s="14">
        <v>736.38213035156571</v>
      </c>
      <c r="W124" s="14">
        <v>1104.5731955273484</v>
      </c>
      <c r="X124" s="14">
        <v>1472.7642607031314</v>
      </c>
      <c r="Y124" s="14">
        <v>1840.9553258789142</v>
      </c>
    </row>
    <row r="125" spans="18:25">
      <c r="R125" t="s">
        <v>286</v>
      </c>
      <c r="S125" s="1">
        <v>0</v>
      </c>
      <c r="T125" s="14">
        <v>0</v>
      </c>
      <c r="U125" s="14">
        <v>229.9354878305378</v>
      </c>
      <c r="V125" s="14">
        <v>459.87097566107559</v>
      </c>
      <c r="W125" s="14">
        <v>689.80646349161339</v>
      </c>
      <c r="X125" s="14">
        <v>919.74195132215118</v>
      </c>
      <c r="Y125" s="14">
        <v>1149.677439152689</v>
      </c>
    </row>
    <row r="126" spans="18:25">
      <c r="S126" s="1">
        <v>0.1</v>
      </c>
      <c r="T126" s="14">
        <v>0</v>
      </c>
      <c r="U126" s="14">
        <v>239.0289816995421</v>
      </c>
      <c r="V126" s="14">
        <v>478.0579633990842</v>
      </c>
      <c r="W126" s="14">
        <v>717.0869450986263</v>
      </c>
      <c r="X126" s="14">
        <v>956.1159267981684</v>
      </c>
      <c r="Y126" s="14">
        <v>1195.1449084977105</v>
      </c>
    </row>
    <row r="127" spans="18:25">
      <c r="S127" s="1">
        <v>0.2</v>
      </c>
      <c r="T127" s="14">
        <v>0</v>
      </c>
      <c r="U127" s="14">
        <v>248.12247556854641</v>
      </c>
      <c r="V127" s="14">
        <v>496.24495113709281</v>
      </c>
      <c r="W127" s="14">
        <v>744.36742670563922</v>
      </c>
      <c r="X127" s="14">
        <v>992.48990227418562</v>
      </c>
      <c r="Y127" s="14">
        <v>1240.612377842732</v>
      </c>
    </row>
    <row r="128" spans="18:25">
      <c r="S128" s="1">
        <v>0.3</v>
      </c>
      <c r="T128" s="14">
        <v>0</v>
      </c>
      <c r="U128" s="14">
        <v>257.21596943755071</v>
      </c>
      <c r="V128" s="14">
        <v>514.43193887510142</v>
      </c>
      <c r="W128" s="14">
        <v>771.64790831265213</v>
      </c>
      <c r="X128" s="14">
        <v>1028.8638777502028</v>
      </c>
      <c r="Y128" s="14">
        <v>1286.0798471877536</v>
      </c>
    </row>
    <row r="129" spans="18:25">
      <c r="S129" s="1">
        <v>0.4</v>
      </c>
      <c r="T129" s="14">
        <v>0</v>
      </c>
      <c r="U129" s="14">
        <v>266.30946330655507</v>
      </c>
      <c r="V129" s="14">
        <v>532.61892661311015</v>
      </c>
      <c r="W129" s="14">
        <v>798.92838991966516</v>
      </c>
      <c r="X129" s="14">
        <v>1065.2378532262203</v>
      </c>
      <c r="Y129" s="14">
        <v>1331.5473165327753</v>
      </c>
    </row>
    <row r="130" spans="18:25">
      <c r="S130" s="1">
        <v>0.5</v>
      </c>
      <c r="T130" s="14">
        <v>0</v>
      </c>
      <c r="U130" s="14">
        <v>275.40295717555944</v>
      </c>
      <c r="V130" s="14">
        <v>550.80591435111887</v>
      </c>
      <c r="W130" s="14">
        <v>826.20887152667819</v>
      </c>
      <c r="X130" s="14">
        <v>1101.6118287022377</v>
      </c>
      <c r="Y130" s="14">
        <v>1377.0147858777971</v>
      </c>
    </row>
    <row r="131" spans="18:25">
      <c r="S131" s="1">
        <v>0.6</v>
      </c>
      <c r="T131" s="14">
        <v>0</v>
      </c>
      <c r="U131" s="14">
        <v>284.49645104456374</v>
      </c>
      <c r="V131" s="14">
        <v>568.99290208912748</v>
      </c>
      <c r="W131" s="14">
        <v>853.48935313369111</v>
      </c>
      <c r="X131" s="14">
        <v>1137.985804178255</v>
      </c>
      <c r="Y131" s="14">
        <v>1422.4822552228186</v>
      </c>
    </row>
    <row r="132" spans="18:25">
      <c r="S132" s="1">
        <v>0.7</v>
      </c>
      <c r="T132" s="14">
        <v>0</v>
      </c>
      <c r="U132" s="14">
        <v>293.58994491356805</v>
      </c>
      <c r="V132" s="14">
        <v>587.17988982713609</v>
      </c>
      <c r="W132" s="14">
        <v>880.76983474070403</v>
      </c>
      <c r="X132" s="14">
        <v>1174.3597796542722</v>
      </c>
      <c r="Y132" s="14">
        <v>1467.9497245678401</v>
      </c>
    </row>
    <row r="133" spans="18:25">
      <c r="S133" s="1">
        <v>0.8</v>
      </c>
      <c r="T133" s="14">
        <v>0</v>
      </c>
      <c r="U133" s="14">
        <v>302.68343878257235</v>
      </c>
      <c r="V133" s="14">
        <v>605.3668775651447</v>
      </c>
      <c r="W133" s="14">
        <v>908.05031634771694</v>
      </c>
      <c r="X133" s="14">
        <v>1210.7337551302894</v>
      </c>
      <c r="Y133" s="14">
        <v>1513.4171939128616</v>
      </c>
    </row>
    <row r="134" spans="18:25">
      <c r="S134" s="1">
        <v>0.9</v>
      </c>
      <c r="T134" s="14">
        <v>0</v>
      </c>
      <c r="U134" s="14">
        <v>311.77693265157671</v>
      </c>
      <c r="V134" s="14">
        <v>623.55386530315343</v>
      </c>
      <c r="W134" s="14">
        <v>935.33079795472997</v>
      </c>
      <c r="X134" s="14">
        <v>1247.1077306063069</v>
      </c>
      <c r="Y134" s="14">
        <v>1558.8846632578834</v>
      </c>
    </row>
    <row r="135" spans="18:25">
      <c r="S135" s="1">
        <v>1</v>
      </c>
      <c r="T135" s="14">
        <v>0</v>
      </c>
      <c r="U135" s="14">
        <v>320.87042652058102</v>
      </c>
      <c r="V135" s="14">
        <v>641.74085304116204</v>
      </c>
      <c r="W135" s="14">
        <v>962.61127956174289</v>
      </c>
      <c r="X135" s="14">
        <v>1283.4817060823241</v>
      </c>
      <c r="Y135" s="14">
        <v>1604.3521326029049</v>
      </c>
    </row>
    <row r="136" spans="18:25">
      <c r="R136" t="s">
        <v>287</v>
      </c>
      <c r="S136" s="1">
        <v>0</v>
      </c>
      <c r="T136" s="14">
        <v>0</v>
      </c>
      <c r="U136" s="14">
        <v>190.93125092283753</v>
      </c>
      <c r="V136" s="14">
        <v>381.86250184567507</v>
      </c>
      <c r="W136" s="14">
        <v>572.79375276851249</v>
      </c>
      <c r="X136" s="14">
        <v>763.72500369135014</v>
      </c>
      <c r="Y136" s="14">
        <v>954.65625461418756</v>
      </c>
    </row>
    <row r="137" spans="18:25">
      <c r="S137" s="1">
        <v>0.1</v>
      </c>
      <c r="T137" s="14">
        <v>0</v>
      </c>
      <c r="U137" s="14">
        <v>199.56091198149682</v>
      </c>
      <c r="V137" s="14">
        <v>399.12182396299363</v>
      </c>
      <c r="W137" s="14">
        <v>598.68273594449045</v>
      </c>
      <c r="X137" s="14">
        <v>798.24364792598726</v>
      </c>
      <c r="Y137" s="14">
        <v>997.80455990748408</v>
      </c>
    </row>
    <row r="138" spans="18:25">
      <c r="S138" s="1">
        <v>0.2</v>
      </c>
      <c r="T138" s="14">
        <v>0</v>
      </c>
      <c r="U138" s="14">
        <v>208.19057304015621</v>
      </c>
      <c r="V138" s="14">
        <v>416.38114608031242</v>
      </c>
      <c r="W138" s="14">
        <v>624.57171912046852</v>
      </c>
      <c r="X138" s="14">
        <v>832.76229216062484</v>
      </c>
      <c r="Y138" s="14">
        <v>1040.9528652007809</v>
      </c>
    </row>
    <row r="139" spans="18:25">
      <c r="S139" s="1">
        <v>0.3</v>
      </c>
      <c r="T139" s="14">
        <v>0</v>
      </c>
      <c r="U139" s="14">
        <v>216.82023409881549</v>
      </c>
      <c r="V139" s="14">
        <v>433.64046819763098</v>
      </c>
      <c r="W139" s="14">
        <v>650.46070229644647</v>
      </c>
      <c r="X139" s="14">
        <v>867.28093639526196</v>
      </c>
      <c r="Y139" s="14">
        <v>1084.1011704940775</v>
      </c>
    </row>
    <row r="140" spans="18:25">
      <c r="S140" s="1">
        <v>0.4</v>
      </c>
      <c r="T140" s="14">
        <v>0</v>
      </c>
      <c r="U140" s="14">
        <v>225.4498951574748</v>
      </c>
      <c r="V140" s="14">
        <v>450.8997903149496</v>
      </c>
      <c r="W140" s="14">
        <v>676.34968547242431</v>
      </c>
      <c r="X140" s="14">
        <v>901.7995806298992</v>
      </c>
      <c r="Y140" s="14">
        <v>1127.249475787374</v>
      </c>
    </row>
    <row r="141" spans="18:25">
      <c r="S141" s="1">
        <v>0.5</v>
      </c>
      <c r="T141" s="14">
        <v>0</v>
      </c>
      <c r="U141" s="14">
        <v>234.07955621613416</v>
      </c>
      <c r="V141" s="14">
        <v>468.15911243226833</v>
      </c>
      <c r="W141" s="14">
        <v>702.23866864840238</v>
      </c>
      <c r="X141" s="14">
        <v>936.31822486453666</v>
      </c>
      <c r="Y141" s="14">
        <v>1170.3977810806707</v>
      </c>
    </row>
    <row r="142" spans="18:25">
      <c r="S142" s="1">
        <v>0.6</v>
      </c>
      <c r="T142" s="14">
        <v>0</v>
      </c>
      <c r="U142" s="14">
        <v>242.70921727479345</v>
      </c>
      <c r="V142" s="14">
        <v>485.41843454958689</v>
      </c>
      <c r="W142" s="14">
        <v>728.12765182438034</v>
      </c>
      <c r="X142" s="14">
        <v>970.83686909917378</v>
      </c>
      <c r="Y142" s="14">
        <v>1213.5460863739672</v>
      </c>
    </row>
    <row r="143" spans="18:25">
      <c r="S143" s="1">
        <v>0.7</v>
      </c>
      <c r="T143" s="14">
        <v>0</v>
      </c>
      <c r="U143" s="14">
        <v>251.33887833345275</v>
      </c>
      <c r="V143" s="14">
        <v>502.67775666690551</v>
      </c>
      <c r="W143" s="14">
        <v>754.01663500035818</v>
      </c>
      <c r="X143" s="14">
        <v>1005.355513333811</v>
      </c>
      <c r="Y143" s="14">
        <v>1256.6943916672637</v>
      </c>
    </row>
    <row r="144" spans="18:25">
      <c r="S144" s="1">
        <v>0.8</v>
      </c>
      <c r="T144" s="14">
        <v>0</v>
      </c>
      <c r="U144" s="14">
        <v>259.96853939211212</v>
      </c>
      <c r="V144" s="14">
        <v>519.93707878422424</v>
      </c>
      <c r="W144" s="14">
        <v>779.90561817633625</v>
      </c>
      <c r="X144" s="14">
        <v>1039.8741575684485</v>
      </c>
      <c r="Y144" s="14">
        <v>1299.8426969605605</v>
      </c>
    </row>
    <row r="145" spans="18:25">
      <c r="S145" s="1">
        <v>0.9</v>
      </c>
      <c r="T145" s="14">
        <v>0</v>
      </c>
      <c r="U145" s="14">
        <v>268.59820045077134</v>
      </c>
      <c r="V145" s="14">
        <v>537.19640090154269</v>
      </c>
      <c r="W145" s="14">
        <v>805.79460135231409</v>
      </c>
      <c r="X145" s="14">
        <v>1074.3928018030854</v>
      </c>
      <c r="Y145" s="14">
        <v>1342.9910022538568</v>
      </c>
    </row>
    <row r="146" spans="18:25">
      <c r="S146" s="1">
        <v>1</v>
      </c>
      <c r="T146" s="14">
        <v>0</v>
      </c>
      <c r="U146" s="14">
        <v>277.22786150943068</v>
      </c>
      <c r="V146" s="14">
        <v>554.45572301886136</v>
      </c>
      <c r="W146" s="14">
        <v>831.68358452829193</v>
      </c>
      <c r="X146" s="14">
        <v>1108.9114460377227</v>
      </c>
      <c r="Y146" s="14">
        <v>1386.1393075471533</v>
      </c>
    </row>
    <row r="147" spans="18:25">
      <c r="R147" t="s">
        <v>288</v>
      </c>
      <c r="S147" s="1">
        <v>0</v>
      </c>
      <c r="T147" s="14">
        <v>0</v>
      </c>
      <c r="U147" s="14">
        <v>157.34904368153673</v>
      </c>
      <c r="V147" s="14">
        <v>314.69808736307345</v>
      </c>
      <c r="W147" s="14">
        <v>472.04713104461007</v>
      </c>
      <c r="X147" s="14">
        <v>629.39617472614691</v>
      </c>
      <c r="Y147" s="14">
        <v>786.74521840768352</v>
      </c>
    </row>
    <row r="148" spans="18:25">
      <c r="S148" s="1">
        <v>0.1</v>
      </c>
      <c r="T148" s="14">
        <v>0</v>
      </c>
      <c r="U148" s="14">
        <v>165.34984251280127</v>
      </c>
      <c r="V148" s="14">
        <v>330.69968502560255</v>
      </c>
      <c r="W148" s="14">
        <v>496.04952753840382</v>
      </c>
      <c r="X148" s="14">
        <v>661.3993700512051</v>
      </c>
      <c r="Y148" s="14">
        <v>826.74921256400637</v>
      </c>
    </row>
    <row r="149" spans="18:25">
      <c r="S149" s="1">
        <v>0.2</v>
      </c>
      <c r="T149" s="14">
        <v>0</v>
      </c>
      <c r="U149" s="14">
        <v>173.35064134406588</v>
      </c>
      <c r="V149" s="14">
        <v>346.70128268813176</v>
      </c>
      <c r="W149" s="14">
        <v>520.05192403219758</v>
      </c>
      <c r="X149" s="14">
        <v>693.40256537626351</v>
      </c>
      <c r="Y149" s="14">
        <v>866.75320672032933</v>
      </c>
    </row>
    <row r="150" spans="18:25">
      <c r="S150" s="1">
        <v>0.3</v>
      </c>
      <c r="T150" s="14">
        <v>0</v>
      </c>
      <c r="U150" s="14">
        <v>181.35144017533048</v>
      </c>
      <c r="V150" s="14">
        <v>362.70288035066096</v>
      </c>
      <c r="W150" s="14">
        <v>544.05432052599133</v>
      </c>
      <c r="X150" s="14">
        <v>725.40576070132192</v>
      </c>
      <c r="Y150" s="14">
        <v>906.75720087665229</v>
      </c>
    </row>
    <row r="151" spans="18:25">
      <c r="S151" s="1">
        <v>0.4</v>
      </c>
      <c r="T151" s="14">
        <v>0</v>
      </c>
      <c r="U151" s="14">
        <v>189.35223900659506</v>
      </c>
      <c r="V151" s="14">
        <v>378.70447801319011</v>
      </c>
      <c r="W151" s="14">
        <v>568.05671701978508</v>
      </c>
      <c r="X151" s="14">
        <v>757.40895602638022</v>
      </c>
      <c r="Y151" s="14">
        <v>946.76119503297525</v>
      </c>
    </row>
    <row r="152" spans="18:25">
      <c r="S152" s="1">
        <v>0.5</v>
      </c>
      <c r="T152" s="14">
        <v>0</v>
      </c>
      <c r="U152" s="14">
        <v>197.3530378378596</v>
      </c>
      <c r="V152" s="14">
        <v>394.70607567571921</v>
      </c>
      <c r="W152" s="14">
        <v>592.05911351357872</v>
      </c>
      <c r="X152" s="14">
        <v>789.41215135143841</v>
      </c>
      <c r="Y152" s="14">
        <v>986.76518918929798</v>
      </c>
    </row>
    <row r="153" spans="18:25">
      <c r="S153" s="1">
        <v>0.6</v>
      </c>
      <c r="T153" s="14">
        <v>0</v>
      </c>
      <c r="U153" s="14">
        <v>205.35383666912423</v>
      </c>
      <c r="V153" s="14">
        <v>410.70767333824847</v>
      </c>
      <c r="W153" s="14">
        <v>616.06151000737259</v>
      </c>
      <c r="X153" s="14">
        <v>821.41534667649694</v>
      </c>
      <c r="Y153" s="14">
        <v>1026.7691833456211</v>
      </c>
    </row>
    <row r="154" spans="18:25">
      <c r="S154" s="1">
        <v>0.7</v>
      </c>
      <c r="T154" s="14">
        <v>0</v>
      </c>
      <c r="U154" s="14">
        <v>213.35463550038878</v>
      </c>
      <c r="V154" s="14">
        <v>426.70927100077756</v>
      </c>
      <c r="W154" s="14">
        <v>640.06390650116623</v>
      </c>
      <c r="X154" s="14">
        <v>853.41854200155512</v>
      </c>
      <c r="Y154" s="14">
        <v>1066.7731775019438</v>
      </c>
    </row>
    <row r="155" spans="18:25">
      <c r="S155" s="1">
        <v>0.8</v>
      </c>
      <c r="T155" s="14">
        <v>0</v>
      </c>
      <c r="U155" s="14">
        <v>221.35543433165336</v>
      </c>
      <c r="V155" s="14">
        <v>442.71086866330671</v>
      </c>
      <c r="W155" s="14">
        <v>664.06630299495998</v>
      </c>
      <c r="X155" s="14">
        <v>885.42173732661342</v>
      </c>
      <c r="Y155" s="14">
        <v>1106.7771716582668</v>
      </c>
    </row>
    <row r="156" spans="18:25">
      <c r="S156" s="1">
        <v>0.9</v>
      </c>
      <c r="T156" s="14">
        <v>0</v>
      </c>
      <c r="U156" s="14">
        <v>229.3562331629179</v>
      </c>
      <c r="V156" s="14">
        <v>458.71246632583581</v>
      </c>
      <c r="W156" s="14">
        <v>688.06869948875362</v>
      </c>
      <c r="X156" s="14">
        <v>917.42493265167161</v>
      </c>
      <c r="Y156" s="14">
        <v>1146.7811658145895</v>
      </c>
    </row>
    <row r="157" spans="18:25">
      <c r="S157" s="1">
        <v>1</v>
      </c>
      <c r="T157" s="14">
        <v>0</v>
      </c>
      <c r="U157" s="14">
        <v>237.35703199418251</v>
      </c>
      <c r="V157" s="14">
        <v>474.71406398836501</v>
      </c>
      <c r="W157" s="14">
        <v>712.07109598254749</v>
      </c>
      <c r="X157" s="14">
        <v>949.42812797673002</v>
      </c>
      <c r="Y157" s="14">
        <v>1186.7851599709124</v>
      </c>
    </row>
    <row r="158" spans="18:25">
      <c r="R158" t="s">
        <v>289</v>
      </c>
      <c r="S158" s="1">
        <v>0</v>
      </c>
      <c r="T158" s="14">
        <v>0</v>
      </c>
      <c r="U158" s="14">
        <v>128.6141447917912</v>
      </c>
      <c r="V158" s="14">
        <v>257.22828958358241</v>
      </c>
      <c r="W158" s="14">
        <v>385.84243437537361</v>
      </c>
      <c r="X158" s="14">
        <v>514.45657916716482</v>
      </c>
      <c r="Y158" s="14">
        <v>643.07072395895602</v>
      </c>
    </row>
    <row r="159" spans="18:25">
      <c r="S159" s="1">
        <v>0.1</v>
      </c>
      <c r="T159" s="14">
        <v>0</v>
      </c>
      <c r="U159" s="14">
        <v>135.8804806557342</v>
      </c>
      <c r="V159" s="14">
        <v>271.76096131146841</v>
      </c>
      <c r="W159" s="14">
        <v>407.64144196720264</v>
      </c>
      <c r="X159" s="14">
        <v>543.52192262293681</v>
      </c>
      <c r="Y159" s="14">
        <v>679.40240327867104</v>
      </c>
    </row>
    <row r="160" spans="18:25">
      <c r="S160" s="1">
        <v>0.2</v>
      </c>
      <c r="T160" s="14">
        <v>0</v>
      </c>
      <c r="U160" s="14">
        <v>143.14681651967726</v>
      </c>
      <c r="V160" s="14">
        <v>286.29363303935452</v>
      </c>
      <c r="W160" s="14">
        <v>429.44044955903178</v>
      </c>
      <c r="X160" s="14">
        <v>572.58726607870904</v>
      </c>
      <c r="Y160" s="14">
        <v>715.73408259838629</v>
      </c>
    </row>
    <row r="161" spans="18:25">
      <c r="S161" s="1">
        <v>0.3</v>
      </c>
      <c r="T161" s="14">
        <v>0</v>
      </c>
      <c r="U161" s="14">
        <v>150.41315238362026</v>
      </c>
      <c r="V161" s="14">
        <v>300.82630476724052</v>
      </c>
      <c r="W161" s="14">
        <v>451.23945715086069</v>
      </c>
      <c r="X161" s="14">
        <v>601.65260953448103</v>
      </c>
      <c r="Y161" s="14">
        <v>752.0657619181012</v>
      </c>
    </row>
    <row r="162" spans="18:25">
      <c r="S162" s="1">
        <v>0.4</v>
      </c>
      <c r="T162" s="14">
        <v>0</v>
      </c>
      <c r="U162" s="14">
        <v>157.67948824756326</v>
      </c>
      <c r="V162" s="14">
        <v>315.35897649512651</v>
      </c>
      <c r="W162" s="14">
        <v>473.03846474268971</v>
      </c>
      <c r="X162" s="14">
        <v>630.71795299025302</v>
      </c>
      <c r="Y162" s="14">
        <v>788.39744123781622</v>
      </c>
    </row>
    <row r="163" spans="18:25">
      <c r="S163" s="1">
        <v>0.5</v>
      </c>
      <c r="T163" s="14">
        <v>0</v>
      </c>
      <c r="U163" s="14">
        <v>164.94582411150623</v>
      </c>
      <c r="V163" s="14">
        <v>329.89164822301245</v>
      </c>
      <c r="W163" s="14">
        <v>494.83747233451868</v>
      </c>
      <c r="X163" s="14">
        <v>659.78329644602491</v>
      </c>
      <c r="Y163" s="14">
        <v>824.72912055753113</v>
      </c>
    </row>
    <row r="164" spans="18:25">
      <c r="S164" s="1">
        <v>0.6</v>
      </c>
      <c r="T164" s="14">
        <v>0</v>
      </c>
      <c r="U164" s="14">
        <v>172.21215997544925</v>
      </c>
      <c r="V164" s="14">
        <v>344.42431995089851</v>
      </c>
      <c r="W164" s="14">
        <v>516.63647992634776</v>
      </c>
      <c r="X164" s="14">
        <v>688.84863990179701</v>
      </c>
      <c r="Y164" s="14">
        <v>861.06079987724627</v>
      </c>
    </row>
    <row r="165" spans="18:25">
      <c r="S165" s="1">
        <v>0.7</v>
      </c>
      <c r="T165" s="14">
        <v>0</v>
      </c>
      <c r="U165" s="14">
        <v>179.47849583939228</v>
      </c>
      <c r="V165" s="14">
        <v>358.95699167878456</v>
      </c>
      <c r="W165" s="14">
        <v>538.43548751817673</v>
      </c>
      <c r="X165" s="14">
        <v>717.91398335756912</v>
      </c>
      <c r="Y165" s="14">
        <v>897.39247919696129</v>
      </c>
    </row>
    <row r="166" spans="18:25">
      <c r="S166" s="1">
        <v>0.8</v>
      </c>
      <c r="T166" s="14">
        <v>0</v>
      </c>
      <c r="U166" s="14">
        <v>186.74483170333528</v>
      </c>
      <c r="V166" s="14">
        <v>373.48966340667056</v>
      </c>
      <c r="W166" s="14">
        <v>560.23449511000581</v>
      </c>
      <c r="X166" s="14">
        <v>746.97932681334112</v>
      </c>
      <c r="Y166" s="14">
        <v>933.72415851667631</v>
      </c>
    </row>
    <row r="167" spans="18:25">
      <c r="S167" s="1">
        <v>0.9</v>
      </c>
      <c r="T167" s="14">
        <v>0</v>
      </c>
      <c r="U167" s="14">
        <v>194.01116756727828</v>
      </c>
      <c r="V167" s="14">
        <v>388.02233513455656</v>
      </c>
      <c r="W167" s="14">
        <v>582.03350270183478</v>
      </c>
      <c r="X167" s="14">
        <v>776.04467026911311</v>
      </c>
      <c r="Y167" s="14">
        <v>970.05583783639133</v>
      </c>
    </row>
    <row r="168" spans="18:25">
      <c r="S168" s="1">
        <v>1</v>
      </c>
      <c r="T168" s="14">
        <v>0</v>
      </c>
      <c r="U168" s="14">
        <v>201.27750343122128</v>
      </c>
      <c r="V168" s="14">
        <v>402.55500686244255</v>
      </c>
      <c r="W168" s="14">
        <v>603.83251029366374</v>
      </c>
      <c r="X168" s="14">
        <v>805.11001372488511</v>
      </c>
      <c r="Y168" s="14">
        <v>1006.3875171561064</v>
      </c>
    </row>
    <row r="169" spans="18:25">
      <c r="R169" t="s">
        <v>290</v>
      </c>
      <c r="S169" s="1">
        <v>0</v>
      </c>
      <c r="T169" s="14">
        <v>0</v>
      </c>
      <c r="U169" s="14">
        <v>104.19223253837681</v>
      </c>
      <c r="V169" s="14">
        <v>208.38446507675363</v>
      </c>
      <c r="W169" s="14">
        <v>312.5766976151304</v>
      </c>
      <c r="X169" s="14">
        <v>416.76893015350726</v>
      </c>
      <c r="Y169" s="14">
        <v>520.96116269188406</v>
      </c>
    </row>
    <row r="170" spans="18:25">
      <c r="S170" s="1">
        <v>0.1</v>
      </c>
      <c r="T170" s="14">
        <v>0</v>
      </c>
      <c r="U170" s="14">
        <v>110.66745602946237</v>
      </c>
      <c r="V170" s="14">
        <v>221.33491205892474</v>
      </c>
      <c r="W170" s="14">
        <v>332.00236808838707</v>
      </c>
      <c r="X170" s="14">
        <v>442.66982411784949</v>
      </c>
      <c r="Y170" s="14">
        <v>553.33728014731184</v>
      </c>
    </row>
    <row r="171" spans="18:25">
      <c r="S171" s="1">
        <v>0.2</v>
      </c>
      <c r="T171" s="14">
        <v>0</v>
      </c>
      <c r="U171" s="14">
        <v>117.14267952054796</v>
      </c>
      <c r="V171" s="14">
        <v>234.28535904109592</v>
      </c>
      <c r="W171" s="14">
        <v>351.42803856164386</v>
      </c>
      <c r="X171" s="14">
        <v>468.57071808219183</v>
      </c>
      <c r="Y171" s="14">
        <v>585.71339760273975</v>
      </c>
    </row>
    <row r="172" spans="18:25">
      <c r="S172" s="1">
        <v>0.3</v>
      </c>
      <c r="T172" s="14">
        <v>0</v>
      </c>
      <c r="U172" s="14">
        <v>123.61790301163349</v>
      </c>
      <c r="V172" s="14">
        <v>247.23580602326697</v>
      </c>
      <c r="W172" s="14">
        <v>370.85370903490042</v>
      </c>
      <c r="X172" s="14">
        <v>494.47161204653395</v>
      </c>
      <c r="Y172" s="14">
        <v>618.08951505816742</v>
      </c>
    </row>
    <row r="173" spans="18:25">
      <c r="S173" s="1">
        <v>0.4</v>
      </c>
      <c r="T173" s="14">
        <v>0</v>
      </c>
      <c r="U173" s="14">
        <v>130.09312650271909</v>
      </c>
      <c r="V173" s="14">
        <v>260.18625300543818</v>
      </c>
      <c r="W173" s="14">
        <v>390.27937950815726</v>
      </c>
      <c r="X173" s="14">
        <v>520.37250601087635</v>
      </c>
      <c r="Y173" s="14">
        <v>650.46563251359544</v>
      </c>
    </row>
    <row r="174" spans="18:25">
      <c r="S174" s="1">
        <v>0.5</v>
      </c>
      <c r="T174" s="14">
        <v>0</v>
      </c>
      <c r="U174" s="14">
        <v>136.56834999380465</v>
      </c>
      <c r="V174" s="14">
        <v>273.13669998760929</v>
      </c>
      <c r="W174" s="14">
        <v>409.70504998141394</v>
      </c>
      <c r="X174" s="14">
        <v>546.27339997521858</v>
      </c>
      <c r="Y174" s="14">
        <v>682.84174996902323</v>
      </c>
    </row>
    <row r="175" spans="18:25">
      <c r="S175" s="1">
        <v>0.6</v>
      </c>
      <c r="T175" s="14">
        <v>0</v>
      </c>
      <c r="U175" s="14">
        <v>143.0435734848902</v>
      </c>
      <c r="V175" s="14">
        <v>286.08714696978041</v>
      </c>
      <c r="W175" s="14">
        <v>429.13072045467061</v>
      </c>
      <c r="X175" s="14">
        <v>572.17429393956081</v>
      </c>
      <c r="Y175" s="14">
        <v>715.21786742445101</v>
      </c>
    </row>
    <row r="176" spans="18:25">
      <c r="S176" s="1">
        <v>0.7</v>
      </c>
      <c r="T176" s="14">
        <v>0</v>
      </c>
      <c r="U176" s="14">
        <v>149.51879697597576</v>
      </c>
      <c r="V176" s="14">
        <v>299.03759395195152</v>
      </c>
      <c r="W176" s="14">
        <v>448.55639092792728</v>
      </c>
      <c r="X176" s="14">
        <v>598.07518790390304</v>
      </c>
      <c r="Y176" s="14">
        <v>747.5939848798788</v>
      </c>
    </row>
    <row r="177" spans="18:25">
      <c r="S177" s="1">
        <v>0.8</v>
      </c>
      <c r="T177" s="14">
        <v>0</v>
      </c>
      <c r="U177" s="14">
        <v>155.99402046706135</v>
      </c>
      <c r="V177" s="14">
        <v>311.98804093412269</v>
      </c>
      <c r="W177" s="14">
        <v>467.98206140118401</v>
      </c>
      <c r="X177" s="14">
        <v>623.97608186824539</v>
      </c>
      <c r="Y177" s="14">
        <v>779.97010233530671</v>
      </c>
    </row>
    <row r="178" spans="18:25">
      <c r="S178" s="1">
        <v>0.9</v>
      </c>
      <c r="T178" s="14">
        <v>0</v>
      </c>
      <c r="U178" s="14">
        <v>162.46924395814688</v>
      </c>
      <c r="V178" s="14">
        <v>324.93848791629375</v>
      </c>
      <c r="W178" s="14">
        <v>487.40773187444063</v>
      </c>
      <c r="X178" s="14">
        <v>649.8769758325875</v>
      </c>
      <c r="Y178" s="14">
        <v>812.34621979073438</v>
      </c>
    </row>
    <row r="179" spans="18:25">
      <c r="S179" s="1">
        <v>1</v>
      </c>
      <c r="T179" s="14">
        <v>0</v>
      </c>
      <c r="U179" s="14">
        <v>168.94446744923246</v>
      </c>
      <c r="V179" s="14">
        <v>337.88893489846492</v>
      </c>
      <c r="W179" s="14">
        <v>506.83340234769736</v>
      </c>
      <c r="X179" s="14">
        <v>675.77786979692985</v>
      </c>
      <c r="Y179" s="14">
        <v>844.72233724616228</v>
      </c>
    </row>
    <row r="180" spans="18:25">
      <c r="R180" t="s">
        <v>291</v>
      </c>
      <c r="S180" s="1">
        <v>0</v>
      </c>
      <c r="T180" s="14">
        <v>0</v>
      </c>
      <c r="U180" s="14">
        <v>82.361202417188863</v>
      </c>
      <c r="V180" s="14">
        <v>164.72240483437773</v>
      </c>
      <c r="W180" s="14">
        <v>247.08360725156658</v>
      </c>
      <c r="X180" s="14">
        <v>329.44480966875545</v>
      </c>
      <c r="Y180" s="14">
        <v>411.8060120859443</v>
      </c>
    </row>
    <row r="181" spans="18:25">
      <c r="S181" s="1">
        <v>0.1</v>
      </c>
      <c r="T181" s="14">
        <v>0</v>
      </c>
      <c r="U181" s="14">
        <v>87.945012750557595</v>
      </c>
      <c r="V181" s="14">
        <v>175.89002550111519</v>
      </c>
      <c r="W181" s="14">
        <v>263.83503825167276</v>
      </c>
      <c r="X181" s="14">
        <v>351.78005100223038</v>
      </c>
      <c r="Y181" s="14">
        <v>439.72506375278795</v>
      </c>
    </row>
    <row r="182" spans="18:25">
      <c r="S182" s="1">
        <v>0.2</v>
      </c>
      <c r="T182" s="14">
        <v>0</v>
      </c>
      <c r="U182" s="14">
        <v>93.528823083926341</v>
      </c>
      <c r="V182" s="14">
        <v>187.05764616785268</v>
      </c>
      <c r="W182" s="14">
        <v>280.58646925177896</v>
      </c>
      <c r="X182" s="14">
        <v>374.11529233570536</v>
      </c>
      <c r="Y182" s="14">
        <v>467.64411541963165</v>
      </c>
    </row>
    <row r="183" spans="18:25">
      <c r="S183" s="1">
        <v>0.3</v>
      </c>
      <c r="T183" s="14">
        <v>0</v>
      </c>
      <c r="U183" s="14">
        <v>99.112633417295058</v>
      </c>
      <c r="V183" s="14">
        <v>198.22526683459012</v>
      </c>
      <c r="W183" s="14">
        <v>297.33790025188517</v>
      </c>
      <c r="X183" s="14">
        <v>396.45053366918023</v>
      </c>
      <c r="Y183" s="14">
        <v>495.56316708647529</v>
      </c>
    </row>
    <row r="184" spans="18:25">
      <c r="S184" s="1">
        <v>0.4</v>
      </c>
      <c r="T184" s="14">
        <v>0</v>
      </c>
      <c r="U184" s="14">
        <v>104.6964437506638</v>
      </c>
      <c r="V184" s="14">
        <v>209.39288750132761</v>
      </c>
      <c r="W184" s="14">
        <v>314.08933125199138</v>
      </c>
      <c r="X184" s="14">
        <v>418.78577500265521</v>
      </c>
      <c r="Y184" s="14">
        <v>523.48221875331899</v>
      </c>
    </row>
    <row r="185" spans="18:25">
      <c r="S185" s="1">
        <v>0.5</v>
      </c>
      <c r="T185" s="14">
        <v>0</v>
      </c>
      <c r="U185" s="14">
        <v>110.28025408403253</v>
      </c>
      <c r="V185" s="14">
        <v>220.56050816806507</v>
      </c>
      <c r="W185" s="14">
        <v>330.84076225209759</v>
      </c>
      <c r="X185" s="14">
        <v>441.12101633613014</v>
      </c>
      <c r="Y185" s="14">
        <v>551.40127042016263</v>
      </c>
    </row>
    <row r="186" spans="18:25">
      <c r="S186" s="1">
        <v>0.6</v>
      </c>
      <c r="T186" s="14">
        <v>0</v>
      </c>
      <c r="U186" s="14">
        <v>115.86406441740127</v>
      </c>
      <c r="V186" s="14">
        <v>231.72812883480253</v>
      </c>
      <c r="W186" s="14">
        <v>347.59219325220374</v>
      </c>
      <c r="X186" s="14">
        <v>463.45625766960507</v>
      </c>
      <c r="Y186" s="14">
        <v>579.32032208700628</v>
      </c>
    </row>
    <row r="187" spans="18:25">
      <c r="S187" s="1">
        <v>0.7</v>
      </c>
      <c r="T187" s="14">
        <v>0</v>
      </c>
      <c r="U187" s="14">
        <v>121.44787475077001</v>
      </c>
      <c r="V187" s="14">
        <v>242.89574950154002</v>
      </c>
      <c r="W187" s="14">
        <v>364.34362425231001</v>
      </c>
      <c r="X187" s="14">
        <v>485.79149900308005</v>
      </c>
      <c r="Y187" s="14">
        <v>607.23937375385003</v>
      </c>
    </row>
    <row r="188" spans="18:25">
      <c r="S188" s="1">
        <v>0.8</v>
      </c>
      <c r="T188" s="14">
        <v>0</v>
      </c>
      <c r="U188" s="14">
        <v>127.03168508413874</v>
      </c>
      <c r="V188" s="14">
        <v>254.06337016827749</v>
      </c>
      <c r="W188" s="14">
        <v>381.09505525241622</v>
      </c>
      <c r="X188" s="14">
        <v>508.12674033655497</v>
      </c>
      <c r="Y188" s="14">
        <v>635.15842542069367</v>
      </c>
    </row>
    <row r="189" spans="18:25">
      <c r="S189" s="1">
        <v>0.9</v>
      </c>
      <c r="T189" s="14">
        <v>0</v>
      </c>
      <c r="U189" s="14">
        <v>132.61549541750747</v>
      </c>
      <c r="V189" s="14">
        <v>265.23099083501495</v>
      </c>
      <c r="W189" s="14">
        <v>397.84648625252237</v>
      </c>
      <c r="X189" s="14">
        <v>530.4619816700299</v>
      </c>
      <c r="Y189" s="14">
        <v>663.07747708753732</v>
      </c>
    </row>
    <row r="190" spans="18:25">
      <c r="S190" s="1">
        <v>1</v>
      </c>
      <c r="T190" s="14">
        <v>0</v>
      </c>
      <c r="U190" s="14">
        <v>138.19930575087619</v>
      </c>
      <c r="V190" s="14">
        <v>276.39861150175238</v>
      </c>
      <c r="W190" s="14">
        <v>414.59791725262858</v>
      </c>
      <c r="X190" s="14">
        <v>552.79722300350477</v>
      </c>
      <c r="Y190" s="14">
        <v>690.99652875438096</v>
      </c>
    </row>
    <row r="191" spans="18:25">
      <c r="R191" t="s">
        <v>292</v>
      </c>
      <c r="S191" s="1">
        <v>0</v>
      </c>
      <c r="T191" s="14">
        <v>0</v>
      </c>
      <c r="U191" s="14">
        <v>64.766984922201857</v>
      </c>
      <c r="V191" s="14">
        <v>129.53396984440371</v>
      </c>
      <c r="W191" s="14">
        <v>194.30095476660557</v>
      </c>
      <c r="X191" s="14">
        <v>259.06793968880743</v>
      </c>
      <c r="Y191" s="14">
        <v>323.83492461100928</v>
      </c>
    </row>
    <row r="192" spans="18:25">
      <c r="S192" s="1">
        <v>0.1</v>
      </c>
      <c r="T192" s="14">
        <v>0</v>
      </c>
      <c r="U192" s="14">
        <v>68.426136612721734</v>
      </c>
      <c r="V192" s="14">
        <v>136.85227322544347</v>
      </c>
      <c r="W192" s="14">
        <v>205.2784098381652</v>
      </c>
      <c r="X192" s="14">
        <v>273.70454645088694</v>
      </c>
      <c r="Y192" s="14">
        <v>342.13068306360867</v>
      </c>
    </row>
    <row r="193" spans="18:25">
      <c r="S193" s="1">
        <v>0.2</v>
      </c>
      <c r="T193" s="14">
        <v>0</v>
      </c>
      <c r="U193" s="14">
        <v>72.085288303241612</v>
      </c>
      <c r="V193" s="14">
        <v>144.17057660648322</v>
      </c>
      <c r="W193" s="14">
        <v>216.25586490972483</v>
      </c>
      <c r="X193" s="14">
        <v>288.34115321296645</v>
      </c>
      <c r="Y193" s="14">
        <v>360.42644151620806</v>
      </c>
    </row>
    <row r="194" spans="18:25">
      <c r="S194" s="1">
        <v>0.3</v>
      </c>
      <c r="T194" s="14">
        <v>0</v>
      </c>
      <c r="U194" s="14">
        <v>75.744439993761489</v>
      </c>
      <c r="V194" s="14">
        <v>151.48887998752298</v>
      </c>
      <c r="W194" s="14">
        <v>227.23331998128447</v>
      </c>
      <c r="X194" s="14">
        <v>302.97775997504596</v>
      </c>
      <c r="Y194" s="14">
        <v>378.72219996880744</v>
      </c>
    </row>
    <row r="195" spans="18:25">
      <c r="S195" s="1">
        <v>0.4</v>
      </c>
      <c r="T195" s="14">
        <v>0</v>
      </c>
      <c r="U195" s="14">
        <v>79.40359168428138</v>
      </c>
      <c r="V195" s="14">
        <v>158.80718336856276</v>
      </c>
      <c r="W195" s="14">
        <v>238.21077505284413</v>
      </c>
      <c r="X195" s="14">
        <v>317.61436673712552</v>
      </c>
      <c r="Y195" s="14">
        <v>397.01795842140689</v>
      </c>
    </row>
    <row r="196" spans="18:25">
      <c r="S196" s="1">
        <v>0.5</v>
      </c>
      <c r="T196" s="14">
        <v>0</v>
      </c>
      <c r="U196" s="14">
        <v>83.062743374801258</v>
      </c>
      <c r="V196" s="14">
        <v>166.12548674960252</v>
      </c>
      <c r="W196" s="14">
        <v>249.18823012440376</v>
      </c>
      <c r="X196" s="14">
        <v>332.25097349920503</v>
      </c>
      <c r="Y196" s="14">
        <v>415.31371687400627</v>
      </c>
    </row>
    <row r="197" spans="18:25">
      <c r="S197" s="1">
        <v>0.6</v>
      </c>
      <c r="T197" s="14">
        <v>0</v>
      </c>
      <c r="U197" s="14">
        <v>86.721895065321121</v>
      </c>
      <c r="V197" s="14">
        <v>173.44379013064224</v>
      </c>
      <c r="W197" s="14">
        <v>260.16568519596336</v>
      </c>
      <c r="X197" s="14">
        <v>346.88758026128448</v>
      </c>
      <c r="Y197" s="14">
        <v>433.6094753266056</v>
      </c>
    </row>
    <row r="198" spans="18:25">
      <c r="S198" s="1">
        <v>0.7</v>
      </c>
      <c r="T198" s="14">
        <v>0</v>
      </c>
      <c r="U198" s="14">
        <v>90.381046755841027</v>
      </c>
      <c r="V198" s="14">
        <v>180.76209351168205</v>
      </c>
      <c r="W198" s="14">
        <v>271.14314026752305</v>
      </c>
      <c r="X198" s="14">
        <v>361.52418702336411</v>
      </c>
      <c r="Y198" s="14">
        <v>451.9052337792051</v>
      </c>
    </row>
    <row r="199" spans="18:25">
      <c r="S199" s="1">
        <v>0.8</v>
      </c>
      <c r="T199" s="14">
        <v>0</v>
      </c>
      <c r="U199" s="14">
        <v>94.040198446360876</v>
      </c>
      <c r="V199" s="14">
        <v>188.08039689272175</v>
      </c>
      <c r="W199" s="14">
        <v>282.12059533908263</v>
      </c>
      <c r="X199" s="14">
        <v>376.1607937854435</v>
      </c>
      <c r="Y199" s="14">
        <v>470.20099223180438</v>
      </c>
    </row>
    <row r="200" spans="18:25">
      <c r="S200" s="1">
        <v>0.9</v>
      </c>
      <c r="T200" s="14">
        <v>0</v>
      </c>
      <c r="U200" s="14">
        <v>97.699350136880767</v>
      </c>
      <c r="V200" s="14">
        <v>195.39870027376153</v>
      </c>
      <c r="W200" s="14">
        <v>293.09805041064226</v>
      </c>
      <c r="X200" s="14">
        <v>390.79740054752307</v>
      </c>
      <c r="Y200" s="14">
        <v>488.49675068440382</v>
      </c>
    </row>
    <row r="201" spans="18:25">
      <c r="S201" s="1">
        <v>1</v>
      </c>
      <c r="T201" s="14">
        <v>0</v>
      </c>
      <c r="U201" s="14">
        <v>101.35850182740067</v>
      </c>
      <c r="V201" s="14">
        <v>202.71700365480135</v>
      </c>
      <c r="W201" s="14">
        <v>304.075505482202</v>
      </c>
      <c r="X201" s="14">
        <v>405.43400730960269</v>
      </c>
      <c r="Y201" s="14">
        <v>506.79250913700332</v>
      </c>
    </row>
    <row r="202" spans="18:25">
      <c r="R202" t="s">
        <v>293</v>
      </c>
      <c r="S202" s="1">
        <v>0</v>
      </c>
      <c r="T202" s="14">
        <v>0</v>
      </c>
      <c r="U202" s="14">
        <v>50.931290617453087</v>
      </c>
      <c r="V202" s="14">
        <v>101.86258123490617</v>
      </c>
      <c r="W202" s="14">
        <v>152.79387185235925</v>
      </c>
      <c r="X202" s="14">
        <v>203.72516246981235</v>
      </c>
      <c r="Y202" s="14">
        <v>254.65645308726542</v>
      </c>
    </row>
    <row r="203" spans="18:25">
      <c r="S203" s="1">
        <v>0.1</v>
      </c>
      <c r="T203" s="14">
        <v>0</v>
      </c>
      <c r="U203" s="14">
        <v>53.233269854400127</v>
      </c>
      <c r="V203" s="14">
        <v>106.46653970880025</v>
      </c>
      <c r="W203" s="14">
        <v>159.69980956320038</v>
      </c>
      <c r="X203" s="14">
        <v>212.93307941760051</v>
      </c>
      <c r="Y203" s="14">
        <v>266.16634927200062</v>
      </c>
    </row>
    <row r="204" spans="18:25">
      <c r="S204" s="1">
        <v>0.2</v>
      </c>
      <c r="T204" s="14">
        <v>0</v>
      </c>
      <c r="U204" s="14">
        <v>55.535249091347147</v>
      </c>
      <c r="V204" s="14">
        <v>111.07049818269429</v>
      </c>
      <c r="W204" s="14">
        <v>166.60574727404142</v>
      </c>
      <c r="X204" s="14">
        <v>222.14099636538859</v>
      </c>
      <c r="Y204" s="14">
        <v>277.67624545673573</v>
      </c>
    </row>
    <row r="205" spans="18:25">
      <c r="S205" s="1">
        <v>0.3</v>
      </c>
      <c r="T205" s="14">
        <v>0</v>
      </c>
      <c r="U205" s="14">
        <v>57.837228328294181</v>
      </c>
      <c r="V205" s="14">
        <v>115.67445665658836</v>
      </c>
      <c r="W205" s="14">
        <v>173.51168498488252</v>
      </c>
      <c r="X205" s="14">
        <v>231.34891331317672</v>
      </c>
      <c r="Y205" s="14">
        <v>289.1861416414709</v>
      </c>
    </row>
    <row r="206" spans="18:25">
      <c r="S206" s="1">
        <v>0.4</v>
      </c>
      <c r="T206" s="14">
        <v>0</v>
      </c>
      <c r="U206" s="14">
        <v>60.139207565241215</v>
      </c>
      <c r="V206" s="14">
        <v>120.27841513048243</v>
      </c>
      <c r="W206" s="14">
        <v>180.41762269572362</v>
      </c>
      <c r="X206" s="14">
        <v>240.55683026096486</v>
      </c>
      <c r="Y206" s="14">
        <v>300.69603782620607</v>
      </c>
    </row>
    <row r="207" spans="18:25">
      <c r="S207" s="1">
        <v>0.5</v>
      </c>
      <c r="T207" s="14">
        <v>0</v>
      </c>
      <c r="U207" s="14">
        <v>62.441186802188248</v>
      </c>
      <c r="V207" s="14">
        <v>124.8823736043765</v>
      </c>
      <c r="W207" s="14">
        <v>187.32356040656472</v>
      </c>
      <c r="X207" s="14">
        <v>249.76474720875299</v>
      </c>
      <c r="Y207" s="14">
        <v>312.20593401094123</v>
      </c>
    </row>
    <row r="208" spans="18:25">
      <c r="S208" s="1">
        <v>0.6</v>
      </c>
      <c r="T208" s="14">
        <v>0</v>
      </c>
      <c r="U208" s="14">
        <v>64.743166039135275</v>
      </c>
      <c r="V208" s="14">
        <v>129.48633207827055</v>
      </c>
      <c r="W208" s="14">
        <v>194.2294981174058</v>
      </c>
      <c r="X208" s="14">
        <v>258.9726641565411</v>
      </c>
      <c r="Y208" s="14">
        <v>323.71583019567635</v>
      </c>
    </row>
    <row r="209" spans="19:25">
      <c r="S209" s="1">
        <v>0.7</v>
      </c>
      <c r="T209" s="14">
        <v>0</v>
      </c>
      <c r="U209" s="14">
        <v>67.045145276082295</v>
      </c>
      <c r="V209" s="14">
        <v>134.09029055216459</v>
      </c>
      <c r="W209" s="14">
        <v>201.13543582824687</v>
      </c>
      <c r="X209" s="14">
        <v>268.18058110432918</v>
      </c>
      <c r="Y209" s="14">
        <v>335.22572638041146</v>
      </c>
    </row>
    <row r="210" spans="19:25">
      <c r="S210" s="1">
        <v>0.8</v>
      </c>
      <c r="T210" s="14">
        <v>0</v>
      </c>
      <c r="U210" s="14">
        <v>69.347124513029343</v>
      </c>
      <c r="V210" s="14">
        <v>138.69424902605869</v>
      </c>
      <c r="W210" s="14">
        <v>208.041373539088</v>
      </c>
      <c r="X210" s="14">
        <v>277.38849805211737</v>
      </c>
      <c r="Y210" s="14">
        <v>346.73562256514668</v>
      </c>
    </row>
    <row r="211" spans="19:25">
      <c r="S211" s="1">
        <v>0.9</v>
      </c>
      <c r="T211" s="14">
        <v>0</v>
      </c>
      <c r="U211" s="14">
        <v>71.649103749976362</v>
      </c>
      <c r="V211" s="14">
        <v>143.29820749995272</v>
      </c>
      <c r="W211" s="14">
        <v>214.94731124992907</v>
      </c>
      <c r="X211" s="14">
        <v>286.59641499990545</v>
      </c>
      <c r="Y211" s="14">
        <v>358.2455187498818</v>
      </c>
    </row>
    <row r="212" spans="19:25">
      <c r="S212" s="1">
        <v>1</v>
      </c>
      <c r="T212" s="14">
        <v>0</v>
      </c>
      <c r="U212" s="14">
        <v>73.951082986923396</v>
      </c>
      <c r="V212" s="14">
        <v>147.90216597384679</v>
      </c>
      <c r="W212" s="14">
        <v>221.85324896077017</v>
      </c>
      <c r="X212" s="14">
        <v>295.80433194769358</v>
      </c>
      <c r="Y212" s="14">
        <v>369.75541493461697</v>
      </c>
    </row>
  </sheetData>
  <mergeCells count="18">
    <mergeCell ref="A19:A48"/>
    <mergeCell ref="B48:L48"/>
    <mergeCell ref="B19:L19"/>
    <mergeCell ref="A90:A101"/>
    <mergeCell ref="A74:A85"/>
    <mergeCell ref="B86:O86"/>
    <mergeCell ref="A52:A69"/>
    <mergeCell ref="B102:M102"/>
    <mergeCell ref="R51:AE51"/>
    <mergeCell ref="Q52:Q69"/>
    <mergeCell ref="R70:AE70"/>
    <mergeCell ref="R73:AE73"/>
    <mergeCell ref="Q74:Q85"/>
    <mergeCell ref="R86:AE86"/>
    <mergeCell ref="B51:O51"/>
    <mergeCell ref="B70:O70"/>
    <mergeCell ref="B73:O73"/>
    <mergeCell ref="B89:M8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>
    <tabColor rgb="FF0070C0"/>
  </sheetPr>
  <dimension ref="A3:N134"/>
  <sheetViews>
    <sheetView workbookViewId="0">
      <selection activeCell="C4" sqref="C4"/>
    </sheetView>
  </sheetViews>
  <sheetFormatPr defaultRowHeight="14.5"/>
  <cols>
    <col min="1" max="14" width="12.7265625" customWidth="1"/>
  </cols>
  <sheetData>
    <row r="3" spans="1:14" s="4" customFormat="1">
      <c r="B3" s="13" t="s">
        <v>7</v>
      </c>
      <c r="C3" s="13" t="s">
        <v>8</v>
      </c>
      <c r="D3" s="13" t="s">
        <v>9</v>
      </c>
      <c r="E3" s="13" t="s">
        <v>10</v>
      </c>
      <c r="F3" s="13" t="s">
        <v>11</v>
      </c>
      <c r="G3" s="13" t="s">
        <v>12</v>
      </c>
      <c r="H3" s="13" t="s">
        <v>13</v>
      </c>
      <c r="I3" s="13" t="s">
        <v>14</v>
      </c>
      <c r="J3" s="13" t="s">
        <v>15</v>
      </c>
      <c r="K3" s="13" t="s">
        <v>0</v>
      </c>
      <c r="L3" s="13" t="s">
        <v>16</v>
      </c>
      <c r="M3" s="13" t="s">
        <v>17</v>
      </c>
      <c r="N3" s="13" t="s">
        <v>18</v>
      </c>
    </row>
    <row r="4" spans="1:14">
      <c r="A4" s="18">
        <v>0</v>
      </c>
      <c r="B4" s="1">
        <f>C4-459.7</f>
        <v>58.96999999999997</v>
      </c>
      <c r="C4" s="1">
        <f>518.67-3.566*(A4/1000)</f>
        <v>518.66999999999996</v>
      </c>
      <c r="D4" s="1">
        <f>5*(B4-32)/9</f>
        <v>14.983333333333317</v>
      </c>
      <c r="E4" s="2">
        <f>C4/518.67</f>
        <v>1</v>
      </c>
      <c r="F4" s="2">
        <f>E4^5.256152</f>
        <v>1</v>
      </c>
      <c r="G4" s="25">
        <f t="shared" ref="G4:G35" si="0">F4*2116.22</f>
        <v>2116.2199999999998</v>
      </c>
      <c r="H4" s="9">
        <f>I4*0.00237688</f>
        <v>2.3768800000000001E-3</v>
      </c>
      <c r="I4" s="2">
        <f t="shared" ref="I4:I35" si="1">F4/E4</f>
        <v>1</v>
      </c>
      <c r="J4" s="2">
        <f>SQRT(I4)</f>
        <v>1</v>
      </c>
      <c r="K4" s="17">
        <f t="shared" ref="K4:K35" si="2">F4*1481.354</f>
        <v>1481.354</v>
      </c>
      <c r="L4" s="2">
        <f>H4*32.1740484</f>
        <v>7.6473852160991992E-2</v>
      </c>
      <c r="M4" s="25">
        <f t="shared" ref="M4:M35" si="3">1116.45*SQRT(E4)</f>
        <v>1116.45</v>
      </c>
      <c r="N4" s="1">
        <f>M4*(3600/6080)</f>
        <v>661.05592105263156</v>
      </c>
    </row>
    <row r="5" spans="1:14">
      <c r="A5" s="18">
        <v>500</v>
      </c>
      <c r="B5" s="1">
        <f t="shared" ref="B5:B68" si="4">C5-459.7</f>
        <v>57.186999999999955</v>
      </c>
      <c r="C5" s="1">
        <f t="shared" ref="C5:C68" si="5">518.67-3.566*(A5/1000)</f>
        <v>516.88699999999994</v>
      </c>
      <c r="D5" s="1">
        <f t="shared" ref="D5:D68" si="6">5*(B5-32)/9</f>
        <v>13.992777777777754</v>
      </c>
      <c r="E5" s="2">
        <f t="shared" ref="E5:E68" si="7">C5/518.67</f>
        <v>0.99656236142441246</v>
      </c>
      <c r="F5" s="2">
        <f t="shared" ref="F5:F68" si="8">E5^5.256152</f>
        <v>0.98206293984717652</v>
      </c>
      <c r="G5" s="25">
        <f t="shared" si="0"/>
        <v>2078.2612345633916</v>
      </c>
      <c r="H5" s="9">
        <f t="shared" ref="H5:H68" si="9">I5*0.00237688</f>
        <v>2.3422977335081758E-3</v>
      </c>
      <c r="I5" s="2">
        <f t="shared" si="1"/>
        <v>0.98545056271590314</v>
      </c>
      <c r="J5" s="2">
        <f t="shared" ref="J5:J68" si="10">SQRT(I5)</f>
        <v>0.99269862632921135</v>
      </c>
      <c r="K5" s="17">
        <f t="shared" si="2"/>
        <v>1454.7828641943743</v>
      </c>
      <c r="L5" s="2">
        <f t="shared" ref="L5:L68" si="11">H5*32.1740484</f>
        <v>7.5361200645102336E-2</v>
      </c>
      <c r="M5" s="25">
        <f t="shared" si="3"/>
        <v>1114.5293721790808</v>
      </c>
      <c r="N5" s="1">
        <f t="shared" ref="N5:N68" si="12">M5*(3600/6080)</f>
        <v>659.91870721129783</v>
      </c>
    </row>
    <row r="6" spans="1:14">
      <c r="A6" s="18">
        <v>1000</v>
      </c>
      <c r="B6" s="1">
        <f t="shared" si="4"/>
        <v>55.40399999999994</v>
      </c>
      <c r="C6" s="1">
        <f t="shared" si="5"/>
        <v>515.10399999999993</v>
      </c>
      <c r="D6" s="1">
        <f t="shared" si="6"/>
        <v>13.002222222222189</v>
      </c>
      <c r="E6" s="2">
        <f t="shared" si="7"/>
        <v>0.9931247228488248</v>
      </c>
      <c r="F6" s="2">
        <f t="shared" si="8"/>
        <v>0.9643872998077111</v>
      </c>
      <c r="G6" s="25">
        <f t="shared" si="0"/>
        <v>2040.8556915990741</v>
      </c>
      <c r="H6" s="9">
        <f t="shared" si="9"/>
        <v>2.3081017242140294E-3</v>
      </c>
      <c r="I6" s="2">
        <f t="shared" si="1"/>
        <v>0.97106363140504748</v>
      </c>
      <c r="J6" s="2">
        <f t="shared" si="10"/>
        <v>0.9854256092699476</v>
      </c>
      <c r="K6" s="17">
        <f t="shared" si="2"/>
        <v>1428.5989841193521</v>
      </c>
      <c r="L6" s="2">
        <f t="shared" si="11"/>
        <v>7.4260976586985619E-2</v>
      </c>
      <c r="M6" s="25">
        <f t="shared" si="3"/>
        <v>1112.6054288919283</v>
      </c>
      <c r="N6" s="1">
        <f t="shared" si="12"/>
        <v>658.77953026495754</v>
      </c>
    </row>
    <row r="7" spans="1:14">
      <c r="A7" s="18">
        <v>1500</v>
      </c>
      <c r="B7" s="1">
        <f t="shared" si="4"/>
        <v>53.620999999999924</v>
      </c>
      <c r="C7" s="1">
        <f t="shared" si="5"/>
        <v>513.32099999999991</v>
      </c>
      <c r="D7" s="1">
        <f t="shared" si="6"/>
        <v>12.011666666666624</v>
      </c>
      <c r="E7" s="2">
        <f t="shared" si="7"/>
        <v>0.98968708427323726</v>
      </c>
      <c r="F7" s="2">
        <f t="shared" si="8"/>
        <v>0.94697015501106052</v>
      </c>
      <c r="G7" s="25">
        <f t="shared" si="0"/>
        <v>2003.9971814375062</v>
      </c>
      <c r="H7" s="9">
        <f t="shared" si="9"/>
        <v>2.2742889725549547E-3</v>
      </c>
      <c r="I7" s="2">
        <f t="shared" si="1"/>
        <v>0.95683794409265699</v>
      </c>
      <c r="J7" s="2">
        <f t="shared" si="10"/>
        <v>0.9781809362754198</v>
      </c>
      <c r="K7" s="17">
        <f t="shared" si="2"/>
        <v>1402.7980270062546</v>
      </c>
      <c r="L7" s="2">
        <f t="shared" si="11"/>
        <v>7.3173083478569378E-2</v>
      </c>
      <c r="M7" s="25">
        <f t="shared" si="3"/>
        <v>1110.6781529091529</v>
      </c>
      <c r="N7" s="1">
        <f t="shared" si="12"/>
        <v>657.63838001199838</v>
      </c>
    </row>
    <row r="8" spans="1:14">
      <c r="A8" s="18">
        <v>2000</v>
      </c>
      <c r="B8" s="1">
        <f t="shared" si="4"/>
        <v>51.837999999999965</v>
      </c>
      <c r="C8" s="1">
        <f t="shared" si="5"/>
        <v>511.53799999999995</v>
      </c>
      <c r="D8" s="1">
        <f t="shared" si="6"/>
        <v>11.021111111111091</v>
      </c>
      <c r="E8" s="2">
        <f t="shared" si="7"/>
        <v>0.98624944569764972</v>
      </c>
      <c r="F8" s="2">
        <f t="shared" si="8"/>
        <v>0.92980860333951476</v>
      </c>
      <c r="G8" s="25">
        <f t="shared" si="0"/>
        <v>1967.6795625591478</v>
      </c>
      <c r="H8" s="9">
        <f t="shared" si="9"/>
        <v>2.2408564919824043E-3</v>
      </c>
      <c r="I8" s="2">
        <f t="shared" si="1"/>
        <v>0.9427722442792249</v>
      </c>
      <c r="J8" s="2">
        <f t="shared" si="10"/>
        <v>0.97096459476091346</v>
      </c>
      <c r="K8" s="17">
        <f t="shared" si="2"/>
        <v>1377.3756937914036</v>
      </c>
      <c r="L8" s="2">
        <f t="shared" si="11"/>
        <v>7.2097425230496087E-2</v>
      </c>
      <c r="M8" s="25">
        <f t="shared" si="3"/>
        <v>1108.7475268516198</v>
      </c>
      <c r="N8" s="1">
        <f t="shared" si="12"/>
        <v>656.4952461621433</v>
      </c>
    </row>
    <row r="9" spans="1:14">
      <c r="A9" s="18">
        <v>2500</v>
      </c>
      <c r="B9" s="1">
        <f t="shared" si="4"/>
        <v>50.05499999999995</v>
      </c>
      <c r="C9" s="1">
        <f t="shared" si="5"/>
        <v>509.75499999999994</v>
      </c>
      <c r="D9" s="1">
        <f t="shared" si="6"/>
        <v>10.030555555555528</v>
      </c>
      <c r="E9" s="2">
        <f t="shared" si="7"/>
        <v>0.98281180712206218</v>
      </c>
      <c r="F9" s="2">
        <f t="shared" si="8"/>
        <v>0.91289976532931216</v>
      </c>
      <c r="G9" s="25">
        <f t="shared" si="0"/>
        <v>1931.8967413851967</v>
      </c>
      <c r="H9" s="9">
        <f t="shared" si="9"/>
        <v>2.2078013089503377E-3</v>
      </c>
      <c r="I9" s="2">
        <f t="shared" si="1"/>
        <v>0.92886528093565413</v>
      </c>
      <c r="J9" s="2">
        <f t="shared" si="10"/>
        <v>0.96377657210354217</v>
      </c>
      <c r="K9" s="17">
        <f t="shared" si="2"/>
        <v>1352.327718969638</v>
      </c>
      <c r="L9" s="2">
        <f t="shared" si="11"/>
        <v>7.103390617175151E-2</v>
      </c>
      <c r="M9" s="25">
        <f t="shared" si="3"/>
        <v>1106.8135331886215</v>
      </c>
      <c r="N9" s="1">
        <f t="shared" si="12"/>
        <v>655.35011833536794</v>
      </c>
    </row>
    <row r="10" spans="1:14">
      <c r="A10" s="18">
        <v>3000</v>
      </c>
      <c r="B10" s="1">
        <f t="shared" si="4"/>
        <v>48.271999999999991</v>
      </c>
      <c r="C10" s="1">
        <f t="shared" si="5"/>
        <v>507.97199999999998</v>
      </c>
      <c r="D10" s="1">
        <f t="shared" si="6"/>
        <v>9.0399999999999956</v>
      </c>
      <c r="E10" s="2">
        <f t="shared" si="7"/>
        <v>0.97937416854647463</v>
      </c>
      <c r="F10" s="2">
        <f t="shared" si="8"/>
        <v>0.89624078407183883</v>
      </c>
      <c r="G10" s="25">
        <f t="shared" si="0"/>
        <v>1896.6426720685065</v>
      </c>
      <c r="H10" s="9">
        <f t="shared" si="9"/>
        <v>2.1751204629036369E-3</v>
      </c>
      <c r="I10" s="2">
        <f t="shared" si="1"/>
        <v>0.91511580849838303</v>
      </c>
      <c r="J10" s="2">
        <f t="shared" si="10"/>
        <v>0.95661685564199794</v>
      </c>
      <c r="K10" s="17">
        <f t="shared" si="2"/>
        <v>1327.6498704479548</v>
      </c>
      <c r="L10" s="2">
        <f t="shared" si="11"/>
        <v>6.9982431049292013E-2</v>
      </c>
      <c r="M10" s="25">
        <f t="shared" si="3"/>
        <v>1104.8761542360191</v>
      </c>
      <c r="N10" s="1">
        <f t="shared" si="12"/>
        <v>654.20298606080075</v>
      </c>
    </row>
    <row r="11" spans="1:14">
      <c r="A11" s="18">
        <v>3500</v>
      </c>
      <c r="B11" s="1">
        <f t="shared" si="4"/>
        <v>46.488999999999976</v>
      </c>
      <c r="C11" s="1">
        <f t="shared" si="5"/>
        <v>506.18899999999996</v>
      </c>
      <c r="D11" s="1">
        <f t="shared" si="6"/>
        <v>8.0494444444444309</v>
      </c>
      <c r="E11" s="2">
        <f t="shared" si="7"/>
        <v>0.97593652997088709</v>
      </c>
      <c r="F11" s="2">
        <f t="shared" si="8"/>
        <v>0.87982882511491778</v>
      </c>
      <c r="G11" s="25">
        <f t="shared" si="0"/>
        <v>1861.9113562846912</v>
      </c>
      <c r="H11" s="9">
        <f t="shared" si="9"/>
        <v>2.1428110062664931E-3</v>
      </c>
      <c r="I11" s="2">
        <f t="shared" si="1"/>
        <v>0.90152258686450004</v>
      </c>
      <c r="J11" s="2">
        <f t="shared" si="10"/>
        <v>0.9494854326762997</v>
      </c>
      <c r="K11" s="17">
        <f t="shared" si="2"/>
        <v>1303.3379493992838</v>
      </c>
      <c r="L11" s="2">
        <f t="shared" si="11"/>
        <v>6.894290502767085E-2</v>
      </c>
      <c r="M11" s="25">
        <f t="shared" si="3"/>
        <v>1102.9353721543578</v>
      </c>
      <c r="N11" s="1">
        <f t="shared" si="12"/>
        <v>653.05383877560655</v>
      </c>
    </row>
    <row r="12" spans="1:14">
      <c r="A12" s="18">
        <v>4000</v>
      </c>
      <c r="B12" s="1">
        <f t="shared" si="4"/>
        <v>44.70599999999996</v>
      </c>
      <c r="C12" s="1">
        <f t="shared" si="5"/>
        <v>504.40599999999995</v>
      </c>
      <c r="D12" s="1">
        <f t="shared" si="6"/>
        <v>7.058888888888867</v>
      </c>
      <c r="E12" s="2">
        <f t="shared" si="7"/>
        <v>0.97249889139529955</v>
      </c>
      <c r="F12" s="2">
        <f t="shared" si="8"/>
        <v>0.86366107636418576</v>
      </c>
      <c r="G12" s="25">
        <f t="shared" si="0"/>
        <v>1827.6968430234169</v>
      </c>
      <c r="H12" s="9">
        <f t="shared" si="9"/>
        <v>2.1108700044307608E-3</v>
      </c>
      <c r="I12" s="2">
        <f t="shared" si="1"/>
        <v>0.88808438138684354</v>
      </c>
      <c r="J12" s="2">
        <f t="shared" si="10"/>
        <v>0.94238229046753819</v>
      </c>
      <c r="K12" s="17">
        <f t="shared" si="2"/>
        <v>1279.3877901163921</v>
      </c>
      <c r="L12" s="2">
        <f t="shared" si="11"/>
        <v>6.7915233688663507E-2</v>
      </c>
      <c r="M12" s="25">
        <f t="shared" si="3"/>
        <v>1100.9911689469482</v>
      </c>
      <c r="N12" s="1">
        <f t="shared" si="12"/>
        <v>651.90266582385084</v>
      </c>
    </row>
    <row r="13" spans="1:14">
      <c r="A13" s="18">
        <v>4500</v>
      </c>
      <c r="B13" s="1">
        <f t="shared" si="4"/>
        <v>42.922999999999945</v>
      </c>
      <c r="C13" s="1">
        <f t="shared" si="5"/>
        <v>502.62299999999993</v>
      </c>
      <c r="D13" s="1">
        <f t="shared" si="6"/>
        <v>6.0683333333333032</v>
      </c>
      <c r="E13" s="2">
        <f t="shared" si="7"/>
        <v>0.96906125281971189</v>
      </c>
      <c r="F13" s="2">
        <f t="shared" si="8"/>
        <v>0.84773474798455872</v>
      </c>
      <c r="G13" s="25">
        <f t="shared" si="0"/>
        <v>1793.9932283798828</v>
      </c>
      <c r="H13" s="9">
        <f t="shared" si="9"/>
        <v>2.0792945357442846E-3</v>
      </c>
      <c r="I13" s="2">
        <f t="shared" si="1"/>
        <v>0.8747999628690909</v>
      </c>
      <c r="J13" s="2">
        <f t="shared" si="10"/>
        <v>0.93530741623761915</v>
      </c>
      <c r="K13" s="17">
        <f t="shared" si="2"/>
        <v>1255.7952598659181</v>
      </c>
      <c r="L13" s="2">
        <f t="shared" si="11"/>
        <v>6.6899323030892133E-2</v>
      </c>
      <c r="M13" s="25">
        <f t="shared" si="3"/>
        <v>1099.0435264579212</v>
      </c>
      <c r="N13" s="1">
        <f t="shared" si="12"/>
        <v>650.74945645534797</v>
      </c>
    </row>
    <row r="14" spans="1:14">
      <c r="A14" s="18">
        <v>5000</v>
      </c>
      <c r="B14" s="1">
        <f t="shared" si="4"/>
        <v>41.139999999999986</v>
      </c>
      <c r="C14" s="1">
        <f t="shared" si="5"/>
        <v>500.84</v>
      </c>
      <c r="D14" s="1">
        <f t="shared" si="6"/>
        <v>5.0777777777777704</v>
      </c>
      <c r="E14" s="2">
        <f t="shared" si="7"/>
        <v>0.96562361424412446</v>
      </c>
      <c r="F14" s="2">
        <f t="shared" si="8"/>
        <v>0.83204707230178909</v>
      </c>
      <c r="G14" s="25">
        <f t="shared" si="0"/>
        <v>1760.7946553464919</v>
      </c>
      <c r="H14" s="9">
        <f t="shared" si="9"/>
        <v>2.0480816914991993E-3</v>
      </c>
      <c r="I14" s="2">
        <f t="shared" si="1"/>
        <v>0.86166810756083567</v>
      </c>
      <c r="J14" s="2">
        <f t="shared" si="10"/>
        <v>0.92826079716900445</v>
      </c>
      <c r="K14" s="17">
        <f t="shared" si="2"/>
        <v>1232.5562587425445</v>
      </c>
      <c r="L14" s="2">
        <f t="shared" si="11"/>
        <v>6.58950794694491E-2</v>
      </c>
      <c r="M14" s="25">
        <f t="shared" si="3"/>
        <v>1097.0924263702484</v>
      </c>
      <c r="N14" s="1">
        <f t="shared" si="12"/>
        <v>649.59419982448912</v>
      </c>
    </row>
    <row r="15" spans="1:14">
      <c r="A15" s="18">
        <v>5500</v>
      </c>
      <c r="B15" s="1">
        <f t="shared" si="4"/>
        <v>39.356999999999971</v>
      </c>
      <c r="C15" s="1">
        <f t="shared" si="5"/>
        <v>499.05699999999996</v>
      </c>
      <c r="D15" s="1">
        <f t="shared" si="6"/>
        <v>4.0872222222222057</v>
      </c>
      <c r="E15" s="2">
        <f t="shared" si="7"/>
        <v>0.96218597566853681</v>
      </c>
      <c r="F15" s="2">
        <f t="shared" si="8"/>
        <v>0.81659530370410349</v>
      </c>
      <c r="G15" s="25">
        <f t="shared" si="0"/>
        <v>1728.0953136046978</v>
      </c>
      <c r="H15" s="9">
        <f t="shared" si="9"/>
        <v>2.0172285759201781E-3</v>
      </c>
      <c r="I15" s="2">
        <f t="shared" si="1"/>
        <v>0.84868759715264463</v>
      </c>
      <c r="J15" s="2">
        <f t="shared" si="10"/>
        <v>0.92124242040444737</v>
      </c>
      <c r="K15" s="17">
        <f t="shared" si="2"/>
        <v>1209.6667195232885</v>
      </c>
      <c r="L15" s="2">
        <f t="shared" si="11"/>
        <v>6.4902409835518884E-2</v>
      </c>
      <c r="M15" s="25">
        <f t="shared" si="3"/>
        <v>1095.1378502037335</v>
      </c>
      <c r="N15" s="1">
        <f t="shared" si="12"/>
        <v>648.43688498905271</v>
      </c>
    </row>
    <row r="16" spans="1:14">
      <c r="A16" s="18">
        <v>6000</v>
      </c>
      <c r="B16" s="1">
        <f t="shared" si="4"/>
        <v>37.573999999999955</v>
      </c>
      <c r="C16" s="1">
        <f t="shared" si="5"/>
        <v>497.27399999999994</v>
      </c>
      <c r="D16" s="1">
        <f t="shared" si="6"/>
        <v>3.0966666666666418</v>
      </c>
      <c r="E16" s="2">
        <f t="shared" si="7"/>
        <v>0.95874833709294927</v>
      </c>
      <c r="F16" s="2">
        <f t="shared" si="8"/>
        <v>0.80137671854394321</v>
      </c>
      <c r="G16" s="25">
        <f t="shared" si="0"/>
        <v>1695.8894393170633</v>
      </c>
      <c r="H16" s="9">
        <f t="shared" si="9"/>
        <v>1.9867323061526858E-3</v>
      </c>
      <c r="I16" s="2">
        <f t="shared" si="1"/>
        <v>0.83585721877111419</v>
      </c>
      <c r="J16" s="2">
        <f t="shared" si="10"/>
        <v>0.91425227304673085</v>
      </c>
      <c r="K16" s="17">
        <f t="shared" si="2"/>
        <v>1187.1226075219445</v>
      </c>
      <c r="L16" s="2">
        <f t="shared" si="11"/>
        <v>6.392122137600012E-2</v>
      </c>
      <c r="M16" s="25">
        <f t="shared" si="3"/>
        <v>1093.1797793129685</v>
      </c>
      <c r="N16" s="1">
        <f t="shared" si="12"/>
        <v>647.27750090899451</v>
      </c>
    </row>
    <row r="17" spans="1:14">
      <c r="A17" s="18">
        <v>6500</v>
      </c>
      <c r="B17" s="1">
        <f t="shared" si="4"/>
        <v>35.790999999999997</v>
      </c>
      <c r="C17" s="1">
        <f t="shared" si="5"/>
        <v>495.49099999999999</v>
      </c>
      <c r="D17" s="1">
        <f t="shared" si="6"/>
        <v>2.1061111111111095</v>
      </c>
      <c r="E17" s="2">
        <f t="shared" si="7"/>
        <v>0.95531069851736172</v>
      </c>
      <c r="F17" s="2">
        <f t="shared" si="8"/>
        <v>0.78638861503978119</v>
      </c>
      <c r="G17" s="25">
        <f t="shared" si="0"/>
        <v>1664.1713149194857</v>
      </c>
      <c r="H17" s="9">
        <f t="shared" si="9"/>
        <v>1.9565900122511665E-3</v>
      </c>
      <c r="I17" s="2">
        <f t="shared" si="1"/>
        <v>0.82317576497390121</v>
      </c>
      <c r="J17" s="2">
        <f t="shared" si="10"/>
        <v>0.9072903421583971</v>
      </c>
      <c r="K17" s="17">
        <f t="shared" si="2"/>
        <v>1164.91992044364</v>
      </c>
      <c r="L17" s="2">
        <f t="shared" si="11"/>
        <v>6.2951421753125611E-2</v>
      </c>
      <c r="M17" s="25">
        <f t="shared" si="3"/>
        <v>1091.2181948852606</v>
      </c>
      <c r="N17" s="1">
        <f t="shared" si="12"/>
        <v>646.11603644522006</v>
      </c>
    </row>
    <row r="18" spans="1:14">
      <c r="A18" s="18">
        <v>7000</v>
      </c>
      <c r="B18" s="1">
        <f t="shared" si="4"/>
        <v>34.007999999999981</v>
      </c>
      <c r="C18" s="1">
        <f t="shared" si="5"/>
        <v>493.70799999999997</v>
      </c>
      <c r="D18" s="1">
        <f t="shared" si="6"/>
        <v>1.1155555555555452</v>
      </c>
      <c r="E18" s="2">
        <f t="shared" si="7"/>
        <v>0.95187305994177418</v>
      </c>
      <c r="F18" s="2">
        <f t="shared" si="8"/>
        <v>0.77162831317803682</v>
      </c>
      <c r="G18" s="25">
        <f t="shared" si="0"/>
        <v>1632.9352689136249</v>
      </c>
      <c r="H18" s="9">
        <f t="shared" si="9"/>
        <v>1.9267988371672181E-3</v>
      </c>
      <c r="I18" s="2">
        <f t="shared" si="1"/>
        <v>0.81064203374474864</v>
      </c>
      <c r="J18" s="2">
        <f t="shared" si="10"/>
        <v>0.9003566147614781</v>
      </c>
      <c r="K18" s="17">
        <f t="shared" si="2"/>
        <v>1143.0546882395377</v>
      </c>
      <c r="L18" s="2">
        <f t="shared" si="11"/>
        <v>6.1992919044081787E-2</v>
      </c>
      <c r="M18" s="25">
        <f t="shared" si="3"/>
        <v>1089.2530779385215</v>
      </c>
      <c r="N18" s="1">
        <f t="shared" si="12"/>
        <v>644.95248035833504</v>
      </c>
    </row>
    <row r="19" spans="1:14">
      <c r="A19" s="18">
        <v>7500</v>
      </c>
      <c r="B19" s="1">
        <f t="shared" si="4"/>
        <v>32.224999999999966</v>
      </c>
      <c r="C19" s="1">
        <f t="shared" si="5"/>
        <v>491.92499999999995</v>
      </c>
      <c r="D19" s="1">
        <f t="shared" si="6"/>
        <v>0.12499999999998106</v>
      </c>
      <c r="E19" s="2">
        <f t="shared" si="7"/>
        <v>0.94843542136618653</v>
      </c>
      <c r="F19" s="2">
        <f t="shared" si="8"/>
        <v>0.75709315461507787</v>
      </c>
      <c r="G19" s="25">
        <f t="shared" si="0"/>
        <v>1602.17567565952</v>
      </c>
      <c r="H19" s="9">
        <f t="shared" si="9"/>
        <v>1.897355936737732E-3</v>
      </c>
      <c r="I19" s="2">
        <f t="shared" si="1"/>
        <v>0.79825482848849416</v>
      </c>
      <c r="J19" s="2">
        <f t="shared" si="10"/>
        <v>0.89345107783722222</v>
      </c>
      <c r="K19" s="17">
        <f t="shared" si="2"/>
        <v>1121.522972961664</v>
      </c>
      <c r="L19" s="2">
        <f t="shared" si="11"/>
        <v>6.1045621740627116E-2</v>
      </c>
      <c r="M19" s="25">
        <f t="shared" si="3"/>
        <v>1087.284409319125</v>
      </c>
      <c r="N19" s="1">
        <f t="shared" si="12"/>
        <v>643.78682130737661</v>
      </c>
    </row>
    <row r="20" spans="1:14">
      <c r="A20" s="18">
        <v>8000</v>
      </c>
      <c r="B20" s="1">
        <f t="shared" si="4"/>
        <v>30.44199999999995</v>
      </c>
      <c r="C20" s="1">
        <f t="shared" si="5"/>
        <v>490.14199999999994</v>
      </c>
      <c r="D20" s="1">
        <f t="shared" si="6"/>
        <v>-0.86555555555558306</v>
      </c>
      <c r="E20" s="2">
        <f t="shared" si="7"/>
        <v>0.94499778279059898</v>
      </c>
      <c r="F20" s="2">
        <f t="shared" si="8"/>
        <v>0.74278050257931461</v>
      </c>
      <c r="G20" s="25">
        <f t="shared" si="0"/>
        <v>1571.886955168397</v>
      </c>
      <c r="H20" s="9">
        <f t="shared" si="9"/>
        <v>1.868258479673001E-3</v>
      </c>
      <c r="I20" s="2">
        <f t="shared" si="1"/>
        <v>0.78601295802606819</v>
      </c>
      <c r="J20" s="2">
        <f t="shared" si="10"/>
        <v>0.88657371832581877</v>
      </c>
      <c r="K20" s="17">
        <f t="shared" si="2"/>
        <v>1100.320868617878</v>
      </c>
      <c r="L20" s="2">
        <f t="shared" si="11"/>
        <v>6.0109438748709547E-2</v>
      </c>
      <c r="M20" s="25">
        <f t="shared" si="3"/>
        <v>1085.3121696997296</v>
      </c>
      <c r="N20" s="1">
        <f t="shared" si="12"/>
        <v>642.61904784852402</v>
      </c>
    </row>
    <row r="21" spans="1:14">
      <c r="A21" s="18">
        <v>8500</v>
      </c>
      <c r="B21" s="1">
        <f t="shared" si="4"/>
        <v>28.658999999999992</v>
      </c>
      <c r="C21" s="1">
        <f t="shared" si="5"/>
        <v>488.35899999999998</v>
      </c>
      <c r="D21" s="1">
        <f t="shared" si="6"/>
        <v>-1.8561111111111157</v>
      </c>
      <c r="E21" s="2">
        <f t="shared" si="7"/>
        <v>0.94156014421501155</v>
      </c>
      <c r="F21" s="2">
        <f t="shared" si="8"/>
        <v>0.72868774177338103</v>
      </c>
      <c r="G21" s="25">
        <f t="shared" si="0"/>
        <v>1542.0635728956643</v>
      </c>
      <c r="H21" s="9">
        <f t="shared" si="9"/>
        <v>1.8395036475447918E-3</v>
      </c>
      <c r="I21" s="2">
        <f t="shared" si="1"/>
        <v>0.77391523658947514</v>
      </c>
      <c r="J21" s="2">
        <f t="shared" si="10"/>
        <v>0.87972452312611771</v>
      </c>
      <c r="K21" s="17">
        <f t="shared" si="2"/>
        <v>1079.4445010269651</v>
      </c>
      <c r="L21" s="2">
        <f t="shared" si="11"/>
        <v>5.918427938808267E-2</v>
      </c>
      <c r="M21" s="25">
        <f t="shared" si="3"/>
        <v>1083.3363395770634</v>
      </c>
      <c r="N21" s="1">
        <f t="shared" si="12"/>
        <v>641.44914843378751</v>
      </c>
    </row>
    <row r="22" spans="1:14">
      <c r="A22" s="18">
        <v>9000</v>
      </c>
      <c r="B22" s="1">
        <f t="shared" si="4"/>
        <v>26.875999999999976</v>
      </c>
      <c r="C22" s="1">
        <f t="shared" si="5"/>
        <v>486.57599999999996</v>
      </c>
      <c r="D22" s="1">
        <f t="shared" si="6"/>
        <v>-2.84666666666668</v>
      </c>
      <c r="E22" s="2">
        <f t="shared" si="7"/>
        <v>0.9381225056394239</v>
      </c>
      <c r="F22" s="2">
        <f t="shared" si="8"/>
        <v>0.71481227827640859</v>
      </c>
      <c r="G22" s="25">
        <f t="shared" si="0"/>
        <v>1512.7000395341013</v>
      </c>
      <c r="H22" s="9">
        <f t="shared" si="9"/>
        <v>1.8110886347743854E-3</v>
      </c>
      <c r="I22" s="2">
        <f t="shared" si="1"/>
        <v>0.76196048381676207</v>
      </c>
      <c r="J22" s="2">
        <f t="shared" si="10"/>
        <v>0.87290347909534771</v>
      </c>
      <c r="K22" s="17">
        <f t="shared" si="2"/>
        <v>1058.8900276738709</v>
      </c>
      <c r="L22" s="2">
        <f t="shared" si="11"/>
        <v>5.8270053391920991E-2</v>
      </c>
      <c r="M22" s="25">
        <f t="shared" si="3"/>
        <v>1081.3568992696751</v>
      </c>
      <c r="N22" s="1">
        <f t="shared" si="12"/>
        <v>640.27711140967597</v>
      </c>
    </row>
    <row r="23" spans="1:14">
      <c r="A23" s="18">
        <v>9500</v>
      </c>
      <c r="B23" s="1">
        <f t="shared" si="4"/>
        <v>25.092999999999961</v>
      </c>
      <c r="C23" s="1">
        <f t="shared" si="5"/>
        <v>484.79299999999995</v>
      </c>
      <c r="D23" s="1">
        <f t="shared" si="6"/>
        <v>-3.8372222222222439</v>
      </c>
      <c r="E23" s="2">
        <f t="shared" si="7"/>
        <v>0.93468486706383636</v>
      </c>
      <c r="F23" s="2">
        <f t="shared" si="8"/>
        <v>0.70115153944639497</v>
      </c>
      <c r="G23" s="25">
        <f t="shared" si="0"/>
        <v>1483.7909108072499</v>
      </c>
      <c r="H23" s="9">
        <f t="shared" si="9"/>
        <v>1.7830106486205971E-3</v>
      </c>
      <c r="I23" s="2">
        <f t="shared" si="1"/>
        <v>0.75014752474697799</v>
      </c>
      <c r="J23" s="2">
        <f t="shared" si="10"/>
        <v>0.8661105730488331</v>
      </c>
      <c r="K23" s="17">
        <f t="shared" si="2"/>
        <v>1038.6536375650751</v>
      </c>
      <c r="L23" s="2">
        <f t="shared" si="11"/>
        <v>5.7366670906434478E-2</v>
      </c>
      <c r="M23" s="25">
        <f t="shared" si="3"/>
        <v>1079.3738289156458</v>
      </c>
      <c r="N23" s="1">
        <f t="shared" si="12"/>
        <v>639.10292501584286</v>
      </c>
    </row>
    <row r="24" spans="1:14">
      <c r="A24" s="18">
        <v>10000</v>
      </c>
      <c r="B24" s="1">
        <f t="shared" si="4"/>
        <v>23.310000000000002</v>
      </c>
      <c r="C24" s="1">
        <f t="shared" si="5"/>
        <v>483.01</v>
      </c>
      <c r="D24" s="1">
        <f t="shared" si="6"/>
        <v>-4.8277777777777766</v>
      </c>
      <c r="E24" s="2">
        <f t="shared" si="7"/>
        <v>0.93124722848824881</v>
      </c>
      <c r="F24" s="2">
        <f t="shared" si="8"/>
        <v>0.68770297382265655</v>
      </c>
      <c r="G24" s="25">
        <f t="shared" si="0"/>
        <v>1455.3307872629821</v>
      </c>
      <c r="H24" s="9">
        <f t="shared" si="9"/>
        <v>1.7552669091677436E-3</v>
      </c>
      <c r="I24" s="2">
        <f t="shared" si="1"/>
        <v>0.73847518981511207</v>
      </c>
      <c r="J24" s="2">
        <f t="shared" si="10"/>
        <v>0.85934579175970371</v>
      </c>
      <c r="K24" s="17">
        <f t="shared" si="2"/>
        <v>1018.7315510840876</v>
      </c>
      <c r="L24" s="2">
        <f t="shared" si="11"/>
        <v>5.647404249048138E-2</v>
      </c>
      <c r="M24" s="25">
        <f t="shared" si="3"/>
        <v>1077.3871084702648</v>
      </c>
      <c r="N24" s="1">
        <f t="shared" si="12"/>
        <v>637.9265773837094</v>
      </c>
    </row>
    <row r="25" spans="1:14">
      <c r="A25" s="18">
        <v>10500</v>
      </c>
      <c r="B25" s="1">
        <f t="shared" si="4"/>
        <v>21.526999999999987</v>
      </c>
      <c r="C25" s="1">
        <f t="shared" si="5"/>
        <v>481.22699999999998</v>
      </c>
      <c r="D25" s="1">
        <f t="shared" si="6"/>
        <v>-5.8183333333333405</v>
      </c>
      <c r="E25" s="2">
        <f t="shared" si="7"/>
        <v>0.92780958991266127</v>
      </c>
      <c r="F25" s="2">
        <f t="shared" si="8"/>
        <v>0.67446405102837792</v>
      </c>
      <c r="G25" s="25">
        <f t="shared" si="0"/>
        <v>1427.3143140672737</v>
      </c>
      <c r="H25" s="9">
        <f t="shared" si="9"/>
        <v>1.7278546493135942E-3</v>
      </c>
      <c r="I25" s="2">
        <f t="shared" si="1"/>
        <v>0.72694231484702387</v>
      </c>
      <c r="J25" s="2">
        <f t="shared" si="10"/>
        <v>0.85260912195860528</v>
      </c>
      <c r="K25" s="17">
        <f t="shared" si="2"/>
        <v>999.12001984709173</v>
      </c>
      <c r="L25" s="2">
        <f t="shared" si="11"/>
        <v>5.5592079115180604E-2</v>
      </c>
      <c r="M25" s="25">
        <f t="shared" si="3"/>
        <v>1075.3967177036639</v>
      </c>
      <c r="N25" s="1">
        <f t="shared" si="12"/>
        <v>636.74805653506405</v>
      </c>
    </row>
    <row r="26" spans="1:14">
      <c r="A26" s="18">
        <v>11000</v>
      </c>
      <c r="B26" s="1">
        <f t="shared" si="4"/>
        <v>19.743999999999971</v>
      </c>
      <c r="C26" s="1">
        <f t="shared" si="5"/>
        <v>479.44399999999996</v>
      </c>
      <c r="D26" s="1">
        <f t="shared" si="6"/>
        <v>-6.8088888888889052</v>
      </c>
      <c r="E26" s="2">
        <f t="shared" si="7"/>
        <v>0.92437195133707362</v>
      </c>
      <c r="F26" s="2">
        <f t="shared" si="8"/>
        <v>0.66143226167325098</v>
      </c>
      <c r="G26" s="25">
        <f t="shared" si="0"/>
        <v>1399.736180798167</v>
      </c>
      <c r="H26" s="9">
        <f t="shared" si="9"/>
        <v>1.7007711147572799E-3</v>
      </c>
      <c r="I26" s="2">
        <f t="shared" si="1"/>
        <v>0.71554774105435692</v>
      </c>
      <c r="J26" s="2">
        <f t="shared" si="10"/>
        <v>0.84590055033340472</v>
      </c>
      <c r="K26" s="17">
        <f t="shared" si="2"/>
        <v>979.81532655871706</v>
      </c>
      <c r="L26" s="2">
        <f t="shared" si="11"/>
        <v>5.4720692163522669E-2</v>
      </c>
      <c r="M26" s="25">
        <f t="shared" si="3"/>
        <v>1073.4026361984163</v>
      </c>
      <c r="N26" s="1">
        <f t="shared" si="12"/>
        <v>635.56735038064119</v>
      </c>
    </row>
    <row r="27" spans="1:14">
      <c r="A27" s="18">
        <v>11500</v>
      </c>
      <c r="B27" s="1">
        <f t="shared" si="4"/>
        <v>17.960999999999956</v>
      </c>
      <c r="C27" s="1">
        <f t="shared" si="5"/>
        <v>477.66099999999994</v>
      </c>
      <c r="D27" s="1">
        <f t="shared" si="6"/>
        <v>-7.799444444444469</v>
      </c>
      <c r="E27" s="2">
        <f t="shared" si="7"/>
        <v>0.92093431276148607</v>
      </c>
      <c r="F27" s="2">
        <f t="shared" si="8"/>
        <v>0.64860511725620806</v>
      </c>
      <c r="G27" s="25">
        <f t="shared" si="0"/>
        <v>1372.5911212399326</v>
      </c>
      <c r="H27" s="9">
        <f t="shared" si="9"/>
        <v>1.674013563987176E-3</v>
      </c>
      <c r="I27" s="2">
        <f t="shared" si="1"/>
        <v>0.70429031502944028</v>
      </c>
      <c r="J27" s="2">
        <f t="shared" si="10"/>
        <v>0.83922006352889367</v>
      </c>
      <c r="K27" s="17">
        <f t="shared" si="2"/>
        <v>960.8137848679529</v>
      </c>
      <c r="L27" s="2">
        <f t="shared" si="11"/>
        <v>5.3859793429979895E-2</v>
      </c>
      <c r="M27" s="25">
        <f t="shared" si="3"/>
        <v>1071.4048433470914</v>
      </c>
      <c r="N27" s="1">
        <f t="shared" si="12"/>
        <v>634.38444671867251</v>
      </c>
    </row>
    <row r="28" spans="1:14">
      <c r="A28" s="18">
        <v>12000</v>
      </c>
      <c r="B28" s="1">
        <f t="shared" si="4"/>
        <v>16.17799999999994</v>
      </c>
      <c r="C28" s="1">
        <f t="shared" si="5"/>
        <v>475.87799999999993</v>
      </c>
      <c r="D28" s="1">
        <f t="shared" si="6"/>
        <v>-8.7900000000000329</v>
      </c>
      <c r="E28" s="2">
        <f t="shared" si="7"/>
        <v>0.91749667418589853</v>
      </c>
      <c r="F28" s="2">
        <f t="shared" si="8"/>
        <v>0.63598015006824382</v>
      </c>
      <c r="G28" s="25">
        <f t="shared" si="0"/>
        <v>1345.8739131774189</v>
      </c>
      <c r="H28" s="9">
        <f t="shared" si="9"/>
        <v>1.6475792682687424E-3</v>
      </c>
      <c r="I28" s="2">
        <f t="shared" si="1"/>
        <v>0.69316888874017302</v>
      </c>
      <c r="J28" s="2">
        <f t="shared" si="10"/>
        <v>0.83256764814648732</v>
      </c>
      <c r="K28" s="17">
        <f t="shared" si="2"/>
        <v>942.11173922419323</v>
      </c>
      <c r="L28" s="2">
        <f t="shared" si="11"/>
        <v>5.3009295120115096E-2</v>
      </c>
      <c r="M28" s="25">
        <f t="shared" si="3"/>
        <v>1069.4033183497709</v>
      </c>
      <c r="N28" s="1">
        <f t="shared" si="12"/>
        <v>633.19933323341695</v>
      </c>
    </row>
    <row r="29" spans="1:14">
      <c r="A29" s="18">
        <v>12500</v>
      </c>
      <c r="B29" s="1">
        <f t="shared" si="4"/>
        <v>14.394999999999982</v>
      </c>
      <c r="C29" s="1">
        <f t="shared" si="5"/>
        <v>474.09499999999997</v>
      </c>
      <c r="D29" s="1">
        <f t="shared" si="6"/>
        <v>-9.7805555555555657</v>
      </c>
      <c r="E29" s="2">
        <f t="shared" si="7"/>
        <v>0.91405903561031099</v>
      </c>
      <c r="F29" s="2">
        <f t="shared" si="8"/>
        <v>0.62355491309533273</v>
      </c>
      <c r="G29" s="25">
        <f t="shared" si="0"/>
        <v>1319.579378190605</v>
      </c>
      <c r="H29" s="9">
        <f t="shared" si="9"/>
        <v>1.6214655116323382E-3</v>
      </c>
      <c r="I29" s="2">
        <f t="shared" si="1"/>
        <v>0.68218231952489738</v>
      </c>
      <c r="J29" s="2">
        <f t="shared" si="10"/>
        <v>0.82594329074392114</v>
      </c>
      <c r="K29" s="17">
        <f t="shared" si="2"/>
        <v>923.70556473342356</v>
      </c>
      <c r="L29" s="2">
        <f t="shared" si="11"/>
        <v>5.2169109850189604E-2</v>
      </c>
      <c r="M29" s="25">
        <f t="shared" si="3"/>
        <v>1067.3980402115217</v>
      </c>
      <c r="N29" s="1">
        <f t="shared" si="12"/>
        <v>632.01199749366413</v>
      </c>
    </row>
    <row r="30" spans="1:14">
      <c r="A30" s="18">
        <v>13000</v>
      </c>
      <c r="B30" s="1">
        <f t="shared" si="4"/>
        <v>12.611999999999966</v>
      </c>
      <c r="C30" s="1">
        <f t="shared" si="5"/>
        <v>472.31199999999995</v>
      </c>
      <c r="D30" s="1">
        <f t="shared" si="6"/>
        <v>-10.77111111111113</v>
      </c>
      <c r="E30" s="2">
        <f t="shared" si="7"/>
        <v>0.91062139703472345</v>
      </c>
      <c r="F30" s="2">
        <f t="shared" si="8"/>
        <v>0.61132697992143814</v>
      </c>
      <c r="G30" s="25">
        <f t="shared" si="0"/>
        <v>1293.7023814493457</v>
      </c>
      <c r="H30" s="9">
        <f t="shared" si="9"/>
        <v>1.5956695908609982E-3</v>
      </c>
      <c r="I30" s="2">
        <f t="shared" si="1"/>
        <v>0.67132947008725652</v>
      </c>
      <c r="J30" s="2">
        <f t="shared" si="10"/>
        <v>0.81934697783494415</v>
      </c>
      <c r="K30" s="17">
        <f t="shared" si="2"/>
        <v>905.59166701454205</v>
      </c>
      <c r="L30" s="2">
        <f t="shared" si="11"/>
        <v>5.133915064676995E-2</v>
      </c>
      <c r="M30" s="25">
        <f t="shared" si="3"/>
        <v>1065.3889877398271</v>
      </c>
      <c r="N30" s="1">
        <f t="shared" si="12"/>
        <v>630.8224269512134</v>
      </c>
    </row>
    <row r="31" spans="1:14">
      <c r="A31" s="18">
        <v>13500</v>
      </c>
      <c r="B31" s="1">
        <f t="shared" si="4"/>
        <v>10.828999999999951</v>
      </c>
      <c r="C31" s="1">
        <f t="shared" si="5"/>
        <v>470.52899999999994</v>
      </c>
      <c r="D31" s="1">
        <f t="shared" si="6"/>
        <v>-11.761666666666693</v>
      </c>
      <c r="E31" s="2">
        <f t="shared" si="7"/>
        <v>0.90718375845913579</v>
      </c>
      <c r="F31" s="2">
        <f t="shared" si="8"/>
        <v>0.59929394463161456</v>
      </c>
      <c r="G31" s="25">
        <f t="shared" si="0"/>
        <v>1268.2378315083151</v>
      </c>
      <c r="H31" s="9">
        <f t="shared" si="9"/>
        <v>1.5701888154781782E-3</v>
      </c>
      <c r="I31" s="2">
        <f t="shared" si="1"/>
        <v>0.66060920849103788</v>
      </c>
      <c r="J31" s="2">
        <f t="shared" si="10"/>
        <v>0.81277869588900886</v>
      </c>
      <c r="K31" s="17">
        <f t="shared" si="2"/>
        <v>887.7664820558208</v>
      </c>
      <c r="L31" s="2">
        <f t="shared" si="11"/>
        <v>5.0519330946333568E-2</v>
      </c>
      <c r="M31" s="25">
        <f t="shared" si="3"/>
        <v>1063.3761395419726</v>
      </c>
      <c r="N31" s="1">
        <f t="shared" si="12"/>
        <v>629.63060893932584</v>
      </c>
    </row>
    <row r="32" spans="1:14">
      <c r="A32" s="18">
        <v>14000</v>
      </c>
      <c r="B32" s="1">
        <f t="shared" si="4"/>
        <v>9.0459999999999923</v>
      </c>
      <c r="C32" s="1">
        <f t="shared" si="5"/>
        <v>468.74599999999998</v>
      </c>
      <c r="D32" s="1">
        <f t="shared" si="6"/>
        <v>-12.752222222222226</v>
      </c>
      <c r="E32" s="2">
        <f t="shared" si="7"/>
        <v>0.90374611988354836</v>
      </c>
      <c r="F32" s="2">
        <f t="shared" si="8"/>
        <v>0.58745342171520454</v>
      </c>
      <c r="G32" s="25">
        <f t="shared" si="0"/>
        <v>1243.1806801021501</v>
      </c>
      <c r="H32" s="9">
        <f t="shared" si="9"/>
        <v>1.5450205077354639E-3</v>
      </c>
      <c r="I32" s="2">
        <f t="shared" si="1"/>
        <v>0.65002040815500317</v>
      </c>
      <c r="J32" s="2">
        <f t="shared" si="10"/>
        <v>0.80623843133095752</v>
      </c>
      <c r="K32" s="17">
        <f t="shared" si="2"/>
        <v>870.22647607150509</v>
      </c>
      <c r="L32" s="2">
        <f t="shared" si="11"/>
        <v>4.9709564594873384E-2</v>
      </c>
      <c r="M32" s="25">
        <f t="shared" si="3"/>
        <v>1061.3594740223903</v>
      </c>
      <c r="N32" s="1">
        <f t="shared" si="12"/>
        <v>628.43653067115213</v>
      </c>
    </row>
    <row r="33" spans="1:14">
      <c r="A33" s="18">
        <v>14500</v>
      </c>
      <c r="B33" s="1">
        <f t="shared" si="4"/>
        <v>7.2629999999999768</v>
      </c>
      <c r="C33" s="1">
        <f t="shared" si="5"/>
        <v>466.96299999999997</v>
      </c>
      <c r="D33" s="1">
        <f t="shared" si="6"/>
        <v>-13.742777777777791</v>
      </c>
      <c r="E33" s="2">
        <f t="shared" si="7"/>
        <v>0.90030848130796071</v>
      </c>
      <c r="F33" s="2">
        <f t="shared" si="8"/>
        <v>0.57580304596912402</v>
      </c>
      <c r="G33" s="25">
        <f t="shared" si="0"/>
        <v>1218.5259219407794</v>
      </c>
      <c r="H33" s="9">
        <f t="shared" si="9"/>
        <v>1.5201620026002412E-3</v>
      </c>
      <c r="I33" s="2">
        <f t="shared" si="1"/>
        <v>0.63956194784770004</v>
      </c>
      <c r="J33" s="2">
        <f t="shared" si="10"/>
        <v>0.7997261705407045</v>
      </c>
      <c r="K33" s="17">
        <f t="shared" si="2"/>
        <v>852.96814535854571</v>
      </c>
      <c r="L33" s="2">
        <f t="shared" si="11"/>
        <v>4.8909765847501084E-2</v>
      </c>
      <c r="M33" s="25">
        <f t="shared" si="3"/>
        <v>1059.3389693799529</v>
      </c>
      <c r="N33" s="1">
        <f t="shared" si="12"/>
        <v>627.24017923812994</v>
      </c>
    </row>
    <row r="34" spans="1:14">
      <c r="A34" s="18">
        <v>15000</v>
      </c>
      <c r="B34" s="1">
        <f t="shared" si="4"/>
        <v>5.4799999999999613</v>
      </c>
      <c r="C34" s="1">
        <f t="shared" si="5"/>
        <v>465.17999999999995</v>
      </c>
      <c r="D34" s="1">
        <f t="shared" si="6"/>
        <v>-14.733333333333356</v>
      </c>
      <c r="E34" s="2">
        <f t="shared" si="7"/>
        <v>0.89687084273237316</v>
      </c>
      <c r="F34" s="2">
        <f t="shared" si="8"/>
        <v>0.5643404724012504</v>
      </c>
      <c r="G34" s="25">
        <f t="shared" si="0"/>
        <v>1194.2685945049741</v>
      </c>
      <c r="H34" s="9">
        <f t="shared" si="9"/>
        <v>1.4956106477433447E-3</v>
      </c>
      <c r="I34" s="2">
        <f t="shared" si="1"/>
        <v>0.62923271168226613</v>
      </c>
      <c r="J34" s="2">
        <f t="shared" si="10"/>
        <v>0.7932418998529176</v>
      </c>
      <c r="K34" s="17">
        <f t="shared" si="2"/>
        <v>835.98801615348191</v>
      </c>
      <c r="L34" s="2">
        <f t="shared" si="11"/>
        <v>4.8119849368049722E-2</v>
      </c>
      <c r="M34" s="25">
        <f t="shared" si="3"/>
        <v>1057.3146036052262</v>
      </c>
      <c r="N34" s="1">
        <f t="shared" si="12"/>
        <v>626.04154160835765</v>
      </c>
    </row>
    <row r="35" spans="1:14">
      <c r="A35" s="18">
        <v>15500</v>
      </c>
      <c r="B35" s="1">
        <f t="shared" si="4"/>
        <v>3.6969999999999459</v>
      </c>
      <c r="C35" s="1">
        <f t="shared" si="5"/>
        <v>463.39699999999993</v>
      </c>
      <c r="D35" s="1">
        <f t="shared" si="6"/>
        <v>-15.723888888888919</v>
      </c>
      <c r="E35" s="2">
        <f t="shared" si="7"/>
        <v>0.89343320415678562</v>
      </c>
      <c r="F35" s="2">
        <f t="shared" si="8"/>
        <v>0.55306337613389556</v>
      </c>
      <c r="G35" s="25">
        <f t="shared" si="0"/>
        <v>1170.4037778420723</v>
      </c>
      <c r="H35" s="9">
        <f t="shared" si="9"/>
        <v>1.4713638035266539E-3</v>
      </c>
      <c r="I35" s="2">
        <f t="shared" si="1"/>
        <v>0.61903158911121048</v>
      </c>
      <c r="J35" s="2">
        <f t="shared" si="10"/>
        <v>0.78678560555669197</v>
      </c>
      <c r="K35" s="17">
        <f t="shared" si="2"/>
        <v>819.28264448945072</v>
      </c>
      <c r="L35" s="2">
        <f t="shared" si="11"/>
        <v>4.7339730228674645E-2</v>
      </c>
      <c r="M35" s="25">
        <f t="shared" si="3"/>
        <v>1055.286354477671</v>
      </c>
      <c r="N35" s="1">
        <f t="shared" si="12"/>
        <v>624.84060462493676</v>
      </c>
    </row>
    <row r="36" spans="1:14">
      <c r="A36" s="18">
        <v>16000</v>
      </c>
      <c r="B36" s="1">
        <f t="shared" si="4"/>
        <v>1.9139999999999873</v>
      </c>
      <c r="C36" s="1">
        <f t="shared" si="5"/>
        <v>461.61399999999998</v>
      </c>
      <c r="D36" s="1">
        <f t="shared" si="6"/>
        <v>-16.714444444444453</v>
      </c>
      <c r="E36" s="2">
        <f t="shared" si="7"/>
        <v>0.88999556558119808</v>
      </c>
      <c r="F36" s="2">
        <f t="shared" si="8"/>
        <v>0.54196945230737947</v>
      </c>
      <c r="G36" s="25">
        <f t="shared" ref="G36:G67" si="13">F36*2116.22</f>
        <v>1146.9265943619225</v>
      </c>
      <c r="H36" s="9">
        <f t="shared" si="9"/>
        <v>1.4474188429906695E-3</v>
      </c>
      <c r="I36" s="2">
        <f t="shared" ref="I36:I67" si="14">F36/E36</f>
        <v>0.60895747492118635</v>
      </c>
      <c r="J36" s="2">
        <f t="shared" si="10"/>
        <v>0.78035727389522447</v>
      </c>
      <c r="K36" s="17">
        <f t="shared" ref="K36:K67" si="15">F36*1481.354</f>
        <v>802.84861605334584</v>
      </c>
      <c r="L36" s="2">
        <f t="shared" si="11"/>
        <v>4.6569323909453793E-2</v>
      </c>
      <c r="M36" s="25">
        <f t="shared" ref="M36:M67" si="16">1116.45*SQRT(E36)</f>
        <v>1053.2541995627971</v>
      </c>
      <c r="N36" s="1">
        <f t="shared" si="12"/>
        <v>623.63735500428777</v>
      </c>
    </row>
    <row r="37" spans="1:14">
      <c r="A37" s="18">
        <v>16500</v>
      </c>
      <c r="B37" s="1">
        <f t="shared" si="4"/>
        <v>0.13099999999997181</v>
      </c>
      <c r="C37" s="1">
        <f t="shared" si="5"/>
        <v>459.83099999999996</v>
      </c>
      <c r="D37" s="1">
        <f t="shared" si="6"/>
        <v>-17.705000000000016</v>
      </c>
      <c r="E37" s="2">
        <f t="shared" si="7"/>
        <v>0.88655792700561054</v>
      </c>
      <c r="F37" s="2">
        <f t="shared" si="8"/>
        <v>0.53105641598369491</v>
      </c>
      <c r="G37" s="25">
        <f t="shared" si="13"/>
        <v>1123.8322086330147</v>
      </c>
      <c r="H37" s="9">
        <f t="shared" si="9"/>
        <v>1.4237731518420415E-3</v>
      </c>
      <c r="I37" s="2">
        <f t="shared" si="14"/>
        <v>0.59900926922774456</v>
      </c>
      <c r="J37" s="2">
        <f t="shared" si="10"/>
        <v>0.77395689106548082</v>
      </c>
      <c r="K37" s="17">
        <f t="shared" si="15"/>
        <v>786.68254604311039</v>
      </c>
      <c r="L37" s="2">
        <f t="shared" si="11"/>
        <v>4.5808546297986384E-2</v>
      </c>
      <c r="M37" s="25">
        <f t="shared" si="16"/>
        <v>1051.2181162092691</v>
      </c>
      <c r="N37" s="1">
        <f t="shared" si="12"/>
        <v>622.43177933443553</v>
      </c>
    </row>
    <row r="38" spans="1:14">
      <c r="A38" s="18">
        <v>17000</v>
      </c>
      <c r="B38" s="1">
        <f t="shared" si="4"/>
        <v>-1.6520000000000437</v>
      </c>
      <c r="C38" s="1">
        <f t="shared" si="5"/>
        <v>458.04799999999994</v>
      </c>
      <c r="D38" s="1">
        <f t="shared" si="6"/>
        <v>-18.695555555555579</v>
      </c>
      <c r="E38" s="2">
        <f t="shared" si="7"/>
        <v>0.88312028843002288</v>
      </c>
      <c r="F38" s="2">
        <f t="shared" si="8"/>
        <v>0.52032200205026935</v>
      </c>
      <c r="G38" s="25">
        <f t="shared" si="13"/>
        <v>1101.1158271788208</v>
      </c>
      <c r="H38" s="9">
        <f t="shared" si="9"/>
        <v>1.4004241284410735E-3</v>
      </c>
      <c r="I38" s="2">
        <f t="shared" si="14"/>
        <v>0.58918587747007567</v>
      </c>
      <c r="J38" s="2">
        <f t="shared" si="10"/>
        <v>0.76758444321786234</v>
      </c>
      <c r="K38" s="17">
        <f t="shared" si="15"/>
        <v>770.78107902517468</v>
      </c>
      <c r="L38" s="2">
        <f t="shared" si="11"/>
        <v>4.5057313688990908E-2</v>
      </c>
      <c r="M38" s="25">
        <f t="shared" si="16"/>
        <v>1049.1780815459595</v>
      </c>
      <c r="N38" s="1">
        <f t="shared" si="12"/>
        <v>621.22386407326542</v>
      </c>
    </row>
    <row r="39" spans="1:14">
      <c r="A39" s="18">
        <v>17500</v>
      </c>
      <c r="B39" s="1">
        <f t="shared" si="4"/>
        <v>-3.4350000000000023</v>
      </c>
      <c r="C39" s="1">
        <f t="shared" si="5"/>
        <v>456.26499999999999</v>
      </c>
      <c r="D39" s="1">
        <f t="shared" si="6"/>
        <v>-19.686111111111114</v>
      </c>
      <c r="E39" s="2">
        <f t="shared" si="7"/>
        <v>0.87968264985443545</v>
      </c>
      <c r="F39" s="2">
        <f t="shared" si="8"/>
        <v>0.50976396512382183</v>
      </c>
      <c r="G39" s="25">
        <f t="shared" si="13"/>
        <v>1078.7726982743341</v>
      </c>
      <c r="H39" s="9">
        <f t="shared" si="9"/>
        <v>1.3773691837891831E-3</v>
      </c>
      <c r="I39" s="2">
        <f t="shared" si="14"/>
        <v>0.57948621040573489</v>
      </c>
      <c r="J39" s="2">
        <f t="shared" si="10"/>
        <v>0.76123991645586664</v>
      </c>
      <c r="K39" s="17">
        <f t="shared" si="15"/>
        <v>755.14088879203393</v>
      </c>
      <c r="L39" s="2">
        <f t="shared" si="11"/>
        <v>4.4315542783901665E-2</v>
      </c>
      <c r="M39" s="25">
        <f t="shared" si="16"/>
        <v>1047.1340724789525</v>
      </c>
      <c r="N39" s="1">
        <f t="shared" si="12"/>
        <v>620.01359554674809</v>
      </c>
    </row>
    <row r="40" spans="1:14">
      <c r="A40" s="18">
        <v>18000</v>
      </c>
      <c r="B40" s="1">
        <f t="shared" si="4"/>
        <v>-5.2180000000000177</v>
      </c>
      <c r="C40" s="1">
        <f t="shared" si="5"/>
        <v>454.48199999999997</v>
      </c>
      <c r="D40" s="1">
        <f t="shared" si="6"/>
        <v>-20.676666666666677</v>
      </c>
      <c r="E40" s="2">
        <f t="shared" si="7"/>
        <v>0.8762450112788478</v>
      </c>
      <c r="F40" s="2">
        <f t="shared" si="8"/>
        <v>0.49938007945431134</v>
      </c>
      <c r="G40" s="25">
        <f t="shared" si="13"/>
        <v>1056.7981117428026</v>
      </c>
      <c r="H40" s="9">
        <f t="shared" si="9"/>
        <v>1.3546057415163243E-3</v>
      </c>
      <c r="I40" s="2">
        <f t="shared" si="14"/>
        <v>0.56990918410534996</v>
      </c>
      <c r="J40" s="2">
        <f t="shared" si="10"/>
        <v>0.75492329683574477</v>
      </c>
      <c r="K40" s="17">
        <f t="shared" si="15"/>
        <v>739.75867821996189</v>
      </c>
      <c r="L40" s="2">
        <f t="shared" si="11"/>
        <v>4.3583150690464104E-2</v>
      </c>
      <c r="M40" s="25">
        <f t="shared" si="16"/>
        <v>1045.0860656884925</v>
      </c>
      <c r="N40" s="1">
        <f t="shared" si="12"/>
        <v>618.80095994713361</v>
      </c>
    </row>
    <row r="41" spans="1:14">
      <c r="A41" s="18">
        <v>18500</v>
      </c>
      <c r="B41" s="1">
        <f t="shared" si="4"/>
        <v>-7.0010000000000332</v>
      </c>
      <c r="C41" s="1">
        <f t="shared" si="5"/>
        <v>452.69899999999996</v>
      </c>
      <c r="D41" s="1">
        <f t="shared" si="6"/>
        <v>-21.667222222222239</v>
      </c>
      <c r="E41" s="2">
        <f t="shared" si="7"/>
        <v>0.87280737270326025</v>
      </c>
      <c r="F41" s="2">
        <f t="shared" si="8"/>
        <v>0.48916813882898835</v>
      </c>
      <c r="G41" s="25">
        <f t="shared" si="13"/>
        <v>1035.1873987526817</v>
      </c>
      <c r="H41" s="9">
        <f t="shared" si="9"/>
        <v>1.3321312378683837E-3</v>
      </c>
      <c r="I41" s="2">
        <f t="shared" si="14"/>
        <v>0.56045371994731907</v>
      </c>
      <c r="J41" s="2">
        <f t="shared" si="10"/>
        <v>0.7486345703661561</v>
      </c>
      <c r="K41" s="17">
        <f t="shared" si="15"/>
        <v>724.63117912687721</v>
      </c>
      <c r="L41" s="2">
        <f t="shared" si="11"/>
        <v>4.2860054922329284E-2</v>
      </c>
      <c r="M41" s="25">
        <f t="shared" si="16"/>
        <v>1043.0340376258812</v>
      </c>
      <c r="N41" s="1">
        <f t="shared" si="12"/>
        <v>617.58594333111375</v>
      </c>
    </row>
    <row r="42" spans="1:14">
      <c r="A42" s="18">
        <v>19000</v>
      </c>
      <c r="B42" s="1">
        <f t="shared" si="4"/>
        <v>-8.7840000000000487</v>
      </c>
      <c r="C42" s="1">
        <f t="shared" si="5"/>
        <v>450.91599999999994</v>
      </c>
      <c r="D42" s="1">
        <f t="shared" si="6"/>
        <v>-22.657777777777806</v>
      </c>
      <c r="E42" s="2">
        <f t="shared" si="7"/>
        <v>0.8693697341276726</v>
      </c>
      <c r="F42" s="2">
        <f t="shared" si="8"/>
        <v>0.4791259564765345</v>
      </c>
      <c r="G42" s="25">
        <f t="shared" si="13"/>
        <v>1013.9359316147718</v>
      </c>
      <c r="H42" s="9">
        <f t="shared" si="9"/>
        <v>1.3099431216945282E-3</v>
      </c>
      <c r="I42" s="2">
        <f t="shared" si="14"/>
        <v>0.551118744612487</v>
      </c>
      <c r="J42" s="2">
        <f t="shared" si="10"/>
        <v>0.74237372300781701</v>
      </c>
      <c r="K42" s="17">
        <f t="shared" si="15"/>
        <v>709.75515213034032</v>
      </c>
      <c r="L42" s="2">
        <f t="shared" si="11"/>
        <v>4.2146173398646833E-2</v>
      </c>
      <c r="M42" s="25">
        <f t="shared" si="16"/>
        <v>1040.9779645103174</v>
      </c>
      <c r="N42" s="1">
        <f t="shared" si="12"/>
        <v>616.36853161795102</v>
      </c>
    </row>
    <row r="43" spans="1:14">
      <c r="A43" s="18">
        <v>19500</v>
      </c>
      <c r="B43" s="1">
        <f t="shared" si="4"/>
        <v>-10.567000000000007</v>
      </c>
      <c r="C43" s="1">
        <f t="shared" si="5"/>
        <v>449.13299999999998</v>
      </c>
      <c r="D43" s="1">
        <f t="shared" si="6"/>
        <v>-23.648333333333337</v>
      </c>
      <c r="E43" s="2">
        <f t="shared" si="7"/>
        <v>0.86593209555208517</v>
      </c>
      <c r="F43" s="2">
        <f t="shared" si="8"/>
        <v>0.46925136497130537</v>
      </c>
      <c r="G43" s="25">
        <f t="shared" si="13"/>
        <v>993.03912357957574</v>
      </c>
      <c r="H43" s="9">
        <f t="shared" si="9"/>
        <v>1.288038854434526E-3</v>
      </c>
      <c r="I43" s="2">
        <f t="shared" si="14"/>
        <v>0.54190319007881171</v>
      </c>
      <c r="J43" s="2">
        <f t="shared" si="10"/>
        <v>0.7361407406731485</v>
      </c>
      <c r="K43" s="17">
        <f t="shared" si="15"/>
        <v>695.12738650570316</v>
      </c>
      <c r="L43" s="2">
        <f t="shared" si="11"/>
        <v>4.1441424443656991E-2</v>
      </c>
      <c r="M43" s="25">
        <f t="shared" si="16"/>
        <v>1038.9178223256831</v>
      </c>
      <c r="N43" s="1">
        <f t="shared" si="12"/>
        <v>615.14871058757547</v>
      </c>
    </row>
    <row r="44" spans="1:14">
      <c r="A44" s="18">
        <v>20000</v>
      </c>
      <c r="B44" s="1">
        <f t="shared" si="4"/>
        <v>-12.350000000000023</v>
      </c>
      <c r="C44" s="1">
        <f t="shared" si="5"/>
        <v>447.34999999999997</v>
      </c>
      <c r="D44" s="1">
        <f t="shared" si="6"/>
        <v>-24.6388888888889</v>
      </c>
      <c r="E44" s="2">
        <f t="shared" si="7"/>
        <v>0.86249445697649763</v>
      </c>
      <c r="F44" s="2">
        <f t="shared" si="8"/>
        <v>0.459542216137663</v>
      </c>
      <c r="G44" s="25">
        <f t="shared" si="13"/>
        <v>972.49242863484506</v>
      </c>
      <c r="H44" s="9">
        <f t="shared" si="9"/>
        <v>1.2664159101060197E-3</v>
      </c>
      <c r="I44" s="2">
        <f t="shared" si="14"/>
        <v>0.53280599361600911</v>
      </c>
      <c r="J44" s="2">
        <f t="shared" si="10"/>
        <v>0.72993560922591594</v>
      </c>
      <c r="K44" s="17">
        <f t="shared" si="15"/>
        <v>680.74470004439161</v>
      </c>
      <c r="L44" s="2">
        <f t="shared" si="11"/>
        <v>4.0745726786281126E-2</v>
      </c>
      <c r="M44" s="25">
        <f t="shared" si="16"/>
        <v>1036.8535868172689</v>
      </c>
      <c r="N44" s="1">
        <f t="shared" si="12"/>
        <v>613.92646587864601</v>
      </c>
    </row>
    <row r="45" spans="1:14">
      <c r="A45" s="18">
        <v>20500</v>
      </c>
      <c r="B45" s="1">
        <f t="shared" si="4"/>
        <v>-14.133000000000038</v>
      </c>
      <c r="C45" s="1">
        <f t="shared" si="5"/>
        <v>445.56699999999995</v>
      </c>
      <c r="D45" s="1">
        <f t="shared" si="6"/>
        <v>-25.629444444444466</v>
      </c>
      <c r="E45" s="2">
        <f t="shared" si="7"/>
        <v>0.85905681840090997</v>
      </c>
      <c r="F45" s="2">
        <f t="shared" si="8"/>
        <v>0.44999638095441175</v>
      </c>
      <c r="G45" s="25">
        <f t="shared" si="13"/>
        <v>952.29134130334512</v>
      </c>
      <c r="H45" s="9">
        <f t="shared" si="9"/>
        <v>1.2450717752917719E-3</v>
      </c>
      <c r="I45" s="2">
        <f t="shared" si="14"/>
        <v>0.52382609778018741</v>
      </c>
      <c r="J45" s="2">
        <f t="shared" si="10"/>
        <v>0.72375831448086825</v>
      </c>
      <c r="K45" s="17">
        <f t="shared" si="15"/>
        <v>666.60393891234173</v>
      </c>
      <c r="L45" s="2">
        <f t="shared" si="11"/>
        <v>4.0058999559711386E-2</v>
      </c>
      <c r="M45" s="25">
        <f t="shared" si="16"/>
        <v>1034.7852334884428</v>
      </c>
      <c r="N45" s="1">
        <f t="shared" si="12"/>
        <v>612.701782986578</v>
      </c>
    </row>
    <row r="46" spans="1:14">
      <c r="A46" s="18">
        <v>21000</v>
      </c>
      <c r="B46" s="1">
        <f t="shared" si="4"/>
        <v>-15.915999999999997</v>
      </c>
      <c r="C46" s="1">
        <f t="shared" si="5"/>
        <v>443.78399999999999</v>
      </c>
      <c r="D46" s="1">
        <f t="shared" si="6"/>
        <v>-26.619999999999997</v>
      </c>
      <c r="E46" s="2">
        <f t="shared" si="7"/>
        <v>0.85561917982532254</v>
      </c>
      <c r="F46" s="2">
        <f t="shared" si="8"/>
        <v>0.44061174945932846</v>
      </c>
      <c r="G46" s="25">
        <f t="shared" si="13"/>
        <v>932.43139644081998</v>
      </c>
      <c r="H46" s="9">
        <f t="shared" si="9"/>
        <v>1.2240039491268704E-3</v>
      </c>
      <c r="I46" s="2">
        <f t="shared" si="14"/>
        <v>0.51496245040846422</v>
      </c>
      <c r="J46" s="2">
        <f t="shared" si="10"/>
        <v>0.71760884220337207</v>
      </c>
      <c r="K46" s="17">
        <f t="shared" si="15"/>
        <v>652.70197750857403</v>
      </c>
      <c r="L46" s="2">
        <f t="shared" si="11"/>
        <v>3.9381162300999063E-2</v>
      </c>
      <c r="M46" s="25">
        <f t="shared" si="16"/>
        <v>1032.7127375972602</v>
      </c>
      <c r="N46" s="1">
        <f t="shared" si="12"/>
        <v>611.47464726153567</v>
      </c>
    </row>
    <row r="47" spans="1:14">
      <c r="A47" s="18">
        <v>21500</v>
      </c>
      <c r="B47" s="1">
        <f t="shared" si="4"/>
        <v>-17.699000000000012</v>
      </c>
      <c r="C47" s="1">
        <f t="shared" si="5"/>
        <v>442.00099999999998</v>
      </c>
      <c r="D47" s="1">
        <f t="shared" si="6"/>
        <v>-27.610555555555564</v>
      </c>
      <c r="E47" s="2">
        <f t="shared" si="7"/>
        <v>0.85218154124973489</v>
      </c>
      <c r="F47" s="2">
        <f t="shared" si="8"/>
        <v>0.43138623065378684</v>
      </c>
      <c r="G47" s="25">
        <f t="shared" si="13"/>
        <v>912.90816903415669</v>
      </c>
      <c r="H47" s="9">
        <f t="shared" si="9"/>
        <v>1.2032099432858865E-3</v>
      </c>
      <c r="I47" s="2">
        <f t="shared" si="14"/>
        <v>0.50621400461356336</v>
      </c>
      <c r="J47" s="2">
        <f t="shared" si="10"/>
        <v>0.71148717810903894</v>
      </c>
      <c r="K47" s="17">
        <f t="shared" si="15"/>
        <v>639.0357183239098</v>
      </c>
      <c r="L47" s="2">
        <f t="shared" si="11"/>
        <v>3.871213495064136E-2</v>
      </c>
      <c r="M47" s="25">
        <f t="shared" si="16"/>
        <v>1030.6360741530073</v>
      </c>
      <c r="N47" s="1">
        <f t="shared" si="12"/>
        <v>610.24504390638583</v>
      </c>
    </row>
    <row r="48" spans="1:14">
      <c r="A48" s="18">
        <v>22000</v>
      </c>
      <c r="B48" s="1">
        <f t="shared" si="4"/>
        <v>-19.482000000000028</v>
      </c>
      <c r="C48" s="1">
        <f t="shared" si="5"/>
        <v>440.21799999999996</v>
      </c>
      <c r="D48" s="1">
        <f t="shared" si="6"/>
        <v>-28.601111111111127</v>
      </c>
      <c r="E48" s="2">
        <f t="shared" si="7"/>
        <v>0.84874390267414734</v>
      </c>
      <c r="F48" s="2">
        <f t="shared" si="8"/>
        <v>0.42231775240748698</v>
      </c>
      <c r="G48" s="25">
        <f t="shared" si="13"/>
        <v>893.71727399977203</v>
      </c>
      <c r="H48" s="9">
        <f t="shared" si="9"/>
        <v>1.182687281970012E-3</v>
      </c>
      <c r="I48" s="2">
        <f t="shared" si="14"/>
        <v>0.49757971877840357</v>
      </c>
      <c r="J48" s="2">
        <f t="shared" si="10"/>
        <v>0.7053933078633533</v>
      </c>
      <c r="K48" s="17">
        <f t="shared" si="15"/>
        <v>625.60209179984054</v>
      </c>
      <c r="L48" s="2">
        <f t="shared" si="11"/>
        <v>3.8051837852167612E-2</v>
      </c>
      <c r="M48" s="25">
        <f t="shared" si="16"/>
        <v>1028.5552179126889</v>
      </c>
      <c r="N48" s="1">
        <f t="shared" si="12"/>
        <v>609.01295797461842</v>
      </c>
    </row>
    <row r="49" spans="1:14">
      <c r="A49" s="18">
        <v>22500</v>
      </c>
      <c r="B49" s="1">
        <f t="shared" si="4"/>
        <v>-21.265000000000043</v>
      </c>
      <c r="C49" s="1">
        <f t="shared" si="5"/>
        <v>438.43499999999995</v>
      </c>
      <c r="D49" s="1">
        <f t="shared" si="6"/>
        <v>-29.59166666666669</v>
      </c>
      <c r="E49" s="2">
        <f t="shared" si="7"/>
        <v>0.84530626409855969</v>
      </c>
      <c r="F49" s="2">
        <f t="shared" si="8"/>
        <v>0.41340426136327513</v>
      </c>
      <c r="G49" s="25">
        <f t="shared" si="13"/>
        <v>874.85436598218996</v>
      </c>
      <c r="H49" s="9">
        <f t="shared" si="9"/>
        <v>1.1624335018941398E-3</v>
      </c>
      <c r="I49" s="2">
        <f t="shared" si="14"/>
        <v>0.48905855655066299</v>
      </c>
      <c r="J49" s="2">
        <f t="shared" si="10"/>
        <v>0.69932721708129086</v>
      </c>
      <c r="K49" s="17">
        <f t="shared" si="15"/>
        <v>612.39805618753303</v>
      </c>
      <c r="L49" s="2">
        <f t="shared" si="11"/>
        <v>3.7400191751723544E-2</v>
      </c>
      <c r="M49" s="25">
        <f t="shared" si="16"/>
        <v>1026.4701433774462</v>
      </c>
      <c r="N49" s="1">
        <f t="shared" si="12"/>
        <v>607.77837436822472</v>
      </c>
    </row>
    <row r="50" spans="1:14">
      <c r="A50" s="18">
        <v>23000</v>
      </c>
      <c r="B50" s="1">
        <f t="shared" si="4"/>
        <v>-23.048000000000059</v>
      </c>
      <c r="C50" s="1">
        <f t="shared" si="5"/>
        <v>436.65199999999993</v>
      </c>
      <c r="D50" s="1">
        <f t="shared" si="6"/>
        <v>-30.582222222222256</v>
      </c>
      <c r="E50" s="2">
        <f t="shared" si="7"/>
        <v>0.84186862552297215</v>
      </c>
      <c r="F50" s="2">
        <f t="shared" si="8"/>
        <v>0.40464372284206773</v>
      </c>
      <c r="G50" s="25">
        <f t="shared" si="13"/>
        <v>856.31513915284052</v>
      </c>
      <c r="H50" s="9">
        <f t="shared" si="9"/>
        <v>1.142446152273921E-3</v>
      </c>
      <c r="I50" s="2">
        <f t="shared" si="14"/>
        <v>0.48064948683733338</v>
      </c>
      <c r="J50" s="2">
        <f t="shared" si="10"/>
        <v>0.69328889132693694</v>
      </c>
      <c r="K50" s="17">
        <f t="shared" si="15"/>
        <v>599.42059740698846</v>
      </c>
      <c r="L50" s="2">
        <f t="shared" si="11"/>
        <v>3.6757117797654899E-2</v>
      </c>
      <c r="M50" s="25">
        <f t="shared" si="16"/>
        <v>1024.3808247889115</v>
      </c>
      <c r="N50" s="1">
        <f t="shared" si="12"/>
        <v>606.54127783553963</v>
      </c>
    </row>
    <row r="51" spans="1:14">
      <c r="A51" s="18">
        <v>23500</v>
      </c>
      <c r="B51" s="1">
        <f t="shared" si="4"/>
        <v>-24.831000000000017</v>
      </c>
      <c r="C51" s="1">
        <f t="shared" si="5"/>
        <v>434.86899999999997</v>
      </c>
      <c r="D51" s="1">
        <f t="shared" si="6"/>
        <v>-31.572777777777787</v>
      </c>
      <c r="E51" s="2">
        <f t="shared" si="7"/>
        <v>0.83843098694738472</v>
      </c>
      <c r="F51" s="2">
        <f t="shared" si="8"/>
        <v>0.39603412074786981</v>
      </c>
      <c r="G51" s="25">
        <f t="shared" si="13"/>
        <v>838.09532700905697</v>
      </c>
      <c r="H51" s="9">
        <f t="shared" si="9"/>
        <v>1.1227227948127699E-3</v>
      </c>
      <c r="I51" s="2">
        <f t="shared" si="14"/>
        <v>0.47235148379925362</v>
      </c>
      <c r="J51" s="2">
        <f t="shared" si="10"/>
        <v>0.68727831611309664</v>
      </c>
      <c r="K51" s="17">
        <f t="shared" si="15"/>
        <v>586.66672890633993</v>
      </c>
      <c r="L51" s="2">
        <f t="shared" si="11"/>
        <v>3.6122537540089324E-2</v>
      </c>
      <c r="M51" s="25">
        <f t="shared" si="16"/>
        <v>1022.2872361254966</v>
      </c>
      <c r="N51" s="1">
        <f t="shared" si="12"/>
        <v>605.30165296904397</v>
      </c>
    </row>
    <row r="52" spans="1:14">
      <c r="A52" s="18">
        <v>24000</v>
      </c>
      <c r="B52" s="1">
        <f t="shared" si="4"/>
        <v>-26.614000000000033</v>
      </c>
      <c r="C52" s="1">
        <f t="shared" si="5"/>
        <v>433.08599999999996</v>
      </c>
      <c r="D52" s="1">
        <f t="shared" si="6"/>
        <v>-32.563333333333354</v>
      </c>
      <c r="E52" s="2">
        <f t="shared" si="7"/>
        <v>0.83499334837179706</v>
      </c>
      <c r="F52" s="2">
        <f t="shared" si="8"/>
        <v>0.38757345747289396</v>
      </c>
      <c r="G52" s="25">
        <f t="shared" si="13"/>
        <v>820.1907021732876</v>
      </c>
      <c r="H52" s="9">
        <f t="shared" si="9"/>
        <v>1.1032610036888378E-3</v>
      </c>
      <c r="I52" s="2">
        <f t="shared" si="14"/>
        <v>0.46416352684562862</v>
      </c>
      <c r="J52" s="2">
        <f t="shared" si="10"/>
        <v>0.68129547690090286</v>
      </c>
      <c r="K52" s="17">
        <f t="shared" si="15"/>
        <v>574.13349152130138</v>
      </c>
      <c r="L52" s="2">
        <f t="shared" si="11"/>
        <v>3.5496372930517245E-2</v>
      </c>
      <c r="M52" s="25">
        <f t="shared" si="16"/>
        <v>1020.1893510986098</v>
      </c>
      <c r="N52" s="1">
        <f t="shared" si="12"/>
        <v>604.05948420312416</v>
      </c>
    </row>
    <row r="53" spans="1:14">
      <c r="A53" s="18">
        <v>24500</v>
      </c>
      <c r="B53" s="1">
        <f t="shared" si="4"/>
        <v>-28.396999999999991</v>
      </c>
      <c r="C53" s="1">
        <f t="shared" si="5"/>
        <v>431.303</v>
      </c>
      <c r="D53" s="1">
        <f t="shared" si="6"/>
        <v>-33.553888888888885</v>
      </c>
      <c r="E53" s="2">
        <f t="shared" si="7"/>
        <v>0.83155570979620963</v>
      </c>
      <c r="F53" s="2">
        <f t="shared" si="8"/>
        <v>0.37925975380278115</v>
      </c>
      <c r="G53" s="25">
        <f t="shared" si="13"/>
        <v>802.5970761925214</v>
      </c>
      <c r="H53" s="9">
        <f t="shared" si="9"/>
        <v>1.0840583655419493E-3</v>
      </c>
      <c r="I53" s="2">
        <f t="shared" si="14"/>
        <v>0.45608460062853373</v>
      </c>
      <c r="J53" s="2">
        <f t="shared" si="10"/>
        <v>0.67534035909942014</v>
      </c>
      <c r="K53" s="17">
        <f t="shared" si="15"/>
        <v>561.81795333476509</v>
      </c>
      <c r="L53" s="2">
        <f t="shared" si="11"/>
        <v>3.4878546321371565E-2</v>
      </c>
      <c r="M53" s="25">
        <f t="shared" si="16"/>
        <v>1018.0871431488066</v>
      </c>
      <c r="N53" s="1">
        <f t="shared" si="12"/>
        <v>602.81475581179336</v>
      </c>
    </row>
    <row r="54" spans="1:14">
      <c r="A54" s="18">
        <v>25000</v>
      </c>
      <c r="B54" s="1">
        <f t="shared" si="4"/>
        <v>-30.180000000000007</v>
      </c>
      <c r="C54" s="1">
        <f t="shared" si="5"/>
        <v>429.52</v>
      </c>
      <c r="D54" s="1">
        <f t="shared" si="6"/>
        <v>-34.544444444444451</v>
      </c>
      <c r="E54" s="2">
        <f t="shared" si="7"/>
        <v>0.82811807122062198</v>
      </c>
      <c r="F54" s="2">
        <f t="shared" si="8"/>
        <v>0.37109104882191418</v>
      </c>
      <c r="G54" s="25">
        <f t="shared" si="13"/>
        <v>785.31029933791115</v>
      </c>
      <c r="H54" s="9">
        <f t="shared" si="9"/>
        <v>1.0651124794604854E-3</v>
      </c>
      <c r="I54" s="2">
        <f t="shared" si="14"/>
        <v>0.44811369503739579</v>
      </c>
      <c r="J54" s="2">
        <f t="shared" si="10"/>
        <v>0.6694129480652401</v>
      </c>
      <c r="K54" s="17">
        <f t="shared" si="15"/>
        <v>549.71720953653789</v>
      </c>
      <c r="L54" s="2">
        <f t="shared" si="11"/>
        <v>3.4268980465605663E-2</v>
      </c>
      <c r="M54" s="25">
        <f t="shared" si="16"/>
        <v>1015.9805854418648</v>
      </c>
      <c r="N54" s="1">
        <f t="shared" si="12"/>
        <v>601.5674519063673</v>
      </c>
    </row>
    <row r="55" spans="1:14">
      <c r="A55" s="18">
        <v>25500</v>
      </c>
      <c r="B55" s="1">
        <f t="shared" si="4"/>
        <v>-31.963000000000022</v>
      </c>
      <c r="C55" s="1">
        <f t="shared" si="5"/>
        <v>427.73699999999997</v>
      </c>
      <c r="D55" s="1">
        <f t="shared" si="6"/>
        <v>-35.535000000000011</v>
      </c>
      <c r="E55" s="2">
        <f t="shared" si="7"/>
        <v>0.82468043264503443</v>
      </c>
      <c r="F55" s="2">
        <f t="shared" si="8"/>
        <v>0.36306539981883967</v>
      </c>
      <c r="G55" s="25">
        <f t="shared" si="13"/>
        <v>768.3262604046248</v>
      </c>
      <c r="H55" s="9">
        <f t="shared" si="9"/>
        <v>1.0464209569682455E-3</v>
      </c>
      <c r="I55" s="2">
        <f t="shared" si="14"/>
        <v>0.44024980519346602</v>
      </c>
      <c r="J55" s="2">
        <f t="shared" si="10"/>
        <v>0.66351322910207755</v>
      </c>
      <c r="K55" s="17">
        <f t="shared" si="15"/>
        <v>537.82838228323749</v>
      </c>
      <c r="L55" s="2">
        <f t="shared" si="11"/>
        <v>3.3667598516270644E-2</v>
      </c>
      <c r="M55" s="25">
        <f t="shared" si="16"/>
        <v>1013.8696508647896</v>
      </c>
      <c r="N55" s="1">
        <f t="shared" si="12"/>
        <v>600.31755643309907</v>
      </c>
    </row>
    <row r="56" spans="1:14">
      <c r="A56" s="18">
        <v>26000</v>
      </c>
      <c r="B56" s="1">
        <f t="shared" si="4"/>
        <v>-33.746000000000038</v>
      </c>
      <c r="C56" s="1">
        <f t="shared" si="5"/>
        <v>425.95399999999995</v>
      </c>
      <c r="D56" s="1">
        <f t="shared" si="6"/>
        <v>-36.525555555555577</v>
      </c>
      <c r="E56" s="2">
        <f t="shared" si="7"/>
        <v>0.82124279406944678</v>
      </c>
      <c r="F56" s="2">
        <f t="shared" si="8"/>
        <v>0.35518088219178212</v>
      </c>
      <c r="G56" s="25">
        <f t="shared" si="13"/>
        <v>751.64088651189309</v>
      </c>
      <c r="H56" s="9">
        <f t="shared" si="9"/>
        <v>1.0279814220112513E-3</v>
      </c>
      <c r="I56" s="2">
        <f t="shared" si="14"/>
        <v>0.43249193144426779</v>
      </c>
      <c r="J56" s="2">
        <f t="shared" si="10"/>
        <v>0.65764118746035649</v>
      </c>
      <c r="K56" s="17">
        <f t="shared" si="15"/>
        <v>526.14862055832521</v>
      </c>
      <c r="L56" s="2">
        <f t="shared" si="11"/>
        <v>3.3074324026090819E-2</v>
      </c>
      <c r="M56" s="25">
        <f t="shared" si="16"/>
        <v>1011.7543120217408</v>
      </c>
      <c r="N56" s="1">
        <f t="shared" si="12"/>
        <v>599.06505317076756</v>
      </c>
    </row>
    <row r="57" spans="1:14">
      <c r="A57" s="18">
        <v>26500</v>
      </c>
      <c r="B57" s="1">
        <f t="shared" si="4"/>
        <v>-35.529000000000053</v>
      </c>
      <c r="C57" s="1">
        <f t="shared" si="5"/>
        <v>424.17099999999994</v>
      </c>
      <c r="D57" s="1">
        <f t="shared" si="6"/>
        <v>-37.516111111111144</v>
      </c>
      <c r="E57" s="2">
        <f t="shared" si="7"/>
        <v>0.81780515549385924</v>
      </c>
      <c r="F57" s="2">
        <f t="shared" si="8"/>
        <v>0.34743558935426427</v>
      </c>
      <c r="G57" s="25">
        <f t="shared" si="13"/>
        <v>735.25014290328102</v>
      </c>
      <c r="H57" s="9">
        <f t="shared" si="9"/>
        <v>1.0097915109445218E-3</v>
      </c>
      <c r="I57" s="2">
        <f t="shared" si="14"/>
        <v>0.42483907935803311</v>
      </c>
      <c r="J57" s="2">
        <f t="shared" si="10"/>
        <v>0.65179680833679532</v>
      </c>
      <c r="K57" s="17">
        <f t="shared" si="15"/>
        <v>514.67510003229677</v>
      </c>
      <c r="L57" s="2">
        <f t="shared" si="11"/>
        <v>3.2489080947038174E-2</v>
      </c>
      <c r="M57" s="25">
        <f t="shared" si="16"/>
        <v>1009.6345412298858</v>
      </c>
      <c r="N57" s="1">
        <f t="shared" si="12"/>
        <v>597.80992572822186</v>
      </c>
    </row>
    <row r="58" spans="1:14">
      <c r="A58" s="18">
        <v>27000</v>
      </c>
      <c r="B58" s="1">
        <f t="shared" si="4"/>
        <v>-37.312000000000012</v>
      </c>
      <c r="C58" s="1">
        <f t="shared" si="5"/>
        <v>422.38799999999998</v>
      </c>
      <c r="D58" s="1">
        <f t="shared" si="6"/>
        <v>-38.506666666666675</v>
      </c>
      <c r="E58" s="2">
        <f t="shared" si="7"/>
        <v>0.81436751691827181</v>
      </c>
      <c r="F58" s="2">
        <f t="shared" si="8"/>
        <v>0.33982763264082472</v>
      </c>
      <c r="G58" s="25">
        <f t="shared" si="13"/>
        <v>719.15003274716605</v>
      </c>
      <c r="H58" s="9">
        <f t="shared" si="9"/>
        <v>9.9184887251880095E-4</v>
      </c>
      <c r="I58" s="2">
        <f t="shared" si="14"/>
        <v>0.41729025971811828</v>
      </c>
      <c r="J58" s="2">
        <f t="shared" si="10"/>
        <v>0.64598007687398395</v>
      </c>
      <c r="K58" s="17">
        <f t="shared" si="15"/>
        <v>503.40502292301625</v>
      </c>
      <c r="L58" s="2">
        <f t="shared" si="11"/>
        <v>3.191179362990533E-2</v>
      </c>
      <c r="M58" s="25">
        <f t="shared" si="16"/>
        <v>1007.5103105151719</v>
      </c>
      <c r="N58" s="1">
        <f t="shared" si="12"/>
        <v>596.55215754187805</v>
      </c>
    </row>
    <row r="59" spans="1:14">
      <c r="A59" s="18">
        <v>27500</v>
      </c>
      <c r="B59" s="1">
        <f t="shared" si="4"/>
        <v>-39.095000000000027</v>
      </c>
      <c r="C59" s="1">
        <f t="shared" si="5"/>
        <v>420.60499999999996</v>
      </c>
      <c r="D59" s="1">
        <f t="shared" si="6"/>
        <v>-39.497222222222234</v>
      </c>
      <c r="E59" s="2">
        <f t="shared" si="7"/>
        <v>0.81092987834268415</v>
      </c>
      <c r="F59" s="2">
        <f t="shared" si="8"/>
        <v>0.33235514121283677</v>
      </c>
      <c r="G59" s="25">
        <f t="shared" si="13"/>
        <v>703.33659693742936</v>
      </c>
      <c r="H59" s="9">
        <f t="shared" si="9"/>
        <v>9.7415116786724357E-4</v>
      </c>
      <c r="I59" s="2">
        <f t="shared" si="14"/>
        <v>0.40984448851740246</v>
      </c>
      <c r="J59" s="2">
        <f t="shared" si="10"/>
        <v>0.64019097815995696</v>
      </c>
      <c r="K59" s="17">
        <f t="shared" si="15"/>
        <v>492.3356178562006</v>
      </c>
      <c r="L59" s="2">
        <f t="shared" si="11"/>
        <v>3.1342386823877216E-2</v>
      </c>
      <c r="M59" s="25">
        <f t="shared" si="16"/>
        <v>1005.3815916080192</v>
      </c>
      <c r="N59" s="1">
        <f t="shared" si="12"/>
        <v>595.29173187316928</v>
      </c>
    </row>
    <row r="60" spans="1:14">
      <c r="A60" s="18">
        <v>28000</v>
      </c>
      <c r="B60" s="1">
        <f t="shared" si="4"/>
        <v>-40.878000000000043</v>
      </c>
      <c r="C60" s="1">
        <f t="shared" si="5"/>
        <v>418.82199999999995</v>
      </c>
      <c r="D60" s="1">
        <f t="shared" si="6"/>
        <v>-40.487777777777801</v>
      </c>
      <c r="E60" s="2">
        <f t="shared" si="7"/>
        <v>0.80749223976709661</v>
      </c>
      <c r="F60" s="2">
        <f t="shared" si="8"/>
        <v>0.32501626196443262</v>
      </c>
      <c r="G60" s="25">
        <f t="shared" si="13"/>
        <v>687.80591389437154</v>
      </c>
      <c r="H60" s="9">
        <f t="shared" si="9"/>
        <v>9.5669607049206861E-4</v>
      </c>
      <c r="I60" s="2">
        <f t="shared" si="14"/>
        <v>0.40250078695267266</v>
      </c>
      <c r="J60" s="2">
        <f t="shared" si="10"/>
        <v>0.63442949722776343</v>
      </c>
      <c r="K60" s="17">
        <f t="shared" si="15"/>
        <v>481.46413972606013</v>
      </c>
      <c r="L60" s="2">
        <f t="shared" si="11"/>
        <v>3.0780785676101624E-2</v>
      </c>
      <c r="M60" s="25">
        <f t="shared" si="16"/>
        <v>1003.2483559389319</v>
      </c>
      <c r="N60" s="1">
        <f t="shared" si="12"/>
        <v>594.02863180594647</v>
      </c>
    </row>
    <row r="61" spans="1:14">
      <c r="A61" s="18">
        <v>28500</v>
      </c>
      <c r="B61" s="1">
        <f t="shared" si="4"/>
        <v>-42.661000000000001</v>
      </c>
      <c r="C61" s="1">
        <f t="shared" si="5"/>
        <v>417.03899999999999</v>
      </c>
      <c r="D61" s="1">
        <f t="shared" si="6"/>
        <v>-41.478333333333332</v>
      </c>
      <c r="E61" s="2">
        <f t="shared" si="7"/>
        <v>0.80405460119150907</v>
      </c>
      <c r="F61" s="2">
        <f t="shared" si="8"/>
        <v>0.31780915942852289</v>
      </c>
      <c r="G61" s="25">
        <f t="shared" si="13"/>
        <v>672.55409936582862</v>
      </c>
      <c r="H61" s="9">
        <f t="shared" si="9"/>
        <v>9.3948126625115647E-4</v>
      </c>
      <c r="I61" s="2">
        <f t="shared" si="14"/>
        <v>0.39525818141898472</v>
      </c>
      <c r="J61" s="2">
        <f t="shared" si="10"/>
        <v>0.62869561905502791</v>
      </c>
      <c r="K61" s="17">
        <f t="shared" si="15"/>
        <v>470.78786955608012</v>
      </c>
      <c r="L61" s="2">
        <f t="shared" si="11"/>
        <v>3.0226915731257992E-2</v>
      </c>
      <c r="M61" s="25">
        <f t="shared" si="16"/>
        <v>1001.110574634024</v>
      </c>
      <c r="N61" s="1">
        <f t="shared" si="12"/>
        <v>592.76284024382994</v>
      </c>
    </row>
    <row r="62" spans="1:14">
      <c r="A62" s="18">
        <v>29000</v>
      </c>
      <c r="B62" s="1">
        <f t="shared" si="4"/>
        <v>-44.444000000000017</v>
      </c>
      <c r="C62" s="1">
        <f t="shared" si="5"/>
        <v>415.25599999999997</v>
      </c>
      <c r="D62" s="1">
        <f t="shared" si="6"/>
        <v>-42.468888888888898</v>
      </c>
      <c r="E62" s="2">
        <f t="shared" si="7"/>
        <v>0.80061696261592152</v>
      </c>
      <c r="F62" s="2">
        <f t="shared" si="8"/>
        <v>0.31073201568292341</v>
      </c>
      <c r="G62" s="25">
        <f t="shared" si="13"/>
        <v>657.57730622851614</v>
      </c>
      <c r="H62" s="9">
        <f t="shared" si="9"/>
        <v>9.2250445334461531E-4</v>
      </c>
      <c r="I62" s="2">
        <f t="shared" si="14"/>
        <v>0.3881157035040117</v>
      </c>
      <c r="J62" s="2">
        <f t="shared" si="10"/>
        <v>0.62298932856350897</v>
      </c>
      <c r="K62" s="17">
        <f t="shared" si="15"/>
        <v>460.30411435996132</v>
      </c>
      <c r="L62" s="2">
        <f t="shared" si="11"/>
        <v>2.9680702931125191E-2</v>
      </c>
      <c r="M62" s="25">
        <f t="shared" si="16"/>
        <v>998.96821851045968</v>
      </c>
      <c r="N62" s="1">
        <f t="shared" si="12"/>
        <v>591.49433990750902</v>
      </c>
    </row>
    <row r="63" spans="1:14">
      <c r="A63" s="18">
        <v>29500</v>
      </c>
      <c r="B63" s="1">
        <f t="shared" si="4"/>
        <v>-46.227000000000032</v>
      </c>
      <c r="C63" s="1">
        <f t="shared" si="5"/>
        <v>413.47299999999996</v>
      </c>
      <c r="D63" s="1">
        <f t="shared" si="6"/>
        <v>-43.459444444444465</v>
      </c>
      <c r="E63" s="2">
        <f t="shared" si="7"/>
        <v>0.79717932404033387</v>
      </c>
      <c r="F63" s="2">
        <f t="shared" si="8"/>
        <v>0.30378303025658121</v>
      </c>
      <c r="G63" s="25">
        <f t="shared" si="13"/>
        <v>642.87172428958218</v>
      </c>
      <c r="H63" s="9">
        <f t="shared" si="9"/>
        <v>9.057633423012986E-4</v>
      </c>
      <c r="I63" s="2">
        <f t="shared" si="14"/>
        <v>0.38107238998237125</v>
      </c>
      <c r="J63" s="2">
        <f t="shared" si="10"/>
        <v>0.61731061061865056</v>
      </c>
      <c r="K63" s="17">
        <f t="shared" si="15"/>
        <v>450.0102070027076</v>
      </c>
      <c r="L63" s="2">
        <f t="shared" si="11"/>
        <v>2.9142073614147744E-2</v>
      </c>
      <c r="M63" s="25">
        <f t="shared" si="16"/>
        <v>996.82125807180569</v>
      </c>
      <c r="N63" s="1">
        <f t="shared" si="12"/>
        <v>590.22311333199013</v>
      </c>
    </row>
    <row r="64" spans="1:14">
      <c r="A64" s="18">
        <v>30000</v>
      </c>
      <c r="B64" s="1">
        <f t="shared" si="4"/>
        <v>-48.010000000000048</v>
      </c>
      <c r="C64" s="1">
        <f t="shared" si="5"/>
        <v>411.68999999999994</v>
      </c>
      <c r="D64" s="1">
        <f t="shared" si="6"/>
        <v>-44.450000000000024</v>
      </c>
      <c r="E64" s="2">
        <f t="shared" si="7"/>
        <v>0.79374168546474633</v>
      </c>
      <c r="F64" s="2">
        <f t="shared" si="8"/>
        <v>0.29696042003590578</v>
      </c>
      <c r="G64" s="25">
        <f t="shared" si="13"/>
        <v>628.43358008838447</v>
      </c>
      <c r="H64" s="9">
        <f t="shared" si="9"/>
        <v>8.8925565596528484E-4</v>
      </c>
      <c r="I64" s="2">
        <f t="shared" si="14"/>
        <v>0.37412728280993773</v>
      </c>
      <c r="J64" s="2">
        <f t="shared" si="10"/>
        <v>0.61165945002912991</v>
      </c>
      <c r="K64" s="17">
        <f t="shared" si="15"/>
        <v>439.90350606186917</v>
      </c>
      <c r="L64" s="2">
        <f t="shared" si="11"/>
        <v>2.8610954515000821E-2</v>
      </c>
      <c r="M64" s="25">
        <f t="shared" si="16"/>
        <v>994.66966350329255</v>
      </c>
      <c r="N64" s="1">
        <f t="shared" si="12"/>
        <v>588.94914286379162</v>
      </c>
    </row>
    <row r="65" spans="1:14">
      <c r="A65" s="18">
        <v>30500</v>
      </c>
      <c r="B65" s="1">
        <f t="shared" si="4"/>
        <v>-49.793000000000006</v>
      </c>
      <c r="C65" s="1">
        <f t="shared" si="5"/>
        <v>409.90699999999998</v>
      </c>
      <c r="D65" s="1">
        <f t="shared" si="6"/>
        <v>-45.440555555555562</v>
      </c>
      <c r="E65" s="2">
        <f t="shared" si="7"/>
        <v>0.79030404688915878</v>
      </c>
      <c r="F65" s="2">
        <f t="shared" si="8"/>
        <v>0.29026241917119977</v>
      </c>
      <c r="G65" s="25">
        <f t="shared" si="13"/>
        <v>614.25913669847637</v>
      </c>
      <c r="H65" s="9">
        <f t="shared" si="9"/>
        <v>8.7297912948230603E-4</v>
      </c>
      <c r="I65" s="2">
        <f t="shared" si="14"/>
        <v>0.36727942911813216</v>
      </c>
      <c r="J65" s="2">
        <f t="shared" si="10"/>
        <v>0.6060358315463964</v>
      </c>
      <c r="K65" s="17">
        <f t="shared" si="15"/>
        <v>429.9813956889335</v>
      </c>
      <c r="L65" s="2">
        <f t="shared" si="11"/>
        <v>2.8087272764153577E-2</v>
      </c>
      <c r="M65" s="25">
        <f t="shared" si="16"/>
        <v>992.51340466698446</v>
      </c>
      <c r="N65" s="1">
        <f t="shared" si="12"/>
        <v>587.67241065808287</v>
      </c>
    </row>
    <row r="66" spans="1:14">
      <c r="A66" s="18">
        <v>31000</v>
      </c>
      <c r="B66" s="1">
        <f t="shared" si="4"/>
        <v>-51.576000000000022</v>
      </c>
      <c r="C66" s="1">
        <f t="shared" si="5"/>
        <v>408.12399999999997</v>
      </c>
      <c r="D66" s="1">
        <f t="shared" si="6"/>
        <v>-46.431111111111122</v>
      </c>
      <c r="E66" s="2">
        <f t="shared" si="7"/>
        <v>0.78686640831357124</v>
      </c>
      <c r="F66" s="2">
        <f t="shared" si="8"/>
        <v>0.28368727898319651</v>
      </c>
      <c r="G66" s="25">
        <f t="shared" si="13"/>
        <v>600.34469352982012</v>
      </c>
      <c r="H66" s="9">
        <f t="shared" si="9"/>
        <v>8.5693151028614126E-4</v>
      </c>
      <c r="I66" s="2">
        <f t="shared" si="14"/>
        <v>0.36052788120819784</v>
      </c>
      <c r="J66" s="2">
        <f t="shared" si="10"/>
        <v>0.60043973986420807</v>
      </c>
      <c r="K66" s="17">
        <f t="shared" si="15"/>
        <v>420.24128547087412</v>
      </c>
      <c r="L66" s="2">
        <f t="shared" si="11"/>
        <v>2.7570955887431404E-2</v>
      </c>
      <c r="M66" s="25">
        <f t="shared" si="16"/>
        <v>990.35245109685331</v>
      </c>
      <c r="N66" s="1">
        <f t="shared" si="12"/>
        <v>586.39289867576838</v>
      </c>
    </row>
    <row r="67" spans="1:14">
      <c r="A67" s="18">
        <v>31500</v>
      </c>
      <c r="B67" s="1">
        <f t="shared" si="4"/>
        <v>-53.359000000000037</v>
      </c>
      <c r="C67" s="1">
        <f t="shared" si="5"/>
        <v>406.34099999999995</v>
      </c>
      <c r="D67" s="1">
        <f t="shared" si="6"/>
        <v>-47.421666666666688</v>
      </c>
      <c r="E67" s="2">
        <f t="shared" si="7"/>
        <v>0.7834287697379837</v>
      </c>
      <c r="F67" s="2">
        <f t="shared" si="8"/>
        <v>0.27723326786969915</v>
      </c>
      <c r="G67" s="25">
        <f t="shared" si="13"/>
        <v>586.68658613121465</v>
      </c>
      <c r="H67" s="9">
        <f t="shared" si="9"/>
        <v>8.4111055808496187E-4</v>
      </c>
      <c r="I67" s="2">
        <f t="shared" si="14"/>
        <v>0.35387169654545531</v>
      </c>
      <c r="J67" s="2">
        <f t="shared" si="10"/>
        <v>0.59487115961816073</v>
      </c>
      <c r="K67" s="17">
        <f t="shared" si="15"/>
        <v>410.68061029185031</v>
      </c>
      <c r="L67" s="2">
        <f t="shared" si="11"/>
        <v>2.7061931805576572E-2</v>
      </c>
      <c r="M67" s="25">
        <f t="shared" si="16"/>
        <v>988.18677199375679</v>
      </c>
      <c r="N67" s="1">
        <f t="shared" si="12"/>
        <v>585.11058868051384</v>
      </c>
    </row>
    <row r="68" spans="1:14">
      <c r="A68" s="18">
        <v>32000</v>
      </c>
      <c r="B68" s="1">
        <f t="shared" si="4"/>
        <v>-55.141999999999996</v>
      </c>
      <c r="C68" s="1">
        <f t="shared" si="5"/>
        <v>404.55799999999999</v>
      </c>
      <c r="D68" s="1">
        <f t="shared" si="6"/>
        <v>-48.412222222222219</v>
      </c>
      <c r="E68" s="2">
        <f t="shared" si="7"/>
        <v>0.77999113116239616</v>
      </c>
      <c r="F68" s="2">
        <f t="shared" si="8"/>
        <v>0.27089867121232425</v>
      </c>
      <c r="G68" s="25">
        <f t="shared" ref="G68:G99" si="17">F68*2116.22</f>
        <v>573.28118599294476</v>
      </c>
      <c r="H68" s="9">
        <f t="shared" si="9"/>
        <v>8.2551404484763175E-4</v>
      </c>
      <c r="I68" s="2">
        <f t="shared" ref="I68:I99" si="18">F68/E68</f>
        <v>0.34730993775353897</v>
      </c>
      <c r="J68" s="2">
        <f t="shared" si="10"/>
        <v>0.58933007538521143</v>
      </c>
      <c r="K68" s="17">
        <f t="shared" ref="K68:K99" si="19">F68*1481.354</f>
        <v>401.29683019506137</v>
      </c>
      <c r="L68" s="2">
        <f t="shared" si="11"/>
        <v>2.6560128833807473E-2</v>
      </c>
      <c r="M68" s="25">
        <f t="shared" ref="M68:M99" si="20">1116.45*SQRT(E68)</f>
        <v>986.01633622031693</v>
      </c>
      <c r="N68" s="1">
        <f t="shared" si="12"/>
        <v>583.82546223571387</v>
      </c>
    </row>
    <row r="69" spans="1:14">
      <c r="A69" s="18">
        <v>32500</v>
      </c>
      <c r="B69" s="1">
        <f t="shared" ref="B69:B132" si="21">C69-459.7</f>
        <v>-56.925000000000011</v>
      </c>
      <c r="C69" s="1">
        <f t="shared" ref="C69:C76" si="22">518.67-3.566*(A69/1000)</f>
        <v>402.77499999999998</v>
      </c>
      <c r="D69" s="1">
        <f t="shared" ref="D69:D132" si="23">5*(B69-32)/9</f>
        <v>-49.402777777777786</v>
      </c>
      <c r="E69" s="2">
        <f t="shared" ref="E69:E132" si="24">C69/518.67</f>
        <v>0.77655349258680861</v>
      </c>
      <c r="F69" s="2">
        <f t="shared" ref="F69:F76" si="25">E69^5.256152</f>
        <v>0.2646817912833499</v>
      </c>
      <c r="G69" s="25">
        <f t="shared" si="17"/>
        <v>560.12490034965072</v>
      </c>
      <c r="H69" s="9">
        <f t="shared" ref="H69:H132" si="26">I69*0.00237688</f>
        <v>8.1013975478996586E-4</v>
      </c>
      <c r="I69" s="2">
        <f t="shared" si="18"/>
        <v>0.34084167260861542</v>
      </c>
      <c r="J69" s="2">
        <f t="shared" ref="J69:J132" si="27">SQRT(I69)</f>
        <v>0.5838164716831955</v>
      </c>
      <c r="K69" s="17">
        <f t="shared" si="19"/>
        <v>392.08743024475552</v>
      </c>
      <c r="L69" s="2">
        <f t="shared" ref="L69:L132" si="28">H69*32.1740484</f>
        <v>2.6065475681376491E-2</v>
      </c>
      <c r="M69" s="25">
        <f t="shared" si="20"/>
        <v>983.84111229569623</v>
      </c>
      <c r="N69" s="1">
        <f t="shared" ref="N69:N132" si="29">M69*(3600/6080)</f>
        <v>582.53750070139904</v>
      </c>
    </row>
    <row r="70" spans="1:14">
      <c r="A70" s="18">
        <v>33000</v>
      </c>
      <c r="B70" s="1">
        <f t="shared" si="21"/>
        <v>-58.708000000000027</v>
      </c>
      <c r="C70" s="1">
        <f t="shared" si="22"/>
        <v>400.99199999999996</v>
      </c>
      <c r="D70" s="1">
        <f t="shared" si="23"/>
        <v>-50.393333333333345</v>
      </c>
      <c r="E70" s="2">
        <f t="shared" si="24"/>
        <v>0.77311585401122096</v>
      </c>
      <c r="F70" s="2">
        <f t="shared" si="25"/>
        <v>0.25858094715266783</v>
      </c>
      <c r="G70" s="25">
        <f t="shared" si="17"/>
        <v>547.21417198341862</v>
      </c>
      <c r="H70" s="9">
        <f t="shared" si="26"/>
        <v>7.9498548436094112E-4</v>
      </c>
      <c r="I70" s="2">
        <f t="shared" si="18"/>
        <v>0.3344659740335823</v>
      </c>
      <c r="J70" s="2">
        <f t="shared" si="27"/>
        <v>0.5783303329703382</v>
      </c>
      <c r="K70" s="17">
        <f t="shared" si="19"/>
        <v>383.0499203883931</v>
      </c>
      <c r="L70" s="2">
        <f t="shared" si="28"/>
        <v>2.5577901451126359E-2</v>
      </c>
      <c r="M70" s="25">
        <f t="shared" si="20"/>
        <v>981.66106839027111</v>
      </c>
      <c r="N70" s="1">
        <f t="shared" si="29"/>
        <v>581.24668523108153</v>
      </c>
    </row>
    <row r="71" spans="1:14">
      <c r="A71" s="18">
        <v>33500</v>
      </c>
      <c r="B71" s="1">
        <f t="shared" si="21"/>
        <v>-60.491000000000042</v>
      </c>
      <c r="C71" s="1">
        <f t="shared" si="22"/>
        <v>399.20899999999995</v>
      </c>
      <c r="D71" s="1">
        <f t="shared" si="23"/>
        <v>-51.383888888888912</v>
      </c>
      <c r="E71" s="2">
        <f t="shared" si="24"/>
        <v>0.76967821543563342</v>
      </c>
      <c r="F71" s="2">
        <f t="shared" si="25"/>
        <v>0.25259447459484191</v>
      </c>
      <c r="G71" s="25">
        <f t="shared" si="17"/>
        <v>534.54547902709635</v>
      </c>
      <c r="H71" s="9">
        <f t="shared" si="26"/>
        <v>7.8004904222886493E-4</v>
      </c>
      <c r="I71" s="2">
        <f t="shared" si="18"/>
        <v>0.32818192009224906</v>
      </c>
      <c r="J71" s="2">
        <f t="shared" si="27"/>
        <v>0.57287164364476018</v>
      </c>
      <c r="K71" s="17">
        <f t="shared" si="19"/>
        <v>374.18183531896744</v>
      </c>
      <c r="L71" s="2">
        <f t="shared" si="28"/>
        <v>2.5097335639045142E-2</v>
      </c>
      <c r="M71" s="25">
        <f t="shared" si="20"/>
        <v>979.47617232019718</v>
      </c>
      <c r="N71" s="1">
        <f t="shared" si="29"/>
        <v>579.95299676853779</v>
      </c>
    </row>
    <row r="72" spans="1:14">
      <c r="A72" s="18">
        <v>34000</v>
      </c>
      <c r="B72" s="1">
        <f t="shared" si="21"/>
        <v>-62.274000000000058</v>
      </c>
      <c r="C72" s="1">
        <f t="shared" si="22"/>
        <v>397.42599999999993</v>
      </c>
      <c r="D72" s="1">
        <f t="shared" si="23"/>
        <v>-52.374444444444478</v>
      </c>
      <c r="E72" s="2">
        <f t="shared" si="24"/>
        <v>0.76624057686004576</v>
      </c>
      <c r="F72" s="2">
        <f t="shared" si="25"/>
        <v>0.2467207259962696</v>
      </c>
      <c r="G72" s="25">
        <f t="shared" si="17"/>
        <v>522.11533476782563</v>
      </c>
      <c r="H72" s="9">
        <f t="shared" si="26"/>
        <v>7.6532824926749371E-4</v>
      </c>
      <c r="I72" s="2">
        <f t="shared" si="18"/>
        <v>0.32198859398349672</v>
      </c>
      <c r="J72" s="2">
        <f t="shared" si="27"/>
        <v>0.56744038804397479</v>
      </c>
      <c r="K72" s="17">
        <f t="shared" si="19"/>
        <v>365.48073433747794</v>
      </c>
      <c r="L72" s="2">
        <f t="shared" si="28"/>
        <v>2.4623708133819606E-2</v>
      </c>
      <c r="M72" s="25">
        <f t="shared" si="20"/>
        <v>977.28639154186544</v>
      </c>
      <c r="N72" s="1">
        <f t="shared" si="29"/>
        <v>578.6564160445256</v>
      </c>
    </row>
    <row r="73" spans="1:14">
      <c r="A73" s="18">
        <v>34500</v>
      </c>
      <c r="B73" s="1">
        <f t="shared" si="21"/>
        <v>-64.057000000000016</v>
      </c>
      <c r="C73" s="1">
        <f t="shared" si="22"/>
        <v>395.64299999999997</v>
      </c>
      <c r="D73" s="1">
        <f t="shared" si="23"/>
        <v>-53.365000000000009</v>
      </c>
      <c r="E73" s="2">
        <f t="shared" si="24"/>
        <v>0.76280293828445833</v>
      </c>
      <c r="F73" s="2">
        <f t="shared" si="25"/>
        <v>0.24095807026245217</v>
      </c>
      <c r="G73" s="25">
        <f t="shared" si="17"/>
        <v>509.92028745080648</v>
      </c>
      <c r="H73" s="9">
        <f t="shared" si="26"/>
        <v>7.5082093854211146E-4</v>
      </c>
      <c r="I73" s="2">
        <f t="shared" si="18"/>
        <v>0.31588508403542098</v>
      </c>
      <c r="J73" s="2">
        <f t="shared" si="27"/>
        <v>0.56203655044438261</v>
      </c>
      <c r="K73" s="17">
        <f t="shared" si="19"/>
        <v>356.94420121556459</v>
      </c>
      <c r="L73" s="2">
        <f t="shared" si="28"/>
        <v>2.4156949216387318E-2</v>
      </c>
      <c r="M73" s="25">
        <f t="shared" si="20"/>
        <v>975.09169314624774</v>
      </c>
      <c r="N73" s="1">
        <f t="shared" si="29"/>
        <v>577.35692357343612</v>
      </c>
    </row>
    <row r="74" spans="1:14">
      <c r="A74" s="18">
        <v>35000</v>
      </c>
      <c r="B74" s="1">
        <f t="shared" si="21"/>
        <v>-65.840000000000032</v>
      </c>
      <c r="C74" s="1">
        <f t="shared" si="22"/>
        <v>393.85999999999996</v>
      </c>
      <c r="D74" s="1">
        <f t="shared" si="23"/>
        <v>-54.355555555555576</v>
      </c>
      <c r="E74" s="2">
        <f t="shared" si="24"/>
        <v>0.75936529970887079</v>
      </c>
      <c r="F74" s="2">
        <f t="shared" si="25"/>
        <v>0.23530489272536734</v>
      </c>
      <c r="G74" s="25">
        <f t="shared" si="17"/>
        <v>497.95692008327683</v>
      </c>
      <c r="H74" s="9">
        <f t="shared" si="26"/>
        <v>7.3652495529555404E-4</v>
      </c>
      <c r="I74" s="2">
        <f t="shared" si="18"/>
        <v>0.30987048369945225</v>
      </c>
      <c r="J74" s="2">
        <f t="shared" si="27"/>
        <v>0.5566601150607543</v>
      </c>
      <c r="K74" s="17">
        <f t="shared" si="19"/>
        <v>348.56984405829382</v>
      </c>
      <c r="L74" s="2">
        <f t="shared" si="28"/>
        <v>2.369698955948699E-2</v>
      </c>
      <c r="M74" s="25">
        <f t="shared" si="20"/>
        <v>972.89204385312564</v>
      </c>
      <c r="N74" s="1">
        <f t="shared" si="29"/>
        <v>576.05449964987702</v>
      </c>
    </row>
    <row r="75" spans="1:14">
      <c r="A75" s="18">
        <v>35500</v>
      </c>
      <c r="B75" s="1">
        <f t="shared" si="21"/>
        <v>-67.62299999999999</v>
      </c>
      <c r="C75" s="1">
        <f t="shared" si="22"/>
        <v>392.077</v>
      </c>
      <c r="D75" s="1">
        <f t="shared" si="23"/>
        <v>-55.346111111111107</v>
      </c>
      <c r="E75" s="2">
        <f t="shared" si="24"/>
        <v>0.75592766113328325</v>
      </c>
      <c r="F75" s="2">
        <f t="shared" si="25"/>
        <v>0.22975959505095223</v>
      </c>
      <c r="G75" s="25">
        <f t="shared" si="17"/>
        <v>486.22185023872606</v>
      </c>
      <c r="H75" s="9">
        <f t="shared" si="26"/>
        <v>7.2243815693419692E-4</v>
      </c>
      <c r="I75" s="2">
        <f t="shared" si="18"/>
        <v>0.30394389154446033</v>
      </c>
      <c r="J75" s="2">
        <f t="shared" si="27"/>
        <v>0.55131106604571278</v>
      </c>
      <c r="K75" s="17">
        <f t="shared" si="19"/>
        <v>340.3552951671083</v>
      </c>
      <c r="L75" s="2">
        <f t="shared" si="28"/>
        <v>2.3243760227207644E-2</v>
      </c>
      <c r="M75" s="25">
        <f t="shared" si="20"/>
        <v>970.68741000520242</v>
      </c>
      <c r="N75" s="1">
        <f t="shared" si="29"/>
        <v>574.74912434518558</v>
      </c>
    </row>
    <row r="76" spans="1:14">
      <c r="A76" s="139">
        <v>36000</v>
      </c>
      <c r="B76" s="1">
        <f t="shared" si="21"/>
        <v>-69.406000000000006</v>
      </c>
      <c r="C76" s="1">
        <f t="shared" si="22"/>
        <v>390.29399999999998</v>
      </c>
      <c r="D76" s="1">
        <f t="shared" si="23"/>
        <v>-56.336666666666673</v>
      </c>
      <c r="E76" s="2">
        <f t="shared" si="24"/>
        <v>0.7524900225576957</v>
      </c>
      <c r="F76" s="2">
        <f t="shared" si="25"/>
        <v>0.2243205951466897</v>
      </c>
      <c r="G76" s="25">
        <f t="shared" si="17"/>
        <v>474.71172986132763</v>
      </c>
      <c r="H76" s="9">
        <f t="shared" si="26"/>
        <v>7.0855841301388554E-4</v>
      </c>
      <c r="I76" s="2">
        <f t="shared" si="18"/>
        <v>0.29810441125083537</v>
      </c>
      <c r="J76" s="2">
        <f t="shared" si="27"/>
        <v>0.54598938748920323</v>
      </c>
      <c r="K76" s="17">
        <f t="shared" si="19"/>
        <v>332.29821090292938</v>
      </c>
      <c r="L76" s="2">
        <f t="shared" si="28"/>
        <v>2.2797192674535942E-2</v>
      </c>
      <c r="M76" s="25">
        <f t="shared" si="20"/>
        <v>968.47775756209501</v>
      </c>
      <c r="N76" s="1">
        <f t="shared" si="29"/>
        <v>573.44077750387203</v>
      </c>
    </row>
    <row r="77" spans="1:14">
      <c r="A77" s="18">
        <v>36500</v>
      </c>
      <c r="B77" s="1">
        <f t="shared" si="21"/>
        <v>-69.70999999999998</v>
      </c>
      <c r="C77" s="1">
        <v>389.99</v>
      </c>
      <c r="D77" s="1">
        <f t="shared" si="23"/>
        <v>-56.505555555555546</v>
      </c>
      <c r="E77" s="2">
        <f t="shared" si="24"/>
        <v>0.75190390807257035</v>
      </c>
      <c r="F77" s="2">
        <f>0.223361/EXP((A77-36089.2)*0.0000480637)</f>
        <v>0.21899408683123331</v>
      </c>
      <c r="G77" s="25">
        <f t="shared" si="17"/>
        <v>463.4396664339925</v>
      </c>
      <c r="H77" s="9">
        <f t="shared" si="26"/>
        <v>6.9227285497388766E-4</v>
      </c>
      <c r="I77" s="2">
        <f t="shared" si="18"/>
        <v>0.29125275780598414</v>
      </c>
      <c r="J77" s="2">
        <f t="shared" si="27"/>
        <v>0.53967838367492926</v>
      </c>
      <c r="K77" s="17">
        <f t="shared" si="19"/>
        <v>324.40776650379479</v>
      </c>
      <c r="L77" s="2">
        <f t="shared" si="28"/>
        <v>2.2273220341936038E-2</v>
      </c>
      <c r="M77" s="25">
        <f t="shared" si="20"/>
        <v>968.1005104214338</v>
      </c>
      <c r="N77" s="1">
        <f t="shared" si="29"/>
        <v>573.21740748637524</v>
      </c>
    </row>
    <row r="78" spans="1:14">
      <c r="A78" s="18">
        <v>37000</v>
      </c>
      <c r="B78" s="1">
        <f t="shared" si="21"/>
        <v>-69.70999999999998</v>
      </c>
      <c r="C78" s="1">
        <v>389.99</v>
      </c>
      <c r="D78" s="1">
        <f t="shared" si="23"/>
        <v>-56.505555555555546</v>
      </c>
      <c r="E78" s="2">
        <f t="shared" si="24"/>
        <v>0.75190390807257035</v>
      </c>
      <c r="F78" s="2">
        <f t="shared" ref="F78:F134" si="30">0.223361/EXP((A78-36089.2)*0.0000480637)</f>
        <v>0.21379398804785665</v>
      </c>
      <c r="G78" s="25">
        <f t="shared" si="17"/>
        <v>452.43511338663518</v>
      </c>
      <c r="H78" s="9">
        <f t="shared" si="26"/>
        <v>6.7583456989047069E-4</v>
      </c>
      <c r="I78" s="2">
        <f t="shared" si="18"/>
        <v>0.28433684910069951</v>
      </c>
      <c r="J78" s="2">
        <f t="shared" si="27"/>
        <v>0.5332324531578132</v>
      </c>
      <c r="K78" s="17">
        <f t="shared" si="19"/>
        <v>316.70457937064464</v>
      </c>
      <c r="L78" s="2">
        <f t="shared" si="28"/>
        <v>2.1744334162049184E-2</v>
      </c>
      <c r="M78" s="25">
        <f t="shared" si="20"/>
        <v>968.1005104214338</v>
      </c>
      <c r="N78" s="1">
        <f t="shared" si="29"/>
        <v>573.21740748637524</v>
      </c>
    </row>
    <row r="79" spans="1:14">
      <c r="A79" s="18">
        <v>37500</v>
      </c>
      <c r="B79" s="1">
        <f t="shared" si="21"/>
        <v>-69.70999999999998</v>
      </c>
      <c r="C79" s="1">
        <v>389.99</v>
      </c>
      <c r="D79" s="1">
        <f t="shared" si="23"/>
        <v>-56.505555555555546</v>
      </c>
      <c r="E79" s="2">
        <f t="shared" si="24"/>
        <v>0.75190390807257035</v>
      </c>
      <c r="F79" s="2">
        <f t="shared" si="30"/>
        <v>0.20871736760925244</v>
      </c>
      <c r="G79" s="25">
        <f t="shared" si="17"/>
        <v>441.69186768205213</v>
      </c>
      <c r="H79" s="9">
        <f t="shared" si="26"/>
        <v>6.5978661820600482E-4</v>
      </c>
      <c r="I79" s="2">
        <f t="shared" si="18"/>
        <v>0.27758516130642052</v>
      </c>
      <c r="J79" s="2">
        <f t="shared" si="27"/>
        <v>0.52686351297695733</v>
      </c>
      <c r="K79" s="17">
        <f t="shared" si="19"/>
        <v>309.18430737743654</v>
      </c>
      <c r="L79" s="2">
        <f t="shared" si="28"/>
        <v>2.1228006587832318E-2</v>
      </c>
      <c r="M79" s="25">
        <f t="shared" si="20"/>
        <v>968.1005104214338</v>
      </c>
      <c r="N79" s="1">
        <f t="shared" si="29"/>
        <v>573.21740748637524</v>
      </c>
    </row>
    <row r="80" spans="1:14">
      <c r="A80" s="18">
        <v>38000</v>
      </c>
      <c r="B80" s="1">
        <f t="shared" si="21"/>
        <v>-69.70999999999998</v>
      </c>
      <c r="C80" s="1">
        <v>389.99</v>
      </c>
      <c r="D80" s="1">
        <f t="shared" si="23"/>
        <v>-56.505555555555546</v>
      </c>
      <c r="E80" s="2">
        <f t="shared" si="24"/>
        <v>0.75190390807257035</v>
      </c>
      <c r="F80" s="2">
        <f t="shared" si="30"/>
        <v>0.20376129347465322</v>
      </c>
      <c r="G80" s="25">
        <f t="shared" si="17"/>
        <v>431.20372447693057</v>
      </c>
      <c r="H80" s="9">
        <f t="shared" si="26"/>
        <v>6.4411973130386996E-4</v>
      </c>
      <c r="I80" s="2">
        <f t="shared" si="18"/>
        <v>0.27099379493448134</v>
      </c>
      <c r="J80" s="2">
        <f t="shared" si="27"/>
        <v>0.52057064355808746</v>
      </c>
      <c r="K80" s="17">
        <f t="shared" si="19"/>
        <v>301.84260713385146</v>
      </c>
      <c r="L80" s="2">
        <f t="shared" si="28"/>
        <v>2.0723939410365703E-2</v>
      </c>
      <c r="M80" s="25">
        <f t="shared" si="20"/>
        <v>968.1005104214338</v>
      </c>
      <c r="N80" s="1">
        <f t="shared" si="29"/>
        <v>573.21740748637524</v>
      </c>
    </row>
    <row r="81" spans="1:14">
      <c r="A81" s="18">
        <v>38500</v>
      </c>
      <c r="B81" s="1">
        <f t="shared" si="21"/>
        <v>-69.70999999999998</v>
      </c>
      <c r="C81" s="1">
        <v>389.99</v>
      </c>
      <c r="D81" s="1">
        <f t="shared" si="23"/>
        <v>-56.505555555555546</v>
      </c>
      <c r="E81" s="2">
        <f t="shared" si="24"/>
        <v>0.75190390807257035</v>
      </c>
      <c r="F81" s="2">
        <f t="shared" si="30"/>
        <v>0.19892290322572673</v>
      </c>
      <c r="G81" s="25">
        <f t="shared" si="17"/>
        <v>420.96462626434737</v>
      </c>
      <c r="H81" s="9">
        <f t="shared" si="26"/>
        <v>6.2882486065431024E-4</v>
      </c>
      <c r="I81" s="2">
        <f t="shared" si="18"/>
        <v>0.26455894309107325</v>
      </c>
      <c r="J81" s="2">
        <f t="shared" si="27"/>
        <v>0.5143529363103444</v>
      </c>
      <c r="K81" s="17">
        <f t="shared" si="19"/>
        <v>294.6752383850432</v>
      </c>
      <c r="L81" s="2">
        <f t="shared" si="28"/>
        <v>2.0231841501815031E-2</v>
      </c>
      <c r="M81" s="25">
        <f t="shared" si="20"/>
        <v>968.1005104214338</v>
      </c>
      <c r="N81" s="1">
        <f t="shared" si="29"/>
        <v>573.21740748637524</v>
      </c>
    </row>
    <row r="82" spans="1:14">
      <c r="A82" s="18">
        <v>39000</v>
      </c>
      <c r="B82" s="1">
        <f t="shared" si="21"/>
        <v>-69.70999999999998</v>
      </c>
      <c r="C82" s="1">
        <v>389.99</v>
      </c>
      <c r="D82" s="1">
        <f t="shared" si="23"/>
        <v>-56.505555555555546</v>
      </c>
      <c r="E82" s="2">
        <f t="shared" si="24"/>
        <v>0.75190390807257035</v>
      </c>
      <c r="F82" s="2">
        <f t="shared" si="30"/>
        <v>0.19419940241336447</v>
      </c>
      <c r="G82" s="25">
        <f t="shared" si="17"/>
        <v>410.96865937521011</v>
      </c>
      <c r="H82" s="9">
        <f t="shared" si="26"/>
        <v>6.1389317258838782E-4</v>
      </c>
      <c r="I82" s="2">
        <f t="shared" si="18"/>
        <v>0.25827688927854492</v>
      </c>
      <c r="J82" s="2">
        <f t="shared" si="27"/>
        <v>0.50820949349509881</v>
      </c>
      <c r="K82" s="17">
        <f t="shared" si="19"/>
        <v>287.67806156264714</v>
      </c>
      <c r="L82" s="2">
        <f t="shared" si="28"/>
        <v>1.9751428647288342E-2</v>
      </c>
      <c r="M82" s="25">
        <f t="shared" si="20"/>
        <v>968.1005104214338</v>
      </c>
      <c r="N82" s="1">
        <f t="shared" si="29"/>
        <v>573.21740748637524</v>
      </c>
    </row>
    <row r="83" spans="1:14">
      <c r="A83" s="18">
        <v>39500</v>
      </c>
      <c r="B83" s="1">
        <f t="shared" si="21"/>
        <v>-69.70999999999998</v>
      </c>
      <c r="C83" s="1">
        <v>389.99</v>
      </c>
      <c r="D83" s="1">
        <f t="shared" si="23"/>
        <v>-56.505555555555546</v>
      </c>
      <c r="E83" s="2">
        <f t="shared" si="24"/>
        <v>0.75190390807257035</v>
      </c>
      <c r="F83" s="2">
        <f t="shared" si="30"/>
        <v>0.1895880629437264</v>
      </c>
      <c r="G83" s="25">
        <f t="shared" si="17"/>
        <v>401.21005056277266</v>
      </c>
      <c r="H83" s="9">
        <f t="shared" si="26"/>
        <v>5.9931604319603011E-4</v>
      </c>
      <c r="I83" s="2">
        <f t="shared" si="18"/>
        <v>0.2521440052489104</v>
      </c>
      <c r="J83" s="2">
        <f t="shared" si="27"/>
        <v>0.50213942809633105</v>
      </c>
      <c r="K83" s="17">
        <f t="shared" si="19"/>
        <v>280.84703539394087</v>
      </c>
      <c r="L83" s="2">
        <f t="shared" si="28"/>
        <v>1.9282423380685563E-2</v>
      </c>
      <c r="M83" s="25">
        <f t="shared" si="20"/>
        <v>968.1005104214338</v>
      </c>
      <c r="N83" s="1">
        <f t="shared" si="29"/>
        <v>573.21740748637524</v>
      </c>
    </row>
    <row r="84" spans="1:14">
      <c r="A84" s="18">
        <v>40000</v>
      </c>
      <c r="B84" s="1">
        <f t="shared" si="21"/>
        <v>-69.70999999999998</v>
      </c>
      <c r="C84" s="1">
        <v>389.99</v>
      </c>
      <c r="D84" s="1">
        <f t="shared" si="23"/>
        <v>-56.505555555555546</v>
      </c>
      <c r="E84" s="2">
        <f t="shared" si="24"/>
        <v>0.75190390807257035</v>
      </c>
      <c r="F84" s="2">
        <f t="shared" si="30"/>
        <v>0.18508622150260945</v>
      </c>
      <c r="G84" s="25">
        <f t="shared" si="17"/>
        <v>391.68316366825212</v>
      </c>
      <c r="H84" s="9">
        <f t="shared" si="26"/>
        <v>5.8508505334522413E-4</v>
      </c>
      <c r="I84" s="2">
        <f t="shared" si="18"/>
        <v>0.24615674890832695</v>
      </c>
      <c r="J84" s="2">
        <f t="shared" si="27"/>
        <v>0.49614186369256019</v>
      </c>
      <c r="K84" s="17">
        <f t="shared" si="19"/>
        <v>274.17821456777654</v>
      </c>
      <c r="L84" s="2">
        <f t="shared" si="28"/>
        <v>1.8824554824445821E-2</v>
      </c>
      <c r="M84" s="25">
        <f t="shared" si="20"/>
        <v>968.1005104214338</v>
      </c>
      <c r="N84" s="1">
        <f t="shared" si="29"/>
        <v>573.21740748637524</v>
      </c>
    </row>
    <row r="85" spans="1:14">
      <c r="A85" s="18">
        <v>40500</v>
      </c>
      <c r="B85" s="1">
        <f t="shared" si="21"/>
        <v>-69.70999999999998</v>
      </c>
      <c r="C85" s="1">
        <v>389.99</v>
      </c>
      <c r="D85" s="1">
        <f t="shared" si="23"/>
        <v>-56.505555555555546</v>
      </c>
      <c r="E85" s="2">
        <f t="shared" si="24"/>
        <v>0.75190390807257035</v>
      </c>
      <c r="F85" s="2">
        <f t="shared" si="30"/>
        <v>0.18069127801723023</v>
      </c>
      <c r="G85" s="25">
        <f t="shared" si="17"/>
        <v>382.3824963656229</v>
      </c>
      <c r="H85" s="9">
        <f t="shared" si="26"/>
        <v>5.7119198381948375E-4</v>
      </c>
      <c r="I85" s="2">
        <f t="shared" si="18"/>
        <v>0.24031166227133205</v>
      </c>
      <c r="J85" s="2">
        <f t="shared" si="27"/>
        <v>0.49021593433030308</v>
      </c>
      <c r="K85" s="17">
        <f t="shared" si="19"/>
        <v>267.66774745593608</v>
      </c>
      <c r="L85" s="2">
        <f t="shared" si="28"/>
        <v>1.8377558533100084E-2</v>
      </c>
      <c r="M85" s="25">
        <f t="shared" si="20"/>
        <v>968.1005104214338</v>
      </c>
      <c r="N85" s="1">
        <f t="shared" si="29"/>
        <v>573.21740748637524</v>
      </c>
    </row>
    <row r="86" spans="1:14">
      <c r="A86" s="18">
        <v>41000</v>
      </c>
      <c r="B86" s="1">
        <f t="shared" si="21"/>
        <v>-69.70999999999998</v>
      </c>
      <c r="C86" s="1">
        <v>389.99</v>
      </c>
      <c r="D86" s="1">
        <f t="shared" si="23"/>
        <v>-56.505555555555546</v>
      </c>
      <c r="E86" s="2">
        <f t="shared" si="24"/>
        <v>0.75190390807257035</v>
      </c>
      <c r="F86" s="2">
        <f t="shared" si="30"/>
        <v>0.17640069415453313</v>
      </c>
      <c r="G86" s="25">
        <f t="shared" si="17"/>
        <v>373.30267698370608</v>
      </c>
      <c r="H86" s="9">
        <f t="shared" si="26"/>
        <v>5.5762881057077761E-4</v>
      </c>
      <c r="I86" s="2">
        <f t="shared" si="18"/>
        <v>0.23460536946365723</v>
      </c>
      <c r="J86" s="2">
        <f t="shared" si="27"/>
        <v>0.48436078439904406</v>
      </c>
      <c r="K86" s="17">
        <f t="shared" si="19"/>
        <v>261.31187388859428</v>
      </c>
      <c r="L86" s="2">
        <f t="shared" si="28"/>
        <v>1.7941176340538628E-2</v>
      </c>
      <c r="M86" s="25">
        <f t="shared" si="20"/>
        <v>968.1005104214338</v>
      </c>
      <c r="N86" s="1">
        <f t="shared" si="29"/>
        <v>573.21740748637524</v>
      </c>
    </row>
    <row r="87" spans="1:14">
      <c r="A87" s="18">
        <v>41500</v>
      </c>
      <c r="B87" s="1">
        <f t="shared" si="21"/>
        <v>-69.70999999999998</v>
      </c>
      <c r="C87" s="1">
        <v>389.99</v>
      </c>
      <c r="D87" s="1">
        <f t="shared" si="23"/>
        <v>-56.505555555555546</v>
      </c>
      <c r="E87" s="2">
        <f t="shared" si="24"/>
        <v>0.75190390807257035</v>
      </c>
      <c r="F87" s="2">
        <f t="shared" si="30"/>
        <v>0.1722119918551569</v>
      </c>
      <c r="G87" s="25">
        <f t="shared" si="17"/>
        <v>364.43846140372011</v>
      </c>
      <c r="H87" s="9">
        <f t="shared" si="26"/>
        <v>5.4438770008518017E-4</v>
      </c>
      <c r="I87" s="2">
        <f t="shared" si="18"/>
        <v>0.2290345747724665</v>
      </c>
      <c r="J87" s="2">
        <f t="shared" si="27"/>
        <v>0.47857556850769817</v>
      </c>
      <c r="K87" s="17">
        <f t="shared" si="19"/>
        <v>255.10692298260409</v>
      </c>
      <c r="L87" s="2">
        <f t="shared" si="28"/>
        <v>1.7515156210905269E-2</v>
      </c>
      <c r="M87" s="25">
        <f t="shared" si="20"/>
        <v>968.1005104214338</v>
      </c>
      <c r="N87" s="1">
        <f t="shared" si="29"/>
        <v>573.21740748637524</v>
      </c>
    </row>
    <row r="88" spans="1:14">
      <c r="A88" s="18">
        <v>42000</v>
      </c>
      <c r="B88" s="1">
        <f t="shared" si="21"/>
        <v>-69.70999999999998</v>
      </c>
      <c r="C88" s="1">
        <v>389.99</v>
      </c>
      <c r="D88" s="1">
        <f t="shared" si="23"/>
        <v>-56.505555555555546</v>
      </c>
      <c r="E88" s="2">
        <f t="shared" si="24"/>
        <v>0.75190390807257035</v>
      </c>
      <c r="F88" s="2">
        <f t="shared" si="30"/>
        <v>0.16812275190221238</v>
      </c>
      <c r="G88" s="25">
        <f t="shared" si="17"/>
        <v>355.78473003049982</v>
      </c>
      <c r="H88" s="9">
        <f t="shared" si="26"/>
        <v>5.3146100485856526E-4</v>
      </c>
      <c r="I88" s="2">
        <f t="shared" si="18"/>
        <v>0.22359606074289207</v>
      </c>
      <c r="J88" s="2">
        <f t="shared" si="27"/>
        <v>0.47285945136255031</v>
      </c>
      <c r="K88" s="17">
        <f t="shared" si="19"/>
        <v>249.04931102134992</v>
      </c>
      <c r="L88" s="2">
        <f t="shared" si="28"/>
        <v>1.7099252093032112E-2</v>
      </c>
      <c r="M88" s="25">
        <f t="shared" si="20"/>
        <v>968.1005104214338</v>
      </c>
      <c r="N88" s="1">
        <f t="shared" si="29"/>
        <v>573.21740748637524</v>
      </c>
    </row>
    <row r="89" spans="1:14">
      <c r="A89" s="18">
        <v>42500</v>
      </c>
      <c r="B89" s="1">
        <f t="shared" si="21"/>
        <v>-69.70999999999998</v>
      </c>
      <c r="C89" s="1">
        <v>389.99</v>
      </c>
      <c r="D89" s="1">
        <f t="shared" si="23"/>
        <v>-56.505555555555546</v>
      </c>
      <c r="E89" s="2">
        <f t="shared" si="24"/>
        <v>0.75190390807257035</v>
      </c>
      <c r="F89" s="2">
        <f t="shared" si="30"/>
        <v>0.16413061252404565</v>
      </c>
      <c r="G89" s="25">
        <f t="shared" si="17"/>
        <v>347.33648483563587</v>
      </c>
      <c r="H89" s="9">
        <f t="shared" si="26"/>
        <v>5.1884125897973276E-4</v>
      </c>
      <c r="I89" s="2">
        <f t="shared" si="18"/>
        <v>0.21828668631976908</v>
      </c>
      <c r="J89" s="2">
        <f t="shared" si="27"/>
        <v>0.46721160764665198</v>
      </c>
      <c r="K89" s="17">
        <f t="shared" si="19"/>
        <v>243.13553938494513</v>
      </c>
      <c r="L89" s="2">
        <f t="shared" si="28"/>
        <v>1.6693223778330855E-2</v>
      </c>
      <c r="M89" s="25">
        <f t="shared" si="20"/>
        <v>968.1005104214338</v>
      </c>
      <c r="N89" s="1">
        <f t="shared" si="29"/>
        <v>573.21740748637524</v>
      </c>
    </row>
    <row r="90" spans="1:14">
      <c r="A90" s="18">
        <v>43000</v>
      </c>
      <c r="B90" s="1">
        <f t="shared" si="21"/>
        <v>-69.70999999999998</v>
      </c>
      <c r="C90" s="1">
        <v>389.99</v>
      </c>
      <c r="D90" s="1">
        <f t="shared" si="23"/>
        <v>-56.505555555555546</v>
      </c>
      <c r="E90" s="2">
        <f t="shared" si="24"/>
        <v>0.75190390807257035</v>
      </c>
      <c r="F90" s="2">
        <f t="shared" si="30"/>
        <v>0.16023326803017859</v>
      </c>
      <c r="G90" s="25">
        <f t="shared" si="17"/>
        <v>339.08884647082454</v>
      </c>
      <c r="H90" s="9">
        <f t="shared" si="26"/>
        <v>5.0652117381841367E-4</v>
      </c>
      <c r="I90" s="2">
        <f t="shared" si="18"/>
        <v>0.21310338503349502</v>
      </c>
      <c r="J90" s="2">
        <f t="shared" si="27"/>
        <v>0.46163122190065853</v>
      </c>
      <c r="K90" s="17">
        <f t="shared" si="19"/>
        <v>237.36219252957719</v>
      </c>
      <c r="L90" s="2">
        <f t="shared" si="28"/>
        <v>1.6296836762058453E-2</v>
      </c>
      <c r="M90" s="25">
        <f t="shared" si="20"/>
        <v>968.1005104214338</v>
      </c>
      <c r="N90" s="1">
        <f t="shared" si="29"/>
        <v>573.21740748637524</v>
      </c>
    </row>
    <row r="91" spans="1:14">
      <c r="A91" s="18">
        <v>43500</v>
      </c>
      <c r="B91" s="1">
        <f t="shared" si="21"/>
        <v>-69.70999999999998</v>
      </c>
      <c r="C91" s="1">
        <v>389.99</v>
      </c>
      <c r="D91" s="1">
        <f t="shared" si="23"/>
        <v>-56.505555555555546</v>
      </c>
      <c r="E91" s="2">
        <f t="shared" si="24"/>
        <v>0.75190390807257035</v>
      </c>
      <c r="F91" s="2">
        <f t="shared" si="30"/>
        <v>0.15642846747963987</v>
      </c>
      <c r="G91" s="25">
        <f t="shared" si="17"/>
        <v>331.03705144976345</v>
      </c>
      <c r="H91" s="9">
        <f t="shared" si="26"/>
        <v>4.9449363381566687E-4</v>
      </c>
      <c r="I91" s="2">
        <f t="shared" si="18"/>
        <v>0.2080431632289669</v>
      </c>
      <c r="J91" s="2">
        <f t="shared" si="27"/>
        <v>0.45611748840508942</v>
      </c>
      <c r="K91" s="17">
        <f t="shared" si="19"/>
        <v>231.72593601483445</v>
      </c>
      <c r="L91" s="2">
        <f t="shared" si="28"/>
        <v>1.5909862107877142E-2</v>
      </c>
      <c r="M91" s="25">
        <f t="shared" si="20"/>
        <v>968.1005104214338</v>
      </c>
      <c r="N91" s="1">
        <f t="shared" si="29"/>
        <v>573.21740748637524</v>
      </c>
    </row>
    <row r="92" spans="1:14">
      <c r="A92" s="18">
        <v>44000</v>
      </c>
      <c r="B92" s="1">
        <f t="shared" si="21"/>
        <v>-69.70999999999998</v>
      </c>
      <c r="C92" s="1">
        <v>389.99</v>
      </c>
      <c r="D92" s="1">
        <f t="shared" si="23"/>
        <v>-56.505555555555546</v>
      </c>
      <c r="E92" s="2">
        <f t="shared" si="24"/>
        <v>0.75190390807257035</v>
      </c>
      <c r="F92" s="2">
        <f t="shared" si="30"/>
        <v>0.15271401338091697</v>
      </c>
      <c r="G92" s="25">
        <f t="shared" si="17"/>
        <v>323.17644939696407</v>
      </c>
      <c r="H92" s="9">
        <f t="shared" si="26"/>
        <v>4.8275169237423419E-4</v>
      </c>
      <c r="I92" s="2">
        <f t="shared" si="18"/>
        <v>0.20310309833657322</v>
      </c>
      <c r="J92" s="2">
        <f t="shared" si="27"/>
        <v>0.45066961106399578</v>
      </c>
      <c r="K92" s="17">
        <f t="shared" si="19"/>
        <v>226.22351457787488</v>
      </c>
      <c r="L92" s="2">
        <f t="shared" si="28"/>
        <v>1.5532076315630521E-2</v>
      </c>
      <c r="M92" s="25">
        <f t="shared" si="20"/>
        <v>968.1005104214338</v>
      </c>
      <c r="N92" s="1">
        <f t="shared" si="29"/>
        <v>573.21740748637524</v>
      </c>
    </row>
    <row r="93" spans="1:14">
      <c r="A93" s="18">
        <v>44500</v>
      </c>
      <c r="B93" s="1">
        <f t="shared" si="21"/>
        <v>-69.70999999999998</v>
      </c>
      <c r="C93" s="1">
        <v>389.99</v>
      </c>
      <c r="D93" s="1">
        <f t="shared" si="23"/>
        <v>-56.505555555555546</v>
      </c>
      <c r="E93" s="2">
        <f t="shared" si="24"/>
        <v>0.75190390807257035</v>
      </c>
      <c r="F93" s="2">
        <f t="shared" si="30"/>
        <v>0.14908776042277813</v>
      </c>
      <c r="G93" s="25">
        <f t="shared" si="17"/>
        <v>315.50250036189152</v>
      </c>
      <c r="H93" s="9">
        <f t="shared" si="26"/>
        <v>4.7128856784647984E-4</v>
      </c>
      <c r="I93" s="2">
        <f t="shared" si="18"/>
        <v>0.19828033718424146</v>
      </c>
      <c r="J93" s="2">
        <f t="shared" si="27"/>
        <v>0.44528680329001608</v>
      </c>
      <c r="K93" s="17">
        <f t="shared" si="19"/>
        <v>220.85175025332407</v>
      </c>
      <c r="L93" s="2">
        <f t="shared" si="28"/>
        <v>1.5163261192259324E-2</v>
      </c>
      <c r="M93" s="25">
        <f t="shared" si="20"/>
        <v>968.1005104214338</v>
      </c>
      <c r="N93" s="1">
        <f t="shared" si="29"/>
        <v>573.21740748637524</v>
      </c>
    </row>
    <row r="94" spans="1:14">
      <c r="A94" s="18">
        <v>45000</v>
      </c>
      <c r="B94" s="1">
        <f t="shared" si="21"/>
        <v>-69.70999999999998</v>
      </c>
      <c r="C94" s="1">
        <v>389.99</v>
      </c>
      <c r="D94" s="1">
        <f t="shared" si="23"/>
        <v>-56.505555555555546</v>
      </c>
      <c r="E94" s="2">
        <f t="shared" si="24"/>
        <v>0.75190390807257035</v>
      </c>
      <c r="F94" s="2">
        <f t="shared" si="30"/>
        <v>0.14554761423523152</v>
      </c>
      <c r="G94" s="25">
        <f t="shared" si="17"/>
        <v>308.01077219688165</v>
      </c>
      <c r="H94" s="9">
        <f t="shared" si="26"/>
        <v>4.6009763961759811E-4</v>
      </c>
      <c r="I94" s="2">
        <f t="shared" si="18"/>
        <v>0.19357209434956671</v>
      </c>
      <c r="J94" s="2">
        <f t="shared" si="27"/>
        <v>0.4399682878908055</v>
      </c>
      <c r="K94" s="17">
        <f t="shared" si="19"/>
        <v>215.60754053781716</v>
      </c>
      <c r="L94" s="2">
        <f t="shared" si="28"/>
        <v>1.4803203725782357E-2</v>
      </c>
      <c r="M94" s="25">
        <f t="shared" si="20"/>
        <v>968.1005104214338</v>
      </c>
      <c r="N94" s="1">
        <f t="shared" si="29"/>
        <v>573.21740748637524</v>
      </c>
    </row>
    <row r="95" spans="1:14">
      <c r="A95" s="18">
        <v>45500</v>
      </c>
      <c r="B95" s="1">
        <f t="shared" si="21"/>
        <v>-69.70999999999998</v>
      </c>
      <c r="C95" s="1">
        <v>389.99</v>
      </c>
      <c r="D95" s="1">
        <f t="shared" si="23"/>
        <v>-56.505555555555546</v>
      </c>
      <c r="E95" s="2">
        <f t="shared" si="24"/>
        <v>0.75190390807257035</v>
      </c>
      <c r="F95" s="2">
        <f t="shared" si="30"/>
        <v>0.14209153017990597</v>
      </c>
      <c r="G95" s="25">
        <f t="shared" si="17"/>
        <v>300.69693799732062</v>
      </c>
      <c r="H95" s="9">
        <f t="shared" si="26"/>
        <v>4.4917244428182743E-4</v>
      </c>
      <c r="I95" s="2">
        <f t="shared" si="18"/>
        <v>0.18897565055107007</v>
      </c>
      <c r="J95" s="2">
        <f t="shared" si="27"/>
        <v>0.43471329695682198</v>
      </c>
      <c r="K95" s="17">
        <f t="shared" si="19"/>
        <v>210.48785659812444</v>
      </c>
      <c r="L95" s="2">
        <f t="shared" si="28"/>
        <v>1.4451695962269818E-2</v>
      </c>
      <c r="M95" s="25">
        <f t="shared" si="20"/>
        <v>968.1005104214338</v>
      </c>
      <c r="N95" s="1">
        <f t="shared" si="29"/>
        <v>573.21740748637524</v>
      </c>
    </row>
    <row r="96" spans="1:14">
      <c r="A96" s="18">
        <v>46000</v>
      </c>
      <c r="B96" s="1">
        <f t="shared" si="21"/>
        <v>-69.70999999999998</v>
      </c>
      <c r="C96" s="1">
        <v>389.99</v>
      </c>
      <c r="D96" s="1">
        <f t="shared" si="23"/>
        <v>-56.505555555555546</v>
      </c>
      <c r="E96" s="2">
        <f t="shared" si="24"/>
        <v>0.75190390807257035</v>
      </c>
      <c r="F96" s="2">
        <f t="shared" si="30"/>
        <v>0.13871751216915448</v>
      </c>
      <c r="G96" s="25">
        <f t="shared" si="17"/>
        <v>293.55677360260808</v>
      </c>
      <c r="H96" s="9">
        <f t="shared" si="26"/>
        <v>4.3850667190946071E-4</v>
      </c>
      <c r="I96" s="2">
        <f t="shared" si="18"/>
        <v>0.18448835107765671</v>
      </c>
      <c r="J96" s="2">
        <f t="shared" si="27"/>
        <v>0.42952107175045173</v>
      </c>
      <c r="K96" s="17">
        <f t="shared" si="19"/>
        <v>205.48974152182566</v>
      </c>
      <c r="L96" s="2">
        <f t="shared" si="28"/>
        <v>1.4108534885737907E-2</v>
      </c>
      <c r="M96" s="25">
        <f t="shared" si="20"/>
        <v>968.1005104214338</v>
      </c>
      <c r="N96" s="1">
        <f t="shared" si="29"/>
        <v>573.21740748637524</v>
      </c>
    </row>
    <row r="97" spans="1:14">
      <c r="A97" s="18">
        <v>46500</v>
      </c>
      <c r="B97" s="1">
        <f t="shared" si="21"/>
        <v>-69.70999999999998</v>
      </c>
      <c r="C97" s="1">
        <v>389.99</v>
      </c>
      <c r="D97" s="1">
        <f t="shared" si="23"/>
        <v>-56.505555555555546</v>
      </c>
      <c r="E97" s="2">
        <f t="shared" si="24"/>
        <v>0.75190390807257035</v>
      </c>
      <c r="F97" s="2">
        <f t="shared" si="30"/>
        <v>0.13542361151319862</v>
      </c>
      <c r="G97" s="25">
        <f t="shared" si="17"/>
        <v>286.58615515646119</v>
      </c>
      <c r="H97" s="9">
        <f t="shared" si="26"/>
        <v>4.280941624024976E-4</v>
      </c>
      <c r="I97" s="2">
        <f t="shared" si="18"/>
        <v>0.18010760425536737</v>
      </c>
      <c r="J97" s="2">
        <f t="shared" si="27"/>
        <v>0.42439086259645997</v>
      </c>
      <c r="K97" s="17">
        <f t="shared" si="19"/>
        <v>200.61030860952283</v>
      </c>
      <c r="L97" s="2">
        <f t="shared" si="28"/>
        <v>1.3773522300895416E-2</v>
      </c>
      <c r="M97" s="25">
        <f t="shared" si="20"/>
        <v>968.1005104214338</v>
      </c>
      <c r="N97" s="1">
        <f t="shared" si="29"/>
        <v>573.21740748637524</v>
      </c>
    </row>
    <row r="98" spans="1:14">
      <c r="A98" s="18">
        <v>47000</v>
      </c>
      <c r="B98" s="1">
        <f t="shared" si="21"/>
        <v>-69.70999999999998</v>
      </c>
      <c r="C98" s="1">
        <v>389.99</v>
      </c>
      <c r="D98" s="1">
        <f t="shared" si="23"/>
        <v>-56.505555555555546</v>
      </c>
      <c r="E98" s="2">
        <f t="shared" si="24"/>
        <v>0.75190390807257035</v>
      </c>
      <c r="F98" s="2">
        <f t="shared" si="30"/>
        <v>0.13220792579464788</v>
      </c>
      <c r="G98" s="25">
        <f t="shared" si="17"/>
        <v>279.78105672514971</v>
      </c>
      <c r="H98" s="9">
        <f t="shared" si="26"/>
        <v>4.1792890193683286E-4</v>
      </c>
      <c r="I98" s="2">
        <f t="shared" si="18"/>
        <v>0.1758308799505372</v>
      </c>
      <c r="J98" s="2">
        <f t="shared" si="27"/>
        <v>0.41932192877374919</v>
      </c>
      <c r="K98" s="17">
        <f t="shared" si="19"/>
        <v>195.84673970760483</v>
      </c>
      <c r="L98" s="2">
        <f t="shared" si="28"/>
        <v>1.3446464718674512E-2</v>
      </c>
      <c r="M98" s="25">
        <f t="shared" si="20"/>
        <v>968.1005104214338</v>
      </c>
      <c r="N98" s="1">
        <f t="shared" si="29"/>
        <v>573.21740748637524</v>
      </c>
    </row>
    <row r="99" spans="1:14">
      <c r="A99" s="18">
        <v>47500</v>
      </c>
      <c r="B99" s="1">
        <f t="shared" si="21"/>
        <v>-69.70999999999998</v>
      </c>
      <c r="C99" s="1">
        <v>389.99</v>
      </c>
      <c r="D99" s="1">
        <f t="shared" si="23"/>
        <v>-56.505555555555546</v>
      </c>
      <c r="E99" s="2">
        <f t="shared" si="24"/>
        <v>0.75190390807257035</v>
      </c>
      <c r="F99" s="2">
        <f t="shared" si="30"/>
        <v>0.12906859776974408</v>
      </c>
      <c r="G99" s="25">
        <f t="shared" si="17"/>
        <v>273.13754797228779</v>
      </c>
      <c r="H99" s="9">
        <f t="shared" si="26"/>
        <v>4.0800501948892682E-4</v>
      </c>
      <c r="I99" s="2">
        <f t="shared" si="18"/>
        <v>0.17165570810849803</v>
      </c>
      <c r="J99" s="2">
        <f t="shared" si="27"/>
        <v>0.41431353840841123</v>
      </c>
      <c r="K99" s="17">
        <f t="shared" si="19"/>
        <v>191.19628358060149</v>
      </c>
      <c r="L99" s="2">
        <f t="shared" si="28"/>
        <v>1.3127173244479673E-2</v>
      </c>
      <c r="M99" s="25">
        <f t="shared" si="20"/>
        <v>968.1005104214338</v>
      </c>
      <c r="N99" s="1">
        <f t="shared" si="29"/>
        <v>573.21740748637524</v>
      </c>
    </row>
    <row r="100" spans="1:14">
      <c r="A100" s="18">
        <v>48000</v>
      </c>
      <c r="B100" s="1">
        <f t="shared" si="21"/>
        <v>-69.70999999999998</v>
      </c>
      <c r="C100" s="1">
        <v>389.99</v>
      </c>
      <c r="D100" s="1">
        <f t="shared" si="23"/>
        <v>-56.505555555555546</v>
      </c>
      <c r="E100" s="2">
        <f t="shared" si="24"/>
        <v>0.75190390807257035</v>
      </c>
      <c r="F100" s="2">
        <f t="shared" si="30"/>
        <v>0.12600381429569618</v>
      </c>
      <c r="G100" s="25">
        <f t="shared" ref="G100:G131" si="31">F100*2116.22</f>
        <v>266.65179188883815</v>
      </c>
      <c r="H100" s="9">
        <f t="shared" si="26"/>
        <v>3.9831678344495102E-4</v>
      </c>
      <c r="I100" s="2">
        <f t="shared" ref="I100:I134" si="32">F100/E100</f>
        <v>0.16757967732697948</v>
      </c>
      <c r="J100" s="2">
        <f t="shared" si="27"/>
        <v>0.40936496836805597</v>
      </c>
      <c r="K100" s="17">
        <f t="shared" ref="K100:K134" si="33">F100*1481.354</f>
        <v>186.65625432218673</v>
      </c>
      <c r="L100" s="2">
        <f t="shared" si="28"/>
        <v>1.2815463469090172E-2</v>
      </c>
      <c r="M100" s="25">
        <f t="shared" ref="M100:M134" si="34">1116.45*SQRT(E100)</f>
        <v>968.1005104214338</v>
      </c>
      <c r="N100" s="1">
        <f t="shared" si="29"/>
        <v>573.21740748637524</v>
      </c>
    </row>
    <row r="101" spans="1:14">
      <c r="A101" s="18">
        <v>48500</v>
      </c>
      <c r="B101" s="1">
        <f t="shared" si="21"/>
        <v>-69.70999999999998</v>
      </c>
      <c r="C101" s="1">
        <v>389.99</v>
      </c>
      <c r="D101" s="1">
        <f t="shared" si="23"/>
        <v>-56.505555555555546</v>
      </c>
      <c r="E101" s="2">
        <f t="shared" si="24"/>
        <v>0.75190390807257035</v>
      </c>
      <c r="F101" s="2">
        <f t="shared" si="30"/>
        <v>0.12301180528348563</v>
      </c>
      <c r="G101" s="25">
        <f t="shared" si="31"/>
        <v>260.32004257701794</v>
      </c>
      <c r="H101" s="9">
        <f t="shared" si="26"/>
        <v>3.8885859829045034E-4</v>
      </c>
      <c r="I101" s="2">
        <f t="shared" si="32"/>
        <v>0.1636004334633849</v>
      </c>
      <c r="J101" s="2">
        <f t="shared" si="27"/>
        <v>0.40447550415740247</v>
      </c>
      <c r="K101" s="17">
        <f t="shared" si="33"/>
        <v>182.22402980391257</v>
      </c>
      <c r="L101" s="2">
        <f t="shared" si="28"/>
        <v>1.2511155362153106E-2</v>
      </c>
      <c r="M101" s="25">
        <f t="shared" si="34"/>
        <v>968.1005104214338</v>
      </c>
      <c r="N101" s="1">
        <f t="shared" si="29"/>
        <v>573.21740748637524</v>
      </c>
    </row>
    <row r="102" spans="1:14">
      <c r="A102" s="18">
        <v>49000</v>
      </c>
      <c r="B102" s="1">
        <f t="shared" si="21"/>
        <v>-69.70999999999998</v>
      </c>
      <c r="C102" s="1">
        <v>389.99</v>
      </c>
      <c r="D102" s="1">
        <f t="shared" si="23"/>
        <v>-56.505555555555546</v>
      </c>
      <c r="E102" s="2">
        <f t="shared" si="24"/>
        <v>0.75190390807257035</v>
      </c>
      <c r="F102" s="2">
        <f t="shared" si="30"/>
        <v>0.12009084267553821</v>
      </c>
      <c r="G102" s="25">
        <f t="shared" si="31"/>
        <v>254.13864308682744</v>
      </c>
      <c r="H102" s="9">
        <f t="shared" si="26"/>
        <v>3.7962500137861199E-4</v>
      </c>
      <c r="I102" s="2">
        <f t="shared" si="32"/>
        <v>0.15971567827513883</v>
      </c>
      <c r="J102" s="2">
        <f t="shared" si="27"/>
        <v>0.39964443981511721</v>
      </c>
      <c r="K102" s="17">
        <f t="shared" si="33"/>
        <v>177.89705016077923</v>
      </c>
      <c r="L102" s="2">
        <f t="shared" si="28"/>
        <v>1.2214073168205528E-2</v>
      </c>
      <c r="M102" s="25">
        <f t="shared" si="34"/>
        <v>968.1005104214338</v>
      </c>
      <c r="N102" s="1">
        <f t="shared" si="29"/>
        <v>573.21740748637524</v>
      </c>
    </row>
    <row r="103" spans="1:14">
      <c r="A103" s="18">
        <v>49500</v>
      </c>
      <c r="B103" s="1">
        <f t="shared" si="21"/>
        <v>-69.70999999999998</v>
      </c>
      <c r="C103" s="1">
        <v>389.99</v>
      </c>
      <c r="D103" s="1">
        <f t="shared" si="23"/>
        <v>-56.505555555555546</v>
      </c>
      <c r="E103" s="2">
        <f t="shared" si="24"/>
        <v>0.75190390807257035</v>
      </c>
      <c r="F103" s="2">
        <f t="shared" si="30"/>
        <v>0.11723923944767115</v>
      </c>
      <c r="G103" s="25">
        <f t="shared" si="31"/>
        <v>248.10402330395061</v>
      </c>
      <c r="H103" s="9">
        <f t="shared" si="26"/>
        <v>3.7061065977527175E-4</v>
      </c>
      <c r="I103" s="2">
        <f t="shared" si="32"/>
        <v>0.15592316809231924</v>
      </c>
      <c r="J103" s="2">
        <f t="shared" si="27"/>
        <v>0.39487107781188435</v>
      </c>
      <c r="K103" s="17">
        <f t="shared" si="33"/>
        <v>173.67281631276543</v>
      </c>
      <c r="L103" s="2">
        <f t="shared" si="28"/>
        <v>1.1924045305165524E-2</v>
      </c>
      <c r="M103" s="25">
        <f t="shared" si="34"/>
        <v>968.1005104214338</v>
      </c>
      <c r="N103" s="1">
        <f t="shared" si="29"/>
        <v>573.21740748637524</v>
      </c>
    </row>
    <row r="104" spans="1:14">
      <c r="A104" s="18">
        <v>50000</v>
      </c>
      <c r="B104" s="1">
        <f t="shared" si="21"/>
        <v>-69.70999999999998</v>
      </c>
      <c r="C104" s="1">
        <v>389.99</v>
      </c>
      <c r="D104" s="1">
        <f t="shared" si="23"/>
        <v>-56.505555555555546</v>
      </c>
      <c r="E104" s="2">
        <f t="shared" si="24"/>
        <v>0.75190390807257035</v>
      </c>
      <c r="F104" s="2">
        <f t="shared" si="30"/>
        <v>0.11445534863473943</v>
      </c>
      <c r="G104" s="25">
        <f t="shared" si="31"/>
        <v>242.21269788780825</v>
      </c>
      <c r="H104" s="9">
        <f t="shared" si="26"/>
        <v>3.6181036717883736E-4</v>
      </c>
      <c r="I104" s="2">
        <f t="shared" si="32"/>
        <v>0.15222071252180899</v>
      </c>
      <c r="J104" s="2">
        <f t="shared" si="27"/>
        <v>0.39015472894969372</v>
      </c>
      <c r="K104" s="17">
        <f t="shared" si="33"/>
        <v>169.54888852146578</v>
      </c>
      <c r="L104" s="2">
        <f t="shared" si="28"/>
        <v>1.1640904265233683E-2</v>
      </c>
      <c r="M104" s="25">
        <f t="shared" si="34"/>
        <v>968.1005104214338</v>
      </c>
      <c r="N104" s="1">
        <f t="shared" si="29"/>
        <v>573.21740748637524</v>
      </c>
    </row>
    <row r="105" spans="1:14">
      <c r="A105" s="18">
        <v>50500</v>
      </c>
      <c r="B105" s="1">
        <f t="shared" si="21"/>
        <v>-69.70999999999998</v>
      </c>
      <c r="C105" s="1">
        <v>389.99</v>
      </c>
      <c r="D105" s="1">
        <f t="shared" si="23"/>
        <v>-56.505555555555546</v>
      </c>
      <c r="E105" s="2">
        <f t="shared" si="24"/>
        <v>0.75190390807257035</v>
      </c>
      <c r="F105" s="2">
        <f t="shared" si="30"/>
        <v>0.11173756237941861</v>
      </c>
      <c r="G105" s="25">
        <f t="shared" si="31"/>
        <v>236.46126425857321</v>
      </c>
      <c r="H105" s="9">
        <f t="shared" si="26"/>
        <v>3.5321904091334931E-4</v>
      </c>
      <c r="I105" s="2">
        <f t="shared" si="32"/>
        <v>0.14860617318221758</v>
      </c>
      <c r="J105" s="2">
        <f t="shared" si="27"/>
        <v>0.38549471226233128</v>
      </c>
      <c r="K105" s="17">
        <f t="shared" si="33"/>
        <v>165.52288498100128</v>
      </c>
      <c r="L105" s="2">
        <f t="shared" si="28"/>
        <v>1.1364486518147679E-2</v>
      </c>
      <c r="M105" s="25">
        <f t="shared" si="34"/>
        <v>968.1005104214338</v>
      </c>
      <c r="N105" s="1">
        <f t="shared" si="29"/>
        <v>573.21740748637524</v>
      </c>
    </row>
    <row r="106" spans="1:14">
      <c r="A106" s="18">
        <v>51000</v>
      </c>
      <c r="B106" s="1">
        <f t="shared" si="21"/>
        <v>-69.70999999999998</v>
      </c>
      <c r="C106" s="1">
        <v>389.99</v>
      </c>
      <c r="D106" s="1">
        <f t="shared" si="23"/>
        <v>-56.505555555555546</v>
      </c>
      <c r="E106" s="2">
        <f t="shared" si="24"/>
        <v>0.75190390807257035</v>
      </c>
      <c r="F106" s="2">
        <f t="shared" si="30"/>
        <v>0.10908431100357452</v>
      </c>
      <c r="G106" s="25">
        <f t="shared" si="31"/>
        <v>230.84640063198444</v>
      </c>
      <c r="H106" s="9">
        <f t="shared" si="26"/>
        <v>3.4483171899294296E-4</v>
      </c>
      <c r="I106" s="2">
        <f t="shared" si="32"/>
        <v>0.14507746246884276</v>
      </c>
      <c r="J106" s="2">
        <f t="shared" si="27"/>
        <v>0.38089035491705847</v>
      </c>
      <c r="K106" s="17">
        <f t="shared" si="33"/>
        <v>161.59248044238913</v>
      </c>
      <c r="L106" s="2">
        <f t="shared" si="28"/>
        <v>1.1094632416734146E-2</v>
      </c>
      <c r="M106" s="25">
        <f t="shared" si="34"/>
        <v>968.1005104214338</v>
      </c>
      <c r="N106" s="1">
        <f t="shared" si="29"/>
        <v>573.21740748637524</v>
      </c>
    </row>
    <row r="107" spans="1:14">
      <c r="A107" s="18">
        <v>51500</v>
      </c>
      <c r="B107" s="1">
        <f t="shared" si="21"/>
        <v>-69.70999999999998</v>
      </c>
      <c r="C107" s="1">
        <v>389.99</v>
      </c>
      <c r="D107" s="1">
        <f t="shared" si="23"/>
        <v>-56.505555555555546</v>
      </c>
      <c r="E107" s="2">
        <f t="shared" si="24"/>
        <v>0.75190390807257035</v>
      </c>
      <c r="F107" s="2">
        <f t="shared" si="30"/>
        <v>0.10649406210168377</v>
      </c>
      <c r="G107" s="25">
        <f t="shared" si="31"/>
        <v>225.3648641008252</v>
      </c>
      <c r="H107" s="9">
        <f t="shared" si="26"/>
        <v>3.3664355725601544E-4</v>
      </c>
      <c r="I107" s="2">
        <f t="shared" si="32"/>
        <v>0.14163254234795844</v>
      </c>
      <c r="J107" s="2">
        <f t="shared" si="27"/>
        <v>0.3763409921174658</v>
      </c>
      <c r="K107" s="17">
        <f t="shared" si="33"/>
        <v>157.75540487057768</v>
      </c>
      <c r="L107" s="2">
        <f t="shared" si="28"/>
        <v>1.0831186104703211E-2</v>
      </c>
      <c r="M107" s="25">
        <f t="shared" si="34"/>
        <v>968.1005104214338</v>
      </c>
      <c r="N107" s="1">
        <f t="shared" si="29"/>
        <v>573.21740748637524</v>
      </c>
    </row>
    <row r="108" spans="1:14">
      <c r="A108" s="18">
        <v>52000</v>
      </c>
      <c r="B108" s="1">
        <f t="shared" si="21"/>
        <v>-69.70999999999998</v>
      </c>
      <c r="C108" s="1">
        <v>389.99</v>
      </c>
      <c r="D108" s="1">
        <f t="shared" si="23"/>
        <v>-56.505555555555546</v>
      </c>
      <c r="E108" s="2">
        <f t="shared" si="24"/>
        <v>0.75190390807257035</v>
      </c>
      <c r="F108" s="2">
        <f t="shared" si="30"/>
        <v>0.10396531965578124</v>
      </c>
      <c r="G108" s="25">
        <f t="shared" si="31"/>
        <v>220.01348876195735</v>
      </c>
      <c r="H108" s="9">
        <f t="shared" si="26"/>
        <v>3.2864982656744359E-4</v>
      </c>
      <c r="I108" s="2">
        <f t="shared" si="32"/>
        <v>0.13826942317973293</v>
      </c>
      <c r="J108" s="2">
        <f t="shared" si="27"/>
        <v>0.37184596700748673</v>
      </c>
      <c r="K108" s="17">
        <f t="shared" si="33"/>
        <v>154.00944213337016</v>
      </c>
      <c r="L108" s="2">
        <f t="shared" si="28"/>
        <v>1.0573995426632534E-2</v>
      </c>
      <c r="M108" s="25">
        <f t="shared" si="34"/>
        <v>968.1005104214338</v>
      </c>
      <c r="N108" s="1">
        <f t="shared" si="29"/>
        <v>573.21740748637524</v>
      </c>
    </row>
    <row r="109" spans="1:14">
      <c r="A109" s="18">
        <v>52500</v>
      </c>
      <c r="B109" s="1">
        <f t="shared" si="21"/>
        <v>-69.70999999999998</v>
      </c>
      <c r="C109" s="1">
        <v>389.99</v>
      </c>
      <c r="D109" s="1">
        <f t="shared" si="23"/>
        <v>-56.505555555555546</v>
      </c>
      <c r="E109" s="2">
        <f t="shared" si="24"/>
        <v>0.75190390807257035</v>
      </c>
      <c r="F109" s="2">
        <f t="shared" si="30"/>
        <v>0.10149662317142352</v>
      </c>
      <c r="G109" s="25">
        <f t="shared" si="31"/>
        <v>214.78918388782986</v>
      </c>
      <c r="H109" s="9">
        <f t="shared" si="26"/>
        <v>3.2084591008723582E-4</v>
      </c>
      <c r="I109" s="2">
        <f t="shared" si="32"/>
        <v>0.13498616256909723</v>
      </c>
      <c r="J109" s="2">
        <f t="shared" si="27"/>
        <v>0.36740463057655826</v>
      </c>
      <c r="K109" s="17">
        <f t="shared" si="33"/>
        <v>150.35242872148092</v>
      </c>
      <c r="L109" s="2">
        <f t="shared" si="28"/>
        <v>1.0322911840088772E-2</v>
      </c>
      <c r="M109" s="25">
        <f t="shared" si="34"/>
        <v>968.1005104214338</v>
      </c>
      <c r="N109" s="1">
        <f t="shared" si="29"/>
        <v>573.21740748637524</v>
      </c>
    </row>
    <row r="110" spans="1:14">
      <c r="A110" s="18">
        <v>53000</v>
      </c>
      <c r="B110" s="1">
        <f t="shared" si="21"/>
        <v>-69.70999999999998</v>
      </c>
      <c r="C110" s="1">
        <v>389.99</v>
      </c>
      <c r="D110" s="1">
        <f t="shared" si="23"/>
        <v>-56.505555555555546</v>
      </c>
      <c r="E110" s="2">
        <f t="shared" si="24"/>
        <v>0.75190390807257035</v>
      </c>
      <c r="F110" s="2">
        <f t="shared" si="30"/>
        <v>9.9086546834169259E-2</v>
      </c>
      <c r="G110" s="25">
        <f t="shared" si="31"/>
        <v>209.68893214140564</v>
      </c>
      <c r="H110" s="9">
        <f t="shared" si="26"/>
        <v>3.1322730060404108E-4</v>
      </c>
      <c r="I110" s="2">
        <f t="shared" si="32"/>
        <v>0.13178086424390001</v>
      </c>
      <c r="J110" s="2">
        <f t="shared" si="27"/>
        <v>0.36301634156591356</v>
      </c>
      <c r="K110" s="17">
        <f t="shared" si="33"/>
        <v>146.78225249898398</v>
      </c>
      <c r="L110" s="2">
        <f t="shared" si="28"/>
        <v>1.0077790329835766E-2</v>
      </c>
      <c r="M110" s="25">
        <f t="shared" si="34"/>
        <v>968.1005104214338</v>
      </c>
      <c r="N110" s="1">
        <f t="shared" si="29"/>
        <v>573.21740748637524</v>
      </c>
    </row>
    <row r="111" spans="1:14">
      <c r="A111" s="18">
        <v>53500</v>
      </c>
      <c r="B111" s="1">
        <f t="shared" si="21"/>
        <v>-69.70999999999998</v>
      </c>
      <c r="C111" s="1">
        <v>389.99</v>
      </c>
      <c r="D111" s="1">
        <f t="shared" si="23"/>
        <v>-56.505555555555546</v>
      </c>
      <c r="E111" s="2">
        <f t="shared" si="24"/>
        <v>0.75190390807257035</v>
      </c>
      <c r="F111" s="2">
        <f t="shared" si="30"/>
        <v>9.6733698686089165E-2</v>
      </c>
      <c r="G111" s="25">
        <f t="shared" si="31"/>
        <v>204.70978783347559</v>
      </c>
      <c r="H111" s="9">
        <f t="shared" si="26"/>
        <v>3.0578959793197455E-4</v>
      </c>
      <c r="I111" s="2">
        <f t="shared" si="32"/>
        <v>0.12865167695970117</v>
      </c>
      <c r="J111" s="2">
        <f t="shared" si="27"/>
        <v>0.35868046637599488</v>
      </c>
      <c r="K111" s="17">
        <f t="shared" si="33"/>
        <v>143.29685148343293</v>
      </c>
      <c r="L111" s="2">
        <f t="shared" si="28"/>
        <v>9.8384893240798885E-3</v>
      </c>
      <c r="M111" s="25">
        <f t="shared" si="34"/>
        <v>968.1005104214338</v>
      </c>
      <c r="N111" s="1">
        <f t="shared" si="29"/>
        <v>573.21740748637524</v>
      </c>
    </row>
    <row r="112" spans="1:14">
      <c r="A112" s="18">
        <v>54000</v>
      </c>
      <c r="B112" s="1">
        <f t="shared" si="21"/>
        <v>-69.70999999999998</v>
      </c>
      <c r="C112" s="1">
        <v>389.99</v>
      </c>
      <c r="D112" s="1">
        <f t="shared" si="23"/>
        <v>-56.505555555555546</v>
      </c>
      <c r="E112" s="2">
        <f t="shared" si="24"/>
        <v>0.75190390807257035</v>
      </c>
      <c r="F112" s="2">
        <f t="shared" si="30"/>
        <v>9.4436719821830092E-2</v>
      </c>
      <c r="G112" s="25">
        <f t="shared" si="31"/>
        <v>199.84887522135327</v>
      </c>
      <c r="H112" s="9">
        <f t="shared" si="26"/>
        <v>2.9852850636925696E-4</v>
      </c>
      <c r="I112" s="2">
        <f t="shared" si="32"/>
        <v>0.12559679343057156</v>
      </c>
      <c r="J112" s="2">
        <f t="shared" si="27"/>
        <v>0.35439637897497139</v>
      </c>
      <c r="K112" s="17">
        <f t="shared" si="33"/>
        <v>139.8942126549473</v>
      </c>
      <c r="L112" s="2">
        <f t="shared" si="28"/>
        <v>9.6048706127041805E-3</v>
      </c>
      <c r="M112" s="25">
        <f t="shared" si="34"/>
        <v>968.1005104214338</v>
      </c>
      <c r="N112" s="1">
        <f t="shared" si="29"/>
        <v>573.21740748637524</v>
      </c>
    </row>
    <row r="113" spans="1:14">
      <c r="A113" s="18">
        <v>54500</v>
      </c>
      <c r="B113" s="1">
        <f t="shared" si="21"/>
        <v>-69.70999999999998</v>
      </c>
      <c r="C113" s="1">
        <v>389.99</v>
      </c>
      <c r="D113" s="1">
        <f t="shared" si="23"/>
        <v>-56.505555555555546</v>
      </c>
      <c r="E113" s="2">
        <f t="shared" si="24"/>
        <v>0.75190390807257035</v>
      </c>
      <c r="F113" s="2">
        <f t="shared" si="30"/>
        <v>9.2194283603768967E-2</v>
      </c>
      <c r="G113" s="25">
        <f t="shared" si="31"/>
        <v>195.10338684796795</v>
      </c>
      <c r="H113" s="9">
        <f t="shared" si="26"/>
        <v>2.9143983221719934E-4</v>
      </c>
      <c r="I113" s="2">
        <f t="shared" si="32"/>
        <v>0.12261444928528127</v>
      </c>
      <c r="J113" s="2">
        <f t="shared" si="27"/>
        <v>0.35016346080835059</v>
      </c>
      <c r="K113" s="17">
        <f t="shared" si="33"/>
        <v>136.57237079357759</v>
      </c>
      <c r="L113" s="2">
        <f t="shared" si="28"/>
        <v>9.3767992674440494E-3</v>
      </c>
      <c r="M113" s="25">
        <f t="shared" si="34"/>
        <v>968.1005104214338</v>
      </c>
      <c r="N113" s="1">
        <f t="shared" si="29"/>
        <v>573.21740748637524</v>
      </c>
    </row>
    <row r="114" spans="1:14">
      <c r="A114" s="18">
        <v>55000</v>
      </c>
      <c r="B114" s="1">
        <f t="shared" si="21"/>
        <v>-69.70999999999998</v>
      </c>
      <c r="C114" s="1">
        <v>389.99</v>
      </c>
      <c r="D114" s="1">
        <f t="shared" si="23"/>
        <v>-56.505555555555546</v>
      </c>
      <c r="E114" s="2">
        <f t="shared" si="24"/>
        <v>0.75190390807257035</v>
      </c>
      <c r="F114" s="2">
        <f t="shared" si="30"/>
        <v>9.0005094895803064E-2</v>
      </c>
      <c r="G114" s="25">
        <f t="shared" si="31"/>
        <v>190.47058192039634</v>
      </c>
      <c r="H114" s="9">
        <f t="shared" si="26"/>
        <v>2.8451948135810025E-4</v>
      </c>
      <c r="I114" s="2">
        <f t="shared" si="32"/>
        <v>0.11970292204827346</v>
      </c>
      <c r="J114" s="2">
        <f t="shared" si="27"/>
        <v>0.34598110070966803</v>
      </c>
      <c r="K114" s="17">
        <f t="shared" si="33"/>
        <v>133.32940734427746</v>
      </c>
      <c r="L114" s="2">
        <f t="shared" si="28"/>
        <v>9.1541435639584147E-3</v>
      </c>
      <c r="M114" s="25">
        <f t="shared" si="34"/>
        <v>968.1005104214338</v>
      </c>
      <c r="N114" s="1">
        <f t="shared" si="29"/>
        <v>573.21740748637524</v>
      </c>
    </row>
    <row r="115" spans="1:14">
      <c r="A115" s="18">
        <v>55500</v>
      </c>
      <c r="B115" s="1">
        <f t="shared" si="21"/>
        <v>-69.70999999999998</v>
      </c>
      <c r="C115" s="1">
        <v>389.99</v>
      </c>
      <c r="D115" s="1">
        <f t="shared" si="23"/>
        <v>-56.505555555555546</v>
      </c>
      <c r="E115" s="2">
        <f t="shared" si="24"/>
        <v>0.75190390807257035</v>
      </c>
      <c r="F115" s="2">
        <f t="shared" si="30"/>
        <v>8.7867889315334305E-2</v>
      </c>
      <c r="G115" s="25">
        <f t="shared" si="31"/>
        <v>185.94778472689674</v>
      </c>
      <c r="H115" s="9">
        <f t="shared" si="26"/>
        <v>2.7776345689065686E-4</v>
      </c>
      <c r="I115" s="2">
        <f t="shared" si="32"/>
        <v>0.11686053014483561</v>
      </c>
      <c r="J115" s="2">
        <f t="shared" si="27"/>
        <v>0.34184869481224528</v>
      </c>
      <c r="K115" s="17">
        <f t="shared" si="33"/>
        <v>130.16344930882775</v>
      </c>
      <c r="L115" s="2">
        <f t="shared" si="28"/>
        <v>8.936774905751307E-3</v>
      </c>
      <c r="M115" s="25">
        <f t="shared" si="34"/>
        <v>968.1005104214338</v>
      </c>
      <c r="N115" s="1">
        <f t="shared" si="29"/>
        <v>573.21740748637524</v>
      </c>
    </row>
    <row r="116" spans="1:14">
      <c r="A116" s="18">
        <v>56000</v>
      </c>
      <c r="B116" s="1">
        <f t="shared" si="21"/>
        <v>-69.70999999999998</v>
      </c>
      <c r="C116" s="1">
        <v>389.99</v>
      </c>
      <c r="D116" s="1">
        <f t="shared" si="23"/>
        <v>-56.505555555555546</v>
      </c>
      <c r="E116" s="2">
        <f t="shared" si="24"/>
        <v>0.75190390807257035</v>
      </c>
      <c r="F116" s="2">
        <f t="shared" si="30"/>
        <v>8.5781432503015592E-2</v>
      </c>
      <c r="G116" s="25">
        <f t="shared" si="31"/>
        <v>181.53238309153164</v>
      </c>
      <c r="H116" s="9">
        <f t="shared" si="26"/>
        <v>2.7116785682152481E-4</v>
      </c>
      <c r="I116" s="2">
        <f t="shared" si="32"/>
        <v>0.11408563192989331</v>
      </c>
      <c r="J116" s="2">
        <f t="shared" si="27"/>
        <v>0.3377656464620008</v>
      </c>
      <c r="K116" s="17">
        <f t="shared" si="33"/>
        <v>127.07266816407217</v>
      </c>
      <c r="L116" s="2">
        <f t="shared" si="28"/>
        <v>8.7245677499000092E-3</v>
      </c>
      <c r="M116" s="25">
        <f t="shared" si="34"/>
        <v>968.1005104214338</v>
      </c>
      <c r="N116" s="1">
        <f t="shared" si="29"/>
        <v>573.21740748637524</v>
      </c>
    </row>
    <row r="117" spans="1:14">
      <c r="A117" s="18">
        <v>56500</v>
      </c>
      <c r="B117" s="1">
        <f t="shared" si="21"/>
        <v>-69.70999999999998</v>
      </c>
      <c r="C117" s="1">
        <v>389.99</v>
      </c>
      <c r="D117" s="1">
        <f t="shared" si="23"/>
        <v>-56.505555555555546</v>
      </c>
      <c r="E117" s="2">
        <f t="shared" si="24"/>
        <v>0.75190390807257035</v>
      </c>
      <c r="F117" s="2">
        <f t="shared" si="30"/>
        <v>8.3744519409836959E-2</v>
      </c>
      <c r="G117" s="25">
        <f t="shared" si="31"/>
        <v>177.22182686548516</v>
      </c>
      <c r="H117" s="9">
        <f t="shared" si="26"/>
        <v>2.6472887181169141E-4</v>
      </c>
      <c r="I117" s="2">
        <f t="shared" si="32"/>
        <v>0.11137662473986545</v>
      </c>
      <c r="J117" s="2">
        <f t="shared" si="27"/>
        <v>0.33373136613130244</v>
      </c>
      <c r="K117" s="17">
        <f t="shared" si="33"/>
        <v>124.05527880583962</v>
      </c>
      <c r="L117" s="2">
        <f t="shared" si="28"/>
        <v>8.5173995345467542E-3</v>
      </c>
      <c r="M117" s="25">
        <f t="shared" si="34"/>
        <v>968.1005104214338</v>
      </c>
      <c r="N117" s="1">
        <f t="shared" si="29"/>
        <v>573.21740748637524</v>
      </c>
    </row>
    <row r="118" spans="1:14">
      <c r="A118" s="18">
        <v>57000</v>
      </c>
      <c r="B118" s="1">
        <f t="shared" si="21"/>
        <v>-69.70999999999998</v>
      </c>
      <c r="C118" s="1">
        <v>389.99</v>
      </c>
      <c r="D118" s="1">
        <f t="shared" si="23"/>
        <v>-56.505555555555546</v>
      </c>
      <c r="E118" s="2">
        <f t="shared" si="24"/>
        <v>0.75190390807257035</v>
      </c>
      <c r="F118" s="2">
        <f t="shared" si="30"/>
        <v>8.175597360114048E-2</v>
      </c>
      <c r="G118" s="25">
        <f t="shared" si="31"/>
        <v>173.01362645420548</v>
      </c>
      <c r="H118" s="9">
        <f t="shared" si="26"/>
        <v>2.5844278297636338E-4</v>
      </c>
      <c r="I118" s="2">
        <f t="shared" si="32"/>
        <v>0.10873194396703384</v>
      </c>
      <c r="J118" s="2">
        <f t="shared" si="27"/>
        <v>0.32974527133384923</v>
      </c>
      <c r="K118" s="17">
        <f t="shared" si="33"/>
        <v>121.10953851794386</v>
      </c>
      <c r="L118" s="2">
        <f t="shared" si="28"/>
        <v>8.3151506081122102E-3</v>
      </c>
      <c r="M118" s="25">
        <f t="shared" si="34"/>
        <v>968.1005104214338</v>
      </c>
      <c r="N118" s="1">
        <f t="shared" si="29"/>
        <v>573.21740748637524</v>
      </c>
    </row>
    <row r="119" spans="1:14">
      <c r="A119" s="18">
        <v>57500</v>
      </c>
      <c r="B119" s="1">
        <f t="shared" si="21"/>
        <v>-69.70999999999998</v>
      </c>
      <c r="C119" s="1">
        <v>389.99</v>
      </c>
      <c r="D119" s="1">
        <f t="shared" si="23"/>
        <v>-56.505555555555546</v>
      </c>
      <c r="E119" s="2">
        <f t="shared" si="24"/>
        <v>0.75190390807257035</v>
      </c>
      <c r="F119" s="2">
        <f t="shared" si="30"/>
        <v>7.9814646577161544E-2</v>
      </c>
      <c r="G119" s="25">
        <f t="shared" si="31"/>
        <v>168.90535137952079</v>
      </c>
      <c r="H119" s="9">
        <f t="shared" si="26"/>
        <v>2.5230595973709685E-4</v>
      </c>
      <c r="I119" s="2">
        <f t="shared" si="32"/>
        <v>0.10615006215589212</v>
      </c>
      <c r="J119" s="2">
        <f t="shared" si="27"/>
        <v>0.32580678654056933</v>
      </c>
      <c r="K119" s="17">
        <f t="shared" si="33"/>
        <v>118.23374596566457</v>
      </c>
      <c r="L119" s="2">
        <f t="shared" si="28"/>
        <v>8.117704160189804E-3</v>
      </c>
      <c r="M119" s="25">
        <f t="shared" si="34"/>
        <v>968.1005104214338</v>
      </c>
      <c r="N119" s="1">
        <f t="shared" si="29"/>
        <v>573.21740748637524</v>
      </c>
    </row>
    <row r="120" spans="1:14">
      <c r="A120" s="18">
        <v>58000</v>
      </c>
      <c r="B120" s="1">
        <f t="shared" si="21"/>
        <v>-69.70999999999998</v>
      </c>
      <c r="C120" s="1">
        <v>389.99</v>
      </c>
      <c r="D120" s="1">
        <f t="shared" si="23"/>
        <v>-56.505555555555546</v>
      </c>
      <c r="E120" s="2">
        <f t="shared" si="24"/>
        <v>0.75190390807257035</v>
      </c>
      <c r="F120" s="2">
        <f t="shared" si="30"/>
        <v>7.7919417109703876E-2</v>
      </c>
      <c r="G120" s="25">
        <f t="shared" si="31"/>
        <v>164.89462887589752</v>
      </c>
      <c r="H120" s="9">
        <f t="shared" si="26"/>
        <v>2.463148577249286E-4</v>
      </c>
      <c r="I120" s="2">
        <f t="shared" si="32"/>
        <v>0.10362948812095209</v>
      </c>
      <c r="J120" s="2">
        <f t="shared" si="27"/>
        <v>0.32191534309652298</v>
      </c>
      <c r="K120" s="17">
        <f t="shared" si="33"/>
        <v>115.42624021312828</v>
      </c>
      <c r="L120" s="2">
        <f t="shared" si="28"/>
        <v>7.9249461540809654E-3</v>
      </c>
      <c r="M120" s="25">
        <f t="shared" si="34"/>
        <v>968.1005104214338</v>
      </c>
      <c r="N120" s="1">
        <f t="shared" si="29"/>
        <v>573.21740748637524</v>
      </c>
    </row>
    <row r="121" spans="1:14">
      <c r="A121" s="18">
        <v>58500</v>
      </c>
      <c r="B121" s="1">
        <f t="shared" si="21"/>
        <v>-69.70999999999998</v>
      </c>
      <c r="C121" s="1">
        <v>389.99</v>
      </c>
      <c r="D121" s="1">
        <f t="shared" si="23"/>
        <v>-56.505555555555546</v>
      </c>
      <c r="E121" s="2">
        <f t="shared" si="24"/>
        <v>0.75190390807257035</v>
      </c>
      <c r="F121" s="2">
        <f t="shared" si="30"/>
        <v>7.6069190594565822E-2</v>
      </c>
      <c r="G121" s="25">
        <f t="shared" si="31"/>
        <v>160.97914252003207</v>
      </c>
      <c r="H121" s="9">
        <f t="shared" si="26"/>
        <v>2.4046601673329899E-4</v>
      </c>
      <c r="I121" s="2">
        <f t="shared" si="32"/>
        <v>0.10116876608549821</v>
      </c>
      <c r="J121" s="2">
        <f t="shared" si="27"/>
        <v>0.31807037913879721</v>
      </c>
      <c r="K121" s="17">
        <f t="shared" si="33"/>
        <v>112.68539976402246</v>
      </c>
      <c r="L121" s="2">
        <f t="shared" si="28"/>
        <v>7.7367652609323708E-3</v>
      </c>
      <c r="M121" s="25">
        <f t="shared" si="34"/>
        <v>968.1005104214338</v>
      </c>
      <c r="N121" s="1">
        <f t="shared" si="29"/>
        <v>573.21740748637524</v>
      </c>
    </row>
    <row r="122" spans="1:14">
      <c r="A122" s="18">
        <v>59000</v>
      </c>
      <c r="B122" s="1">
        <f t="shared" si="21"/>
        <v>-69.70999999999998</v>
      </c>
      <c r="C122" s="1">
        <v>389.99</v>
      </c>
      <c r="D122" s="1">
        <f t="shared" si="23"/>
        <v>-56.505555555555546</v>
      </c>
      <c r="E122" s="2">
        <f t="shared" si="24"/>
        <v>0.75190390807257035</v>
      </c>
      <c r="F122" s="2">
        <f t="shared" si="30"/>
        <v>7.4262898419343359E-2</v>
      </c>
      <c r="G122" s="25">
        <f t="shared" si="31"/>
        <v>157.15663089298278</v>
      </c>
      <c r="H122" s="9">
        <f t="shared" si="26"/>
        <v>2.3475605871958377E-4</v>
      </c>
      <c r="I122" s="2">
        <f t="shared" si="32"/>
        <v>9.8766474840792873E-2</v>
      </c>
      <c r="J122" s="2">
        <f t="shared" si="27"/>
        <v>0.31427133951538261</v>
      </c>
      <c r="K122" s="17">
        <f t="shared" si="33"/>
        <v>110.00964162508797</v>
      </c>
      <c r="L122" s="2">
        <f t="shared" si="28"/>
        <v>7.5530527954371296E-3</v>
      </c>
      <c r="M122" s="25">
        <f t="shared" si="34"/>
        <v>968.1005104214338</v>
      </c>
      <c r="N122" s="1">
        <f t="shared" si="29"/>
        <v>573.21740748637524</v>
      </c>
    </row>
    <row r="123" spans="1:14">
      <c r="A123" s="18">
        <v>59500</v>
      </c>
      <c r="B123" s="1">
        <f t="shared" si="21"/>
        <v>-69.70999999999998</v>
      </c>
      <c r="C123" s="1">
        <v>389.99</v>
      </c>
      <c r="D123" s="1">
        <f t="shared" si="23"/>
        <v>-56.505555555555546</v>
      </c>
      <c r="E123" s="2">
        <f t="shared" si="24"/>
        <v>0.75190390807257035</v>
      </c>
      <c r="F123" s="2">
        <f t="shared" si="30"/>
        <v>7.249949734624471E-2</v>
      </c>
      <c r="G123" s="25">
        <f t="shared" si="31"/>
        <v>153.42488627406996</v>
      </c>
      <c r="H123" s="9">
        <f t="shared" si="26"/>
        <v>2.2918168585407903E-4</v>
      </c>
      <c r="I123" s="2">
        <f t="shared" si="32"/>
        <v>9.6421226925246128E-2</v>
      </c>
      <c r="J123" s="2">
        <f t="shared" si="27"/>
        <v>0.31051767570501704</v>
      </c>
      <c r="K123" s="17">
        <f t="shared" si="33"/>
        <v>107.39742039184898</v>
      </c>
      <c r="L123" s="2">
        <f t="shared" si="28"/>
        <v>7.3737026530627334E-3</v>
      </c>
      <c r="M123" s="25">
        <f t="shared" si="34"/>
        <v>968.1005104214338</v>
      </c>
      <c r="N123" s="1">
        <f t="shared" si="29"/>
        <v>573.21740748637524</v>
      </c>
    </row>
    <row r="124" spans="1:14">
      <c r="A124" s="18">
        <v>60000</v>
      </c>
      <c r="B124" s="1">
        <f t="shared" si="21"/>
        <v>-69.70999999999998</v>
      </c>
      <c r="C124" s="1">
        <v>389.99</v>
      </c>
      <c r="D124" s="1">
        <f t="shared" si="23"/>
        <v>-56.505555555555546</v>
      </c>
      <c r="E124" s="2">
        <f t="shared" si="24"/>
        <v>0.75190390807257035</v>
      </c>
      <c r="F124" s="2">
        <f t="shared" si="30"/>
        <v>7.077796890956066E-2</v>
      </c>
      <c r="G124" s="25">
        <f t="shared" si="31"/>
        <v>149.78175336579045</v>
      </c>
      <c r="H124" s="9">
        <f t="shared" si="26"/>
        <v>2.237396786153154E-4</v>
      </c>
      <c r="I124" s="2">
        <f t="shared" si="32"/>
        <v>9.4131667823077053E-2</v>
      </c>
      <c r="J124" s="2">
        <f t="shared" si="27"/>
        <v>0.30680884573798889</v>
      </c>
      <c r="K124" s="17">
        <f t="shared" si="33"/>
        <v>104.84722735605332</v>
      </c>
      <c r="L124" s="2">
        <f t="shared" si="28"/>
        <v>7.1986112487696019E-3</v>
      </c>
      <c r="M124" s="25">
        <f t="shared" si="34"/>
        <v>968.1005104214338</v>
      </c>
      <c r="N124" s="1">
        <f t="shared" si="29"/>
        <v>573.21740748637524</v>
      </c>
    </row>
    <row r="125" spans="1:14">
      <c r="A125" s="18">
        <v>60500</v>
      </c>
      <c r="B125" s="1">
        <f t="shared" si="21"/>
        <v>-69.70999999999998</v>
      </c>
      <c r="C125" s="1">
        <v>389.99</v>
      </c>
      <c r="D125" s="1">
        <f t="shared" si="23"/>
        <v>-56.505555555555546</v>
      </c>
      <c r="E125" s="2">
        <f t="shared" si="24"/>
        <v>0.75190390807257035</v>
      </c>
      <c r="F125" s="2">
        <f t="shared" si="30"/>
        <v>6.9097318827441703E-2</v>
      </c>
      <c r="G125" s="25">
        <f t="shared" si="31"/>
        <v>146.22512804900867</v>
      </c>
      <c r="H125" s="9">
        <f t="shared" si="26"/>
        <v>2.1842689393059827E-4</v>
      </c>
      <c r="I125" s="2">
        <f t="shared" si="32"/>
        <v>9.1896475182002571E-2</v>
      </c>
      <c r="J125" s="2">
        <f t="shared" si="27"/>
        <v>0.30314431411788439</v>
      </c>
      <c r="K125" s="17">
        <f t="shared" si="33"/>
        <v>102.35758963430608</v>
      </c>
      <c r="L125" s="2">
        <f t="shared" si="28"/>
        <v>7.0276774571847341E-3</v>
      </c>
      <c r="M125" s="25">
        <f t="shared" si="34"/>
        <v>968.1005104214338</v>
      </c>
      <c r="N125" s="1">
        <f t="shared" si="29"/>
        <v>573.21740748637524</v>
      </c>
    </row>
    <row r="126" spans="1:14">
      <c r="A126" s="18">
        <v>61000</v>
      </c>
      <c r="B126" s="1">
        <f t="shared" si="21"/>
        <v>-69.70999999999998</v>
      </c>
      <c r="C126" s="1">
        <v>389.99</v>
      </c>
      <c r="D126" s="1">
        <f t="shared" si="23"/>
        <v>-56.505555555555546</v>
      </c>
      <c r="E126" s="2">
        <f t="shared" si="24"/>
        <v>0.75190390807257035</v>
      </c>
      <c r="F126" s="2">
        <f t="shared" si="30"/>
        <v>6.7456576427643147E-2</v>
      </c>
      <c r="G126" s="25">
        <f t="shared" si="31"/>
        <v>142.75295616770697</v>
      </c>
      <c r="H126" s="9">
        <f t="shared" si="26"/>
        <v>2.1324026336070264E-4</v>
      </c>
      <c r="I126" s="2">
        <f t="shared" si="32"/>
        <v>8.9714358049502979E-2</v>
      </c>
      <c r="J126" s="2">
        <f t="shared" si="27"/>
        <v>0.29952355174427098</v>
      </c>
      <c r="K126" s="17">
        <f t="shared" si="33"/>
        <v>99.927069317394896</v>
      </c>
      <c r="L126" s="2">
        <f t="shared" si="28"/>
        <v>6.860802554195993E-3</v>
      </c>
      <c r="M126" s="25">
        <f t="shared" si="34"/>
        <v>968.1005104214338</v>
      </c>
      <c r="N126" s="1">
        <f t="shared" si="29"/>
        <v>573.21740748637524</v>
      </c>
    </row>
    <row r="127" spans="1:14">
      <c r="A127" s="18">
        <v>61500</v>
      </c>
      <c r="B127" s="1">
        <f t="shared" si="21"/>
        <v>-69.70999999999998</v>
      </c>
      <c r="C127" s="1">
        <v>389.99</v>
      </c>
      <c r="D127" s="1">
        <f t="shared" si="23"/>
        <v>-56.505555555555546</v>
      </c>
      <c r="E127" s="2">
        <f t="shared" si="24"/>
        <v>0.75190390807257035</v>
      </c>
      <c r="F127" s="2">
        <f t="shared" si="30"/>
        <v>6.5854794086905935E-2</v>
      </c>
      <c r="G127" s="25">
        <f t="shared" si="31"/>
        <v>139.36323234259206</v>
      </c>
      <c r="H127" s="9">
        <f t="shared" si="26"/>
        <v>2.0817679132767257E-4</v>
      </c>
      <c r="I127" s="2">
        <f t="shared" si="32"/>
        <v>8.7584056127222476E-2</v>
      </c>
      <c r="J127" s="2">
        <f t="shared" si="27"/>
        <v>0.29594603583630325</v>
      </c>
      <c r="K127" s="17">
        <f t="shared" si="33"/>
        <v>97.554262639814453</v>
      </c>
      <c r="L127" s="2">
        <f t="shared" si="28"/>
        <v>6.6978901599332365E-3</v>
      </c>
      <c r="M127" s="25">
        <f t="shared" si="34"/>
        <v>968.1005104214338</v>
      </c>
      <c r="N127" s="1">
        <f t="shared" si="29"/>
        <v>573.21740748637524</v>
      </c>
    </row>
    <row r="128" spans="1:14">
      <c r="A128" s="18">
        <v>62000</v>
      </c>
      <c r="B128" s="1">
        <f t="shared" si="21"/>
        <v>-69.70999999999998</v>
      </c>
      <c r="C128" s="1">
        <v>389.99</v>
      </c>
      <c r="D128" s="1">
        <f t="shared" si="23"/>
        <v>-56.505555555555546</v>
      </c>
      <c r="E128" s="2">
        <f t="shared" si="24"/>
        <v>0.75190390807257035</v>
      </c>
      <c r="F128" s="2">
        <f t="shared" si="30"/>
        <v>6.4291046683649572E-2</v>
      </c>
      <c r="G128" s="25">
        <f t="shared" si="31"/>
        <v>136.05399881287289</v>
      </c>
      <c r="H128" s="9">
        <f t="shared" si="26"/>
        <v>2.0323355338470228E-4</v>
      </c>
      <c r="I128" s="2">
        <f t="shared" si="32"/>
        <v>8.5504339043074223E-2</v>
      </c>
      <c r="J128" s="2">
        <f t="shared" si="27"/>
        <v>0.29241124985724171</v>
      </c>
      <c r="K128" s="17">
        <f t="shared" si="33"/>
        <v>95.237799169011026</v>
      </c>
      <c r="L128" s="2">
        <f t="shared" si="28"/>
        <v>6.5388461831033945E-3</v>
      </c>
      <c r="M128" s="25">
        <f t="shared" si="34"/>
        <v>968.1005104214338</v>
      </c>
      <c r="N128" s="1">
        <f t="shared" si="29"/>
        <v>573.21740748637524</v>
      </c>
    </row>
    <row r="129" spans="1:14">
      <c r="A129" s="18">
        <v>62500</v>
      </c>
      <c r="B129" s="1">
        <f t="shared" si="21"/>
        <v>-69.70999999999998</v>
      </c>
      <c r="C129" s="1">
        <v>389.99</v>
      </c>
      <c r="D129" s="1">
        <f t="shared" si="23"/>
        <v>-56.505555555555546</v>
      </c>
      <c r="E129" s="2">
        <f t="shared" si="24"/>
        <v>0.75190390807257035</v>
      </c>
      <c r="F129" s="2">
        <f t="shared" si="30"/>
        <v>6.2764431063661155E-2</v>
      </c>
      <c r="G129" s="25">
        <f t="shared" si="31"/>
        <v>132.82334430554099</v>
      </c>
      <c r="H129" s="9">
        <f t="shared" si="26"/>
        <v>1.9840769452709962E-4</v>
      </c>
      <c r="I129" s="2">
        <f t="shared" si="32"/>
        <v>8.3474005640629567E-2</v>
      </c>
      <c r="J129" s="2">
        <f t="shared" si="27"/>
        <v>0.28891868343987304</v>
      </c>
      <c r="K129" s="17">
        <f t="shared" si="33"/>
        <v>92.976341013878709</v>
      </c>
      <c r="L129" s="2">
        <f t="shared" si="28"/>
        <v>6.3835787666473177E-3</v>
      </c>
      <c r="M129" s="25">
        <f t="shared" si="34"/>
        <v>968.1005104214338</v>
      </c>
      <c r="N129" s="1">
        <f t="shared" si="29"/>
        <v>573.21740748637524</v>
      </c>
    </row>
    <row r="130" spans="1:14">
      <c r="A130" s="18">
        <v>63000</v>
      </c>
      <c r="B130" s="1">
        <f t="shared" si="21"/>
        <v>-69.70999999999998</v>
      </c>
      <c r="C130" s="1">
        <v>389.99</v>
      </c>
      <c r="D130" s="1">
        <f t="shared" si="23"/>
        <v>-56.505555555555546</v>
      </c>
      <c r="E130" s="2">
        <f t="shared" si="24"/>
        <v>0.75190390807257035</v>
      </c>
      <c r="F130" s="2">
        <f t="shared" si="30"/>
        <v>6.1274065518471803E-2</v>
      </c>
      <c r="G130" s="25">
        <f t="shared" si="31"/>
        <v>129.6694029315004</v>
      </c>
      <c r="H130" s="9">
        <f t="shared" si="26"/>
        <v>1.9369642754335655E-4</v>
      </c>
      <c r="I130" s="2">
        <f t="shared" si="32"/>
        <v>8.1491883285381067E-2</v>
      </c>
      <c r="J130" s="2">
        <f t="shared" si="27"/>
        <v>0.2854678323128213</v>
      </c>
      <c r="K130" s="17">
        <f t="shared" si="33"/>
        <v>90.768582052050277</v>
      </c>
      <c r="L130" s="2">
        <f t="shared" si="28"/>
        <v>6.2319982346870457E-3</v>
      </c>
      <c r="M130" s="25">
        <f t="shared" si="34"/>
        <v>968.1005104214338</v>
      </c>
      <c r="N130" s="1">
        <f t="shared" si="29"/>
        <v>573.21740748637524</v>
      </c>
    </row>
    <row r="131" spans="1:14">
      <c r="A131" s="18">
        <v>63500</v>
      </c>
      <c r="B131" s="1">
        <f t="shared" si="21"/>
        <v>-69.70999999999998</v>
      </c>
      <c r="C131" s="1">
        <v>389.99</v>
      </c>
      <c r="D131" s="1">
        <f t="shared" si="23"/>
        <v>-56.505555555555546</v>
      </c>
      <c r="E131" s="2">
        <f t="shared" si="24"/>
        <v>0.75190390807257035</v>
      </c>
      <c r="F131" s="2">
        <f t="shared" si="30"/>
        <v>5.9819089276119217E-2</v>
      </c>
      <c r="G131" s="25">
        <f t="shared" si="31"/>
        <v>126.590353107909</v>
      </c>
      <c r="H131" s="9">
        <f t="shared" si="26"/>
        <v>1.8909703140537398E-4</v>
      </c>
      <c r="I131" s="2">
        <f t="shared" si="32"/>
        <v>7.9556827187478529E-2</v>
      </c>
      <c r="J131" s="2">
        <f t="shared" si="27"/>
        <v>0.28205819822773903</v>
      </c>
      <c r="K131" s="17">
        <f t="shared" si="33"/>
        <v>88.613247175536316</v>
      </c>
      <c r="L131" s="2">
        <f t="shared" si="28"/>
        <v>6.0840170407328222E-3</v>
      </c>
      <c r="M131" s="25">
        <f t="shared" si="34"/>
        <v>968.1005104214338</v>
      </c>
      <c r="N131" s="1">
        <f t="shared" si="29"/>
        <v>573.21740748637524</v>
      </c>
    </row>
    <row r="132" spans="1:14">
      <c r="A132" s="18">
        <v>64000</v>
      </c>
      <c r="B132" s="1">
        <f t="shared" si="21"/>
        <v>-69.70999999999998</v>
      </c>
      <c r="C132" s="1">
        <v>389.99</v>
      </c>
      <c r="D132" s="1">
        <f t="shared" si="23"/>
        <v>-56.505555555555546</v>
      </c>
      <c r="E132" s="2">
        <f t="shared" si="24"/>
        <v>0.75190390807257035</v>
      </c>
      <c r="F132" s="2">
        <f t="shared" si="30"/>
        <v>5.8398662004002184E-2</v>
      </c>
      <c r="G132" s="25">
        <f>F132*2116.22</f>
        <v>123.58441650610949</v>
      </c>
      <c r="H132" s="9">
        <f t="shared" si="26"/>
        <v>1.8460684969691065E-4</v>
      </c>
      <c r="I132" s="2">
        <f t="shared" si="32"/>
        <v>7.7667719740546703E-2</v>
      </c>
      <c r="J132" s="2">
        <f t="shared" si="27"/>
        <v>0.27868928888736771</v>
      </c>
      <c r="K132" s="17">
        <f t="shared" si="33"/>
        <v>86.509091554276651</v>
      </c>
      <c r="L132" s="2">
        <f t="shared" si="28"/>
        <v>5.9395497171199282E-3</v>
      </c>
      <c r="M132" s="25">
        <f t="shared" si="34"/>
        <v>968.1005104214338</v>
      </c>
      <c r="N132" s="1">
        <f t="shared" si="29"/>
        <v>573.21740748637524</v>
      </c>
    </row>
    <row r="133" spans="1:14">
      <c r="A133" s="18">
        <v>64500</v>
      </c>
      <c r="B133" s="1">
        <f>C133-459.7</f>
        <v>-69.70999999999998</v>
      </c>
      <c r="C133" s="1">
        <v>389.99</v>
      </c>
      <c r="D133" s="1">
        <f>5*(B133-32)/9</f>
        <v>-56.505555555555546</v>
      </c>
      <c r="E133" s="2">
        <f>C133/518.67</f>
        <v>0.75190390807257035</v>
      </c>
      <c r="F133" s="2">
        <f t="shared" si="30"/>
        <v>5.7011963323540249E-2</v>
      </c>
      <c r="G133" s="25">
        <f>F133*2116.22</f>
        <v>120.64985702454233</v>
      </c>
      <c r="H133" s="9">
        <f>I133*0.00237688</f>
        <v>1.8022328907935065E-4</v>
      </c>
      <c r="I133" s="2">
        <f t="shared" si="32"/>
        <v>7.5823469876203531E-2</v>
      </c>
      <c r="J133" s="2">
        <f>SQRT(I133)</f>
        <v>0.27536061787445848</v>
      </c>
      <c r="K133" s="17">
        <f t="shared" si="33"/>
        <v>84.454899917179645</v>
      </c>
      <c r="L133" s="2">
        <f>H133*32.1740484</f>
        <v>5.7985128256462185E-3</v>
      </c>
      <c r="M133" s="25">
        <f t="shared" si="34"/>
        <v>968.1005104214338</v>
      </c>
      <c r="N133" s="1">
        <f>M133*(3600/6080)</f>
        <v>573.21740748637524</v>
      </c>
    </row>
    <row r="134" spans="1:14">
      <c r="A134" s="18">
        <v>65000</v>
      </c>
      <c r="B134" s="1">
        <f>C134-459.7</f>
        <v>-69.70999999999998</v>
      </c>
      <c r="C134" s="1">
        <v>389.99</v>
      </c>
      <c r="D134" s="1">
        <f>5*(B134-32)/9</f>
        <v>-56.505555555555546</v>
      </c>
      <c r="E134" s="2">
        <f>C134/518.67</f>
        <v>0.75190390807257035</v>
      </c>
      <c r="F134" s="2">
        <f t="shared" si="30"/>
        <v>5.5658192336357729E-2</v>
      </c>
      <c r="G134" s="25">
        <f>F134*2116.22</f>
        <v>117.78497978604695</v>
      </c>
      <c r="H134" s="9">
        <f>I134*0.00237688</f>
        <v>1.7594381779390041E-4</v>
      </c>
      <c r="I134" s="2">
        <f t="shared" si="32"/>
        <v>7.4023012433905119E-2</v>
      </c>
      <c r="J134" s="2">
        <f>SQRT(I134)</f>
        <v>0.27207170458154062</v>
      </c>
      <c r="K134" s="17">
        <f t="shared" si="33"/>
        <v>82.449485850232875</v>
      </c>
      <c r="L134" s="2">
        <f>H134*32.1740484</f>
        <v>5.6608249093817323E-3</v>
      </c>
      <c r="M134" s="25">
        <f t="shared" si="34"/>
        <v>968.1005104214338</v>
      </c>
      <c r="N134" s="1">
        <f>M134*(3600/6080)</f>
        <v>573.21740748637524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C164C-4D19-409D-B13C-7C263A1F122F}">
  <sheetPr codeName="Sheet2">
    <tabColor rgb="FFFFFF00"/>
  </sheetPr>
  <dimension ref="B1:G12"/>
  <sheetViews>
    <sheetView workbookViewId="0">
      <selection activeCell="I16" sqref="I16"/>
    </sheetView>
  </sheetViews>
  <sheetFormatPr defaultRowHeight="14.5"/>
  <cols>
    <col min="1" max="1" width="2.7265625" customWidth="1"/>
    <col min="2" max="6" width="14.7265625" customWidth="1"/>
    <col min="7" max="7" width="15.7265625" customWidth="1"/>
    <col min="8" max="8" width="9.1796875" customWidth="1"/>
  </cols>
  <sheetData>
    <row r="1" spans="2:7" ht="15" thickBot="1"/>
    <row r="2" spans="2:7">
      <c r="B2" s="547" t="s">
        <v>297</v>
      </c>
      <c r="C2" s="548"/>
    </row>
    <row r="3" spans="2:7" ht="15" thickBot="1">
      <c r="B3" s="545" t="s">
        <v>70</v>
      </c>
      <c r="C3" s="546"/>
    </row>
    <row r="4" spans="2:7" ht="15" thickBot="1"/>
    <row r="5" spans="2:7" ht="16.5">
      <c r="B5" s="49" t="s">
        <v>1</v>
      </c>
      <c r="C5" s="36" t="s">
        <v>62</v>
      </c>
      <c r="D5" s="36" t="s">
        <v>63</v>
      </c>
      <c r="E5" s="36" t="s">
        <v>64</v>
      </c>
      <c r="F5" s="195" t="s">
        <v>296</v>
      </c>
      <c r="G5" s="50" t="s">
        <v>65</v>
      </c>
    </row>
    <row r="6" spans="2:7" ht="16.5">
      <c r="B6" s="51" t="s">
        <v>30</v>
      </c>
      <c r="C6" s="28" t="s">
        <v>66</v>
      </c>
      <c r="D6" s="28" t="s">
        <v>67</v>
      </c>
      <c r="E6" s="28" t="s">
        <v>68</v>
      </c>
      <c r="F6" s="28" t="s">
        <v>68</v>
      </c>
      <c r="G6" s="52" t="s">
        <v>69</v>
      </c>
    </row>
    <row r="7" spans="2:7">
      <c r="B7" s="51" t="s">
        <v>93</v>
      </c>
      <c r="C7" s="28" t="s">
        <v>125</v>
      </c>
      <c r="D7" s="28" t="s">
        <v>79</v>
      </c>
      <c r="E7" s="28" t="s">
        <v>125</v>
      </c>
      <c r="F7" s="28" t="s">
        <v>81</v>
      </c>
      <c r="G7" s="52" t="s">
        <v>81</v>
      </c>
    </row>
    <row r="8" spans="2:7">
      <c r="B8" s="53">
        <v>0</v>
      </c>
      <c r="C8" s="118" cm="1">
        <f t="array" ref="C8">Linterp($B8,atmos_h,atmos_degF)</f>
        <v>58.96999999999997</v>
      </c>
      <c r="D8" s="48" cm="1">
        <f t="array" ref="D8">Linterp($B8,atmos_h,atmos_rho)</f>
        <v>2.3768800000000001E-3</v>
      </c>
      <c r="E8" s="118" cm="1">
        <f t="array" ref="E8">Linterp($B8,atmos_h,atmos_qms)</f>
        <v>1481.354</v>
      </c>
      <c r="F8" s="118" cm="1">
        <f t="array" ref="F8">Linterp($B8,atmos_h,atmos_qms)*0.8^2</f>
        <v>948.06656000000021</v>
      </c>
      <c r="G8" s="118" cm="1">
        <f t="array" ref="G8">Linterp($B8,atmos_h,atmos_aspeed)</f>
        <v>1116.45</v>
      </c>
    </row>
    <row r="9" spans="2:7">
      <c r="B9" s="53">
        <v>240</v>
      </c>
      <c r="C9" s="118" cm="1">
        <f t="array" ref="C9">Linterp(B9,atmos_h,atmos_degF)</f>
        <v>58.114159999999963</v>
      </c>
      <c r="D9" s="48" cm="1">
        <f t="array" ref="D9">Linterp($B9,atmos_h,atmos_rho)</f>
        <v>2.3602805120839245E-3</v>
      </c>
      <c r="E9" s="118" cm="1">
        <f t="array" ref="E9">Linterp($B9,atmos_h,atmos_qms)</f>
        <v>1468.5998548132998</v>
      </c>
      <c r="F9" s="118" cm="1">
        <f t="array" ref="F9">Linterp($B9,atmos_h,atmos_qms)*0.8^2</f>
        <v>939.903907080512</v>
      </c>
      <c r="G9" s="118" cm="1">
        <f t="array" ref="G9">Linterp($B9,atmos_h,atmos_aspeed)</f>
        <v>1115.5280986459588</v>
      </c>
    </row>
    <row r="10" spans="2:7">
      <c r="B10" s="53">
        <v>5000</v>
      </c>
      <c r="C10" s="118" cm="1">
        <f t="array" ref="C10">Linterp(B10,atmos_h,atmos_degF)</f>
        <v>41.139999999999986</v>
      </c>
      <c r="D10" s="48" cm="1">
        <f t="array" ref="D10">Linterp($B10,atmos_h,atmos_rho)</f>
        <v>2.0480816914991993E-3</v>
      </c>
      <c r="E10" s="118" cm="1">
        <f t="array" ref="E10">Linterp($B10,atmos_h,atmos_qms)</f>
        <v>1232.5562587425445</v>
      </c>
      <c r="F10" s="118" cm="1">
        <f t="array" ref="F10">Linterp($B10,atmos_h,atmos_qms)*0.8^2</f>
        <v>788.8360055952287</v>
      </c>
      <c r="G10" s="118" cm="1">
        <f t="array" ref="G10">Linterp($B10,atmos_h,atmos_aspeed)</f>
        <v>1097.0924263702484</v>
      </c>
    </row>
    <row r="11" spans="2:7">
      <c r="B11" s="53">
        <v>12424</v>
      </c>
      <c r="C11" s="118" cm="1">
        <f t="array" ref="C11">Linterp(B11,atmos_h,atmos_degF)</f>
        <v>14.666015999999976</v>
      </c>
      <c r="D11" s="48" cm="1">
        <f t="array" ref="D11">Linterp($B11,atmos_h,atmos_rho)</f>
        <v>1.6254348026410717E-3</v>
      </c>
      <c r="E11" s="118" cm="1">
        <f t="array" ref="E11">Linterp($B11,atmos_h,atmos_qms)</f>
        <v>926.50330325602056</v>
      </c>
      <c r="F11" s="118" cm="1">
        <f t="array" ref="F11">Linterp($B11,atmos_h,atmos_qms)*0.8^2</f>
        <v>592.96211408385329</v>
      </c>
      <c r="G11" s="118" cm="1">
        <f t="array" ref="G11">Linterp($B11,atmos_h,atmos_aspeed)</f>
        <v>1067.7028424885355</v>
      </c>
    </row>
    <row r="12" spans="2:7" ht="15" thickBot="1">
      <c r="B12" s="54">
        <v>23856</v>
      </c>
      <c r="C12" s="118" cm="1">
        <f t="array" ref="C12">Linterp(B12,atmos_h,atmos_degF)</f>
        <v>-26.100496000000028</v>
      </c>
      <c r="D12" s="48" cm="1">
        <f t="array" ref="D12">Linterp($B12,atmos_h,atmos_rho)</f>
        <v>1.1088659995325302E-3</v>
      </c>
      <c r="E12" s="118" cm="1">
        <f t="array" ref="E12">Linterp($B12,atmos_h,atmos_qms)</f>
        <v>577.74306388819252</v>
      </c>
      <c r="F12" s="118" cm="1">
        <f t="array" ref="F12">Linterp($B12,atmos_h,atmos_qms)*0.8^2</f>
        <v>369.75556088844331</v>
      </c>
      <c r="G12" s="118" cm="1">
        <f t="array" ref="G12">Linterp($B12,atmos_h,atmos_aspeed)</f>
        <v>1020.7935419863531</v>
      </c>
    </row>
  </sheetData>
  <mergeCells count="2">
    <mergeCell ref="B3:C3"/>
    <mergeCell ref="B2:C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8674E-86A3-474A-BC34-5D972F09352D}">
  <sheetPr codeName="Sheet30">
    <tabColor rgb="FFFFFF00"/>
  </sheetPr>
  <dimension ref="A1"/>
  <sheetViews>
    <sheetView workbookViewId="0">
      <selection activeCell="R20" sqref="R20"/>
    </sheetView>
  </sheetViews>
  <sheetFormatPr defaultRowHeight="14.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59229-5AE3-4009-8CAD-94092360D1BA}">
  <sheetPr codeName="Sheet34">
    <tabColor rgb="FFFFFF00"/>
  </sheetPr>
  <dimension ref="A3:Q124"/>
  <sheetViews>
    <sheetView topLeftCell="A56" zoomScale="90" workbookViewId="0">
      <selection activeCell="T68" sqref="T68"/>
    </sheetView>
  </sheetViews>
  <sheetFormatPr defaultRowHeight="14.5"/>
  <cols>
    <col min="2" max="7" width="10.26953125" customWidth="1"/>
    <col min="8" max="9" width="12" bestFit="1" customWidth="1"/>
  </cols>
  <sheetData>
    <row r="3" spans="1:15">
      <c r="A3" t="s">
        <v>184</v>
      </c>
      <c r="B3" s="399" t="s">
        <v>506</v>
      </c>
      <c r="C3" s="400" t="s">
        <v>507</v>
      </c>
      <c r="D3" s="400" t="s">
        <v>508</v>
      </c>
      <c r="E3" s="400" t="s">
        <v>509</v>
      </c>
      <c r="F3" s="400" t="s">
        <v>510</v>
      </c>
      <c r="G3" s="400" t="s">
        <v>511</v>
      </c>
      <c r="H3" s="400" t="s">
        <v>512</v>
      </c>
      <c r="I3" s="400" t="s">
        <v>513</v>
      </c>
      <c r="J3" s="400" t="s">
        <v>514</v>
      </c>
      <c r="K3" s="400" t="s">
        <v>515</v>
      </c>
      <c r="L3" s="400" t="s">
        <v>516</v>
      </c>
      <c r="M3" s="400" t="s">
        <v>517</v>
      </c>
      <c r="N3" s="400" t="s">
        <v>282</v>
      </c>
      <c r="O3" s="401" t="s">
        <v>518</v>
      </c>
    </row>
    <row r="4" spans="1:15">
      <c r="A4" t="s">
        <v>519</v>
      </c>
      <c r="B4">
        <f t="shared" ref="B4:M16" si="0">B$3/$O4</f>
        <v>7.563656629893363E-2</v>
      </c>
      <c r="C4">
        <f t="shared" si="0"/>
        <v>0.15127313259786726</v>
      </c>
      <c r="D4">
        <f t="shared" si="0"/>
        <v>0.22690969889680088</v>
      </c>
      <c r="E4">
        <f t="shared" si="0"/>
        <v>0.30254626519573452</v>
      </c>
      <c r="F4">
        <f t="shared" si="0"/>
        <v>0.37818283149466814</v>
      </c>
      <c r="G4">
        <f t="shared" si="0"/>
        <v>0.45381939779360175</v>
      </c>
      <c r="H4">
        <f t="shared" si="0"/>
        <v>0.52945596409253537</v>
      </c>
      <c r="I4">
        <f t="shared" si="0"/>
        <v>0.60509253039146904</v>
      </c>
      <c r="J4">
        <f t="shared" si="0"/>
        <v>0.6807290966904026</v>
      </c>
      <c r="K4">
        <f t="shared" si="0"/>
        <v>0.75636566298933627</v>
      </c>
      <c r="L4">
        <f t="shared" si="0"/>
        <v>0.83200222928826983</v>
      </c>
      <c r="M4">
        <f t="shared" si="0"/>
        <v>0.90763879558720351</v>
      </c>
      <c r="N4">
        <v>0</v>
      </c>
      <c r="O4" s="1" cm="1">
        <f t="array" ref="O4">Linterp(KTAS[[#This Row],[650]], atmos_h, atmos_vela)</f>
        <v>661.05592105263156</v>
      </c>
    </row>
    <row r="5" spans="1:15">
      <c r="B5">
        <f t="shared" si="0"/>
        <v>7.6971130612787597E-2</v>
      </c>
      <c r="C5">
        <f t="shared" si="0"/>
        <v>0.15394226122557519</v>
      </c>
      <c r="D5">
        <f t="shared" si="0"/>
        <v>0.23091339183836279</v>
      </c>
      <c r="E5">
        <f t="shared" si="0"/>
        <v>0.30788452245115039</v>
      </c>
      <c r="F5">
        <f t="shared" si="0"/>
        <v>0.38485565306393799</v>
      </c>
      <c r="G5">
        <f t="shared" si="0"/>
        <v>0.46182678367672558</v>
      </c>
      <c r="H5">
        <f t="shared" si="0"/>
        <v>0.53879791428951318</v>
      </c>
      <c r="I5">
        <f t="shared" si="0"/>
        <v>0.61576904490230078</v>
      </c>
      <c r="J5">
        <f t="shared" si="0"/>
        <v>0.69274017551508837</v>
      </c>
      <c r="K5">
        <f t="shared" si="0"/>
        <v>0.76971130612787597</v>
      </c>
      <c r="L5">
        <f t="shared" si="0"/>
        <v>0.84668243674066357</v>
      </c>
      <c r="M5">
        <f t="shared" si="0"/>
        <v>0.92365356735345117</v>
      </c>
      <c r="N5" s="18">
        <v>5000</v>
      </c>
      <c r="O5" s="1" cm="1">
        <f t="array" ref="O5">Linterp(KTAS[[#This Row],[650]], atmos_h, atmos_vela)</f>
        <v>649.59419982448912</v>
      </c>
    </row>
    <row r="6" spans="1:15">
      <c r="B6">
        <f t="shared" si="0"/>
        <v>7.8378925996565388E-2</v>
      </c>
      <c r="C6">
        <f t="shared" si="0"/>
        <v>0.15675785199313078</v>
      </c>
      <c r="D6">
        <f t="shared" si="0"/>
        <v>0.23513677798969615</v>
      </c>
      <c r="E6">
        <f t="shared" si="0"/>
        <v>0.31351570398626155</v>
      </c>
      <c r="F6">
        <f t="shared" si="0"/>
        <v>0.39189462998282693</v>
      </c>
      <c r="G6">
        <f t="shared" si="0"/>
        <v>0.4702735559793923</v>
      </c>
      <c r="H6">
        <f t="shared" si="0"/>
        <v>0.54865248197595773</v>
      </c>
      <c r="I6">
        <f t="shared" si="0"/>
        <v>0.6270314079725231</v>
      </c>
      <c r="J6">
        <f t="shared" si="0"/>
        <v>0.70541033396908848</v>
      </c>
      <c r="K6">
        <f t="shared" si="0"/>
        <v>0.78378925996565385</v>
      </c>
      <c r="L6">
        <f t="shared" si="0"/>
        <v>0.86216818596221922</v>
      </c>
      <c r="M6">
        <f t="shared" si="0"/>
        <v>0.9405471119587846</v>
      </c>
      <c r="N6">
        <v>10000</v>
      </c>
      <c r="O6" s="1" cm="1">
        <f t="array" ref="O6">Linterp(KTAS[[#This Row],[650]], atmos_h, atmos_vela)</f>
        <v>637.9265773837094</v>
      </c>
    </row>
    <row r="7" spans="1:15">
      <c r="B7">
        <f t="shared" si="0"/>
        <v>7.986690447337641E-2</v>
      </c>
      <c r="C7">
        <f t="shared" si="0"/>
        <v>0.15973380894675282</v>
      </c>
      <c r="D7">
        <f t="shared" si="0"/>
        <v>0.2396007134201292</v>
      </c>
      <c r="E7">
        <f t="shared" si="0"/>
        <v>0.31946761789350564</v>
      </c>
      <c r="F7">
        <f t="shared" si="0"/>
        <v>0.39933452236688205</v>
      </c>
      <c r="G7">
        <f t="shared" si="0"/>
        <v>0.4792014268402584</v>
      </c>
      <c r="H7">
        <f t="shared" si="0"/>
        <v>0.55906833131363487</v>
      </c>
      <c r="I7">
        <f t="shared" si="0"/>
        <v>0.63893523578701128</v>
      </c>
      <c r="J7">
        <f t="shared" si="0"/>
        <v>0.71880214026038769</v>
      </c>
      <c r="K7">
        <f t="shared" si="0"/>
        <v>0.7986690447337641</v>
      </c>
      <c r="L7">
        <f t="shared" si="0"/>
        <v>0.8785359492071404</v>
      </c>
      <c r="M7">
        <f t="shared" si="0"/>
        <v>0.95840285368051681</v>
      </c>
      <c r="N7" s="18">
        <v>15000</v>
      </c>
      <c r="O7" s="1" cm="1">
        <f t="array" ref="O7">Linterp(KTAS[[#This Row],[650]], atmos_h, atmos_vela)</f>
        <v>626.04154160835765</v>
      </c>
    </row>
    <row r="8" spans="1:15">
      <c r="B8">
        <f t="shared" si="0"/>
        <v>8.1442978563304735E-2</v>
      </c>
      <c r="C8">
        <f t="shared" si="0"/>
        <v>0.16288595712660947</v>
      </c>
      <c r="D8">
        <f t="shared" si="0"/>
        <v>0.24432893568991418</v>
      </c>
      <c r="E8">
        <f t="shared" si="0"/>
        <v>0.32577191425321894</v>
      </c>
      <c r="F8">
        <f t="shared" si="0"/>
        <v>0.40721489281652368</v>
      </c>
      <c r="G8">
        <f t="shared" si="0"/>
        <v>0.48865787137982836</v>
      </c>
      <c r="H8">
        <f t="shared" si="0"/>
        <v>0.57010084994313315</v>
      </c>
      <c r="I8">
        <f t="shared" si="0"/>
        <v>0.65154382850643788</v>
      </c>
      <c r="J8">
        <f t="shared" si="0"/>
        <v>0.73298680706974262</v>
      </c>
      <c r="K8">
        <f t="shared" si="0"/>
        <v>0.81442978563304735</v>
      </c>
      <c r="L8">
        <f t="shared" si="0"/>
        <v>0.89587276419635198</v>
      </c>
      <c r="M8">
        <f t="shared" si="0"/>
        <v>0.97731574275965671</v>
      </c>
      <c r="N8">
        <v>20000</v>
      </c>
      <c r="O8" s="1" cm="1">
        <f t="array" ref="O8">Linterp(KTAS[[#This Row],[650]], atmos_h, atmos_vela)</f>
        <v>613.92646587864601</v>
      </c>
    </row>
    <row r="9" spans="1:15">
      <c r="B9">
        <f t="shared" si="0"/>
        <v>8.3116198925905979E-2</v>
      </c>
      <c r="C9">
        <f t="shared" si="0"/>
        <v>0.16623239785181196</v>
      </c>
      <c r="D9">
        <f t="shared" si="0"/>
        <v>0.24934859677771792</v>
      </c>
      <c r="E9">
        <f t="shared" si="0"/>
        <v>0.33246479570362392</v>
      </c>
      <c r="F9">
        <f t="shared" si="0"/>
        <v>0.41558099462952985</v>
      </c>
      <c r="G9">
        <f t="shared" si="0"/>
        <v>0.49869719355543585</v>
      </c>
      <c r="H9">
        <f t="shared" si="0"/>
        <v>0.58181339248134178</v>
      </c>
      <c r="I9">
        <f t="shared" si="0"/>
        <v>0.66492959140724783</v>
      </c>
      <c r="J9">
        <f t="shared" si="0"/>
        <v>0.74804579033315377</v>
      </c>
      <c r="K9">
        <f t="shared" si="0"/>
        <v>0.83116198925905971</v>
      </c>
      <c r="L9">
        <f t="shared" si="0"/>
        <v>0.91427818818496576</v>
      </c>
      <c r="M9">
        <f t="shared" si="0"/>
        <v>0.99739438711087169</v>
      </c>
      <c r="N9" s="18">
        <v>25000</v>
      </c>
      <c r="O9" s="1" cm="1">
        <f t="array" ref="O9">Linterp(KTAS[[#This Row],[650]], atmos_h, atmos_vela)</f>
        <v>601.5674519063673</v>
      </c>
    </row>
    <row r="10" spans="1:15">
      <c r="B10">
        <f t="shared" si="0"/>
        <v>8.489697388279191E-2</v>
      </c>
      <c r="C10">
        <f t="shared" si="0"/>
        <v>0.16979394776558382</v>
      </c>
      <c r="D10">
        <f t="shared" si="0"/>
        <v>0.25469092164837576</v>
      </c>
      <c r="E10">
        <f t="shared" si="0"/>
        <v>0.33958789553116764</v>
      </c>
      <c r="F10">
        <f t="shared" si="0"/>
        <v>0.42448486941395958</v>
      </c>
      <c r="G10">
        <f t="shared" si="0"/>
        <v>0.50938184329675151</v>
      </c>
      <c r="H10">
        <f t="shared" si="0"/>
        <v>0.59427881717954334</v>
      </c>
      <c r="I10">
        <f t="shared" si="0"/>
        <v>0.67917579106233528</v>
      </c>
      <c r="J10">
        <f t="shared" si="0"/>
        <v>0.76407276494512721</v>
      </c>
      <c r="K10">
        <f t="shared" si="0"/>
        <v>0.84896973882791915</v>
      </c>
      <c r="L10">
        <f t="shared" si="0"/>
        <v>0.93386671271071109</v>
      </c>
      <c r="M10">
        <f t="shared" si="0"/>
        <v>1.018763686593503</v>
      </c>
      <c r="N10">
        <v>30000</v>
      </c>
      <c r="O10" s="1" cm="1">
        <f t="array" ref="O10">Linterp(KTAS[[#This Row],[650]], atmos_h, atmos_vela)</f>
        <v>588.94914286379162</v>
      </c>
    </row>
    <row r="11" spans="1:15">
      <c r="B11">
        <f t="shared" si="0"/>
        <v>8.6797343012492298E-2</v>
      </c>
      <c r="C11">
        <f t="shared" si="0"/>
        <v>0.1735946860249846</v>
      </c>
      <c r="D11">
        <f t="shared" si="0"/>
        <v>0.26039202903747688</v>
      </c>
      <c r="E11">
        <f t="shared" si="0"/>
        <v>0.34718937204996919</v>
      </c>
      <c r="F11">
        <f t="shared" si="0"/>
        <v>0.4339867150624615</v>
      </c>
      <c r="G11">
        <f t="shared" si="0"/>
        <v>0.52078405807495376</v>
      </c>
      <c r="H11">
        <f t="shared" si="0"/>
        <v>0.60758140108744607</v>
      </c>
      <c r="I11">
        <f t="shared" si="0"/>
        <v>0.69437874409993838</v>
      </c>
      <c r="J11">
        <f t="shared" si="0"/>
        <v>0.78117608711243069</v>
      </c>
      <c r="K11">
        <f t="shared" si="0"/>
        <v>0.86797343012492301</v>
      </c>
      <c r="L11">
        <f t="shared" si="0"/>
        <v>0.95477077313741532</v>
      </c>
      <c r="M11">
        <f t="shared" si="0"/>
        <v>1.0415681161499075</v>
      </c>
      <c r="N11" s="18">
        <v>35000</v>
      </c>
      <c r="O11" s="1" cm="1">
        <f t="array" ref="O11">Linterp(KTAS[[#This Row],[650]], atmos_h, atmos_vela)</f>
        <v>576.05449964987702</v>
      </c>
    </row>
    <row r="12" spans="1:15">
      <c r="B12">
        <f t="shared" si="0"/>
        <v>8.7226939285141039E-2</v>
      </c>
      <c r="C12">
        <f t="shared" si="0"/>
        <v>0.17445387857028208</v>
      </c>
      <c r="D12">
        <f t="shared" si="0"/>
        <v>0.26168081785542308</v>
      </c>
      <c r="E12">
        <f t="shared" si="0"/>
        <v>0.34890775714056416</v>
      </c>
      <c r="F12">
        <f t="shared" si="0"/>
        <v>0.43613469642570518</v>
      </c>
      <c r="G12">
        <f t="shared" si="0"/>
        <v>0.52336163571084615</v>
      </c>
      <c r="H12">
        <f t="shared" si="0"/>
        <v>0.61058857499598729</v>
      </c>
      <c r="I12">
        <f t="shared" si="0"/>
        <v>0.69781551428112831</v>
      </c>
      <c r="J12">
        <f t="shared" si="0"/>
        <v>0.78504245356626934</v>
      </c>
      <c r="K12">
        <f t="shared" si="0"/>
        <v>0.87226939285141036</v>
      </c>
      <c r="L12">
        <f t="shared" si="0"/>
        <v>0.95949633213655139</v>
      </c>
      <c r="M12">
        <f t="shared" si="0"/>
        <v>1.0467232714216923</v>
      </c>
      <c r="N12">
        <v>40000</v>
      </c>
      <c r="O12" s="1" cm="1">
        <f t="array" ref="O12">Linterp(KTAS[[#This Row],[650]], atmos_h, atmos_vela)</f>
        <v>573.21740748637524</v>
      </c>
    </row>
    <row r="13" spans="1:15">
      <c r="B13">
        <f t="shared" si="0"/>
        <v>8.7226939285141039E-2</v>
      </c>
      <c r="C13">
        <f t="shared" si="0"/>
        <v>0.17445387857028208</v>
      </c>
      <c r="D13">
        <f t="shared" si="0"/>
        <v>0.26168081785542308</v>
      </c>
      <c r="E13">
        <f t="shared" si="0"/>
        <v>0.34890775714056416</v>
      </c>
      <c r="F13">
        <f t="shared" si="0"/>
        <v>0.43613469642570518</v>
      </c>
      <c r="G13">
        <f t="shared" si="0"/>
        <v>0.52336163571084615</v>
      </c>
      <c r="H13">
        <f t="shared" si="0"/>
        <v>0.61058857499598729</v>
      </c>
      <c r="I13">
        <f t="shared" si="0"/>
        <v>0.69781551428112831</v>
      </c>
      <c r="J13">
        <f t="shared" si="0"/>
        <v>0.78504245356626934</v>
      </c>
      <c r="K13">
        <f t="shared" si="0"/>
        <v>0.87226939285141036</v>
      </c>
      <c r="L13">
        <f t="shared" si="0"/>
        <v>0.95949633213655139</v>
      </c>
      <c r="M13">
        <f t="shared" si="0"/>
        <v>1.0467232714216923</v>
      </c>
      <c r="N13" s="18">
        <v>45000</v>
      </c>
      <c r="O13" s="1" cm="1">
        <f t="array" ref="O13">Linterp(KTAS[[#This Row],[650]], atmos_h, atmos_vela)</f>
        <v>573.21740748637524</v>
      </c>
    </row>
    <row r="14" spans="1:15">
      <c r="B14">
        <f t="shared" si="0"/>
        <v>8.7226939285141039E-2</v>
      </c>
      <c r="C14">
        <f t="shared" si="0"/>
        <v>0.17445387857028208</v>
      </c>
      <c r="D14">
        <f t="shared" si="0"/>
        <v>0.26168081785542308</v>
      </c>
      <c r="E14">
        <f t="shared" si="0"/>
        <v>0.34890775714056416</v>
      </c>
      <c r="F14">
        <f t="shared" si="0"/>
        <v>0.43613469642570518</v>
      </c>
      <c r="G14">
        <f t="shared" si="0"/>
        <v>0.52336163571084615</v>
      </c>
      <c r="H14">
        <f t="shared" si="0"/>
        <v>0.61058857499598729</v>
      </c>
      <c r="I14">
        <f t="shared" si="0"/>
        <v>0.69781551428112831</v>
      </c>
      <c r="J14">
        <f t="shared" si="0"/>
        <v>0.78504245356626934</v>
      </c>
      <c r="K14">
        <f t="shared" si="0"/>
        <v>0.87226939285141036</v>
      </c>
      <c r="L14">
        <f t="shared" si="0"/>
        <v>0.95949633213655139</v>
      </c>
      <c r="M14">
        <f t="shared" si="0"/>
        <v>1.0467232714216923</v>
      </c>
      <c r="N14">
        <v>50000</v>
      </c>
      <c r="O14" s="1" cm="1">
        <f t="array" ref="O14">Linterp(KTAS[[#This Row],[650]], atmos_h, atmos_vela)</f>
        <v>573.21740748637524</v>
      </c>
    </row>
    <row r="15" spans="1:15">
      <c r="B15">
        <f t="shared" si="0"/>
        <v>8.7226939285141039E-2</v>
      </c>
      <c r="C15">
        <f t="shared" si="0"/>
        <v>0.17445387857028208</v>
      </c>
      <c r="D15">
        <f t="shared" si="0"/>
        <v>0.26168081785542308</v>
      </c>
      <c r="E15">
        <f t="shared" si="0"/>
        <v>0.34890775714056416</v>
      </c>
      <c r="F15">
        <f t="shared" si="0"/>
        <v>0.43613469642570518</v>
      </c>
      <c r="G15">
        <f t="shared" si="0"/>
        <v>0.52336163571084615</v>
      </c>
      <c r="H15">
        <f t="shared" si="0"/>
        <v>0.61058857499598729</v>
      </c>
      <c r="I15">
        <f t="shared" si="0"/>
        <v>0.69781551428112831</v>
      </c>
      <c r="J15">
        <f t="shared" si="0"/>
        <v>0.78504245356626934</v>
      </c>
      <c r="K15">
        <f t="shared" si="0"/>
        <v>0.87226939285141036</v>
      </c>
      <c r="L15">
        <f t="shared" si="0"/>
        <v>0.95949633213655139</v>
      </c>
      <c r="M15">
        <f t="shared" si="0"/>
        <v>1.0467232714216923</v>
      </c>
      <c r="N15" s="18">
        <v>55000</v>
      </c>
      <c r="O15" s="1" cm="1">
        <f t="array" ref="O15">Linterp(KTAS[[#This Row],[650]], atmos_h, atmos_vela)</f>
        <v>573.21740748637524</v>
      </c>
    </row>
    <row r="16" spans="1:15">
      <c r="B16">
        <f t="shared" si="0"/>
        <v>8.7226939285141039E-2</v>
      </c>
      <c r="C16">
        <f t="shared" si="0"/>
        <v>0.17445387857028208</v>
      </c>
      <c r="D16">
        <f t="shared" si="0"/>
        <v>0.26168081785542308</v>
      </c>
      <c r="E16">
        <f t="shared" si="0"/>
        <v>0.34890775714056416</v>
      </c>
      <c r="F16">
        <f t="shared" si="0"/>
        <v>0.43613469642570518</v>
      </c>
      <c r="G16">
        <f t="shared" si="0"/>
        <v>0.52336163571084615</v>
      </c>
      <c r="H16">
        <f t="shared" si="0"/>
        <v>0.61058857499598729</v>
      </c>
      <c r="I16">
        <f t="shared" si="0"/>
        <v>0.69781551428112831</v>
      </c>
      <c r="J16">
        <f t="shared" si="0"/>
        <v>0.78504245356626934</v>
      </c>
      <c r="K16">
        <f t="shared" si="0"/>
        <v>0.87226939285141036</v>
      </c>
      <c r="L16">
        <f t="shared" si="0"/>
        <v>0.95949633213655139</v>
      </c>
      <c r="M16">
        <f t="shared" si="0"/>
        <v>1.0467232714216923</v>
      </c>
      <c r="N16">
        <v>60000</v>
      </c>
      <c r="O16" s="1" cm="1">
        <f t="array" ref="O16">Linterp(KTAS[[#This Row],[650]], atmos_h, atmos_vela)</f>
        <v>573.21740748637524</v>
      </c>
    </row>
    <row r="18" spans="1:16">
      <c r="A18" t="s">
        <v>520</v>
      </c>
      <c r="B18" s="399" t="s">
        <v>506</v>
      </c>
      <c r="C18" s="400" t="s">
        <v>507</v>
      </c>
      <c r="D18" s="400" t="s">
        <v>508</v>
      </c>
      <c r="E18" s="400" t="s">
        <v>509</v>
      </c>
      <c r="F18" s="400" t="s">
        <v>510</v>
      </c>
      <c r="G18" s="400" t="s">
        <v>511</v>
      </c>
      <c r="H18" s="400" t="s">
        <v>512</v>
      </c>
      <c r="I18" s="400" t="s">
        <v>513</v>
      </c>
      <c r="J18" s="400" t="s">
        <v>514</v>
      </c>
      <c r="K18" s="400" t="s">
        <v>515</v>
      </c>
      <c r="L18" s="400" t="s">
        <v>516</v>
      </c>
      <c r="M18" s="400" t="s">
        <v>517</v>
      </c>
      <c r="N18" s="400" t="s">
        <v>282</v>
      </c>
      <c r="O18" s="401" t="s">
        <v>518</v>
      </c>
      <c r="P18" s="402" t="s">
        <v>524</v>
      </c>
    </row>
    <row r="19" spans="1:16">
      <c r="A19" t="s">
        <v>519</v>
      </c>
      <c r="B19">
        <f>B$18/($O19*$P19)</f>
        <v>7.563656629893363E-2</v>
      </c>
      <c r="C19">
        <f t="shared" ref="C19:M31" si="1">C$18/($O19*$P19)</f>
        <v>0.15127313259786726</v>
      </c>
      <c r="D19">
        <f t="shared" si="1"/>
        <v>0.22690969889680088</v>
      </c>
      <c r="E19">
        <f t="shared" si="1"/>
        <v>0.30254626519573452</v>
      </c>
      <c r="F19">
        <f t="shared" si="1"/>
        <v>0.37818283149466814</v>
      </c>
      <c r="G19">
        <f t="shared" si="1"/>
        <v>0.45381939779360175</v>
      </c>
      <c r="H19">
        <f t="shared" si="1"/>
        <v>0.52945596409253537</v>
      </c>
      <c r="I19">
        <f t="shared" si="1"/>
        <v>0.60509253039146904</v>
      </c>
      <c r="J19">
        <f t="shared" si="1"/>
        <v>0.6807290966904026</v>
      </c>
      <c r="K19">
        <f t="shared" si="1"/>
        <v>0.75636566298933627</v>
      </c>
      <c r="L19">
        <f t="shared" si="1"/>
        <v>0.83200222928826983</v>
      </c>
      <c r="M19">
        <f t="shared" si="1"/>
        <v>0.90763879558720351</v>
      </c>
      <c r="N19">
        <v>0</v>
      </c>
      <c r="O19" s="1" cm="1">
        <f t="array" ref="O19">Linterp(KEAS[[#This Row],[h]], atmos_h, atmos_vela)</f>
        <v>661.05592105263156</v>
      </c>
      <c r="P19" s="1" cm="1">
        <f t="array" ref="P19">Linterp(KEAS[[#This Row],[h]],atmos_h,atmos_sqrtDR)</f>
        <v>1</v>
      </c>
    </row>
    <row r="20" spans="1:16">
      <c r="B20">
        <f t="shared" ref="B20:B31" si="2">B$18/($O20*$P20)</f>
        <v>8.2919725628328778E-2</v>
      </c>
      <c r="C20">
        <f t="shared" si="1"/>
        <v>0.16583945125665756</v>
      </c>
      <c r="D20">
        <f t="shared" si="1"/>
        <v>0.24875917688498636</v>
      </c>
      <c r="E20">
        <f t="shared" si="1"/>
        <v>0.33167890251331511</v>
      </c>
      <c r="F20">
        <f t="shared" si="1"/>
        <v>0.41459862814164394</v>
      </c>
      <c r="G20">
        <f t="shared" si="1"/>
        <v>0.49751835376997272</v>
      </c>
      <c r="H20">
        <f t="shared" si="1"/>
        <v>0.5804380793983015</v>
      </c>
      <c r="I20">
        <f t="shared" si="1"/>
        <v>0.66335780502663022</v>
      </c>
      <c r="J20">
        <f t="shared" si="1"/>
        <v>0.74627753065495905</v>
      </c>
      <c r="K20">
        <f t="shared" si="1"/>
        <v>0.82919725628328789</v>
      </c>
      <c r="L20">
        <f t="shared" si="1"/>
        <v>0.91211698191161661</v>
      </c>
      <c r="M20">
        <f t="shared" si="1"/>
        <v>0.99503670753994544</v>
      </c>
      <c r="N20" s="18">
        <v>5000</v>
      </c>
      <c r="O20" s="1" cm="1">
        <f t="array" ref="O20">Linterp(KEAS[[#This Row],[h]], atmos_h, atmos_vela)</f>
        <v>649.59419982448912</v>
      </c>
      <c r="P20" s="1" cm="1">
        <f t="array" ref="P20">Linterp(KEAS[[#This Row],[h]],atmos_h,atmos_sqrtDR)</f>
        <v>0.92826079716900445</v>
      </c>
    </row>
    <row r="21" spans="1:16">
      <c r="B21">
        <f t="shared" si="2"/>
        <v>9.1207668377670068E-2</v>
      </c>
      <c r="C21">
        <f t="shared" si="1"/>
        <v>0.18241533675534014</v>
      </c>
      <c r="D21">
        <f t="shared" si="1"/>
        <v>0.27362300513301019</v>
      </c>
      <c r="E21">
        <f t="shared" si="1"/>
        <v>0.36483067351068027</v>
      </c>
      <c r="F21">
        <f t="shared" si="1"/>
        <v>0.45603834188835035</v>
      </c>
      <c r="G21">
        <f t="shared" si="1"/>
        <v>0.54724601026602038</v>
      </c>
      <c r="H21">
        <f t="shared" si="1"/>
        <v>0.63845367864369051</v>
      </c>
      <c r="I21">
        <f t="shared" si="1"/>
        <v>0.72966134702136054</v>
      </c>
      <c r="J21">
        <f t="shared" si="1"/>
        <v>0.82086901539903068</v>
      </c>
      <c r="K21">
        <f t="shared" si="1"/>
        <v>0.9120766837767007</v>
      </c>
      <c r="L21">
        <f t="shared" si="1"/>
        <v>1.0032843521543708</v>
      </c>
      <c r="M21">
        <f t="shared" si="1"/>
        <v>1.0944920205320408</v>
      </c>
      <c r="N21">
        <v>10000</v>
      </c>
      <c r="O21" s="1" cm="1">
        <f t="array" ref="O21">Linterp(KEAS[[#This Row],[h]], atmos_h, atmos_vela)</f>
        <v>637.9265773837094</v>
      </c>
      <c r="P21" s="1" cm="1">
        <f t="array" ref="P21">Linterp(KEAS[[#This Row],[h]],atmos_h,atmos_sqrtDR)</f>
        <v>0.85934579175970371</v>
      </c>
    </row>
    <row r="22" spans="1:16">
      <c r="B22">
        <f t="shared" si="2"/>
        <v>0.10068417274501672</v>
      </c>
      <c r="C22">
        <f t="shared" si="1"/>
        <v>0.20136834549003343</v>
      </c>
      <c r="D22">
        <f t="shared" si="1"/>
        <v>0.30205251823505014</v>
      </c>
      <c r="E22">
        <f t="shared" si="1"/>
        <v>0.40273669098006687</v>
      </c>
      <c r="F22">
        <f t="shared" si="1"/>
        <v>0.50342086372508354</v>
      </c>
      <c r="G22">
        <f t="shared" si="1"/>
        <v>0.60410503647010028</v>
      </c>
      <c r="H22">
        <f t="shared" si="1"/>
        <v>0.70478920921511701</v>
      </c>
      <c r="I22">
        <f t="shared" si="1"/>
        <v>0.80547338196013374</v>
      </c>
      <c r="J22">
        <f t="shared" si="1"/>
        <v>0.90615755470515047</v>
      </c>
      <c r="K22">
        <f t="shared" si="1"/>
        <v>1.0068417274501671</v>
      </c>
      <c r="L22">
        <f t="shared" si="1"/>
        <v>1.1075259001951838</v>
      </c>
      <c r="M22">
        <f t="shared" si="1"/>
        <v>1.2082100729402006</v>
      </c>
      <c r="N22" s="18">
        <v>15000</v>
      </c>
      <c r="O22" s="1" cm="1">
        <f t="array" ref="O22">Linterp(KEAS[[#This Row],[h]], atmos_h, atmos_vela)</f>
        <v>626.04154160835765</v>
      </c>
      <c r="P22" s="1" cm="1">
        <f t="array" ref="P22">Linterp(KEAS[[#This Row],[h]],atmos_h,atmos_sqrtDR)</f>
        <v>0.7932418998529176</v>
      </c>
    </row>
    <row r="23" spans="1:16">
      <c r="B23">
        <f t="shared" si="2"/>
        <v>0.11157556575390752</v>
      </c>
      <c r="C23">
        <f t="shared" si="1"/>
        <v>0.22315113150781504</v>
      </c>
      <c r="D23">
        <f t="shared" si="1"/>
        <v>0.33472669726172255</v>
      </c>
      <c r="E23">
        <f t="shared" si="1"/>
        <v>0.44630226301563009</v>
      </c>
      <c r="F23">
        <f t="shared" si="1"/>
        <v>0.55787782876953762</v>
      </c>
      <c r="G23">
        <f t="shared" si="1"/>
        <v>0.6694533945234451</v>
      </c>
      <c r="H23">
        <f t="shared" si="1"/>
        <v>0.78102896027735269</v>
      </c>
      <c r="I23">
        <f t="shared" si="1"/>
        <v>0.89260452603126017</v>
      </c>
      <c r="J23">
        <f t="shared" si="1"/>
        <v>1.0041800917851678</v>
      </c>
      <c r="K23">
        <f t="shared" si="1"/>
        <v>1.1157556575390752</v>
      </c>
      <c r="L23">
        <f t="shared" si="1"/>
        <v>1.2273312232929827</v>
      </c>
      <c r="M23">
        <f t="shared" si="1"/>
        <v>1.3389067890468902</v>
      </c>
      <c r="N23">
        <v>20000</v>
      </c>
      <c r="O23" s="1" cm="1">
        <f t="array" ref="O23">Linterp(KEAS[[#This Row],[h]], atmos_h, atmos_vela)</f>
        <v>613.92646587864601</v>
      </c>
      <c r="P23" s="1" cm="1">
        <f t="array" ref="P23">Linterp(KEAS[[#This Row],[h]],atmos_h,atmos_sqrtDR)</f>
        <v>0.72993560922591594</v>
      </c>
    </row>
    <row r="24" spans="1:16">
      <c r="B24">
        <f t="shared" si="2"/>
        <v>0.12416281932718992</v>
      </c>
      <c r="C24">
        <f t="shared" si="1"/>
        <v>0.24832563865437984</v>
      </c>
      <c r="D24">
        <f t="shared" si="1"/>
        <v>0.37248845798156976</v>
      </c>
      <c r="E24">
        <f t="shared" si="1"/>
        <v>0.49665127730875969</v>
      </c>
      <c r="F24">
        <f t="shared" si="1"/>
        <v>0.62081409663594966</v>
      </c>
      <c r="G24">
        <f t="shared" si="1"/>
        <v>0.74497691596313953</v>
      </c>
      <c r="H24">
        <f t="shared" si="1"/>
        <v>0.86913973529032951</v>
      </c>
      <c r="I24">
        <f t="shared" si="1"/>
        <v>0.99330255461751937</v>
      </c>
      <c r="J24">
        <f t="shared" si="1"/>
        <v>1.1174653739447094</v>
      </c>
      <c r="K24">
        <f t="shared" si="1"/>
        <v>1.2416281932718993</v>
      </c>
      <c r="L24">
        <f t="shared" si="1"/>
        <v>1.3657910125990891</v>
      </c>
      <c r="M24">
        <f t="shared" si="1"/>
        <v>1.4899538319262791</v>
      </c>
      <c r="N24" s="18">
        <v>25000</v>
      </c>
      <c r="O24" s="1" cm="1">
        <f t="array" ref="O24">Linterp(KEAS[[#This Row],[h]], atmos_h, atmos_vela)</f>
        <v>601.5674519063673</v>
      </c>
      <c r="P24" s="1" cm="1">
        <f t="array" ref="P24">Linterp(KEAS[[#This Row],[h]],atmos_h,atmos_sqrtDR)</f>
        <v>0.6694129480652401</v>
      </c>
    </row>
    <row r="25" spans="1:16">
      <c r="B25">
        <f t="shared" si="2"/>
        <v>0.13879778016794925</v>
      </c>
      <c r="C25">
        <f t="shared" si="1"/>
        <v>0.27759556033589849</v>
      </c>
      <c r="D25">
        <f t="shared" si="1"/>
        <v>0.4163933405038478</v>
      </c>
      <c r="E25">
        <f t="shared" si="1"/>
        <v>0.55519112067179699</v>
      </c>
      <c r="F25">
        <f t="shared" si="1"/>
        <v>0.69398890083974629</v>
      </c>
      <c r="G25">
        <f t="shared" si="1"/>
        <v>0.8327866810076956</v>
      </c>
      <c r="H25">
        <f t="shared" si="1"/>
        <v>0.97158446117564479</v>
      </c>
      <c r="I25">
        <f t="shared" si="1"/>
        <v>1.110382241343594</v>
      </c>
      <c r="J25">
        <f t="shared" si="1"/>
        <v>1.2491800215115434</v>
      </c>
      <c r="K25">
        <f t="shared" si="1"/>
        <v>1.3879778016794926</v>
      </c>
      <c r="L25">
        <f t="shared" si="1"/>
        <v>1.5267755818474418</v>
      </c>
      <c r="M25">
        <f t="shared" si="1"/>
        <v>1.6655733620153912</v>
      </c>
      <c r="N25">
        <v>30000</v>
      </c>
      <c r="O25" s="1" cm="1">
        <f t="array" ref="O25">Linterp(KEAS[[#This Row],[h]], atmos_h, atmos_vela)</f>
        <v>588.94914286379162</v>
      </c>
      <c r="P25" s="1" cm="1">
        <f t="array" ref="P25">Linterp(KEAS[[#This Row],[h]],atmos_h,atmos_sqrtDR)</f>
        <v>0.61165945002912991</v>
      </c>
    </row>
    <row r="26" spans="1:16">
      <c r="B26">
        <f t="shared" si="2"/>
        <v>0.15592520581974723</v>
      </c>
      <c r="C26">
        <f t="shared" si="1"/>
        <v>0.31185041163949445</v>
      </c>
      <c r="D26">
        <f t="shared" si="1"/>
        <v>0.46777561745924168</v>
      </c>
      <c r="E26">
        <f t="shared" si="1"/>
        <v>0.6237008232789889</v>
      </c>
      <c r="F26">
        <f t="shared" si="1"/>
        <v>0.77962602909873613</v>
      </c>
      <c r="G26">
        <f t="shared" si="1"/>
        <v>0.93555123491848335</v>
      </c>
      <c r="H26">
        <f t="shared" si="1"/>
        <v>1.0914764407382307</v>
      </c>
      <c r="I26">
        <f t="shared" si="1"/>
        <v>1.2474016465579778</v>
      </c>
      <c r="J26">
        <f t="shared" si="1"/>
        <v>1.4033268523777251</v>
      </c>
      <c r="K26">
        <f t="shared" si="1"/>
        <v>1.5592520581974723</v>
      </c>
      <c r="L26">
        <f t="shared" si="1"/>
        <v>1.7151772640172196</v>
      </c>
      <c r="M26">
        <f t="shared" si="1"/>
        <v>1.8711024698369667</v>
      </c>
      <c r="N26" s="18">
        <v>35000</v>
      </c>
      <c r="O26" s="1" cm="1">
        <f t="array" ref="O26">Linterp(KEAS[[#This Row],[h]], atmos_h, atmos_vela)</f>
        <v>576.05449964987702</v>
      </c>
      <c r="P26" s="1" cm="1">
        <f t="array" ref="P26">Linterp(KEAS[[#This Row],[h]],atmos_h,atmos_sqrtDR)</f>
        <v>0.5566601150607543</v>
      </c>
    </row>
    <row r="27" spans="1:16">
      <c r="B27">
        <f t="shared" si="2"/>
        <v>0.17581048016377868</v>
      </c>
      <c r="C27">
        <f t="shared" si="1"/>
        <v>0.35162096032755735</v>
      </c>
      <c r="D27">
        <f t="shared" si="1"/>
        <v>0.52743144049133606</v>
      </c>
      <c r="E27">
        <f t="shared" si="1"/>
        <v>0.70324192065511471</v>
      </c>
      <c r="F27">
        <f t="shared" si="1"/>
        <v>0.87905240081889335</v>
      </c>
      <c r="G27">
        <f t="shared" si="1"/>
        <v>1.0548628809826721</v>
      </c>
      <c r="H27">
        <f t="shared" si="1"/>
        <v>1.2306733611464507</v>
      </c>
      <c r="I27">
        <f t="shared" si="1"/>
        <v>1.4064838413102294</v>
      </c>
      <c r="J27">
        <f t="shared" si="1"/>
        <v>1.5822943214740079</v>
      </c>
      <c r="K27">
        <f t="shared" si="1"/>
        <v>1.7581048016377867</v>
      </c>
      <c r="L27">
        <f t="shared" si="1"/>
        <v>1.9339152818015655</v>
      </c>
      <c r="M27">
        <f t="shared" si="1"/>
        <v>2.1097257619653442</v>
      </c>
      <c r="N27">
        <v>40000</v>
      </c>
      <c r="O27" s="1" cm="1">
        <f t="array" ref="O27">Linterp(KEAS[[#This Row],[h]], atmos_h, atmos_vela)</f>
        <v>573.21740748637524</v>
      </c>
      <c r="P27" s="1" cm="1">
        <f t="array" ref="P27">Linterp(KEAS[[#This Row],[h]],atmos_h,atmos_sqrtDR)</f>
        <v>0.49614186369256019</v>
      </c>
    </row>
    <row r="28" spans="1:16">
      <c r="B28">
        <f t="shared" si="2"/>
        <v>0.19825733282574595</v>
      </c>
      <c r="C28">
        <f t="shared" si="1"/>
        <v>0.3965146656514919</v>
      </c>
      <c r="D28">
        <f t="shared" si="1"/>
        <v>0.59477199847723783</v>
      </c>
      <c r="E28">
        <f t="shared" si="1"/>
        <v>0.79302933130298381</v>
      </c>
      <c r="F28">
        <f t="shared" si="1"/>
        <v>0.99128666412872979</v>
      </c>
      <c r="G28">
        <f t="shared" si="1"/>
        <v>1.1895439969544757</v>
      </c>
      <c r="H28">
        <f t="shared" si="1"/>
        <v>1.3878013297802216</v>
      </c>
      <c r="I28">
        <f t="shared" si="1"/>
        <v>1.5860586626059676</v>
      </c>
      <c r="J28">
        <f t="shared" si="1"/>
        <v>1.7843159954317136</v>
      </c>
      <c r="K28">
        <f t="shared" si="1"/>
        <v>1.9825733282574596</v>
      </c>
      <c r="L28">
        <f t="shared" si="1"/>
        <v>2.1808306610832053</v>
      </c>
      <c r="M28">
        <f t="shared" si="1"/>
        <v>2.3790879939089513</v>
      </c>
      <c r="N28" s="18">
        <v>45000</v>
      </c>
      <c r="O28" s="1" cm="1">
        <f t="array" ref="O28">Linterp(KEAS[[#This Row],[h]], atmos_h, atmos_vela)</f>
        <v>573.21740748637524</v>
      </c>
      <c r="P28" s="1" cm="1">
        <f t="array" ref="P28">Linterp(KEAS[[#This Row],[h]],atmos_h,atmos_sqrtDR)</f>
        <v>0.4399682878908055</v>
      </c>
    </row>
    <row r="29" spans="1:16">
      <c r="B29">
        <f t="shared" si="2"/>
        <v>0.22357011927026524</v>
      </c>
      <c r="C29">
        <f t="shared" si="1"/>
        <v>0.44714023854053048</v>
      </c>
      <c r="D29">
        <f t="shared" si="1"/>
        <v>0.6707103578107958</v>
      </c>
      <c r="E29">
        <f t="shared" si="1"/>
        <v>0.89428047708106095</v>
      </c>
      <c r="F29">
        <f t="shared" si="1"/>
        <v>1.1178505963513263</v>
      </c>
      <c r="G29">
        <f t="shared" si="1"/>
        <v>1.3414207156215916</v>
      </c>
      <c r="H29">
        <f t="shared" si="1"/>
        <v>1.5649908348918566</v>
      </c>
      <c r="I29">
        <f t="shared" si="1"/>
        <v>1.7885609541621219</v>
      </c>
      <c r="J29">
        <f t="shared" si="1"/>
        <v>2.0121310734323874</v>
      </c>
      <c r="K29">
        <f t="shared" si="1"/>
        <v>2.2357011927026527</v>
      </c>
      <c r="L29">
        <f t="shared" si="1"/>
        <v>2.4592713119729179</v>
      </c>
      <c r="M29">
        <f t="shared" si="1"/>
        <v>2.6828414312431832</v>
      </c>
      <c r="N29">
        <v>50000</v>
      </c>
      <c r="O29" s="1" cm="1">
        <f t="array" ref="O29">Linterp(KEAS[[#This Row],[h]], atmos_h, atmos_vela)</f>
        <v>573.21740748637524</v>
      </c>
      <c r="P29" s="1" cm="1">
        <f t="array" ref="P29">Linterp(KEAS[[#This Row],[h]],atmos_h,atmos_sqrtDR)</f>
        <v>0.39015472894969372</v>
      </c>
    </row>
    <row r="30" spans="1:16">
      <c r="B30">
        <f t="shared" si="2"/>
        <v>0.25211475166193542</v>
      </c>
      <c r="C30">
        <f t="shared" si="1"/>
        <v>0.50422950332387084</v>
      </c>
      <c r="D30">
        <f t="shared" si="1"/>
        <v>0.75634425498580637</v>
      </c>
      <c r="E30">
        <f t="shared" si="1"/>
        <v>1.0084590066477417</v>
      </c>
      <c r="F30">
        <f t="shared" si="1"/>
        <v>1.2605737583096772</v>
      </c>
      <c r="G30">
        <f t="shared" si="1"/>
        <v>1.5126885099716127</v>
      </c>
      <c r="H30">
        <f t="shared" si="1"/>
        <v>1.7648032616335481</v>
      </c>
      <c r="I30">
        <f t="shared" si="1"/>
        <v>2.0169180132954834</v>
      </c>
      <c r="J30">
        <f t="shared" si="1"/>
        <v>2.2690327649574189</v>
      </c>
      <c r="K30">
        <f t="shared" si="1"/>
        <v>2.5211475166193544</v>
      </c>
      <c r="L30">
        <f t="shared" si="1"/>
        <v>2.77326226828129</v>
      </c>
      <c r="M30">
        <f t="shared" si="1"/>
        <v>3.0253770199432255</v>
      </c>
      <c r="N30" s="18">
        <v>55000</v>
      </c>
      <c r="O30" s="1" cm="1">
        <f t="array" ref="O30">Linterp(KEAS[[#This Row],[h]], atmos_h, atmos_vela)</f>
        <v>573.21740748637524</v>
      </c>
      <c r="P30" s="1" cm="1">
        <f t="array" ref="P30">Linterp(KEAS[[#This Row],[h]],atmos_h,atmos_sqrtDR)</f>
        <v>0.34598110070966803</v>
      </c>
    </row>
    <row r="31" spans="1:16">
      <c r="B31">
        <f t="shared" si="2"/>
        <v>0.28430386052047474</v>
      </c>
      <c r="C31">
        <f t="shared" si="1"/>
        <v>0.56860772104094948</v>
      </c>
      <c r="D31">
        <f t="shared" si="1"/>
        <v>0.85291158156142421</v>
      </c>
      <c r="E31">
        <f t="shared" si="1"/>
        <v>1.137215442081899</v>
      </c>
      <c r="F31">
        <f t="shared" si="1"/>
        <v>1.4215193026023736</v>
      </c>
      <c r="G31">
        <f t="shared" si="1"/>
        <v>1.7058231631228484</v>
      </c>
      <c r="H31">
        <f t="shared" si="1"/>
        <v>1.9901270236433231</v>
      </c>
      <c r="I31">
        <f t="shared" si="1"/>
        <v>2.2744308841637979</v>
      </c>
      <c r="J31">
        <f t="shared" si="1"/>
        <v>2.5587347446842723</v>
      </c>
      <c r="K31">
        <f t="shared" si="1"/>
        <v>2.8430386052047472</v>
      </c>
      <c r="L31">
        <f t="shared" si="1"/>
        <v>3.127342465725222</v>
      </c>
      <c r="M31">
        <f t="shared" si="1"/>
        <v>3.4116463262456969</v>
      </c>
      <c r="N31">
        <v>60000</v>
      </c>
      <c r="O31" s="1" cm="1">
        <f t="array" ref="O31">Linterp(KEAS[[#This Row],[h]], atmos_h, atmos_vela)</f>
        <v>573.21740748637524</v>
      </c>
      <c r="P31" s="1" cm="1">
        <f t="array" ref="P31">Linterp(KEAS[[#This Row],[h]],atmos_h,atmos_sqrtDR)</f>
        <v>0.30680884573798889</v>
      </c>
    </row>
    <row r="33" spans="1:17">
      <c r="A33" t="s">
        <v>521</v>
      </c>
      <c r="B33" s="399">
        <v>50</v>
      </c>
      <c r="C33" s="400">
        <v>100</v>
      </c>
      <c r="D33" s="400">
        <v>150</v>
      </c>
      <c r="E33" s="400">
        <v>200</v>
      </c>
      <c r="F33" s="400">
        <v>250</v>
      </c>
      <c r="G33" s="400">
        <v>300</v>
      </c>
      <c r="H33" s="400">
        <v>350</v>
      </c>
      <c r="I33" s="400">
        <v>400</v>
      </c>
      <c r="J33" s="400">
        <v>450</v>
      </c>
      <c r="K33" s="400">
        <v>500</v>
      </c>
      <c r="L33" s="400">
        <v>550</v>
      </c>
      <c r="M33" s="400">
        <v>600</v>
      </c>
      <c r="N33" s="400" t="s">
        <v>282</v>
      </c>
      <c r="O33" s="401" t="s">
        <v>518</v>
      </c>
      <c r="P33" s="402" t="s">
        <v>14</v>
      </c>
      <c r="Q33" s="402" t="s">
        <v>522</v>
      </c>
    </row>
    <row r="34" spans="1:17">
      <c r="A34" t="s">
        <v>523</v>
      </c>
      <c r="B34">
        <f>$Q$34*((1 + 0.2*(B$33/$O$34)^2)^(7/2)-1)</f>
        <v>8.4867911141669943</v>
      </c>
      <c r="C34">
        <f t="shared" ref="C34:M46" si="3">$Q$34*((1 + 0.2*(C$33/$O$34)^2)^(7/2)-1)</f>
        <v>34.093028609615011</v>
      </c>
      <c r="D34">
        <f t="shared" si="3"/>
        <v>77.25880621114932</v>
      </c>
      <c r="E34">
        <f t="shared" si="3"/>
        <v>138.72597093844115</v>
      </c>
      <c r="F34">
        <f t="shared" si="3"/>
        <v>219.55072885847986</v>
      </c>
      <c r="G34">
        <f t="shared" si="3"/>
        <v>321.12143148678905</v>
      </c>
      <c r="H34">
        <f t="shared" si="3"/>
        <v>445.18167952699599</v>
      </c>
      <c r="I34">
        <f t="shared" si="3"/>
        <v>593.85891739095075</v>
      </c>
      <c r="J34">
        <f t="shared" si="3"/>
        <v>769.69872708083381</v>
      </c>
      <c r="K34">
        <f t="shared" si="3"/>
        <v>975.70506329741136</v>
      </c>
      <c r="L34">
        <f t="shared" si="3"/>
        <v>1215.3867028790526</v>
      </c>
      <c r="M34">
        <f t="shared" si="3"/>
        <v>1492.8102107465136</v>
      </c>
      <c r="N34">
        <v>0</v>
      </c>
      <c r="O34" s="1" cm="1">
        <f t="array" ref="O34">Linterp(KCAS_qc[[#This Row],[h]], atmos_h, atmos_vela)</f>
        <v>661.05592105263156</v>
      </c>
      <c r="P34" s="1" cm="1">
        <f t="array" ref="P34">Linterp(KCAS_qc[[#This Row],[h]],atmos_h,atmos_DR)</f>
        <v>1</v>
      </c>
      <c r="Q34" s="1" cm="1">
        <f t="array" ref="Q34">Linterp(KCAS_qc[[#This Row],[h]],atmos_h, atmos_P)</f>
        <v>2116.2199999999998</v>
      </c>
    </row>
    <row r="35" spans="1:17">
      <c r="B35">
        <f t="shared" ref="B35:B46" si="4">$Q$34*((1 + 0.2*(B$33/$O$34)^2)^(7/2)-1)</f>
        <v>8.4867911141669943</v>
      </c>
      <c r="C35">
        <f t="shared" si="3"/>
        <v>34.093028609615011</v>
      </c>
      <c r="D35">
        <f t="shared" si="3"/>
        <v>77.25880621114932</v>
      </c>
      <c r="E35">
        <f t="shared" si="3"/>
        <v>138.72597093844115</v>
      </c>
      <c r="F35">
        <f t="shared" si="3"/>
        <v>219.55072885847986</v>
      </c>
      <c r="G35">
        <f t="shared" si="3"/>
        <v>321.12143148678905</v>
      </c>
      <c r="H35">
        <f t="shared" si="3"/>
        <v>445.18167952699599</v>
      </c>
      <c r="I35">
        <f t="shared" si="3"/>
        <v>593.85891739095075</v>
      </c>
      <c r="J35">
        <f t="shared" si="3"/>
        <v>769.69872708083381</v>
      </c>
      <c r="K35">
        <f t="shared" si="3"/>
        <v>975.70506329741136</v>
      </c>
      <c r="L35">
        <f t="shared" si="3"/>
        <v>1215.3867028790526</v>
      </c>
      <c r="M35">
        <f t="shared" si="3"/>
        <v>1492.8102107465136</v>
      </c>
      <c r="N35" s="18">
        <v>5000</v>
      </c>
      <c r="O35" s="1"/>
      <c r="P35" s="1" cm="1">
        <f t="array" ref="P35">Linterp(KCAS_qc[[#This Row],[h]],atmos_h,atmos_DR)</f>
        <v>0.86166810756083567</v>
      </c>
      <c r="Q35" s="1"/>
    </row>
    <row r="36" spans="1:17">
      <c r="B36">
        <f t="shared" si="4"/>
        <v>8.4867911141669943</v>
      </c>
      <c r="C36">
        <f t="shared" si="3"/>
        <v>34.093028609615011</v>
      </c>
      <c r="D36">
        <f t="shared" si="3"/>
        <v>77.25880621114932</v>
      </c>
      <c r="E36">
        <f t="shared" si="3"/>
        <v>138.72597093844115</v>
      </c>
      <c r="F36">
        <f t="shared" si="3"/>
        <v>219.55072885847986</v>
      </c>
      <c r="G36">
        <f t="shared" si="3"/>
        <v>321.12143148678905</v>
      </c>
      <c r="H36">
        <f t="shared" si="3"/>
        <v>445.18167952699599</v>
      </c>
      <c r="I36">
        <f t="shared" si="3"/>
        <v>593.85891739095075</v>
      </c>
      <c r="J36">
        <f t="shared" si="3"/>
        <v>769.69872708083381</v>
      </c>
      <c r="K36">
        <f t="shared" si="3"/>
        <v>975.70506329741136</v>
      </c>
      <c r="L36">
        <f t="shared" si="3"/>
        <v>1215.3867028790526</v>
      </c>
      <c r="M36">
        <f t="shared" si="3"/>
        <v>1492.8102107465136</v>
      </c>
      <c r="N36">
        <v>10000</v>
      </c>
      <c r="O36" s="1"/>
      <c r="P36" s="1" cm="1">
        <f t="array" ref="P36">Linterp(KCAS_qc[[#This Row],[h]],atmos_h,atmos_DR)</f>
        <v>0.73847518981511207</v>
      </c>
      <c r="Q36" s="1"/>
    </row>
    <row r="37" spans="1:17">
      <c r="B37">
        <f t="shared" si="4"/>
        <v>8.4867911141669943</v>
      </c>
      <c r="C37">
        <f t="shared" si="3"/>
        <v>34.093028609615011</v>
      </c>
      <c r="D37">
        <f t="shared" si="3"/>
        <v>77.25880621114932</v>
      </c>
      <c r="E37">
        <f t="shared" si="3"/>
        <v>138.72597093844115</v>
      </c>
      <c r="F37">
        <f t="shared" si="3"/>
        <v>219.55072885847986</v>
      </c>
      <c r="G37">
        <f t="shared" si="3"/>
        <v>321.12143148678905</v>
      </c>
      <c r="H37">
        <f t="shared" si="3"/>
        <v>445.18167952699599</v>
      </c>
      <c r="I37">
        <f t="shared" si="3"/>
        <v>593.85891739095075</v>
      </c>
      <c r="J37">
        <f t="shared" si="3"/>
        <v>769.69872708083381</v>
      </c>
      <c r="K37">
        <f t="shared" si="3"/>
        <v>975.70506329741136</v>
      </c>
      <c r="L37">
        <f t="shared" si="3"/>
        <v>1215.3867028790526</v>
      </c>
      <c r="M37">
        <f t="shared" si="3"/>
        <v>1492.8102107465136</v>
      </c>
      <c r="N37" s="18">
        <v>15000</v>
      </c>
      <c r="O37" s="1"/>
      <c r="P37" s="1" cm="1">
        <f t="array" ref="P37">Linterp(KCAS_qc[[#This Row],[h]],atmos_h,atmos_DR)</f>
        <v>0.62923271168226613</v>
      </c>
      <c r="Q37" s="1"/>
    </row>
    <row r="38" spans="1:17">
      <c r="B38">
        <f t="shared" si="4"/>
        <v>8.4867911141669943</v>
      </c>
      <c r="C38">
        <f t="shared" si="3"/>
        <v>34.093028609615011</v>
      </c>
      <c r="D38">
        <f t="shared" si="3"/>
        <v>77.25880621114932</v>
      </c>
      <c r="E38">
        <f t="shared" si="3"/>
        <v>138.72597093844115</v>
      </c>
      <c r="F38">
        <f t="shared" si="3"/>
        <v>219.55072885847986</v>
      </c>
      <c r="G38">
        <f t="shared" si="3"/>
        <v>321.12143148678905</v>
      </c>
      <c r="H38">
        <f t="shared" si="3"/>
        <v>445.18167952699599</v>
      </c>
      <c r="I38">
        <f t="shared" si="3"/>
        <v>593.85891739095075</v>
      </c>
      <c r="J38">
        <f t="shared" si="3"/>
        <v>769.69872708083381</v>
      </c>
      <c r="K38">
        <f t="shared" si="3"/>
        <v>975.70506329741136</v>
      </c>
      <c r="L38">
        <f t="shared" si="3"/>
        <v>1215.3867028790526</v>
      </c>
      <c r="M38">
        <f t="shared" si="3"/>
        <v>1492.8102107465136</v>
      </c>
      <c r="N38">
        <v>20000</v>
      </c>
      <c r="O38" s="1"/>
      <c r="P38" s="1" cm="1">
        <f t="array" ref="P38">Linterp(KCAS_qc[[#This Row],[h]],atmos_h,atmos_DR)</f>
        <v>0.53280599361600911</v>
      </c>
      <c r="Q38" s="1"/>
    </row>
    <row r="39" spans="1:17">
      <c r="B39">
        <f t="shared" si="4"/>
        <v>8.4867911141669943</v>
      </c>
      <c r="C39">
        <f t="shared" si="3"/>
        <v>34.093028609615011</v>
      </c>
      <c r="D39">
        <f t="shared" si="3"/>
        <v>77.25880621114932</v>
      </c>
      <c r="E39">
        <f t="shared" si="3"/>
        <v>138.72597093844115</v>
      </c>
      <c r="F39">
        <f t="shared" si="3"/>
        <v>219.55072885847986</v>
      </c>
      <c r="G39">
        <f t="shared" si="3"/>
        <v>321.12143148678905</v>
      </c>
      <c r="H39">
        <f t="shared" si="3"/>
        <v>445.18167952699599</v>
      </c>
      <c r="I39">
        <f t="shared" si="3"/>
        <v>593.85891739095075</v>
      </c>
      <c r="J39">
        <f t="shared" si="3"/>
        <v>769.69872708083381</v>
      </c>
      <c r="K39">
        <f t="shared" si="3"/>
        <v>975.70506329741136</v>
      </c>
      <c r="L39">
        <f t="shared" si="3"/>
        <v>1215.3867028790526</v>
      </c>
      <c r="M39">
        <f t="shared" si="3"/>
        <v>1492.8102107465136</v>
      </c>
      <c r="N39" s="18">
        <v>25000</v>
      </c>
      <c r="O39" s="1"/>
      <c r="P39" s="1" cm="1">
        <f t="array" ref="P39">Linterp(KCAS_qc[[#This Row],[h]],atmos_h,atmos_DR)</f>
        <v>0.44811369503739579</v>
      </c>
      <c r="Q39" s="1"/>
    </row>
    <row r="40" spans="1:17">
      <c r="B40">
        <f t="shared" si="4"/>
        <v>8.4867911141669943</v>
      </c>
      <c r="C40">
        <f t="shared" si="3"/>
        <v>34.093028609615011</v>
      </c>
      <c r="D40">
        <f t="shared" si="3"/>
        <v>77.25880621114932</v>
      </c>
      <c r="E40">
        <f t="shared" si="3"/>
        <v>138.72597093844115</v>
      </c>
      <c r="F40">
        <f t="shared" si="3"/>
        <v>219.55072885847986</v>
      </c>
      <c r="G40">
        <f t="shared" si="3"/>
        <v>321.12143148678905</v>
      </c>
      <c r="H40">
        <f t="shared" si="3"/>
        <v>445.18167952699599</v>
      </c>
      <c r="I40">
        <f t="shared" si="3"/>
        <v>593.85891739095075</v>
      </c>
      <c r="J40">
        <f t="shared" si="3"/>
        <v>769.69872708083381</v>
      </c>
      <c r="K40">
        <f t="shared" si="3"/>
        <v>975.70506329741136</v>
      </c>
      <c r="L40">
        <f t="shared" si="3"/>
        <v>1215.3867028790526</v>
      </c>
      <c r="M40">
        <f t="shared" si="3"/>
        <v>1492.8102107465136</v>
      </c>
      <c r="N40">
        <v>30000</v>
      </c>
      <c r="O40" s="1"/>
      <c r="P40" s="1" cm="1">
        <f t="array" ref="P40">Linterp(KCAS_qc[[#This Row],[h]],atmos_h,atmos_DR)</f>
        <v>0.37412728280993773</v>
      </c>
      <c r="Q40" s="1"/>
    </row>
    <row r="41" spans="1:17">
      <c r="B41">
        <f t="shared" si="4"/>
        <v>8.4867911141669943</v>
      </c>
      <c r="C41">
        <f t="shared" si="3"/>
        <v>34.093028609615011</v>
      </c>
      <c r="D41">
        <f t="shared" si="3"/>
        <v>77.25880621114932</v>
      </c>
      <c r="E41">
        <f t="shared" si="3"/>
        <v>138.72597093844115</v>
      </c>
      <c r="F41">
        <f t="shared" si="3"/>
        <v>219.55072885847986</v>
      </c>
      <c r="G41">
        <f t="shared" si="3"/>
        <v>321.12143148678905</v>
      </c>
      <c r="H41">
        <f t="shared" si="3"/>
        <v>445.18167952699599</v>
      </c>
      <c r="I41">
        <f t="shared" si="3"/>
        <v>593.85891739095075</v>
      </c>
      <c r="J41">
        <f t="shared" si="3"/>
        <v>769.69872708083381</v>
      </c>
      <c r="K41">
        <f t="shared" si="3"/>
        <v>975.70506329741136</v>
      </c>
      <c r="L41">
        <f t="shared" si="3"/>
        <v>1215.3867028790526</v>
      </c>
      <c r="M41">
        <f t="shared" si="3"/>
        <v>1492.8102107465136</v>
      </c>
      <c r="N41" s="18">
        <v>35000</v>
      </c>
      <c r="O41" s="1"/>
      <c r="P41" s="1" cm="1">
        <f t="array" ref="P41">Linterp(KCAS_qc[[#This Row],[h]],atmos_h,atmos_DR)</f>
        <v>0.30987048369945225</v>
      </c>
      <c r="Q41" s="1"/>
    </row>
    <row r="42" spans="1:17">
      <c r="B42">
        <f t="shared" si="4"/>
        <v>8.4867911141669943</v>
      </c>
      <c r="C42">
        <f t="shared" si="3"/>
        <v>34.093028609615011</v>
      </c>
      <c r="D42">
        <f t="shared" si="3"/>
        <v>77.25880621114932</v>
      </c>
      <c r="E42">
        <f t="shared" si="3"/>
        <v>138.72597093844115</v>
      </c>
      <c r="F42">
        <f t="shared" si="3"/>
        <v>219.55072885847986</v>
      </c>
      <c r="G42">
        <f t="shared" si="3"/>
        <v>321.12143148678905</v>
      </c>
      <c r="H42">
        <f t="shared" si="3"/>
        <v>445.18167952699599</v>
      </c>
      <c r="I42">
        <f t="shared" si="3"/>
        <v>593.85891739095075</v>
      </c>
      <c r="J42">
        <f t="shared" si="3"/>
        <v>769.69872708083381</v>
      </c>
      <c r="K42">
        <f t="shared" si="3"/>
        <v>975.70506329741136</v>
      </c>
      <c r="L42">
        <f t="shared" si="3"/>
        <v>1215.3867028790526</v>
      </c>
      <c r="M42">
        <f t="shared" si="3"/>
        <v>1492.8102107465136</v>
      </c>
      <c r="N42">
        <v>40000</v>
      </c>
      <c r="O42" s="1"/>
      <c r="P42" s="1" cm="1">
        <f t="array" ref="P42">Linterp(KCAS_qc[[#This Row],[h]],atmos_h,atmos_DR)</f>
        <v>0.24615674890832695</v>
      </c>
      <c r="Q42" s="1"/>
    </row>
    <row r="43" spans="1:17">
      <c r="B43">
        <f t="shared" si="4"/>
        <v>8.4867911141669943</v>
      </c>
      <c r="C43">
        <f t="shared" si="3"/>
        <v>34.093028609615011</v>
      </c>
      <c r="D43">
        <f t="shared" si="3"/>
        <v>77.25880621114932</v>
      </c>
      <c r="E43">
        <f t="shared" si="3"/>
        <v>138.72597093844115</v>
      </c>
      <c r="F43">
        <f t="shared" si="3"/>
        <v>219.55072885847986</v>
      </c>
      <c r="G43">
        <f t="shared" si="3"/>
        <v>321.12143148678905</v>
      </c>
      <c r="H43">
        <f t="shared" si="3"/>
        <v>445.18167952699599</v>
      </c>
      <c r="I43">
        <f t="shared" si="3"/>
        <v>593.85891739095075</v>
      </c>
      <c r="J43">
        <f t="shared" si="3"/>
        <v>769.69872708083381</v>
      </c>
      <c r="K43">
        <f t="shared" si="3"/>
        <v>975.70506329741136</v>
      </c>
      <c r="L43">
        <f t="shared" si="3"/>
        <v>1215.3867028790526</v>
      </c>
      <c r="M43">
        <f t="shared" si="3"/>
        <v>1492.8102107465136</v>
      </c>
      <c r="N43" s="18">
        <v>45000</v>
      </c>
      <c r="O43" s="1"/>
      <c r="P43" s="1" cm="1">
        <f t="array" ref="P43">Linterp(KCAS_qc[[#This Row],[h]],atmos_h,atmos_DR)</f>
        <v>0.19357209434956671</v>
      </c>
      <c r="Q43" s="1"/>
    </row>
    <row r="44" spans="1:17">
      <c r="B44">
        <f t="shared" si="4"/>
        <v>8.4867911141669943</v>
      </c>
      <c r="C44">
        <f t="shared" si="3"/>
        <v>34.093028609615011</v>
      </c>
      <c r="D44">
        <f t="shared" si="3"/>
        <v>77.25880621114932</v>
      </c>
      <c r="E44">
        <f t="shared" si="3"/>
        <v>138.72597093844115</v>
      </c>
      <c r="F44">
        <f t="shared" si="3"/>
        <v>219.55072885847986</v>
      </c>
      <c r="G44">
        <f t="shared" si="3"/>
        <v>321.12143148678905</v>
      </c>
      <c r="H44">
        <f t="shared" si="3"/>
        <v>445.18167952699599</v>
      </c>
      <c r="I44">
        <f t="shared" si="3"/>
        <v>593.85891739095075</v>
      </c>
      <c r="J44">
        <f t="shared" si="3"/>
        <v>769.69872708083381</v>
      </c>
      <c r="K44">
        <f t="shared" si="3"/>
        <v>975.70506329741136</v>
      </c>
      <c r="L44">
        <f t="shared" si="3"/>
        <v>1215.3867028790526</v>
      </c>
      <c r="M44">
        <f t="shared" si="3"/>
        <v>1492.8102107465136</v>
      </c>
      <c r="N44">
        <v>50000</v>
      </c>
      <c r="O44" s="1"/>
      <c r="P44" s="1" cm="1">
        <f t="array" ref="P44">Linterp(KCAS_qc[[#This Row],[h]],atmos_h,atmos_DR)</f>
        <v>0.15222071252180899</v>
      </c>
      <c r="Q44" s="1"/>
    </row>
    <row r="45" spans="1:17">
      <c r="B45">
        <f t="shared" si="4"/>
        <v>8.4867911141669943</v>
      </c>
      <c r="C45">
        <f t="shared" si="3"/>
        <v>34.093028609615011</v>
      </c>
      <c r="D45">
        <f t="shared" si="3"/>
        <v>77.25880621114932</v>
      </c>
      <c r="E45">
        <f t="shared" si="3"/>
        <v>138.72597093844115</v>
      </c>
      <c r="F45">
        <f t="shared" si="3"/>
        <v>219.55072885847986</v>
      </c>
      <c r="G45">
        <f t="shared" si="3"/>
        <v>321.12143148678905</v>
      </c>
      <c r="H45">
        <f t="shared" si="3"/>
        <v>445.18167952699599</v>
      </c>
      <c r="I45">
        <f t="shared" si="3"/>
        <v>593.85891739095075</v>
      </c>
      <c r="J45">
        <f t="shared" si="3"/>
        <v>769.69872708083381</v>
      </c>
      <c r="K45">
        <f t="shared" si="3"/>
        <v>975.70506329741136</v>
      </c>
      <c r="L45">
        <f t="shared" si="3"/>
        <v>1215.3867028790526</v>
      </c>
      <c r="M45">
        <f t="shared" si="3"/>
        <v>1492.8102107465136</v>
      </c>
      <c r="N45" s="18">
        <v>55000</v>
      </c>
      <c r="O45" s="1"/>
      <c r="P45" s="1" cm="1">
        <f t="array" ref="P45">Linterp(KCAS_qc[[#This Row],[h]],atmos_h,atmos_DR)</f>
        <v>0.11970292204827346</v>
      </c>
      <c r="Q45" s="1"/>
    </row>
    <row r="46" spans="1:17">
      <c r="B46">
        <f t="shared" si="4"/>
        <v>8.4867911141669943</v>
      </c>
      <c r="C46">
        <f t="shared" si="3"/>
        <v>34.093028609615011</v>
      </c>
      <c r="D46">
        <f t="shared" si="3"/>
        <v>77.25880621114932</v>
      </c>
      <c r="E46">
        <f t="shared" si="3"/>
        <v>138.72597093844115</v>
      </c>
      <c r="F46">
        <f t="shared" si="3"/>
        <v>219.55072885847986</v>
      </c>
      <c r="G46">
        <f t="shared" si="3"/>
        <v>321.12143148678905</v>
      </c>
      <c r="H46">
        <f t="shared" si="3"/>
        <v>445.18167952699599</v>
      </c>
      <c r="I46">
        <f t="shared" si="3"/>
        <v>593.85891739095075</v>
      </c>
      <c r="J46">
        <f t="shared" si="3"/>
        <v>769.69872708083381</v>
      </c>
      <c r="K46">
        <f t="shared" si="3"/>
        <v>975.70506329741136</v>
      </c>
      <c r="L46">
        <f t="shared" si="3"/>
        <v>1215.3867028790526</v>
      </c>
      <c r="M46">
        <f t="shared" si="3"/>
        <v>1492.8102107465136</v>
      </c>
      <c r="N46">
        <v>60000</v>
      </c>
      <c r="O46" s="1"/>
      <c r="P46" s="1" cm="1">
        <f t="array" ref="P46">Linterp(KCAS_qc[[#This Row],[h]],atmos_h,atmos_DR)</f>
        <v>9.4131667823077053E-2</v>
      </c>
      <c r="Q46" s="1"/>
    </row>
    <row r="48" spans="1:17">
      <c r="A48" t="s">
        <v>521</v>
      </c>
      <c r="B48" s="399">
        <v>50</v>
      </c>
      <c r="C48" s="400">
        <v>100</v>
      </c>
      <c r="D48" s="400">
        <v>150</v>
      </c>
      <c r="E48" s="400">
        <v>200</v>
      </c>
      <c r="F48" s="400">
        <v>250</v>
      </c>
      <c r="G48" s="400">
        <v>300</v>
      </c>
      <c r="H48" s="400">
        <v>350</v>
      </c>
      <c r="I48" s="400">
        <v>400</v>
      </c>
      <c r="J48" s="400">
        <v>450</v>
      </c>
      <c r="K48" s="400">
        <v>500</v>
      </c>
      <c r="L48" s="400">
        <v>550</v>
      </c>
      <c r="M48" s="400">
        <v>600</v>
      </c>
      <c r="N48" s="400" t="s">
        <v>282</v>
      </c>
      <c r="O48" s="401" t="s">
        <v>518</v>
      </c>
      <c r="P48" s="402" t="s">
        <v>14</v>
      </c>
      <c r="Q48" s="402" t="s">
        <v>522</v>
      </c>
    </row>
    <row r="49" spans="1:17">
      <c r="A49" t="s">
        <v>519</v>
      </c>
      <c r="B49">
        <f>SQRT(5*((B34/$Q49 + 1)^(2/7) - 1))</f>
        <v>7.5636566298930202E-2</v>
      </c>
      <c r="C49">
        <f t="shared" ref="C49:M49" si="5">SQRT(5*((C34/$Q49 + 1)^(2/7) - 1))</f>
        <v>0.15127313259786776</v>
      </c>
      <c r="D49">
        <f t="shared" si="5"/>
        <v>0.2269096988968004</v>
      </c>
      <c r="E49">
        <f t="shared" si="5"/>
        <v>0.30254626519573369</v>
      </c>
      <c r="F49">
        <f t="shared" si="5"/>
        <v>0.37818283149466864</v>
      </c>
      <c r="G49">
        <f t="shared" si="5"/>
        <v>0.45381939779360203</v>
      </c>
      <c r="H49">
        <f t="shared" si="5"/>
        <v>0.52945596409253559</v>
      </c>
      <c r="I49">
        <f t="shared" si="5"/>
        <v>0.60509253039146915</v>
      </c>
      <c r="J49">
        <f t="shared" si="5"/>
        <v>0.68072909669040282</v>
      </c>
      <c r="K49">
        <f t="shared" si="5"/>
        <v>0.7563656629893365</v>
      </c>
      <c r="L49">
        <f t="shared" si="5"/>
        <v>0.83200222928826961</v>
      </c>
      <c r="M49">
        <f t="shared" si="5"/>
        <v>0.9076387955872034</v>
      </c>
      <c r="N49">
        <v>0</v>
      </c>
      <c r="O49" s="1" cm="1">
        <f t="array" ref="O49">Linterp(KCAS_qc5[[#This Row],[h]], atmos_h, atmos_vela)</f>
        <v>661.05592105263156</v>
      </c>
      <c r="P49" s="1" cm="1">
        <f t="array" ref="P49">Linterp(KCAS_qc5[[#This Row],[h]],atmos_h,atmos_DR)</f>
        <v>1</v>
      </c>
      <c r="Q49" s="1" cm="1">
        <f t="array" ref="Q49">Linterp(KCAS_qc5[[#This Row],[h]],atmos_h, atmos_P)</f>
        <v>2116.2199999999998</v>
      </c>
    </row>
    <row r="50" spans="1:17">
      <c r="B50">
        <f t="shared" ref="B50:M50" si="6">SQRT(5*((B35/$Q50 + 1)^(2/7) - 1))</f>
        <v>8.2907781416588375E-2</v>
      </c>
      <c r="C50">
        <f t="shared" si="6"/>
        <v>0.16574449623485613</v>
      </c>
      <c r="D50">
        <f t="shared" si="6"/>
        <v>0.24844201560711635</v>
      </c>
      <c r="E50">
        <f t="shared" si="6"/>
        <v>0.33093783534887039</v>
      </c>
      <c r="F50">
        <f t="shared" si="6"/>
        <v>0.41317729814272564</v>
      </c>
      <c r="G50">
        <f t="shared" si="6"/>
        <v>0.49511520270160164</v>
      </c>
      <c r="H50">
        <f t="shared" si="6"/>
        <v>0.5767167315831514</v>
      </c>
      <c r="I50">
        <f t="shared" si="6"/>
        <v>0.65795770833549327</v>
      </c>
      <c r="J50">
        <f t="shared" si="6"/>
        <v>0.73882425974785015</v>
      </c>
      <c r="K50">
        <f t="shared" si="6"/>
        <v>0.81931200255701309</v>
      </c>
      <c r="L50">
        <f t="shared" si="6"/>
        <v>0.89942489418527827</v>
      </c>
      <c r="M50">
        <f t="shared" si="6"/>
        <v>0.97917388678394557</v>
      </c>
      <c r="N50" s="18">
        <v>5000</v>
      </c>
      <c r="O50" s="1" cm="1">
        <f t="array" ref="O50">Linterp(KCAS_qc5[[#This Row],[h]], atmos_h, atmos_vela)</f>
        <v>649.59419982448912</v>
      </c>
      <c r="P50" s="1" cm="1">
        <f t="array" ref="P50">Linterp(KCAS_qc5[[#This Row],[h]],atmos_h,atmos_DR)</f>
        <v>0.86166810756083567</v>
      </c>
      <c r="Q50" s="1" cm="1">
        <f t="array" ref="Q50">Linterp(KCAS_qc5[[#This Row],[h]],atmos_h, atmos_P)</f>
        <v>1760.7946553464919</v>
      </c>
    </row>
    <row r="51" spans="1:17">
      <c r="B51">
        <f t="shared" ref="B51:M51" si="7">SQRT(5*((B36/$Q51 + 1)^(2/7) - 1))</f>
        <v>9.1178125866564E-2</v>
      </c>
      <c r="C51">
        <f t="shared" si="7"/>
        <v>0.18218081486222429</v>
      </c>
      <c r="D51">
        <f t="shared" si="7"/>
        <v>0.27284150142982783</v>
      </c>
      <c r="E51">
        <f t="shared" si="7"/>
        <v>0.36301038356911802</v>
      </c>
      <c r="F51">
        <f t="shared" si="7"/>
        <v>0.45256054918403654</v>
      </c>
      <c r="G51">
        <f t="shared" si="7"/>
        <v>0.54139187547291168</v>
      </c>
      <c r="H51">
        <f t="shared" si="7"/>
        <v>0.62943260753295627</v>
      </c>
      <c r="I51">
        <f t="shared" si="7"/>
        <v>0.71663884194872984</v>
      </c>
      <c r="J51">
        <f t="shared" si="7"/>
        <v>0.8029923554505719</v>
      </c>
      <c r="K51">
        <f t="shared" si="7"/>
        <v>0.88849731148578037</v>
      </c>
      <c r="L51">
        <f t="shared" si="7"/>
        <v>0.97317636626684045</v>
      </c>
      <c r="M51">
        <f t="shared" si="7"/>
        <v>1.0570666156415576</v>
      </c>
      <c r="N51">
        <v>10000</v>
      </c>
      <c r="O51" s="1" cm="1">
        <f t="array" ref="O51">Linterp(KCAS_qc5[[#This Row],[h]], atmos_h, atmos_vela)</f>
        <v>637.9265773837094</v>
      </c>
      <c r="P51" s="1" cm="1">
        <f t="array" ref="P51">Linterp(KCAS_qc5[[#This Row],[h]],atmos_h,atmos_DR)</f>
        <v>0.73847518981511207</v>
      </c>
      <c r="Q51" s="1" cm="1">
        <f t="array" ref="Q51">Linterp(KCAS_qc5[[#This Row],[h]],atmos_h, atmos_P)</f>
        <v>1455.3307872629821</v>
      </c>
    </row>
    <row r="52" spans="1:17">
      <c r="B52">
        <f t="shared" ref="B52:M52" si="8">SQRT(5*((B37/$Q52 + 1)^(2/7) - 1))</f>
        <v>0.10062876749946625</v>
      </c>
      <c r="C52">
        <f t="shared" si="8"/>
        <v>0.20092930618028665</v>
      </c>
      <c r="D52">
        <f t="shared" si="8"/>
        <v>0.30059374873126093</v>
      </c>
      <c r="E52">
        <f t="shared" si="8"/>
        <v>0.3993520868826782</v>
      </c>
      <c r="F52">
        <f t="shared" si="8"/>
        <v>0.4969846656297468</v>
      </c>
      <c r="G52">
        <f t="shared" si="8"/>
        <v>0.5933286999034072</v>
      </c>
      <c r="H52">
        <f t="shared" si="8"/>
        <v>0.68827903296972226</v>
      </c>
      <c r="I52">
        <f t="shared" si="8"/>
        <v>0.7817842380460327</v>
      </c>
      <c r="J52">
        <f t="shared" si="8"/>
        <v>0.87383958768934711</v>
      </c>
      <c r="K52">
        <f t="shared" si="8"/>
        <v>0.96447842008696372</v>
      </c>
      <c r="L52">
        <f t="shared" si="8"/>
        <v>1.0537631640053109</v>
      </c>
      <c r="M52">
        <f t="shared" si="8"/>
        <v>1.141776906099883</v>
      </c>
      <c r="N52" s="18">
        <v>15000</v>
      </c>
      <c r="O52" s="1" cm="1">
        <f t="array" ref="O52">Linterp(KCAS_qc5[[#This Row],[h]], atmos_h, atmos_vela)</f>
        <v>626.04154160835765</v>
      </c>
      <c r="P52" s="1" cm="1">
        <f t="array" ref="P52">Linterp(KCAS_qc5[[#This Row],[h]],atmos_h,atmos_DR)</f>
        <v>0.62923271168226613</v>
      </c>
      <c r="Q52" s="1" cm="1">
        <f t="array" ref="Q52">Linterp(KCAS_qc5[[#This Row],[h]],atmos_h, atmos_P)</f>
        <v>1194.2685945049741</v>
      </c>
    </row>
    <row r="53" spans="1:17">
      <c r="B53">
        <f t="shared" ref="B53:M53" si="9">SQRT(5*((B38/$Q53 + 1)^(2/7) - 1))</f>
        <v>0.11148210010445975</v>
      </c>
      <c r="C53">
        <f t="shared" si="9"/>
        <v>0.22241218337094951</v>
      </c>
      <c r="D53">
        <f t="shared" si="9"/>
        <v>0.33228038471217886</v>
      </c>
      <c r="E53">
        <f t="shared" si="9"/>
        <v>0.44065365586110533</v>
      </c>
      <c r="F53">
        <f t="shared" si="9"/>
        <v>0.54719785055652148</v>
      </c>
      <c r="G53">
        <f t="shared" si="9"/>
        <v>0.65168574841771365</v>
      </c>
      <c r="H53">
        <f t="shared" si="9"/>
        <v>0.75399281531770579</v>
      </c>
      <c r="I53">
        <f t="shared" si="9"/>
        <v>0.85408441492445086</v>
      </c>
      <c r="J53">
        <f t="shared" si="9"/>
        <v>0.95199857804376131</v>
      </c>
      <c r="K53">
        <f t="shared" si="9"/>
        <v>1.0478277615817744</v>
      </c>
      <c r="L53">
        <f t="shared" si="9"/>
        <v>1.1417019117891873</v>
      </c>
      <c r="M53">
        <f t="shared" si="9"/>
        <v>1.2337740605905283</v>
      </c>
      <c r="N53">
        <v>20000</v>
      </c>
      <c r="O53" s="1" cm="1">
        <f t="array" ref="O53">Linterp(KCAS_qc5[[#This Row],[h]], atmos_h, atmos_vela)</f>
        <v>613.92646587864601</v>
      </c>
      <c r="P53" s="1" cm="1">
        <f t="array" ref="P53">Linterp(KCAS_qc5[[#This Row],[h]],atmos_h,atmos_DR)</f>
        <v>0.53280599361600911</v>
      </c>
      <c r="Q53" s="1" cm="1">
        <f t="array" ref="Q53">Linterp(KCAS_qc5[[#This Row],[h]],atmos_h, atmos_P)</f>
        <v>972.49242863484506</v>
      </c>
    </row>
    <row r="54" spans="1:17">
      <c r="B54">
        <f t="shared" ref="B54:M54" si="10">SQRT(5*((B39/$Q54 + 1)^(2/7) - 1))</f>
        <v>0.12401308775952054</v>
      </c>
      <c r="C54">
        <f t="shared" si="10"/>
        <v>0.24714528371977268</v>
      </c>
      <c r="D54">
        <f t="shared" si="10"/>
        <v>0.36859880256971367</v>
      </c>
      <c r="E54">
        <f t="shared" si="10"/>
        <v>0.48772355012029828</v>
      </c>
      <c r="F54">
        <f t="shared" si="10"/>
        <v>0.60405204951554081</v>
      </c>
      <c r="G54">
        <f t="shared" si="10"/>
        <v>0.7173038774450986</v>
      </c>
      <c r="H54">
        <f t="shared" si="10"/>
        <v>0.82736676025306155</v>
      </c>
      <c r="I54">
        <f t="shared" si="10"/>
        <v>0.93426461719155141</v>
      </c>
      <c r="J54">
        <f t="shared" si="10"/>
        <v>1.038121822335933</v>
      </c>
      <c r="K54">
        <f t="shared" si="10"/>
        <v>1.1391299491200035</v>
      </c>
      <c r="L54">
        <f t="shared" si="10"/>
        <v>1.2375201425553228</v>
      </c>
      <c r="M54">
        <f t="shared" si="10"/>
        <v>1.3335419662300949</v>
      </c>
      <c r="N54" s="18">
        <v>25000</v>
      </c>
      <c r="O54" s="1" cm="1">
        <f t="array" ref="O54">Linterp(KCAS_qc5[[#This Row],[h]], atmos_h, atmos_vela)</f>
        <v>601.5674519063673</v>
      </c>
      <c r="P54" s="1" cm="1">
        <f t="array" ref="P54">Linterp(KCAS_qc5[[#This Row],[h]],atmos_h,atmos_DR)</f>
        <v>0.44811369503739579</v>
      </c>
      <c r="Q54" s="1" cm="1">
        <f t="array" ref="Q54">Linterp(KCAS_qc5[[#This Row],[h]],atmos_h, atmos_P)</f>
        <v>785.31029933791115</v>
      </c>
    </row>
    <row r="55" spans="1:17">
      <c r="B55">
        <f t="shared" ref="B55:M55" si="11">SQRT(5*((B40/$Q55 + 1)^(2/7) - 1))</f>
        <v>0.13856426295566943</v>
      </c>
      <c r="C55">
        <f t="shared" si="11"/>
        <v>0.27576157856782885</v>
      </c>
      <c r="D55">
        <f t="shared" si="11"/>
        <v>0.41038496024151361</v>
      </c>
      <c r="E55">
        <f t="shared" si="11"/>
        <v>0.54150281452659699</v>
      </c>
      <c r="F55">
        <f t="shared" si="11"/>
        <v>0.66850724555318219</v>
      </c>
      <c r="G55">
        <f t="shared" si="11"/>
        <v>0.79110036840493625</v>
      </c>
      <c r="H55">
        <f t="shared" si="11"/>
        <v>0.90924099241685286</v>
      </c>
      <c r="I55">
        <f t="shared" si="11"/>
        <v>1.023076381874698</v>
      </c>
      <c r="J55">
        <f t="shared" si="11"/>
        <v>1.1328768816654982</v>
      </c>
      <c r="K55">
        <f t="shared" si="11"/>
        <v>1.2389823324092375</v>
      </c>
      <c r="L55">
        <f t="shared" si="11"/>
        <v>1.3417625327422553</v>
      </c>
      <c r="M55">
        <f t="shared" si="11"/>
        <v>1.441590380342725</v>
      </c>
      <c r="N55">
        <v>30000</v>
      </c>
      <c r="O55" s="1" cm="1">
        <f t="array" ref="O55">Linterp(KCAS_qc5[[#This Row],[h]], atmos_h, atmos_vela)</f>
        <v>588.94914286379162</v>
      </c>
      <c r="P55" s="1" cm="1">
        <f t="array" ref="P55">Linterp(KCAS_qc5[[#This Row],[h]],atmos_h,atmos_DR)</f>
        <v>0.37412728280993773</v>
      </c>
      <c r="Q55" s="1" cm="1">
        <f t="array" ref="Q55">Linterp(KCAS_qc5[[#This Row],[h]],atmos_h, atmos_P)</f>
        <v>628.43358008838447</v>
      </c>
    </row>
    <row r="56" spans="1:17">
      <c r="B56">
        <f t="shared" ref="B56:M56" si="12">SQRT(5*((B41/$Q56 + 1)^(2/7) - 1))</f>
        <v>0.15556570745600304</v>
      </c>
      <c r="C56">
        <f t="shared" si="12"/>
        <v>0.3090406571506828</v>
      </c>
      <c r="D56">
        <f t="shared" si="12"/>
        <v>0.45863874108443353</v>
      </c>
      <c r="E56">
        <f t="shared" si="12"/>
        <v>0.60307763334675912</v>
      </c>
      <c r="F56">
        <f t="shared" si="12"/>
        <v>0.74163052569979648</v>
      </c>
      <c r="G56">
        <f t="shared" si="12"/>
        <v>0.87405962984101981</v>
      </c>
      <c r="H56">
        <f t="shared" si="12"/>
        <v>1.0004921189563749</v>
      </c>
      <c r="I56">
        <f t="shared" si="12"/>
        <v>1.1212906138401388</v>
      </c>
      <c r="J56">
        <f t="shared" si="12"/>
        <v>1.2369462816358046</v>
      </c>
      <c r="K56">
        <f t="shared" si="12"/>
        <v>1.3480023367266649</v>
      </c>
      <c r="L56">
        <f t="shared" si="12"/>
        <v>1.455004820065386</v>
      </c>
      <c r="M56">
        <f t="shared" si="12"/>
        <v>1.5584739070081641</v>
      </c>
      <c r="N56" s="18">
        <v>35000</v>
      </c>
      <c r="O56" s="1" cm="1">
        <f t="array" ref="O56">Linterp(KCAS_qc5[[#This Row],[h]], atmos_h, atmos_vela)</f>
        <v>576.05449964987702</v>
      </c>
      <c r="P56" s="1" cm="1">
        <f t="array" ref="P56">Linterp(KCAS_qc5[[#This Row],[h]],atmos_h,atmos_DR)</f>
        <v>0.30987048369945225</v>
      </c>
      <c r="Q56" s="1" cm="1">
        <f t="array" ref="Q56">Linterp(KCAS_qc5[[#This Row],[h]],atmos_h, atmos_P)</f>
        <v>497.95692008327683</v>
      </c>
    </row>
    <row r="57" spans="1:17">
      <c r="B57">
        <f t="shared" ref="B57:M57" si="13">SQRT(5*((B42/$Q57 + 1)^(2/7) - 1))</f>
        <v>0.1752625161834431</v>
      </c>
      <c r="C57">
        <f t="shared" si="13"/>
        <v>0.3473648421207739</v>
      </c>
      <c r="D57">
        <f t="shared" si="13"/>
        <v>0.51372043743803653</v>
      </c>
      <c r="E57">
        <f t="shared" si="13"/>
        <v>0.67264452994253787</v>
      </c>
      <c r="F57">
        <f t="shared" si="13"/>
        <v>0.82337053516321723</v>
      </c>
      <c r="G57">
        <f t="shared" si="13"/>
        <v>0.96585940943888349</v>
      </c>
      <c r="H57">
        <f t="shared" si="13"/>
        <v>1.1005474295756783</v>
      </c>
      <c r="I57">
        <f t="shared" si="13"/>
        <v>1.2281265860561488</v>
      </c>
      <c r="J57">
        <f t="shared" si="13"/>
        <v>1.3493894404003082</v>
      </c>
      <c r="K57">
        <f t="shared" si="13"/>
        <v>1.4651340537345761</v>
      </c>
      <c r="L57">
        <f t="shared" si="13"/>
        <v>1.5761126803579271</v>
      </c>
      <c r="M57">
        <f t="shared" si="13"/>
        <v>1.68300834063871</v>
      </c>
      <c r="N57">
        <v>40000</v>
      </c>
      <c r="O57" s="1" cm="1">
        <f t="array" ref="O57">Linterp(KCAS_qc5[[#This Row],[h]], atmos_h, atmos_vela)</f>
        <v>573.21740748637524</v>
      </c>
      <c r="P57" s="1" cm="1">
        <f t="array" ref="P57">Linterp(KCAS_qc5[[#This Row],[h]],atmos_h,atmos_DR)</f>
        <v>0.24615674890832695</v>
      </c>
      <c r="Q57" s="1" cm="1">
        <f t="array" ref="Q57">Linterp(KCAS_qc5[[#This Row],[h]],atmos_h, atmos_P)</f>
        <v>391.68316366825212</v>
      </c>
    </row>
    <row r="58" spans="1:17">
      <c r="B58">
        <f t="shared" ref="B58:M58" si="14">SQRT(5*((B43/$Q58 + 1)^(2/7) - 1))</f>
        <v>0.19743570949715847</v>
      </c>
      <c r="C58">
        <f t="shared" si="14"/>
        <v>0.39018253608393505</v>
      </c>
      <c r="D58">
        <f t="shared" si="14"/>
        <v>0.57460456317554387</v>
      </c>
      <c r="E58">
        <f t="shared" si="14"/>
        <v>0.74862229772245692</v>
      </c>
      <c r="F58">
        <f t="shared" si="14"/>
        <v>0.9115952962159084</v>
      </c>
      <c r="G58">
        <f t="shared" si="14"/>
        <v>1.0638857143923313</v>
      </c>
      <c r="H58">
        <f t="shared" si="14"/>
        <v>1.206406670851913</v>
      </c>
      <c r="I58">
        <f t="shared" si="14"/>
        <v>1.340292872425132</v>
      </c>
      <c r="J58">
        <f t="shared" si="14"/>
        <v>1.4667043238285118</v>
      </c>
      <c r="K58">
        <f t="shared" si="14"/>
        <v>1.5867270312943373</v>
      </c>
      <c r="L58">
        <f t="shared" si="14"/>
        <v>1.7013323853825184</v>
      </c>
      <c r="M58">
        <f t="shared" si="14"/>
        <v>1.8113679819162276</v>
      </c>
      <c r="N58" s="18">
        <v>45000</v>
      </c>
      <c r="O58" s="1" cm="1">
        <f t="array" ref="O58">Linterp(KCAS_qc5[[#This Row],[h]], atmos_h, atmos_vela)</f>
        <v>573.21740748637524</v>
      </c>
      <c r="P58" s="1" cm="1">
        <f t="array" ref="P58">Linterp(KCAS_qc5[[#This Row],[h]],atmos_h,atmos_DR)</f>
        <v>0.19357209434956671</v>
      </c>
      <c r="Q58" s="1" cm="1">
        <f t="array" ref="Q58">Linterp(KCAS_qc5[[#This Row],[h]],atmos_h, atmos_P)</f>
        <v>308.01077219688165</v>
      </c>
    </row>
    <row r="59" spans="1:17">
      <c r="B59">
        <f t="shared" ref="B59:M59" si="15">SQRT(5*((B44/$Q59 + 1)^(2/7) - 1))</f>
        <v>0.22235331936051911</v>
      </c>
      <c r="C59">
        <f t="shared" si="15"/>
        <v>0.43785287371542131</v>
      </c>
      <c r="D59">
        <f t="shared" si="15"/>
        <v>0.64153375546577318</v>
      </c>
      <c r="E59">
        <f t="shared" si="15"/>
        <v>0.83102337428270179</v>
      </c>
      <c r="F59">
        <f t="shared" si="15"/>
        <v>1.0060828305374201</v>
      </c>
      <c r="G59">
        <f t="shared" si="15"/>
        <v>1.1677402236554231</v>
      </c>
      <c r="H59">
        <f t="shared" si="15"/>
        <v>1.3175681608307976</v>
      </c>
      <c r="I59">
        <f t="shared" si="15"/>
        <v>1.4572468432017311</v>
      </c>
      <c r="J59">
        <f t="shared" si="15"/>
        <v>1.5883516245737812</v>
      </c>
      <c r="K59">
        <f t="shared" si="15"/>
        <v>1.7122727312614641</v>
      </c>
      <c r="L59">
        <f t="shared" si="15"/>
        <v>1.8302009150337228</v>
      </c>
      <c r="M59">
        <f t="shared" si="15"/>
        <v>1.9431415059279942</v>
      </c>
      <c r="N59">
        <v>50000</v>
      </c>
      <c r="O59" s="1" cm="1">
        <f t="array" ref="O59">Linterp(KCAS_qc5[[#This Row],[h]], atmos_h, atmos_vela)</f>
        <v>573.21740748637524</v>
      </c>
      <c r="P59" s="1" cm="1">
        <f t="array" ref="P59">Linterp(KCAS_qc5[[#This Row],[h]],atmos_h,atmos_DR)</f>
        <v>0.15222071252180899</v>
      </c>
      <c r="Q59" s="1" cm="1">
        <f t="array" ref="Q59">Linterp(KCAS_qc5[[#This Row],[h]],atmos_h, atmos_P)</f>
        <v>242.21269788780825</v>
      </c>
    </row>
    <row r="60" spans="1:17">
      <c r="B60">
        <f t="shared" ref="B60:M60" si="16">SQRT(5*((B45/$Q60 + 1)^(2/7) - 1))</f>
        <v>0.25032962845367829</v>
      </c>
      <c r="C60">
        <f t="shared" si="16"/>
        <v>0.49076623564793992</v>
      </c>
      <c r="D60">
        <f t="shared" si="16"/>
        <v>0.71473286130054992</v>
      </c>
      <c r="E60">
        <f t="shared" si="16"/>
        <v>0.91981717703560861</v>
      </c>
      <c r="F60">
        <f t="shared" si="16"/>
        <v>1.1065858738421548</v>
      </c>
      <c r="G60">
        <f t="shared" si="16"/>
        <v>1.277045069785933</v>
      </c>
      <c r="H60">
        <f t="shared" si="16"/>
        <v>1.4336034302011464</v>
      </c>
      <c r="I60">
        <f t="shared" si="16"/>
        <v>1.5785655567753698</v>
      </c>
      <c r="J60">
        <f t="shared" si="16"/>
        <v>1.7139469247433021</v>
      </c>
      <c r="K60">
        <f t="shared" si="16"/>
        <v>1.8414414004951658</v>
      </c>
      <c r="L60">
        <f t="shared" si="16"/>
        <v>1.9624486426485006</v>
      </c>
      <c r="M60">
        <f t="shared" si="16"/>
        <v>2.0781187395050833</v>
      </c>
      <c r="N60" s="18">
        <v>55000</v>
      </c>
      <c r="O60" s="1" cm="1">
        <f t="array" ref="O60">Linterp(KCAS_qc5[[#This Row],[h]], atmos_h, atmos_vela)</f>
        <v>573.21740748637524</v>
      </c>
      <c r="P60" s="1" cm="1">
        <f t="array" ref="P60">Linterp(KCAS_qc5[[#This Row],[h]],atmos_h,atmos_DR)</f>
        <v>0.11970292204827346</v>
      </c>
      <c r="Q60" s="1" cm="1">
        <f t="array" ref="Q60">Linterp(KCAS_qc5[[#This Row],[h]],atmos_h, atmos_P)</f>
        <v>190.47058192039634</v>
      </c>
    </row>
    <row r="61" spans="1:17">
      <c r="B61">
        <f t="shared" ref="B61:M61" si="17">SQRT(5*((B46/$Q61 + 1)^(2/7) - 1))</f>
        <v>0.28170451692252929</v>
      </c>
      <c r="C61">
        <f t="shared" si="17"/>
        <v>0.54928892494288473</v>
      </c>
      <c r="D61">
        <f t="shared" si="17"/>
        <v>0.79433225075319958</v>
      </c>
      <c r="E61">
        <f t="shared" si="17"/>
        <v>1.0148558483366992</v>
      </c>
      <c r="F61">
        <f t="shared" si="17"/>
        <v>1.2127666475820236</v>
      </c>
      <c r="G61">
        <f t="shared" si="17"/>
        <v>1.3913791108683555</v>
      </c>
      <c r="H61">
        <f t="shared" si="17"/>
        <v>1.5540856257425013</v>
      </c>
      <c r="I61">
        <f t="shared" si="17"/>
        <v>1.7038608955824224</v>
      </c>
      <c r="J61">
        <f t="shared" si="17"/>
        <v>1.8431612864095654</v>
      </c>
      <c r="K61">
        <f t="shared" si="17"/>
        <v>1.9739693206996278</v>
      </c>
      <c r="L61">
        <f t="shared" si="17"/>
        <v>2.0978754551469834</v>
      </c>
      <c r="M61">
        <f t="shared" si="17"/>
        <v>2.2161579870733581</v>
      </c>
      <c r="N61">
        <v>60000</v>
      </c>
      <c r="O61" s="1" cm="1">
        <f t="array" ref="O61">Linterp(KCAS_qc5[[#This Row],[h]], atmos_h, atmos_vela)</f>
        <v>573.21740748637524</v>
      </c>
      <c r="P61" s="1" cm="1">
        <f t="array" ref="P61">Linterp(KCAS_qc5[[#This Row],[h]],atmos_h,atmos_DR)</f>
        <v>9.4131667823077053E-2</v>
      </c>
      <c r="Q61" s="1" cm="1">
        <f t="array" ref="Q61">Linterp(KCAS_qc5[[#This Row],[h]],atmos_h, atmos_P)</f>
        <v>149.78175336579045</v>
      </c>
    </row>
    <row r="63" spans="1:17">
      <c r="A63" t="s">
        <v>525</v>
      </c>
      <c r="B63" s="403">
        <v>5000</v>
      </c>
      <c r="C63" s="404">
        <v>10000</v>
      </c>
      <c r="D63" s="403">
        <v>15000</v>
      </c>
      <c r="E63" s="404">
        <v>20000</v>
      </c>
      <c r="F63" s="403">
        <v>25000</v>
      </c>
      <c r="G63" s="404">
        <v>30000</v>
      </c>
      <c r="H63" s="403">
        <v>35000</v>
      </c>
      <c r="I63" s="404">
        <v>40000</v>
      </c>
      <c r="J63" s="403">
        <v>45000</v>
      </c>
      <c r="K63" s="404">
        <v>50000</v>
      </c>
      <c r="L63" s="403">
        <v>55000</v>
      </c>
      <c r="M63" s="404">
        <v>60000</v>
      </c>
      <c r="N63" s="400" t="s">
        <v>282</v>
      </c>
      <c r="O63" s="401" t="s">
        <v>526</v>
      </c>
      <c r="P63" s="402" t="s">
        <v>14</v>
      </c>
      <c r="Q63" s="402" t="s">
        <v>522</v>
      </c>
    </row>
    <row r="64" spans="1:17">
      <c r="A64" t="s">
        <v>72</v>
      </c>
      <c r="B64">
        <f>SQRT((B$63-$N64)*(2*32.174))/$O64</f>
        <v>0.50805794903705803</v>
      </c>
      <c r="C64">
        <f t="shared" ref="C64:M79" si="18">SQRT((C$63-$N64)*(2*32.174))/$O64</f>
        <v>0.71850244199966617</v>
      </c>
      <c r="D64">
        <f t="shared" si="18"/>
        <v>0.87998218092142388</v>
      </c>
      <c r="E64">
        <f t="shared" si="18"/>
        <v>1.0161158980741161</v>
      </c>
      <c r="F64">
        <f t="shared" si="18"/>
        <v>1.1360521105559855</v>
      </c>
      <c r="G64">
        <f t="shared" si="18"/>
        <v>1.2444827349057324</v>
      </c>
      <c r="H64">
        <f t="shared" si="18"/>
        <v>1.3441949847615833</v>
      </c>
      <c r="I64">
        <f t="shared" si="18"/>
        <v>1.4370048839993323</v>
      </c>
      <c r="J64">
        <f t="shared" si="18"/>
        <v>1.5241738471111741</v>
      </c>
      <c r="K64">
        <f t="shared" si="18"/>
        <v>1.6066203023108536</v>
      </c>
      <c r="L64">
        <f t="shared" si="18"/>
        <v>1.685037588713427</v>
      </c>
      <c r="M64">
        <f t="shared" si="18"/>
        <v>1.7599643618428478</v>
      </c>
      <c r="N64">
        <v>0</v>
      </c>
      <c r="O64" s="1" cm="1">
        <f t="array" ref="O64">Linterp(KCAS_qc56[[#This Row],[h]], atmos_h, atmos_aspeed)</f>
        <v>1116.45</v>
      </c>
      <c r="P64" s="1" cm="1">
        <f t="array" ref="P64">Linterp(KCAS_qc56[[#This Row],[h]],atmos_h,atmos_DR)</f>
        <v>1</v>
      </c>
      <c r="Q64" s="1" cm="1">
        <f t="array" ref="Q64">Linterp(KCAS_qc56[[#This Row],[h]],atmos_h, atmos_P)</f>
        <v>2116.2199999999998</v>
      </c>
    </row>
    <row r="65" spans="2:17">
      <c r="B65">
        <f t="shared" ref="B65:M80" si="19">SQRT((B$63-$N65)*(2*32.174))/$O65</f>
        <v>0.45599108035753777</v>
      </c>
      <c r="C65">
        <f t="shared" si="18"/>
        <v>0.68398662053630666</v>
      </c>
      <c r="D65">
        <f t="shared" si="18"/>
        <v>0.85308119706140551</v>
      </c>
      <c r="E65">
        <f t="shared" si="18"/>
        <v>0.99380951921722083</v>
      </c>
      <c r="F65">
        <f t="shared" si="18"/>
        <v>1.1169454741364087</v>
      </c>
      <c r="G65">
        <f t="shared" si="18"/>
        <v>1.227793559154327</v>
      </c>
      <c r="H65">
        <f t="shared" si="18"/>
        <v>1.3294310270216703</v>
      </c>
      <c r="I65">
        <f t="shared" si="18"/>
        <v>1.4238316920601732</v>
      </c>
      <c r="J65">
        <f t="shared" si="18"/>
        <v>1.512351321294751</v>
      </c>
      <c r="K65">
        <f t="shared" si="18"/>
        <v>1.5959687812513821</v>
      </c>
      <c r="L65">
        <f t="shared" si="18"/>
        <v>1.675418211204613</v>
      </c>
      <c r="M65">
        <f t="shared" si="18"/>
        <v>1.7512669739771571</v>
      </c>
      <c r="N65" s="18">
        <v>1000</v>
      </c>
      <c r="O65" s="1" cm="1">
        <f t="array" ref="O65">Linterp(KCAS_qc56[[#This Row],[h]], atmos_h, atmos_aspeed)</f>
        <v>1112.6054288919283</v>
      </c>
      <c r="P65" s="1" cm="1">
        <f t="array" ref="P65">Linterp(KCAS_qc56[[#This Row],[h]],atmos_h,atmos_DR)</f>
        <v>0.97106363140504748</v>
      </c>
      <c r="Q65" s="1" cm="1">
        <f t="array" ref="Q65">Linterp(KCAS_qc56[[#This Row],[h]],atmos_h, atmos_P)</f>
        <v>2040.8556915990741</v>
      </c>
    </row>
    <row r="66" spans="2:17">
      <c r="B66">
        <f t="shared" si="19"/>
        <v>0.3962739188996901</v>
      </c>
      <c r="C66">
        <f t="shared" si="18"/>
        <v>0.64711259978485591</v>
      </c>
      <c r="D66">
        <f t="shared" si="18"/>
        <v>0.82490994344868451</v>
      </c>
      <c r="E66">
        <f t="shared" si="18"/>
        <v>0.97066889967728376</v>
      </c>
      <c r="F66">
        <f t="shared" si="18"/>
        <v>1.0972327969947426</v>
      </c>
      <c r="G66">
        <f t="shared" si="18"/>
        <v>1.2106368195297477</v>
      </c>
      <c r="H66">
        <f t="shared" si="18"/>
        <v>1.3142919031939972</v>
      </c>
      <c r="I66">
        <f t="shared" si="18"/>
        <v>1.4103492137770337</v>
      </c>
      <c r="J66">
        <f t="shared" si="18"/>
        <v>1.5002688435082872</v>
      </c>
      <c r="K66">
        <f t="shared" si="18"/>
        <v>1.5850956755987604</v>
      </c>
      <c r="L66">
        <f t="shared" si="18"/>
        <v>1.6656079967393551</v>
      </c>
      <c r="M66">
        <f t="shared" si="18"/>
        <v>1.7424039993073606</v>
      </c>
      <c r="N66">
        <v>2000</v>
      </c>
      <c r="O66" s="1" cm="1">
        <f t="array" ref="O66">Linterp(KCAS_qc56[[#This Row],[h]], atmos_h, atmos_aspeed)</f>
        <v>1108.7475268516198</v>
      </c>
      <c r="P66" s="1" cm="1">
        <f t="array" ref="P66">Linterp(KCAS_qc56[[#This Row],[h]],atmos_h,atmos_DR)</f>
        <v>0.9427722442792249</v>
      </c>
      <c r="Q66" s="1" cm="1">
        <f t="array" ref="Q66">Linterp(KCAS_qc56[[#This Row],[h]],atmos_h, atmos_P)</f>
        <v>1967.6795625591478</v>
      </c>
    </row>
    <row r="67" spans="2:17">
      <c r="B67">
        <f t="shared" si="19"/>
        <v>0.32469000795030051</v>
      </c>
      <c r="C67">
        <f t="shared" si="18"/>
        <v>0.6074393833294659</v>
      </c>
      <c r="D67">
        <f t="shared" si="18"/>
        <v>0.79532484405844961</v>
      </c>
      <c r="E67">
        <f t="shared" si="18"/>
        <v>0.94662590854757034</v>
      </c>
      <c r="F67">
        <f t="shared" si="18"/>
        <v>1.0768749295486584</v>
      </c>
      <c r="G67">
        <f t="shared" si="18"/>
        <v>1.1929872660876746</v>
      </c>
      <c r="H67">
        <f t="shared" si="18"/>
        <v>1.298760031801202</v>
      </c>
      <c r="I67">
        <f t="shared" si="18"/>
        <v>1.3965445296735708</v>
      </c>
      <c r="J67">
        <f t="shared" si="18"/>
        <v>1.4879165388280655</v>
      </c>
      <c r="K67">
        <f t="shared" si="18"/>
        <v>1.5739932114450195</v>
      </c>
      <c r="L67">
        <f t="shared" si="18"/>
        <v>1.6556006864071786</v>
      </c>
      <c r="M67">
        <f t="shared" si="18"/>
        <v>1.7333703112690135</v>
      </c>
      <c r="N67" s="18">
        <v>3000</v>
      </c>
      <c r="O67" s="1" cm="1">
        <f t="array" ref="O67">Linterp(KCAS_qc56[[#This Row],[h]], atmos_h, atmos_aspeed)</f>
        <v>1104.8761542360191</v>
      </c>
      <c r="P67" s="1" cm="1">
        <f t="array" ref="P67">Linterp(KCAS_qc56[[#This Row],[h]],atmos_h,atmos_DR)</f>
        <v>0.91511580849838303</v>
      </c>
      <c r="Q67" s="1" cm="1">
        <f t="array" ref="Q67">Linterp(KCAS_qc56[[#This Row],[h]],atmos_h, atmos_P)</f>
        <v>1896.6426720685065</v>
      </c>
    </row>
    <row r="68" spans="2:17">
      <c r="B68">
        <f t="shared" si="19"/>
        <v>0.23040064527372173</v>
      </c>
      <c r="C68">
        <f t="shared" si="18"/>
        <v>0.56436401732860686</v>
      </c>
      <c r="D68">
        <f t="shared" si="18"/>
        <v>0.76415249182870626</v>
      </c>
      <c r="E68">
        <f t="shared" si="18"/>
        <v>0.92160258109488691</v>
      </c>
      <c r="F68">
        <f t="shared" si="18"/>
        <v>1.0558283971334994</v>
      </c>
      <c r="G68">
        <f t="shared" si="18"/>
        <v>1.1748173861950764</v>
      </c>
      <c r="H68">
        <f t="shared" si="18"/>
        <v>1.2828165019280691</v>
      </c>
      <c r="I68">
        <f t="shared" si="18"/>
        <v>1.3824038716423304</v>
      </c>
      <c r="J68">
        <f t="shared" si="18"/>
        <v>1.4752839560723356</v>
      </c>
      <c r="K68">
        <f t="shared" si="18"/>
        <v>1.5626532045713719</v>
      </c>
      <c r="L68">
        <f t="shared" si="18"/>
        <v>1.6453897181123731</v>
      </c>
      <c r="M68">
        <f t="shared" si="18"/>
        <v>1.7241605526118069</v>
      </c>
      <c r="N68">
        <v>4000</v>
      </c>
      <c r="O68" s="1" cm="1">
        <f t="array" ref="O68">Linterp(KCAS_qc56[[#This Row],[h]], atmos_h, atmos_aspeed)</f>
        <v>1100.9911689469482</v>
      </c>
      <c r="P68" s="1" cm="1">
        <f t="array" ref="P68">Linterp(KCAS_qc56[[#This Row],[h]],atmos_h,atmos_DR)</f>
        <v>0.88808438138684354</v>
      </c>
      <c r="Q68" s="1" cm="1">
        <f t="array" ref="Q68">Linterp(KCAS_qc56[[#This Row],[h]],atmos_h, atmos_P)</f>
        <v>1827.6968430234169</v>
      </c>
    </row>
    <row r="69" spans="2:17">
      <c r="B69">
        <f t="shared" si="19"/>
        <v>0</v>
      </c>
      <c r="C69">
        <f t="shared" si="18"/>
        <v>0.51702234339460906</v>
      </c>
      <c r="D69">
        <f t="shared" si="18"/>
        <v>0.7311800100785758</v>
      </c>
      <c r="E69">
        <f t="shared" si="18"/>
        <v>0.89550896740778607</v>
      </c>
      <c r="F69">
        <f t="shared" si="18"/>
        <v>1.0340446867892181</v>
      </c>
      <c r="G69">
        <f t="shared" si="18"/>
        <v>1.1560971057165854</v>
      </c>
      <c r="H69">
        <f t="shared" si="18"/>
        <v>1.2664409269348169</v>
      </c>
      <c r="I69">
        <f t="shared" si="18"/>
        <v>1.367912542885974</v>
      </c>
      <c r="J69">
        <f t="shared" si="18"/>
        <v>1.4623600201571516</v>
      </c>
      <c r="K69">
        <f t="shared" si="18"/>
        <v>1.5510670301838274</v>
      </c>
      <c r="L69">
        <f t="shared" si="18"/>
        <v>1.6349682063246769</v>
      </c>
      <c r="M69">
        <f t="shared" si="18"/>
        <v>1.7147691212702028</v>
      </c>
      <c r="N69" s="18">
        <v>5000</v>
      </c>
      <c r="O69" s="1" cm="1">
        <f t="array" ref="O69">Linterp(KCAS_qc56[[#This Row],[h]], atmos_h, atmos_aspeed)</f>
        <v>1097.0924263702484</v>
      </c>
      <c r="P69" s="1" cm="1">
        <f t="array" ref="P69">Linterp(KCAS_qc56[[#This Row],[h]],atmos_h,atmos_DR)</f>
        <v>0.86166810756083567</v>
      </c>
      <c r="Q69" s="1" cm="1">
        <f t="array" ref="Q69">Linterp(KCAS_qc56[[#This Row],[h]],atmos_h, atmos_P)</f>
        <v>1760.7946553464919</v>
      </c>
    </row>
    <row r="70" spans="2:17">
      <c r="B70" t="e">
        <f t="shared" si="19"/>
        <v>#NUM!</v>
      </c>
      <c r="C70">
        <f t="shared" si="18"/>
        <v>0.46409397715985856</v>
      </c>
      <c r="D70">
        <f t="shared" si="18"/>
        <v>0.6961409657397879</v>
      </c>
      <c r="E70">
        <f t="shared" si="18"/>
        <v>0.86824032889874081</v>
      </c>
      <c r="F70">
        <f t="shared" si="18"/>
        <v>1.0114693733728484</v>
      </c>
      <c r="G70">
        <f t="shared" si="18"/>
        <v>1.1367934367405241</v>
      </c>
      <c r="H70">
        <f t="shared" si="18"/>
        <v>1.2496112765021772</v>
      </c>
      <c r="I70">
        <f t="shared" si="18"/>
        <v>1.3530548277532846</v>
      </c>
      <c r="J70">
        <f t="shared" si="18"/>
        <v>1.4491329792160343</v>
      </c>
      <c r="K70">
        <f t="shared" si="18"/>
        <v>1.5392255897030198</v>
      </c>
      <c r="L70">
        <f t="shared" si="18"/>
        <v>1.624328920059505</v>
      </c>
      <c r="M70">
        <f t="shared" si="18"/>
        <v>1.705190155110786</v>
      </c>
      <c r="N70">
        <v>6000</v>
      </c>
      <c r="O70" s="1" cm="1">
        <f t="array" ref="O70">Linterp(KCAS_qc56[[#This Row],[h]], atmos_h, atmos_aspeed)</f>
        <v>1093.1797793129685</v>
      </c>
      <c r="P70" s="1" cm="1">
        <f t="array" ref="P70">Linterp(KCAS_qc56[[#This Row],[h]],atmos_h,atmos_DR)</f>
        <v>0.83585721877111419</v>
      </c>
      <c r="Q70" s="1" cm="1">
        <f t="array" ref="Q70">Linterp(KCAS_qc56[[#This Row],[h]],atmos_h, atmos_P)</f>
        <v>1695.8894393170633</v>
      </c>
    </row>
    <row r="71" spans="2:17">
      <c r="B71" t="e">
        <f t="shared" si="19"/>
        <v>#NUM!</v>
      </c>
      <c r="C71">
        <f t="shared" si="18"/>
        <v>0.40336606472332509</v>
      </c>
      <c r="D71">
        <f t="shared" si="18"/>
        <v>0.65869402541773359</v>
      </c>
      <c r="E71">
        <f t="shared" si="18"/>
        <v>0.83967342227300124</v>
      </c>
      <c r="F71">
        <f t="shared" si="18"/>
        <v>0.98804103812660027</v>
      </c>
      <c r="G71">
        <f t="shared" si="18"/>
        <v>1.1168700595740431</v>
      </c>
      <c r="H71">
        <f t="shared" si="18"/>
        <v>1.2323036829140626</v>
      </c>
      <c r="I71">
        <f t="shared" si="18"/>
        <v>1.3378138898494807</v>
      </c>
      <c r="J71">
        <f t="shared" si="18"/>
        <v>1.4355903457549561</v>
      </c>
      <c r="K71">
        <f t="shared" si="18"/>
        <v>1.5271192742466027</v>
      </c>
      <c r="L71">
        <f t="shared" si="18"/>
        <v>1.6134642588933004</v>
      </c>
      <c r="M71">
        <f t="shared" si="18"/>
        <v>1.6954175154447189</v>
      </c>
      <c r="N71" s="18">
        <v>7000</v>
      </c>
      <c r="O71" s="1" cm="1">
        <f t="array" ref="O71">Linterp(KCAS_qc56[[#This Row],[h]], atmos_h, atmos_aspeed)</f>
        <v>1089.2530779385215</v>
      </c>
      <c r="P71" s="1" cm="1">
        <f t="array" ref="P71">Linterp(KCAS_qc56[[#This Row],[h]],atmos_h,atmos_DR)</f>
        <v>0.81064203374474864</v>
      </c>
      <c r="Q71" s="1" cm="1">
        <f t="array" ref="Q71">Linterp(KCAS_qc56[[#This Row],[h]],atmos_h, atmos_P)</f>
        <v>1632.9352689136249</v>
      </c>
    </row>
    <row r="72" spans="2:17">
      <c r="B72" t="e">
        <f t="shared" si="19"/>
        <v>#NUM!</v>
      </c>
      <c r="C72">
        <f t="shared" si="18"/>
        <v>0.33054291412049935</v>
      </c>
      <c r="D72">
        <f t="shared" si="18"/>
        <v>0.61838916813237543</v>
      </c>
      <c r="E72">
        <f t="shared" si="18"/>
        <v>0.80966147768782404</v>
      </c>
      <c r="F72">
        <f t="shared" si="18"/>
        <v>0.96368991570930662</v>
      </c>
      <c r="G72">
        <f t="shared" si="18"/>
        <v>1.096286823248364</v>
      </c>
      <c r="H72">
        <f t="shared" si="18"/>
        <v>1.214492216531736</v>
      </c>
      <c r="I72">
        <f t="shared" si="18"/>
        <v>1.3221716564819974</v>
      </c>
      <c r="J72">
        <f t="shared" si="18"/>
        <v>1.4217188309903364</v>
      </c>
      <c r="K72">
        <f t="shared" si="18"/>
        <v>1.5147379243884758</v>
      </c>
      <c r="L72">
        <f t="shared" si="18"/>
        <v>1.60236622679364</v>
      </c>
      <c r="M72">
        <f t="shared" si="18"/>
        <v>1.6854447691802501</v>
      </c>
      <c r="N72">
        <v>8000</v>
      </c>
      <c r="O72" s="1" cm="1">
        <f t="array" ref="O72">Linterp(KCAS_qc56[[#This Row],[h]], atmos_h, atmos_aspeed)</f>
        <v>1085.3121696997296</v>
      </c>
      <c r="P72" s="1" cm="1">
        <f t="array" ref="P72">Linterp(KCAS_qc56[[#This Row],[h]],atmos_h,atmos_DR)</f>
        <v>0.78601295802606819</v>
      </c>
      <c r="Q72" s="1" cm="1">
        <f t="array" ref="Q72">Linterp(KCAS_qc56[[#This Row],[h]],atmos_h, atmos_P)</f>
        <v>1571.886955168397</v>
      </c>
    </row>
    <row r="73" spans="2:17">
      <c r="B73" t="e">
        <f t="shared" si="19"/>
        <v>#NUM!</v>
      </c>
      <c r="C73">
        <f t="shared" si="18"/>
        <v>0.2345840452281468</v>
      </c>
      <c r="D73">
        <f t="shared" si="18"/>
        <v>0.57461121260693071</v>
      </c>
      <c r="E73">
        <f t="shared" si="18"/>
        <v>0.77802725982552401</v>
      </c>
      <c r="F73">
        <f t="shared" si="18"/>
        <v>0.93833618091258719</v>
      </c>
      <c r="G73">
        <f t="shared" si="18"/>
        <v>1.0749991440869271</v>
      </c>
      <c r="H73">
        <f t="shared" si="18"/>
        <v>1.1961486241958528</v>
      </c>
      <c r="I73">
        <f t="shared" si="18"/>
        <v>1.3061086871097818</v>
      </c>
      <c r="J73">
        <f t="shared" si="18"/>
        <v>1.4075042713688808</v>
      </c>
      <c r="K73">
        <f t="shared" si="18"/>
        <v>1.5020707857153903</v>
      </c>
      <c r="L73">
        <f t="shared" si="18"/>
        <v>1.5910264035136739</v>
      </c>
      <c r="M73">
        <f t="shared" si="18"/>
        <v>1.6752651694748693</v>
      </c>
      <c r="N73" s="18">
        <v>9000</v>
      </c>
      <c r="O73" s="1" cm="1">
        <f t="array" ref="O73">Linterp(KCAS_qc56[[#This Row],[h]], atmos_h, atmos_aspeed)</f>
        <v>1081.3568992696751</v>
      </c>
      <c r="P73" s="1" cm="1">
        <f t="array" ref="P73">Linterp(KCAS_qc56[[#This Row],[h]],atmos_h,atmos_DR)</f>
        <v>0.76196048381676207</v>
      </c>
      <c r="Q73" s="1" cm="1">
        <f t="array" ref="Q73">Linterp(KCAS_qc56[[#This Row],[h]],atmos_h, atmos_P)</f>
        <v>1512.7000395341013</v>
      </c>
    </row>
    <row r="74" spans="2:17">
      <c r="B74" t="e">
        <f t="shared" si="19"/>
        <v>#NUM!</v>
      </c>
      <c r="C74">
        <f t="shared" si="18"/>
        <v>0</v>
      </c>
      <c r="D74">
        <f t="shared" si="18"/>
        <v>0.52647863775518566</v>
      </c>
      <c r="E74">
        <f t="shared" si="18"/>
        <v>0.74455322981309535</v>
      </c>
      <c r="F74">
        <f t="shared" si="18"/>
        <v>0.91188774969163178</v>
      </c>
      <c r="G74">
        <f t="shared" si="18"/>
        <v>1.0529572755103713</v>
      </c>
      <c r="H74">
        <f t="shared" si="18"/>
        <v>1.1772420227220823</v>
      </c>
      <c r="I74">
        <f t="shared" si="18"/>
        <v>1.2896040229757877</v>
      </c>
      <c r="J74">
        <f t="shared" si="18"/>
        <v>1.3929315460882821</v>
      </c>
      <c r="K74">
        <f t="shared" si="18"/>
        <v>1.4891064596261907</v>
      </c>
      <c r="L74">
        <f t="shared" si="18"/>
        <v>1.5794359132655571</v>
      </c>
      <c r="M74">
        <f t="shared" si="18"/>
        <v>1.6648716347291044</v>
      </c>
      <c r="N74">
        <v>10000</v>
      </c>
      <c r="O74" s="1" cm="1">
        <f t="array" ref="O74">Linterp(KCAS_qc56[[#This Row],[h]], atmos_h, atmos_aspeed)</f>
        <v>1077.3871084702648</v>
      </c>
      <c r="P74" s="1" cm="1">
        <f t="array" ref="P74">Linterp(KCAS_qc56[[#This Row],[h]],atmos_h,atmos_DR)</f>
        <v>0.73847518981511207</v>
      </c>
      <c r="Q74" s="1" cm="1">
        <f t="array" ref="Q74">Linterp(KCAS_qc56[[#This Row],[h]],atmos_h, atmos_P)</f>
        <v>1455.3307872629821</v>
      </c>
    </row>
    <row r="75" spans="2:17">
      <c r="B75" t="e">
        <f t="shared" si="19"/>
        <v>#NUM!</v>
      </c>
      <c r="C75" t="e">
        <f t="shared" si="18"/>
        <v>#NUM!</v>
      </c>
      <c r="D75">
        <f t="shared" si="18"/>
        <v>0.47264477878393402</v>
      </c>
      <c r="E75">
        <f t="shared" si="18"/>
        <v>0.708967168175901</v>
      </c>
      <c r="F75">
        <f t="shared" si="18"/>
        <v>0.88423741392852107</v>
      </c>
      <c r="G75">
        <f t="shared" si="18"/>
        <v>1.0301054134556527</v>
      </c>
      <c r="H75">
        <f t="shared" si="18"/>
        <v>1.1577385376112705</v>
      </c>
      <c r="I75">
        <f t="shared" si="18"/>
        <v>1.272635014491557</v>
      </c>
      <c r="J75">
        <f t="shared" si="18"/>
        <v>1.3779844842194588</v>
      </c>
      <c r="K75">
        <f t="shared" si="18"/>
        <v>1.4758328487295609</v>
      </c>
      <c r="L75">
        <f t="shared" si="18"/>
        <v>1.5675853903468395</v>
      </c>
      <c r="M75">
        <f t="shared" si="18"/>
        <v>1.654256725743769</v>
      </c>
      <c r="N75" s="18">
        <v>11000</v>
      </c>
      <c r="O75" s="1" cm="1">
        <f t="array" ref="O75">Linterp(KCAS_qc56[[#This Row],[h]], atmos_h, atmos_aspeed)</f>
        <v>1073.4026361984163</v>
      </c>
      <c r="P75" s="1" cm="1">
        <f t="array" ref="P75">Linterp(KCAS_qc56[[#This Row],[h]],atmos_h,atmos_DR)</f>
        <v>0.71554774105435692</v>
      </c>
      <c r="Q75" s="1" cm="1">
        <f t="array" ref="Q75">Linterp(KCAS_qc56[[#This Row],[h]],atmos_h, atmos_P)</f>
        <v>1399.736180798167</v>
      </c>
    </row>
    <row r="76" spans="2:17">
      <c r="B76" t="e">
        <f t="shared" si="19"/>
        <v>#NUM!</v>
      </c>
      <c r="C76" t="e">
        <f t="shared" si="18"/>
        <v>#NUM!</v>
      </c>
      <c r="D76">
        <f t="shared" si="18"/>
        <v>0.41085315520979737</v>
      </c>
      <c r="E76">
        <f t="shared" si="18"/>
        <v>0.67092039298433581</v>
      </c>
      <c r="F76">
        <f t="shared" si="18"/>
        <v>0.85525904397361696</v>
      </c>
      <c r="G76">
        <f t="shared" si="18"/>
        <v>1.0063805894765037</v>
      </c>
      <c r="H76">
        <f t="shared" si="18"/>
        <v>1.1376008744069621</v>
      </c>
      <c r="I76">
        <f t="shared" si="18"/>
        <v>1.2551771221735579</v>
      </c>
      <c r="J76">
        <f t="shared" si="18"/>
        <v>1.3626457597645487</v>
      </c>
      <c r="K76">
        <f t="shared" si="18"/>
        <v>1.4622370960896574</v>
      </c>
      <c r="L76">
        <f t="shared" si="18"/>
        <v>1.5554649413461954</v>
      </c>
      <c r="M76">
        <f t="shared" si="18"/>
        <v>1.6434126208391895</v>
      </c>
      <c r="N76">
        <v>12000</v>
      </c>
      <c r="O76" s="1" cm="1">
        <f t="array" ref="O76">Linterp(KCAS_qc56[[#This Row],[h]], atmos_h, atmos_aspeed)</f>
        <v>1069.4033183497709</v>
      </c>
      <c r="P76" s="1" cm="1">
        <f t="array" ref="P76">Linterp(KCAS_qc56[[#This Row],[h]],atmos_h,atmos_DR)</f>
        <v>0.69316888874017302</v>
      </c>
      <c r="Q76" s="1" cm="1">
        <f t="array" ref="Q76">Linterp(KCAS_qc56[[#This Row],[h]],atmos_h, atmos_P)</f>
        <v>1345.8739131774189</v>
      </c>
    </row>
    <row r="77" spans="2:17">
      <c r="B77" t="e">
        <f t="shared" si="19"/>
        <v>#NUM!</v>
      </c>
      <c r="C77" t="e">
        <f t="shared" si="18"/>
        <v>#NUM!</v>
      </c>
      <c r="D77">
        <f t="shared" si="18"/>
        <v>0.33672419316445668</v>
      </c>
      <c r="E77">
        <f t="shared" si="18"/>
        <v>0.62995328232964243</v>
      </c>
      <c r="F77">
        <f t="shared" si="18"/>
        <v>0.82480245730327817</v>
      </c>
      <c r="G77">
        <f t="shared" si="18"/>
        <v>0.98171128608627189</v>
      </c>
      <c r="H77">
        <f t="shared" si="18"/>
        <v>1.1167878065616572</v>
      </c>
      <c r="I77">
        <f t="shared" si="18"/>
        <v>1.2372036859549171</v>
      </c>
      <c r="J77">
        <f t="shared" si="18"/>
        <v>1.3468967726578267</v>
      </c>
      <c r="K77">
        <f t="shared" si="18"/>
        <v>1.448305517441574</v>
      </c>
      <c r="L77">
        <f t="shared" si="18"/>
        <v>1.5430641034990544</v>
      </c>
      <c r="M77">
        <f t="shared" si="18"/>
        <v>1.6323310887081017</v>
      </c>
      <c r="N77" s="18">
        <v>13000</v>
      </c>
      <c r="O77" s="1" cm="1">
        <f t="array" ref="O77">Linterp(KCAS_qc56[[#This Row],[h]], atmos_h, atmos_aspeed)</f>
        <v>1065.3889877398271</v>
      </c>
      <c r="P77" s="1" cm="1">
        <f t="array" ref="P77">Linterp(KCAS_qc56[[#This Row],[h]],atmos_h,atmos_DR)</f>
        <v>0.67132947008725652</v>
      </c>
      <c r="Q77" s="1" cm="1">
        <f t="array" ref="Q77">Linterp(KCAS_qc56[[#This Row],[h]],atmos_h, atmos_P)</f>
        <v>1293.7023814493457</v>
      </c>
    </row>
    <row r="78" spans="2:17">
      <c r="B78" t="e">
        <f t="shared" si="19"/>
        <v>#NUM!</v>
      </c>
      <c r="C78" t="e">
        <f t="shared" si="18"/>
        <v>#NUM!</v>
      </c>
      <c r="D78">
        <f t="shared" si="18"/>
        <v>0.23900392089089192</v>
      </c>
      <c r="E78">
        <f t="shared" si="18"/>
        <v>0.58543765270720194</v>
      </c>
      <c r="F78">
        <f t="shared" si="18"/>
        <v>0.79268632901887304</v>
      </c>
      <c r="G78">
        <f t="shared" si="18"/>
        <v>0.9560156835635677</v>
      </c>
      <c r="H78">
        <f t="shared" si="18"/>
        <v>1.0952535588737498</v>
      </c>
      <c r="I78">
        <f t="shared" si="18"/>
        <v>1.2186856564478441</v>
      </c>
      <c r="J78">
        <f t="shared" si="18"/>
        <v>1.3307175133129538</v>
      </c>
      <c r="K78">
        <f t="shared" si="18"/>
        <v>1.4340235253453517</v>
      </c>
      <c r="L78">
        <f t="shared" si="18"/>
        <v>1.5303717986979533</v>
      </c>
      <c r="M78">
        <f t="shared" si="18"/>
        <v>1.6210034587427959</v>
      </c>
      <c r="N78">
        <v>14000</v>
      </c>
      <c r="O78" s="1" cm="1">
        <f t="array" ref="O78">Linterp(KCAS_qc56[[#This Row],[h]], atmos_h, atmos_aspeed)</f>
        <v>1061.3594740223903</v>
      </c>
      <c r="P78" s="1" cm="1">
        <f t="array" ref="P78">Linterp(KCAS_qc56[[#This Row],[h]],atmos_h,atmos_DR)</f>
        <v>0.65002040815500317</v>
      </c>
      <c r="Q78" s="1" cm="1">
        <f t="array" ref="Q78">Linterp(KCAS_qc56[[#This Row],[h]],atmos_h, atmos_P)</f>
        <v>1243.1806801021501</v>
      </c>
    </row>
    <row r="79" spans="2:17">
      <c r="B79" t="e">
        <f t="shared" si="19"/>
        <v>#NUM!</v>
      </c>
      <c r="C79" t="e">
        <f t="shared" si="18"/>
        <v>#NUM!</v>
      </c>
      <c r="D79">
        <f t="shared" si="18"/>
        <v>0</v>
      </c>
      <c r="E79">
        <f t="shared" si="18"/>
        <v>0.5364735295136519</v>
      </c>
      <c r="F79">
        <f t="shared" si="18"/>
        <v>0.75868814129236928</v>
      </c>
      <c r="G79">
        <f t="shared" si="18"/>
        <v>0.92919941003344664</v>
      </c>
      <c r="H79">
        <f t="shared" si="18"/>
        <v>1.0729470590273038</v>
      </c>
      <c r="I79">
        <f t="shared" si="18"/>
        <v>1.1995912801217652</v>
      </c>
      <c r="J79">
        <f t="shared" si="18"/>
        <v>1.3140864078183789</v>
      </c>
      <c r="K79">
        <f t="shared" si="18"/>
        <v>1.4193755440621929</v>
      </c>
      <c r="L79">
        <f t="shared" si="18"/>
        <v>1.5173762825847386</v>
      </c>
      <c r="M79">
        <f t="shared" si="18"/>
        <v>1.6094205885409556</v>
      </c>
      <c r="N79" s="18">
        <v>15000</v>
      </c>
      <c r="O79" s="1" cm="1">
        <f t="array" ref="O79">Linterp(KCAS_qc56[[#This Row],[h]], atmos_h, atmos_aspeed)</f>
        <v>1057.3146036052262</v>
      </c>
      <c r="P79" s="1" cm="1">
        <f t="array" ref="P79">Linterp(KCAS_qc56[[#This Row],[h]],atmos_h,atmos_DR)</f>
        <v>0.62923271168226613</v>
      </c>
      <c r="Q79" s="1" cm="1">
        <f t="array" ref="Q79">Linterp(KCAS_qc56[[#This Row],[h]],atmos_h, atmos_P)</f>
        <v>1194.2685945049741</v>
      </c>
    </row>
    <row r="80" spans="2:17">
      <c r="B80" t="e">
        <f t="shared" si="19"/>
        <v>#NUM!</v>
      </c>
      <c r="C80" t="e">
        <f t="shared" si="19"/>
        <v>#NUM!</v>
      </c>
      <c r="D80" t="e">
        <f t="shared" si="19"/>
        <v>#NUM!</v>
      </c>
      <c r="E80">
        <f t="shared" si="19"/>
        <v>0.48168633150732915</v>
      </c>
      <c r="F80">
        <f t="shared" si="19"/>
        <v>0.72252949726099369</v>
      </c>
      <c r="G80">
        <f t="shared" si="19"/>
        <v>0.90115261019621973</v>
      </c>
      <c r="H80">
        <f t="shared" si="19"/>
        <v>1.0498110207626397</v>
      </c>
      <c r="I80">
        <f t="shared" si="19"/>
        <v>1.1798857282660602</v>
      </c>
      <c r="J80">
        <f t="shared" si="19"/>
        <v>1.2969801402554963</v>
      </c>
      <c r="K80">
        <f t="shared" si="19"/>
        <v>1.4043449137118711</v>
      </c>
      <c r="L80">
        <f t="shared" si="19"/>
        <v>1.504065088059569</v>
      </c>
      <c r="M80">
        <f t="shared" si="19"/>
        <v>1.5975728282525572</v>
      </c>
      <c r="N80">
        <v>16000</v>
      </c>
      <c r="O80" s="1" cm="1">
        <f t="array" ref="O80">Linterp(KCAS_qc56[[#This Row],[h]], atmos_h, atmos_aspeed)</f>
        <v>1053.2541995627971</v>
      </c>
      <c r="P80" s="1" cm="1">
        <f t="array" ref="P80">Linterp(KCAS_qc56[[#This Row],[h]],atmos_h,atmos_DR)</f>
        <v>0.60895747492118635</v>
      </c>
      <c r="Q80" s="1" cm="1">
        <f t="array" ref="Q80">Linterp(KCAS_qc56[[#This Row],[h]],atmos_h, atmos_P)</f>
        <v>1146.9265943619225</v>
      </c>
    </row>
    <row r="81" spans="2:17">
      <c r="B81" t="e">
        <f t="shared" ref="B81:M101" si="20">SQRT((B$63-$N81)*(2*32.174))/$O81</f>
        <v>#NUM!</v>
      </c>
      <c r="C81" t="e">
        <f t="shared" si="20"/>
        <v>#NUM!</v>
      </c>
      <c r="D81" t="e">
        <f t="shared" si="20"/>
        <v>#NUM!</v>
      </c>
      <c r="E81">
        <f t="shared" si="20"/>
        <v>0.41877326191224301</v>
      </c>
      <c r="F81">
        <f t="shared" si="20"/>
        <v>0.68385387307059509</v>
      </c>
      <c r="G81">
        <f t="shared" si="20"/>
        <v>0.87174606080824191</v>
      </c>
      <c r="H81">
        <f t="shared" si="20"/>
        <v>1.0257808096058925</v>
      </c>
      <c r="I81">
        <f t="shared" si="20"/>
        <v>1.1595306568507595</v>
      </c>
      <c r="J81">
        <f t="shared" si="20"/>
        <v>1.2793734478242809</v>
      </c>
      <c r="K81">
        <f t="shared" si="20"/>
        <v>1.3889137819961399</v>
      </c>
      <c r="L81">
        <f t="shared" si="20"/>
        <v>1.4904249624318073</v>
      </c>
      <c r="M81">
        <f t="shared" si="20"/>
        <v>1.5854499813809604</v>
      </c>
      <c r="N81" s="18">
        <v>17000</v>
      </c>
      <c r="O81" s="1" cm="1">
        <f t="array" ref="O81">Linterp(KCAS_qc56[[#This Row],[h]], atmos_h, atmos_aspeed)</f>
        <v>1049.1780815459595</v>
      </c>
      <c r="P81" s="1" cm="1">
        <f t="array" ref="P81">Linterp(KCAS_qc56[[#This Row],[h]],atmos_h,atmos_DR)</f>
        <v>0.58918587747007567</v>
      </c>
      <c r="Q81" s="1" cm="1">
        <f t="array" ref="Q81">Linterp(KCAS_qc56[[#This Row],[h]],atmos_h, atmos_P)</f>
        <v>1101.1158271788208</v>
      </c>
    </row>
    <row r="82" spans="2:17">
      <c r="B82" t="e">
        <f t="shared" si="20"/>
        <v>#NUM!</v>
      </c>
      <c r="C82" t="e">
        <f t="shared" si="20"/>
        <v>#NUM!</v>
      </c>
      <c r="D82" t="e">
        <f t="shared" si="20"/>
        <v>#NUM!</v>
      </c>
      <c r="E82">
        <f t="shared" si="20"/>
        <v>0.34326574535911991</v>
      </c>
      <c r="F82">
        <f t="shared" si="20"/>
        <v>0.64219140587470691</v>
      </c>
      <c r="G82">
        <f t="shared" si="20"/>
        <v>0.84082592230598652</v>
      </c>
      <c r="H82">
        <f t="shared" si="20"/>
        <v>1.0007830241686224</v>
      </c>
      <c r="I82">
        <f t="shared" si="20"/>
        <v>1.1384836807378811</v>
      </c>
      <c r="J82">
        <f t="shared" si="20"/>
        <v>1.2612388834589798</v>
      </c>
      <c r="K82">
        <f t="shared" si="20"/>
        <v>1.3730629814364796</v>
      </c>
      <c r="L82">
        <f t="shared" si="20"/>
        <v>1.4764417973064887</v>
      </c>
      <c r="M82">
        <f t="shared" si="20"/>
        <v>1.5730412615936031</v>
      </c>
      <c r="N82">
        <v>18000</v>
      </c>
      <c r="O82" s="1" cm="1">
        <f t="array" ref="O82">Linterp(KCAS_qc56[[#This Row],[h]], atmos_h, atmos_aspeed)</f>
        <v>1045.0860656884925</v>
      </c>
      <c r="P82" s="1" cm="1">
        <f t="array" ref="P82">Linterp(KCAS_qc56[[#This Row],[h]],atmos_h,atmos_DR)</f>
        <v>0.56990918410534996</v>
      </c>
      <c r="Q82" s="1" cm="1">
        <f t="array" ref="Q82">Linterp(KCAS_qc56[[#This Row],[h]],atmos_h, atmos_P)</f>
        <v>1056.7981117428026</v>
      </c>
    </row>
    <row r="83" spans="2:17">
      <c r="B83" t="e">
        <f t="shared" si="20"/>
        <v>#NUM!</v>
      </c>
      <c r="C83" t="e">
        <f t="shared" si="20"/>
        <v>#NUM!</v>
      </c>
      <c r="D83" t="e">
        <f t="shared" si="20"/>
        <v>#NUM!</v>
      </c>
      <c r="E83">
        <f t="shared" si="20"/>
        <v>0.24368342502367335</v>
      </c>
      <c r="F83">
        <f t="shared" si="20"/>
        <v>0.5969000500817615</v>
      </c>
      <c r="G83">
        <f t="shared" si="20"/>
        <v>0.80820648843222642</v>
      </c>
      <c r="H83">
        <f t="shared" si="20"/>
        <v>0.9747337000946934</v>
      </c>
      <c r="I83">
        <f t="shared" si="20"/>
        <v>1.1166977407770793</v>
      </c>
      <c r="J83">
        <f t="shared" si="20"/>
        <v>1.2425465393348347</v>
      </c>
      <c r="K83">
        <f t="shared" si="20"/>
        <v>1.3567718896591701</v>
      </c>
      <c r="L83">
        <f t="shared" si="20"/>
        <v>1.4621005501420401</v>
      </c>
      <c r="M83">
        <f t="shared" si="20"/>
        <v>1.5603352450297332</v>
      </c>
      <c r="N83" s="18">
        <v>19000</v>
      </c>
      <c r="O83" s="1" cm="1">
        <f t="array" ref="O83">Linterp(KCAS_qc56[[#This Row],[h]], atmos_h, atmos_aspeed)</f>
        <v>1040.9779645103174</v>
      </c>
      <c r="P83" s="1" cm="1">
        <f t="array" ref="P83">Linterp(KCAS_qc56[[#This Row],[h]],atmos_h,atmos_DR)</f>
        <v>0.551118744612487</v>
      </c>
      <c r="Q83" s="1" cm="1">
        <f t="array" ref="Q83">Linterp(KCAS_qc56[[#This Row],[h]],atmos_h, atmos_P)</f>
        <v>1013.9359316147718</v>
      </c>
    </row>
    <row r="84" spans="2:17">
      <c r="B84" t="e">
        <f t="shared" si="20"/>
        <v>#NUM!</v>
      </c>
      <c r="C84" t="e">
        <f t="shared" si="20"/>
        <v>#NUM!</v>
      </c>
      <c r="D84" t="e">
        <f t="shared" si="20"/>
        <v>#NUM!</v>
      </c>
      <c r="E84">
        <f t="shared" si="20"/>
        <v>0</v>
      </c>
      <c r="F84">
        <f t="shared" si="20"/>
        <v>0.54706016781363398</v>
      </c>
      <c r="G84">
        <f t="shared" si="20"/>
        <v>0.77365990875614254</v>
      </c>
      <c r="H84">
        <f t="shared" si="20"/>
        <v>0.94753600545037031</v>
      </c>
      <c r="I84">
        <f t="shared" si="20"/>
        <v>1.094120335627268</v>
      </c>
      <c r="J84">
        <f t="shared" si="20"/>
        <v>1.2232637230137282</v>
      </c>
      <c r="K84">
        <f t="shared" si="20"/>
        <v>1.3400182697447405</v>
      </c>
      <c r="L84">
        <f t="shared" si="20"/>
        <v>1.4473851562241371</v>
      </c>
      <c r="M84">
        <f t="shared" si="20"/>
        <v>1.5473198175122851</v>
      </c>
      <c r="N84">
        <v>20000</v>
      </c>
      <c r="O84" s="1" cm="1">
        <f t="array" ref="O84">Linterp(KCAS_qc56[[#This Row],[h]], atmos_h, atmos_aspeed)</f>
        <v>1036.8535868172689</v>
      </c>
      <c r="P84" s="1" cm="1">
        <f t="array" ref="P84">Linterp(KCAS_qc56[[#This Row],[h]],atmos_h,atmos_DR)</f>
        <v>0.53280599361600911</v>
      </c>
      <c r="Q84" s="1" cm="1">
        <f t="array" ref="Q84">Linterp(KCAS_qc56[[#This Row],[h]],atmos_h, atmos_P)</f>
        <v>972.49242863484506</v>
      </c>
    </row>
    <row r="85" spans="2:17">
      <c r="B85" t="e">
        <f t="shared" si="20"/>
        <v>#NUM!</v>
      </c>
      <c r="C85" t="e">
        <f t="shared" si="20"/>
        <v>#NUM!</v>
      </c>
      <c r="D85" t="e">
        <f t="shared" si="20"/>
        <v>#NUM!</v>
      </c>
      <c r="E85" t="e">
        <f t="shared" si="20"/>
        <v>#NUM!</v>
      </c>
      <c r="F85">
        <f t="shared" si="20"/>
        <v>0.49126744840242786</v>
      </c>
      <c r="G85">
        <f t="shared" si="20"/>
        <v>0.73690117260364185</v>
      </c>
      <c r="H85">
        <f t="shared" si="20"/>
        <v>0.91907723859826507</v>
      </c>
      <c r="I85">
        <f t="shared" si="20"/>
        <v>1.0706925809186325</v>
      </c>
      <c r="J85">
        <f t="shared" si="20"/>
        <v>1.2033545758250113</v>
      </c>
      <c r="K85">
        <f t="shared" si="20"/>
        <v>1.32277808701376</v>
      </c>
      <c r="L85">
        <f t="shared" si="20"/>
        <v>1.4322784295689763</v>
      </c>
      <c r="M85">
        <f t="shared" si="20"/>
        <v>1.5339821159757252</v>
      </c>
      <c r="N85" s="18">
        <v>21000</v>
      </c>
      <c r="O85" s="1" cm="1">
        <f t="array" ref="O85">Linterp(KCAS_qc56[[#This Row],[h]], atmos_h, atmos_aspeed)</f>
        <v>1032.7127375972602</v>
      </c>
      <c r="P85" s="1" cm="1">
        <f t="array" ref="P85">Linterp(KCAS_qc56[[#This Row],[h]],atmos_h,atmos_DR)</f>
        <v>0.51496245040846422</v>
      </c>
      <c r="Q85" s="1" cm="1">
        <f t="array" ref="Q85">Linterp(KCAS_qc56[[#This Row],[h]],atmos_h, atmos_P)</f>
        <v>932.43139644081998</v>
      </c>
    </row>
    <row r="86" spans="2:17">
      <c r="B86" t="e">
        <f t="shared" si="20"/>
        <v>#NUM!</v>
      </c>
      <c r="C86" t="e">
        <f t="shared" si="20"/>
        <v>#NUM!</v>
      </c>
      <c r="D86" t="e">
        <f t="shared" si="20"/>
        <v>#NUM!</v>
      </c>
      <c r="E86" t="e">
        <f t="shared" si="20"/>
        <v>#NUM!</v>
      </c>
      <c r="F86">
        <f t="shared" si="20"/>
        <v>0.42716980078859257</v>
      </c>
      <c r="G86">
        <f t="shared" si="20"/>
        <v>0.69756536363892729</v>
      </c>
      <c r="H86">
        <f t="shared" si="20"/>
        <v>0.88922485030033427</v>
      </c>
      <c r="I86">
        <f t="shared" si="20"/>
        <v>1.0463480454583909</v>
      </c>
      <c r="J86">
        <f t="shared" si="20"/>
        <v>1.1827796202494945</v>
      </c>
      <c r="K86">
        <f t="shared" si="20"/>
        <v>1.3050252978086216</v>
      </c>
      <c r="L86">
        <f t="shared" si="20"/>
        <v>1.4167619509866236</v>
      </c>
      <c r="M86">
        <f t="shared" si="20"/>
        <v>1.5203084633081432</v>
      </c>
      <c r="N86">
        <v>22000</v>
      </c>
      <c r="O86" s="1" cm="1">
        <f t="array" ref="O86">Linterp(KCAS_qc56[[#This Row],[h]], atmos_h, atmos_aspeed)</f>
        <v>1028.5552179126889</v>
      </c>
      <c r="P86" s="1" cm="1">
        <f t="array" ref="P86">Linterp(KCAS_qc56[[#This Row],[h]],atmos_h,atmos_DR)</f>
        <v>0.49757971877840357</v>
      </c>
      <c r="Q86" s="1" cm="1">
        <f t="array" ref="Q86">Linterp(KCAS_qc56[[#This Row],[h]],atmos_h, atmos_P)</f>
        <v>893.71727399977203</v>
      </c>
    </row>
    <row r="87" spans="2:17">
      <c r="B87" t="e">
        <f t="shared" si="20"/>
        <v>#NUM!</v>
      </c>
      <c r="C87" t="e">
        <f t="shared" si="20"/>
        <v>#NUM!</v>
      </c>
      <c r="D87" t="e">
        <f t="shared" si="20"/>
        <v>#NUM!</v>
      </c>
      <c r="E87" t="e">
        <f t="shared" si="20"/>
        <v>#NUM!</v>
      </c>
      <c r="F87">
        <f t="shared" si="20"/>
        <v>0.3502039852970838</v>
      </c>
      <c r="G87">
        <f t="shared" si="20"/>
        <v>0.65517166423225315</v>
      </c>
      <c r="H87">
        <f t="shared" si="20"/>
        <v>0.85782106986699758</v>
      </c>
      <c r="I87">
        <f t="shared" si="20"/>
        <v>1.0210112958252033</v>
      </c>
      <c r="J87">
        <f t="shared" si="20"/>
        <v>1.1614952193175658</v>
      </c>
      <c r="K87">
        <f t="shared" si="20"/>
        <v>1.2867316048004964</v>
      </c>
      <c r="L87">
        <f t="shared" si="20"/>
        <v>1.4008159411883352</v>
      </c>
      <c r="M87">
        <f t="shared" si="20"/>
        <v>1.5062842956700642</v>
      </c>
      <c r="N87" s="18">
        <v>23000</v>
      </c>
      <c r="O87" s="1" cm="1">
        <f t="array" ref="O87">Linterp(KCAS_qc56[[#This Row],[h]], atmos_h, atmos_aspeed)</f>
        <v>1024.3808247889115</v>
      </c>
      <c r="P87" s="1" cm="1">
        <f t="array" ref="P87">Linterp(KCAS_qc56[[#This Row],[h]],atmos_h,atmos_DR)</f>
        <v>0.48064948683733338</v>
      </c>
      <c r="Q87" s="1" cm="1">
        <f t="array" ref="Q87">Linterp(KCAS_qc56[[#This Row],[h]],atmos_h, atmos_P)</f>
        <v>856.31513915284052</v>
      </c>
    </row>
    <row r="88" spans="2:17">
      <c r="B88" t="e">
        <f t="shared" si="20"/>
        <v>#NUM!</v>
      </c>
      <c r="C88" t="e">
        <f t="shared" si="20"/>
        <v>#NUM!</v>
      </c>
      <c r="D88" t="e">
        <f t="shared" si="20"/>
        <v>#NUM!</v>
      </c>
      <c r="E88" t="e">
        <f t="shared" si="20"/>
        <v>#NUM!</v>
      </c>
      <c r="F88">
        <f t="shared" si="20"/>
        <v>0.2486490135315349</v>
      </c>
      <c r="G88">
        <f t="shared" si="20"/>
        <v>0.60906320819865034</v>
      </c>
      <c r="H88">
        <f t="shared" si="20"/>
        <v>0.824675482376104</v>
      </c>
      <c r="I88">
        <f t="shared" si="20"/>
        <v>0.99459605412613961</v>
      </c>
      <c r="J88">
        <f t="shared" si="20"/>
        <v>1.1394529259843575</v>
      </c>
      <c r="K88">
        <f t="shared" si="20"/>
        <v>1.2678661720328928</v>
      </c>
      <c r="L88">
        <f t="shared" si="20"/>
        <v>1.3844191163937198</v>
      </c>
      <c r="M88">
        <f t="shared" si="20"/>
        <v>1.4918940811892094</v>
      </c>
      <c r="N88">
        <v>24000</v>
      </c>
      <c r="O88" s="1" cm="1">
        <f t="array" ref="O88">Linterp(KCAS_qc56[[#This Row],[h]], atmos_h, atmos_aspeed)</f>
        <v>1020.1893510986098</v>
      </c>
      <c r="P88" s="1" cm="1">
        <f t="array" ref="P88">Linterp(KCAS_qc56[[#This Row],[h]],atmos_h,atmos_DR)</f>
        <v>0.46416352684562862</v>
      </c>
      <c r="Q88" s="1" cm="1">
        <f t="array" ref="Q88">Linterp(KCAS_qc56[[#This Row],[h]],atmos_h, atmos_P)</f>
        <v>820.1907021732876</v>
      </c>
    </row>
    <row r="89" spans="2:17">
      <c r="B89" t="e">
        <f t="shared" si="20"/>
        <v>#NUM!</v>
      </c>
      <c r="C89" t="e">
        <f t="shared" si="20"/>
        <v>#NUM!</v>
      </c>
      <c r="D89" t="e">
        <f t="shared" si="20"/>
        <v>#NUM!</v>
      </c>
      <c r="E89" t="e">
        <f t="shared" si="20"/>
        <v>#NUM!</v>
      </c>
      <c r="F89">
        <f t="shared" si="20"/>
        <v>0</v>
      </c>
      <c r="G89">
        <f t="shared" si="20"/>
        <v>0.55829934678892568</v>
      </c>
      <c r="H89">
        <f t="shared" si="20"/>
        <v>0.78955450809293859</v>
      </c>
      <c r="I89">
        <f t="shared" si="20"/>
        <v>0.96700283447093549</v>
      </c>
      <c r="J89">
        <f t="shared" si="20"/>
        <v>1.1165986935778514</v>
      </c>
      <c r="K89">
        <f t="shared" si="20"/>
        <v>1.2483952912137668</v>
      </c>
      <c r="L89">
        <f t="shared" si="20"/>
        <v>1.3675485233620219</v>
      </c>
      <c r="M89">
        <f t="shared" si="20"/>
        <v>1.4771212287333049</v>
      </c>
      <c r="N89" s="18">
        <v>25000</v>
      </c>
      <c r="O89" s="1" cm="1">
        <f t="array" ref="O89">Linterp(KCAS_qc56[[#This Row],[h]], atmos_h, atmos_aspeed)</f>
        <v>1015.9805854418648</v>
      </c>
      <c r="P89" s="1" cm="1">
        <f t="array" ref="P89">Linterp(KCAS_qc56[[#This Row],[h]],atmos_h,atmos_DR)</f>
        <v>0.44811369503739579</v>
      </c>
      <c r="Q89" s="1" cm="1">
        <f t="array" ref="Q89">Linterp(KCAS_qc56[[#This Row],[h]],atmos_h, atmos_P)</f>
        <v>785.31029933791115</v>
      </c>
    </row>
    <row r="90" spans="2:17">
      <c r="B90" t="e">
        <f t="shared" si="20"/>
        <v>#NUM!</v>
      </c>
      <c r="C90" t="e">
        <f t="shared" si="20"/>
        <v>#NUM!</v>
      </c>
      <c r="D90" t="e">
        <f t="shared" si="20"/>
        <v>#NUM!</v>
      </c>
      <c r="E90" t="e">
        <f t="shared" si="20"/>
        <v>#NUM!</v>
      </c>
      <c r="F90" t="e">
        <f t="shared" si="20"/>
        <v>#NUM!</v>
      </c>
      <c r="G90">
        <f t="shared" si="20"/>
        <v>0.50144402203564842</v>
      </c>
      <c r="H90">
        <f t="shared" si="20"/>
        <v>0.75216603305347263</v>
      </c>
      <c r="I90">
        <f t="shared" si="20"/>
        <v>0.9381158645516593</v>
      </c>
      <c r="J90">
        <f t="shared" si="20"/>
        <v>1.0928719089479868</v>
      </c>
      <c r="K90">
        <f t="shared" si="20"/>
        <v>1.2282819885562626</v>
      </c>
      <c r="L90">
        <f t="shared" si="20"/>
        <v>1.3501793501071762</v>
      </c>
      <c r="M90">
        <f t="shared" si="20"/>
        <v>1.4619479852238062</v>
      </c>
      <c r="N90">
        <v>26000</v>
      </c>
      <c r="O90" s="1" cm="1">
        <f t="array" ref="O90">Linterp(KCAS_qc56[[#This Row],[h]], atmos_h, atmos_aspeed)</f>
        <v>1011.7543120217408</v>
      </c>
      <c r="P90" s="1" cm="1">
        <f t="array" ref="P90">Linterp(KCAS_qc56[[#This Row],[h]],atmos_h,atmos_DR)</f>
        <v>0.43249193144426779</v>
      </c>
      <c r="Q90" s="1" cm="1">
        <f t="array" ref="Q90">Linterp(KCAS_qc56[[#This Row],[h]],atmos_h, atmos_P)</f>
        <v>751.64088651189309</v>
      </c>
    </row>
    <row r="91" spans="2:17">
      <c r="B91" t="e">
        <f t="shared" si="20"/>
        <v>#NUM!</v>
      </c>
      <c r="C91" t="e">
        <f t="shared" si="20"/>
        <v>#NUM!</v>
      </c>
      <c r="D91" t="e">
        <f t="shared" si="20"/>
        <v>#NUM!</v>
      </c>
      <c r="E91" t="e">
        <f t="shared" si="20"/>
        <v>#NUM!</v>
      </c>
      <c r="F91" t="e">
        <f t="shared" si="20"/>
        <v>#NUM!</v>
      </c>
      <c r="G91">
        <f t="shared" si="20"/>
        <v>0.43609253716834728</v>
      </c>
      <c r="H91">
        <f t="shared" si="20"/>
        <v>0.71213613113210572</v>
      </c>
      <c r="I91">
        <f t="shared" si="20"/>
        <v>0.90779900724426932</v>
      </c>
      <c r="J91">
        <f t="shared" si="20"/>
        <v>1.0682041966981586</v>
      </c>
      <c r="K91">
        <f t="shared" si="20"/>
        <v>1.2074855585610271</v>
      </c>
      <c r="L91">
        <f t="shared" si="20"/>
        <v>1.3322847077195299</v>
      </c>
      <c r="M91">
        <f t="shared" si="20"/>
        <v>1.4463553196615242</v>
      </c>
      <c r="N91" s="18">
        <v>27000</v>
      </c>
      <c r="O91" s="1" cm="1">
        <f t="array" ref="O91">Linterp(KCAS_qc56[[#This Row],[h]], atmos_h, atmos_aspeed)</f>
        <v>1007.5103105151719</v>
      </c>
      <c r="P91" s="1" cm="1">
        <f t="array" ref="P91">Linterp(KCAS_qc56[[#This Row],[h]],atmos_h,atmos_DR)</f>
        <v>0.41729025971811828</v>
      </c>
      <c r="Q91" s="1" cm="1">
        <f t="array" ref="Q91">Linterp(KCAS_qc56[[#This Row],[h]],atmos_h, atmos_P)</f>
        <v>719.15003274716605</v>
      </c>
    </row>
    <row r="92" spans="2:17">
      <c r="B92" t="e">
        <f t="shared" si="20"/>
        <v>#NUM!</v>
      </c>
      <c r="C92" t="e">
        <f t="shared" si="20"/>
        <v>#NUM!</v>
      </c>
      <c r="D92" t="e">
        <f t="shared" si="20"/>
        <v>#NUM!</v>
      </c>
      <c r="E92" t="e">
        <f t="shared" si="20"/>
        <v>#NUM!</v>
      </c>
      <c r="F92" t="e">
        <f t="shared" si="20"/>
        <v>#NUM!</v>
      </c>
      <c r="G92">
        <f t="shared" si="20"/>
        <v>0.35758069791925706</v>
      </c>
      <c r="H92">
        <f t="shared" si="20"/>
        <v>0.66897222986868476</v>
      </c>
      <c r="I92">
        <f t="shared" si="20"/>
        <v>0.87589025177047031</v>
      </c>
      <c r="J92">
        <f t="shared" si="20"/>
        <v>1.0425179240461986</v>
      </c>
      <c r="K92">
        <f t="shared" si="20"/>
        <v>1.1859610072715934</v>
      </c>
      <c r="L92">
        <f t="shared" si="20"/>
        <v>1.3138353776557055</v>
      </c>
      <c r="M92">
        <f t="shared" si="20"/>
        <v>1.4303227916770282</v>
      </c>
      <c r="N92">
        <v>28000</v>
      </c>
      <c r="O92" s="1" cm="1">
        <f t="array" ref="O92">Linterp(KCAS_qc56[[#This Row],[h]], atmos_h, atmos_aspeed)</f>
        <v>1003.2483559389319</v>
      </c>
      <c r="P92" s="1" cm="1">
        <f t="array" ref="P92">Linterp(KCAS_qc56[[#This Row],[h]],atmos_h,atmos_DR)</f>
        <v>0.40250078695267266</v>
      </c>
      <c r="Q92" s="1" cm="1">
        <f t="array" ref="Q92">Linterp(KCAS_qc56[[#This Row],[h]],atmos_h, atmos_P)</f>
        <v>687.80591389437154</v>
      </c>
    </row>
    <row r="93" spans="2:17">
      <c r="B93" t="e">
        <f t="shared" si="20"/>
        <v>#NUM!</v>
      </c>
      <c r="C93" t="e">
        <f t="shared" si="20"/>
        <v>#NUM!</v>
      </c>
      <c r="D93" t="e">
        <f t="shared" si="20"/>
        <v>#NUM!</v>
      </c>
      <c r="E93" t="e">
        <f t="shared" si="20"/>
        <v>#NUM!</v>
      </c>
      <c r="F93" t="e">
        <f t="shared" si="20"/>
        <v>#NUM!</v>
      </c>
      <c r="G93">
        <f t="shared" si="20"/>
        <v>0.25393107715106955</v>
      </c>
      <c r="H93">
        <f t="shared" si="20"/>
        <v>0.62200156885542868</v>
      </c>
      <c r="I93">
        <f t="shared" si="20"/>
        <v>0.84219410552088692</v>
      </c>
      <c r="J93">
        <f t="shared" si="20"/>
        <v>1.0157243086042782</v>
      </c>
      <c r="K93">
        <f t="shared" si="20"/>
        <v>1.1636583823464475</v>
      </c>
      <c r="L93">
        <f t="shared" si="20"/>
        <v>1.2947995175009384</v>
      </c>
      <c r="M93">
        <f t="shared" si="20"/>
        <v>1.4138284019767657</v>
      </c>
      <c r="N93" s="18">
        <v>29000</v>
      </c>
      <c r="O93" s="1" cm="1">
        <f t="array" ref="O93">Linterp(KCAS_qc56[[#This Row],[h]], atmos_h, atmos_aspeed)</f>
        <v>998.96821851045968</v>
      </c>
      <c r="P93" s="1" cm="1">
        <f t="array" ref="P93">Linterp(KCAS_qc56[[#This Row],[h]],atmos_h,atmos_DR)</f>
        <v>0.3881157035040117</v>
      </c>
      <c r="Q93" s="1" cm="1">
        <f t="array" ref="Q93">Linterp(KCAS_qc56[[#This Row],[h]],atmos_h, atmos_P)</f>
        <v>657.57730622851614</v>
      </c>
    </row>
    <row r="94" spans="2:17">
      <c r="B94" t="e">
        <f t="shared" si="20"/>
        <v>#NUM!</v>
      </c>
      <c r="C94" t="e">
        <f t="shared" si="20"/>
        <v>#NUM!</v>
      </c>
      <c r="D94" t="e">
        <f t="shared" si="20"/>
        <v>#NUM!</v>
      </c>
      <c r="E94" t="e">
        <f t="shared" si="20"/>
        <v>#NUM!</v>
      </c>
      <c r="F94" t="e">
        <f t="shared" si="20"/>
        <v>#NUM!</v>
      </c>
      <c r="G94">
        <f t="shared" si="20"/>
        <v>0</v>
      </c>
      <c r="H94">
        <f t="shared" si="20"/>
        <v>0.57026098011739135</v>
      </c>
      <c r="I94">
        <f t="shared" si="20"/>
        <v>0.8064708121741887</v>
      </c>
      <c r="J94">
        <f t="shared" si="20"/>
        <v>0.98772099113734724</v>
      </c>
      <c r="K94">
        <f t="shared" si="20"/>
        <v>1.1405219602347827</v>
      </c>
      <c r="L94">
        <f t="shared" si="20"/>
        <v>1.275142316458143</v>
      </c>
      <c r="M94">
        <f t="shared" si="20"/>
        <v>1.396848421507032</v>
      </c>
      <c r="N94">
        <v>30000</v>
      </c>
      <c r="O94" s="1" cm="1">
        <f t="array" ref="O94">Linterp(KCAS_qc56[[#This Row],[h]], atmos_h, atmos_aspeed)</f>
        <v>994.66966350329255</v>
      </c>
      <c r="P94" s="1" cm="1">
        <f t="array" ref="P94">Linterp(KCAS_qc56[[#This Row],[h]],atmos_h,atmos_DR)</f>
        <v>0.37412728280993773</v>
      </c>
      <c r="Q94" s="1" cm="1">
        <f t="array" ref="Q94">Linterp(KCAS_qc56[[#This Row],[h]],atmos_h, atmos_P)</f>
        <v>628.43358008838447</v>
      </c>
    </row>
    <row r="95" spans="2:17">
      <c r="B95" t="e">
        <f t="shared" si="20"/>
        <v>#NUM!</v>
      </c>
      <c r="C95" t="e">
        <f t="shared" si="20"/>
        <v>#NUM!</v>
      </c>
      <c r="D95" t="e">
        <f t="shared" si="20"/>
        <v>#NUM!</v>
      </c>
      <c r="E95" t="e">
        <f t="shared" si="20"/>
        <v>#NUM!</v>
      </c>
      <c r="F95" t="e">
        <f t="shared" si="20"/>
        <v>#NUM!</v>
      </c>
      <c r="G95" t="e">
        <f t="shared" si="20"/>
        <v>#NUM!</v>
      </c>
      <c r="H95">
        <f t="shared" si="20"/>
        <v>0.51228040176019718</v>
      </c>
      <c r="I95">
        <f t="shared" si="20"/>
        <v>0.76842060264029577</v>
      </c>
      <c r="J95">
        <f t="shared" si="20"/>
        <v>0.95838887467278211</v>
      </c>
      <c r="K95">
        <f t="shared" si="20"/>
        <v>1.1164892510145576</v>
      </c>
      <c r="L95">
        <f t="shared" si="20"/>
        <v>1.2548255895404485</v>
      </c>
      <c r="M95">
        <f t="shared" si="20"/>
        <v>1.3793571954718691</v>
      </c>
      <c r="N95" s="18">
        <v>31000</v>
      </c>
      <c r="O95" s="1" cm="1">
        <f t="array" ref="O95">Linterp(KCAS_qc56[[#This Row],[h]], atmos_h, atmos_aspeed)</f>
        <v>990.35245109685331</v>
      </c>
      <c r="P95" s="1" cm="1">
        <f t="array" ref="P95">Linterp(KCAS_qc56[[#This Row],[h]],atmos_h,atmos_DR)</f>
        <v>0.36052788120819784</v>
      </c>
      <c r="Q95" s="1" cm="1">
        <f t="array" ref="Q95">Linterp(KCAS_qc56[[#This Row],[h]],atmos_h, atmos_P)</f>
        <v>600.34469352982012</v>
      </c>
    </row>
    <row r="96" spans="2:17">
      <c r="B96" t="e">
        <f t="shared" si="20"/>
        <v>#NUM!</v>
      </c>
      <c r="C96" t="e">
        <f t="shared" si="20"/>
        <v>#NUM!</v>
      </c>
      <c r="D96" t="e">
        <f t="shared" si="20"/>
        <v>#NUM!</v>
      </c>
      <c r="E96" t="e">
        <f t="shared" si="20"/>
        <v>#NUM!</v>
      </c>
      <c r="F96" t="e">
        <f t="shared" si="20"/>
        <v>#NUM!</v>
      </c>
      <c r="G96" t="e">
        <f t="shared" si="20"/>
        <v>#NUM!</v>
      </c>
      <c r="H96">
        <f t="shared" si="20"/>
        <v>0.44559883178006271</v>
      </c>
      <c r="I96">
        <f t="shared" si="20"/>
        <v>0.72765984522762028</v>
      </c>
      <c r="J96">
        <f t="shared" si="20"/>
        <v>0.92758793751838531</v>
      </c>
      <c r="K96">
        <f t="shared" si="20"/>
        <v>1.0914897678414304</v>
      </c>
      <c r="L96">
        <f t="shared" si="20"/>
        <v>1.2338072964508953</v>
      </c>
      <c r="M96">
        <f t="shared" si="20"/>
        <v>1.3613269174773543</v>
      </c>
      <c r="N96">
        <v>32000</v>
      </c>
      <c r="O96" s="1" cm="1">
        <f t="array" ref="O96">Linterp(KCAS_qc56[[#This Row],[h]], atmos_h, atmos_aspeed)</f>
        <v>986.01633622031693</v>
      </c>
      <c r="P96" s="1" cm="1">
        <f t="array" ref="P96">Linterp(KCAS_qc56[[#This Row],[h]],atmos_h,atmos_DR)</f>
        <v>0.34730993775353897</v>
      </c>
      <c r="Q96" s="1" cm="1">
        <f t="array" ref="Q96">Linterp(KCAS_qc56[[#This Row],[h]],atmos_h, atmos_P)</f>
        <v>573.28118599294476</v>
      </c>
    </row>
    <row r="97" spans="2:17">
      <c r="B97" t="e">
        <f t="shared" si="20"/>
        <v>#NUM!</v>
      </c>
      <c r="C97" t="e">
        <f t="shared" si="20"/>
        <v>#NUM!</v>
      </c>
      <c r="D97" t="e">
        <f t="shared" si="20"/>
        <v>#NUM!</v>
      </c>
      <c r="E97" t="e">
        <f t="shared" si="20"/>
        <v>#NUM!</v>
      </c>
      <c r="F97" t="e">
        <f t="shared" si="20"/>
        <v>#NUM!</v>
      </c>
      <c r="G97" t="e">
        <f t="shared" si="20"/>
        <v>#NUM!</v>
      </c>
      <c r="H97">
        <f t="shared" si="20"/>
        <v>0.36544410169108205</v>
      </c>
      <c r="I97">
        <f t="shared" si="20"/>
        <v>0.68368331127270232</v>
      </c>
      <c r="J97">
        <f t="shared" si="20"/>
        <v>0.89515157865291817</v>
      </c>
      <c r="K97">
        <f t="shared" si="20"/>
        <v>1.065443488607827</v>
      </c>
      <c r="L97">
        <f t="shared" si="20"/>
        <v>1.2120409671578023</v>
      </c>
      <c r="M97">
        <f t="shared" si="20"/>
        <v>1.3427273679793774</v>
      </c>
      <c r="N97" s="18">
        <v>33000</v>
      </c>
      <c r="O97" s="1" cm="1">
        <f t="array" ref="O97">Linterp(KCAS_qc56[[#This Row],[h]], atmos_h, atmos_aspeed)</f>
        <v>981.66106839027111</v>
      </c>
      <c r="P97" s="1" cm="1">
        <f t="array" ref="P97">Linterp(KCAS_qc56[[#This Row],[h]],atmos_h,atmos_DR)</f>
        <v>0.3344659740335823</v>
      </c>
      <c r="Q97" s="1" cm="1">
        <f t="array" ref="Q97">Linterp(KCAS_qc56[[#This Row],[h]],atmos_h, atmos_P)</f>
        <v>547.21417198341862</v>
      </c>
    </row>
    <row r="98" spans="2:17">
      <c r="B98" t="e">
        <f t="shared" si="20"/>
        <v>#NUM!</v>
      </c>
      <c r="C98" t="e">
        <f t="shared" si="20"/>
        <v>#NUM!</v>
      </c>
      <c r="D98" t="e">
        <f t="shared" si="20"/>
        <v>#NUM!</v>
      </c>
      <c r="E98" t="e">
        <f t="shared" si="20"/>
        <v>#NUM!</v>
      </c>
      <c r="F98" t="e">
        <f t="shared" si="20"/>
        <v>#NUM!</v>
      </c>
      <c r="G98" t="e">
        <f t="shared" si="20"/>
        <v>#NUM!</v>
      </c>
      <c r="H98">
        <f t="shared" si="20"/>
        <v>0.25956472735267722</v>
      </c>
      <c r="I98">
        <f t="shared" si="20"/>
        <v>0.63580113723869502</v>
      </c>
      <c r="J98">
        <f t="shared" si="20"/>
        <v>0.8608788094397295</v>
      </c>
      <c r="K98">
        <f t="shared" si="20"/>
        <v>1.0382589094107089</v>
      </c>
      <c r="L98">
        <f t="shared" si="20"/>
        <v>1.1894750108342178</v>
      </c>
      <c r="M98">
        <f t="shared" si="20"/>
        <v>1.3235256098116919</v>
      </c>
      <c r="N98">
        <v>34000</v>
      </c>
      <c r="O98" s="1" cm="1">
        <f t="array" ref="O98">Linterp(KCAS_qc56[[#This Row],[h]], atmos_h, atmos_aspeed)</f>
        <v>977.28639154186544</v>
      </c>
      <c r="P98" s="1" cm="1">
        <f t="array" ref="P98">Linterp(KCAS_qc56[[#This Row],[h]],atmos_h,atmos_DR)</f>
        <v>0.32198859398349672</v>
      </c>
      <c r="Q98" s="1" cm="1">
        <f t="array" ref="Q98">Linterp(KCAS_qc56[[#This Row],[h]],atmos_h, atmos_P)</f>
        <v>522.11533476782563</v>
      </c>
    </row>
    <row r="99" spans="2:17">
      <c r="B99" t="e">
        <f t="shared" si="20"/>
        <v>#NUM!</v>
      </c>
      <c r="C99" t="e">
        <f t="shared" si="20"/>
        <v>#NUM!</v>
      </c>
      <c r="D99" t="e">
        <f t="shared" si="20"/>
        <v>#NUM!</v>
      </c>
      <c r="E99" t="e">
        <f t="shared" si="20"/>
        <v>#NUM!</v>
      </c>
      <c r="F99" t="e">
        <f t="shared" si="20"/>
        <v>#NUM!</v>
      </c>
      <c r="G99" t="e">
        <f t="shared" si="20"/>
        <v>#NUM!</v>
      </c>
      <c r="H99">
        <f t="shared" si="20"/>
        <v>0</v>
      </c>
      <c r="I99">
        <f t="shared" si="20"/>
        <v>0.58302593878345566</v>
      </c>
      <c r="J99">
        <f t="shared" si="20"/>
        <v>0.82452318984286876</v>
      </c>
      <c r="K99">
        <f t="shared" si="20"/>
        <v>1.0098305481034873</v>
      </c>
      <c r="L99">
        <f t="shared" si="20"/>
        <v>1.1660518775669113</v>
      </c>
      <c r="M99">
        <f t="shared" si="20"/>
        <v>1.3036856317654379</v>
      </c>
      <c r="N99" s="18">
        <v>35000</v>
      </c>
      <c r="O99" s="1" cm="1">
        <f t="array" ref="O99">Linterp(KCAS_qc56[[#This Row],[h]], atmos_h, atmos_aspeed)</f>
        <v>972.89204385312564</v>
      </c>
      <c r="P99" s="1" cm="1">
        <f t="array" ref="P99">Linterp(KCAS_qc56[[#This Row],[h]],atmos_h,atmos_DR)</f>
        <v>0.30987048369945225</v>
      </c>
      <c r="Q99" s="1" cm="1">
        <f t="array" ref="Q99">Linterp(KCAS_qc56[[#This Row],[h]],atmos_h, atmos_P)</f>
        <v>497.95692008327683</v>
      </c>
    </row>
    <row r="100" spans="2:17">
      <c r="B100" t="e">
        <f t="shared" si="20"/>
        <v>#NUM!</v>
      </c>
      <c r="C100" t="e">
        <f t="shared" si="20"/>
        <v>#NUM!</v>
      </c>
      <c r="D100" t="e">
        <f t="shared" si="20"/>
        <v>#NUM!</v>
      </c>
      <c r="E100" t="e">
        <f t="shared" si="20"/>
        <v>#NUM!</v>
      </c>
      <c r="F100" t="e">
        <f t="shared" si="20"/>
        <v>#NUM!</v>
      </c>
      <c r="G100" t="e">
        <f t="shared" si="20"/>
        <v>#NUM!</v>
      </c>
      <c r="H100" t="e">
        <f t="shared" si="20"/>
        <v>#NUM!</v>
      </c>
      <c r="I100">
        <f t="shared" si="20"/>
        <v>0.52385111332777667</v>
      </c>
      <c r="J100">
        <f t="shared" si="20"/>
        <v>0.78577666999166507</v>
      </c>
      <c r="K100">
        <f t="shared" si="20"/>
        <v>0.98003569387631428</v>
      </c>
      <c r="L100">
        <f t="shared" si="20"/>
        <v>1.1417070322285257</v>
      </c>
      <c r="M100">
        <f t="shared" si="20"/>
        <v>1.2831679288419371</v>
      </c>
      <c r="N100">
        <v>36000</v>
      </c>
      <c r="O100" s="1" cm="1">
        <f t="array" ref="O100">Linterp(KCAS_qc56[[#This Row],[h]], atmos_h, atmos_aspeed)</f>
        <v>968.47775756209501</v>
      </c>
      <c r="P100" s="1" cm="1">
        <f t="array" ref="P100">Linterp(KCAS_qc56[[#This Row],[h]],atmos_h,atmos_DR)</f>
        <v>0.29810441125083537</v>
      </c>
      <c r="Q100" s="1" cm="1">
        <f t="array" ref="Q100">Linterp(KCAS_qc56[[#This Row],[h]],atmos_h, atmos_P)</f>
        <v>474.71172986132763</v>
      </c>
    </row>
    <row r="101" spans="2:17">
      <c r="B101" t="e">
        <f t="shared" si="20"/>
        <v>#NUM!</v>
      </c>
      <c r="C101" t="e">
        <f t="shared" si="20"/>
        <v>#NUM!</v>
      </c>
      <c r="D101" t="e">
        <f t="shared" si="20"/>
        <v>#NUM!</v>
      </c>
      <c r="E101" t="e">
        <f t="shared" si="20"/>
        <v>#NUM!</v>
      </c>
      <c r="F101" t="e">
        <f t="shared" si="20"/>
        <v>#NUM!</v>
      </c>
      <c r="G101" t="e">
        <f t="shared" si="20"/>
        <v>#NUM!</v>
      </c>
      <c r="H101" t="e">
        <f t="shared" si="20"/>
        <v>#NUM!</v>
      </c>
      <c r="I101">
        <f t="shared" si="20"/>
        <v>0.45384515637179557</v>
      </c>
      <c r="J101">
        <f t="shared" si="20"/>
        <v>0.74112603689636058</v>
      </c>
      <c r="K101">
        <f t="shared" si="20"/>
        <v>0.94475403104155709</v>
      </c>
      <c r="L101">
        <f t="shared" si="20"/>
        <v>1.1116890553445407</v>
      </c>
      <c r="M101">
        <f t="shared" si="20"/>
        <v>1.2566403353292475</v>
      </c>
      <c r="N101" s="18">
        <v>37000</v>
      </c>
      <c r="O101" s="1" cm="1">
        <f t="array" ref="O101">Linterp(KCAS_qc56[[#This Row],[h]], atmos_h, atmos_aspeed)</f>
        <v>968.1005104214338</v>
      </c>
      <c r="P101" s="1" cm="1">
        <f t="array" ref="P101">Linterp(KCAS_qc56[[#This Row],[h]],atmos_h,atmos_DR)</f>
        <v>0.28433684910069951</v>
      </c>
      <c r="Q101" s="1" cm="1">
        <f t="array" ref="Q101">Linterp(KCAS_qc56[[#This Row],[h]],atmos_h, atmos_P)</f>
        <v>452.43511338663518</v>
      </c>
    </row>
    <row r="102" spans="2:17">
      <c r="B102" t="e">
        <f t="shared" ref="B102:M123" si="21">SQRT((B$63-$N102)*(2*32.174))/$O102</f>
        <v>#NUM!</v>
      </c>
      <c r="C102" t="e">
        <f t="shared" si="21"/>
        <v>#NUM!</v>
      </c>
      <c r="D102" t="e">
        <f t="shared" si="21"/>
        <v>#NUM!</v>
      </c>
      <c r="E102" t="e">
        <f t="shared" si="21"/>
        <v>#NUM!</v>
      </c>
      <c r="F102" t="e">
        <f t="shared" si="21"/>
        <v>#NUM!</v>
      </c>
      <c r="G102" t="e">
        <f t="shared" si="21"/>
        <v>#NUM!</v>
      </c>
      <c r="H102" t="e">
        <f t="shared" si="21"/>
        <v>#NUM!</v>
      </c>
      <c r="I102">
        <f t="shared" si="21"/>
        <v>0.37056301844818029</v>
      </c>
      <c r="J102">
        <f t="shared" si="21"/>
        <v>0.69325992762094102</v>
      </c>
      <c r="K102">
        <f t="shared" si="21"/>
        <v>0.90769031274359113</v>
      </c>
      <c r="L102">
        <f t="shared" si="21"/>
        <v>1.0803675672900055</v>
      </c>
      <c r="M102">
        <f t="shared" si="21"/>
        <v>1.2290184933741599</v>
      </c>
      <c r="N102">
        <v>38000</v>
      </c>
      <c r="O102" s="1" cm="1">
        <f t="array" ref="O102">Linterp(KCAS_qc56[[#This Row],[h]], atmos_h, atmos_aspeed)</f>
        <v>968.1005104214338</v>
      </c>
      <c r="P102" s="1" cm="1">
        <f t="array" ref="P102">Linterp(KCAS_qc56[[#This Row],[h]],atmos_h,atmos_DR)</f>
        <v>0.27099379493448134</v>
      </c>
      <c r="Q102" s="1" cm="1">
        <f t="array" ref="Q102">Linterp(KCAS_qc56[[#This Row],[h]],atmos_h, atmos_P)</f>
        <v>431.20372447693057</v>
      </c>
    </row>
    <row r="103" spans="2:17">
      <c r="B103" t="e">
        <f t="shared" si="21"/>
        <v>#NUM!</v>
      </c>
      <c r="C103" t="e">
        <f t="shared" si="21"/>
        <v>#NUM!</v>
      </c>
      <c r="D103" t="e">
        <f t="shared" si="21"/>
        <v>#NUM!</v>
      </c>
      <c r="E103" t="e">
        <f t="shared" si="21"/>
        <v>#NUM!</v>
      </c>
      <c r="F103" t="e">
        <f t="shared" si="21"/>
        <v>#NUM!</v>
      </c>
      <c r="G103" t="e">
        <f t="shared" si="21"/>
        <v>#NUM!</v>
      </c>
      <c r="H103" t="e">
        <f t="shared" si="21"/>
        <v>#NUM!</v>
      </c>
      <c r="I103">
        <f t="shared" si="21"/>
        <v>0.26202762320166401</v>
      </c>
      <c r="J103">
        <f t="shared" si="21"/>
        <v>0.64183397535833142</v>
      </c>
      <c r="K103">
        <f t="shared" si="21"/>
        <v>0.86904731086854259</v>
      </c>
      <c r="L103">
        <f t="shared" si="21"/>
        <v>1.048110492806656</v>
      </c>
      <c r="M103">
        <f t="shared" si="21"/>
        <v>1.2007614174909924</v>
      </c>
      <c r="N103" s="18">
        <v>39000</v>
      </c>
      <c r="O103" s="1" cm="1">
        <f t="array" ref="O103">Linterp(KCAS_qc56[[#This Row],[h]], atmos_h, atmos_aspeed)</f>
        <v>968.1005104214338</v>
      </c>
      <c r="P103" s="1" cm="1">
        <f t="array" ref="P103">Linterp(KCAS_qc56[[#This Row],[h]],atmos_h,atmos_DR)</f>
        <v>0.25827688927854492</v>
      </c>
      <c r="Q103" s="1" cm="1">
        <f t="array" ref="Q103">Linterp(KCAS_qc56[[#This Row],[h]],atmos_h, atmos_P)</f>
        <v>410.96865937521011</v>
      </c>
    </row>
    <row r="104" spans="2:17">
      <c r="B104" t="e">
        <f t="shared" si="21"/>
        <v>#NUM!</v>
      </c>
      <c r="C104" t="e">
        <f t="shared" si="21"/>
        <v>#NUM!</v>
      </c>
      <c r="D104" t="e">
        <f t="shared" si="21"/>
        <v>#NUM!</v>
      </c>
      <c r="E104" t="e">
        <f t="shared" si="21"/>
        <v>#NUM!</v>
      </c>
      <c r="F104" t="e">
        <f t="shared" si="21"/>
        <v>#NUM!</v>
      </c>
      <c r="G104" t="e">
        <f t="shared" si="21"/>
        <v>#NUM!</v>
      </c>
      <c r="H104" t="e">
        <f t="shared" si="21"/>
        <v>#NUM!</v>
      </c>
      <c r="I104">
        <f t="shared" si="21"/>
        <v>0</v>
      </c>
      <c r="J104">
        <f t="shared" si="21"/>
        <v>0.5859115774616217</v>
      </c>
      <c r="K104">
        <f t="shared" si="21"/>
        <v>0.82860409919763967</v>
      </c>
      <c r="L104">
        <f t="shared" si="21"/>
        <v>1.0148286209063568</v>
      </c>
      <c r="M104">
        <f t="shared" si="21"/>
        <v>1.1718231549232434</v>
      </c>
      <c r="N104">
        <v>40000</v>
      </c>
      <c r="O104" s="1" cm="1">
        <f t="array" ref="O104">Linterp(KCAS_qc56[[#This Row],[h]], atmos_h, atmos_aspeed)</f>
        <v>968.1005104214338</v>
      </c>
      <c r="P104" s="1" cm="1">
        <f t="array" ref="P104">Linterp(KCAS_qc56[[#This Row],[h]],atmos_h,atmos_DR)</f>
        <v>0.24615674890832695</v>
      </c>
      <c r="Q104" s="1" cm="1">
        <f t="array" ref="Q104">Linterp(KCAS_qc56[[#This Row],[h]],atmos_h, atmos_P)</f>
        <v>391.68316366825212</v>
      </c>
    </row>
    <row r="105" spans="2:17">
      <c r="B105" t="e">
        <f t="shared" si="21"/>
        <v>#NUM!</v>
      </c>
      <c r="C105" t="e">
        <f t="shared" si="21"/>
        <v>#NUM!</v>
      </c>
      <c r="D105" t="e">
        <f t="shared" si="21"/>
        <v>#NUM!</v>
      </c>
      <c r="E105" t="e">
        <f t="shared" si="21"/>
        <v>#NUM!</v>
      </c>
      <c r="F105" t="e">
        <f t="shared" si="21"/>
        <v>#NUM!</v>
      </c>
      <c r="G105" t="e">
        <f t="shared" si="21"/>
        <v>#NUM!</v>
      </c>
      <c r="H105" t="e">
        <f t="shared" si="21"/>
        <v>#NUM!</v>
      </c>
      <c r="I105" t="e">
        <f t="shared" si="21"/>
        <v>#NUM!</v>
      </c>
      <c r="J105">
        <f t="shared" si="21"/>
        <v>0.52405524640332801</v>
      </c>
      <c r="K105">
        <f t="shared" si="21"/>
        <v>0.78608286960499196</v>
      </c>
      <c r="L105">
        <f t="shared" si="21"/>
        <v>0.98041759189132494</v>
      </c>
      <c r="M105">
        <f t="shared" si="21"/>
        <v>1.1421519299522067</v>
      </c>
      <c r="N105" s="18">
        <v>41000</v>
      </c>
      <c r="O105" s="1" cm="1">
        <f t="array" ref="O105">Linterp(KCAS_qc56[[#This Row],[h]], atmos_h, atmos_aspeed)</f>
        <v>968.1005104214338</v>
      </c>
      <c r="P105" s="1" cm="1">
        <f t="array" ref="P105">Linterp(KCAS_qc56[[#This Row],[h]],atmos_h,atmos_DR)</f>
        <v>0.23460536946365723</v>
      </c>
      <c r="Q105" s="1" cm="1">
        <f t="array" ref="Q105">Linterp(KCAS_qc56[[#This Row],[h]],atmos_h, atmos_P)</f>
        <v>373.30267698370608</v>
      </c>
    </row>
    <row r="106" spans="2:17">
      <c r="B106" t="e">
        <f t="shared" si="21"/>
        <v>#NUM!</v>
      </c>
      <c r="C106" t="e">
        <f t="shared" si="21"/>
        <v>#NUM!</v>
      </c>
      <c r="D106" t="e">
        <f t="shared" si="21"/>
        <v>#NUM!</v>
      </c>
      <c r="E106" t="e">
        <f t="shared" si="21"/>
        <v>#NUM!</v>
      </c>
      <c r="F106" t="e">
        <f t="shared" si="21"/>
        <v>#NUM!</v>
      </c>
      <c r="G106" t="e">
        <f t="shared" si="21"/>
        <v>#NUM!</v>
      </c>
      <c r="H106" t="e">
        <f t="shared" si="21"/>
        <v>#NUM!</v>
      </c>
      <c r="I106" t="e">
        <f t="shared" si="21"/>
        <v>#NUM!</v>
      </c>
      <c r="J106">
        <f t="shared" si="21"/>
        <v>0.45384515637179557</v>
      </c>
      <c r="K106">
        <f t="shared" si="21"/>
        <v>0.74112603689636058</v>
      </c>
      <c r="L106">
        <f t="shared" si="21"/>
        <v>0.94475403104155709</v>
      </c>
      <c r="M106">
        <f t="shared" si="21"/>
        <v>1.1116890553445407</v>
      </c>
      <c r="N106">
        <v>42000</v>
      </c>
      <c r="O106" s="1" cm="1">
        <f t="array" ref="O106">Linterp(KCAS_qc56[[#This Row],[h]], atmos_h, atmos_aspeed)</f>
        <v>968.1005104214338</v>
      </c>
      <c r="P106" s="1" cm="1">
        <f t="array" ref="P106">Linterp(KCAS_qc56[[#This Row],[h]],atmos_h,atmos_DR)</f>
        <v>0.22359606074289207</v>
      </c>
      <c r="Q106" s="1" cm="1">
        <f t="array" ref="Q106">Linterp(KCAS_qc56[[#This Row],[h]],atmos_h, atmos_P)</f>
        <v>355.78473003049982</v>
      </c>
    </row>
    <row r="107" spans="2:17">
      <c r="B107" t="e">
        <f t="shared" si="21"/>
        <v>#NUM!</v>
      </c>
      <c r="C107" t="e">
        <f t="shared" si="21"/>
        <v>#NUM!</v>
      </c>
      <c r="D107" t="e">
        <f t="shared" si="21"/>
        <v>#NUM!</v>
      </c>
      <c r="E107" t="e">
        <f t="shared" si="21"/>
        <v>#NUM!</v>
      </c>
      <c r="F107" t="e">
        <f t="shared" si="21"/>
        <v>#NUM!</v>
      </c>
      <c r="G107" t="e">
        <f t="shared" si="21"/>
        <v>#NUM!</v>
      </c>
      <c r="H107" t="e">
        <f t="shared" si="21"/>
        <v>#NUM!</v>
      </c>
      <c r="I107" t="e">
        <f t="shared" si="21"/>
        <v>#NUM!</v>
      </c>
      <c r="J107">
        <f t="shared" si="21"/>
        <v>0.37056301844818029</v>
      </c>
      <c r="K107">
        <f t="shared" si="21"/>
        <v>0.69325992762094102</v>
      </c>
      <c r="L107">
        <f t="shared" si="21"/>
        <v>0.90769031274359113</v>
      </c>
      <c r="M107">
        <f t="shared" si="21"/>
        <v>1.0803675672900055</v>
      </c>
      <c r="N107" s="18">
        <v>43000</v>
      </c>
      <c r="O107" s="1" cm="1">
        <f t="array" ref="O107">Linterp(KCAS_qc56[[#This Row],[h]], atmos_h, atmos_aspeed)</f>
        <v>968.1005104214338</v>
      </c>
      <c r="P107" s="1" cm="1">
        <f t="array" ref="P107">Linterp(KCAS_qc56[[#This Row],[h]],atmos_h,atmos_DR)</f>
        <v>0.21310338503349502</v>
      </c>
      <c r="Q107" s="1" cm="1">
        <f t="array" ref="Q107">Linterp(KCAS_qc56[[#This Row],[h]],atmos_h, atmos_P)</f>
        <v>339.08884647082454</v>
      </c>
    </row>
    <row r="108" spans="2:17">
      <c r="B108" t="e">
        <f t="shared" si="21"/>
        <v>#NUM!</v>
      </c>
      <c r="C108" t="e">
        <f t="shared" si="21"/>
        <v>#NUM!</v>
      </c>
      <c r="D108" t="e">
        <f t="shared" si="21"/>
        <v>#NUM!</v>
      </c>
      <c r="E108" t="e">
        <f t="shared" si="21"/>
        <v>#NUM!</v>
      </c>
      <c r="F108" t="e">
        <f t="shared" si="21"/>
        <v>#NUM!</v>
      </c>
      <c r="G108" t="e">
        <f t="shared" si="21"/>
        <v>#NUM!</v>
      </c>
      <c r="H108" t="e">
        <f t="shared" si="21"/>
        <v>#NUM!</v>
      </c>
      <c r="I108" t="e">
        <f t="shared" si="21"/>
        <v>#NUM!</v>
      </c>
      <c r="J108">
        <f t="shared" si="21"/>
        <v>0.26202762320166401</v>
      </c>
      <c r="K108">
        <f t="shared" si="21"/>
        <v>0.64183397535833142</v>
      </c>
      <c r="L108">
        <f t="shared" si="21"/>
        <v>0.86904731086854259</v>
      </c>
      <c r="M108">
        <f t="shared" si="21"/>
        <v>1.048110492806656</v>
      </c>
      <c r="N108">
        <v>44000</v>
      </c>
      <c r="O108" s="1" cm="1">
        <f t="array" ref="O108">Linterp(KCAS_qc56[[#This Row],[h]], atmos_h, atmos_aspeed)</f>
        <v>968.1005104214338</v>
      </c>
      <c r="P108" s="1" cm="1">
        <f t="array" ref="P108">Linterp(KCAS_qc56[[#This Row],[h]],atmos_h,atmos_DR)</f>
        <v>0.20310309833657322</v>
      </c>
      <c r="Q108" s="1" cm="1">
        <f t="array" ref="Q108">Linterp(KCAS_qc56[[#This Row],[h]],atmos_h, atmos_P)</f>
        <v>323.17644939696407</v>
      </c>
    </row>
    <row r="109" spans="2:17">
      <c r="B109" t="e">
        <f t="shared" si="21"/>
        <v>#NUM!</v>
      </c>
      <c r="C109" t="e">
        <f t="shared" si="21"/>
        <v>#NUM!</v>
      </c>
      <c r="D109" t="e">
        <f t="shared" si="21"/>
        <v>#NUM!</v>
      </c>
      <c r="E109" t="e">
        <f t="shared" si="21"/>
        <v>#NUM!</v>
      </c>
      <c r="F109" t="e">
        <f t="shared" si="21"/>
        <v>#NUM!</v>
      </c>
      <c r="G109" t="e">
        <f t="shared" si="21"/>
        <v>#NUM!</v>
      </c>
      <c r="H109" t="e">
        <f t="shared" si="21"/>
        <v>#NUM!</v>
      </c>
      <c r="I109" t="e">
        <f t="shared" si="21"/>
        <v>#NUM!</v>
      </c>
      <c r="J109">
        <f t="shared" si="21"/>
        <v>0</v>
      </c>
      <c r="K109">
        <f t="shared" si="21"/>
        <v>0.5859115774616217</v>
      </c>
      <c r="L109">
        <f t="shared" si="21"/>
        <v>0.82860409919763967</v>
      </c>
      <c r="M109">
        <f t="shared" si="21"/>
        <v>1.0148286209063568</v>
      </c>
      <c r="N109" s="18">
        <v>45000</v>
      </c>
      <c r="O109" s="1" cm="1">
        <f t="array" ref="O109">Linterp(KCAS_qc56[[#This Row],[h]], atmos_h, atmos_aspeed)</f>
        <v>968.1005104214338</v>
      </c>
      <c r="P109" s="1" cm="1">
        <f t="array" ref="P109">Linterp(KCAS_qc56[[#This Row],[h]],atmos_h,atmos_DR)</f>
        <v>0.19357209434956671</v>
      </c>
      <c r="Q109" s="1" cm="1">
        <f t="array" ref="Q109">Linterp(KCAS_qc56[[#This Row],[h]],atmos_h, atmos_P)</f>
        <v>308.01077219688165</v>
      </c>
    </row>
    <row r="110" spans="2:17">
      <c r="B110" t="e">
        <f t="shared" si="21"/>
        <v>#NUM!</v>
      </c>
      <c r="C110" t="e">
        <f t="shared" si="21"/>
        <v>#NUM!</v>
      </c>
      <c r="D110" t="e">
        <f t="shared" si="21"/>
        <v>#NUM!</v>
      </c>
      <c r="E110" t="e">
        <f t="shared" si="21"/>
        <v>#NUM!</v>
      </c>
      <c r="F110" t="e">
        <f t="shared" si="21"/>
        <v>#NUM!</v>
      </c>
      <c r="G110" t="e">
        <f t="shared" si="21"/>
        <v>#NUM!</v>
      </c>
      <c r="H110" t="e">
        <f t="shared" si="21"/>
        <v>#NUM!</v>
      </c>
      <c r="I110" t="e">
        <f t="shared" si="21"/>
        <v>#NUM!</v>
      </c>
      <c r="J110" t="e">
        <f t="shared" si="21"/>
        <v>#NUM!</v>
      </c>
      <c r="K110">
        <f t="shared" si="21"/>
        <v>0.52405524640332801</v>
      </c>
      <c r="L110">
        <f t="shared" si="21"/>
        <v>0.78608286960499196</v>
      </c>
      <c r="M110">
        <f t="shared" si="21"/>
        <v>0.98041759189132494</v>
      </c>
      <c r="N110">
        <v>46000</v>
      </c>
      <c r="O110" s="1" cm="1">
        <f t="array" ref="O110">Linterp(KCAS_qc56[[#This Row],[h]], atmos_h, atmos_aspeed)</f>
        <v>968.1005104214338</v>
      </c>
      <c r="P110" s="1" cm="1">
        <f t="array" ref="P110">Linterp(KCAS_qc56[[#This Row],[h]],atmos_h,atmos_DR)</f>
        <v>0.18448835107765671</v>
      </c>
      <c r="Q110" s="1" cm="1">
        <f t="array" ref="Q110">Linterp(KCAS_qc56[[#This Row],[h]],atmos_h, atmos_P)</f>
        <v>293.55677360260808</v>
      </c>
    </row>
    <row r="111" spans="2:17">
      <c r="B111" t="e">
        <f t="shared" si="21"/>
        <v>#NUM!</v>
      </c>
      <c r="C111" t="e">
        <f t="shared" si="21"/>
        <v>#NUM!</v>
      </c>
      <c r="D111" t="e">
        <f t="shared" si="21"/>
        <v>#NUM!</v>
      </c>
      <c r="E111" t="e">
        <f t="shared" si="21"/>
        <v>#NUM!</v>
      </c>
      <c r="F111" t="e">
        <f t="shared" si="21"/>
        <v>#NUM!</v>
      </c>
      <c r="G111" t="e">
        <f t="shared" si="21"/>
        <v>#NUM!</v>
      </c>
      <c r="H111" t="e">
        <f t="shared" si="21"/>
        <v>#NUM!</v>
      </c>
      <c r="I111" t="e">
        <f t="shared" si="21"/>
        <v>#NUM!</v>
      </c>
      <c r="J111" t="e">
        <f t="shared" si="21"/>
        <v>#NUM!</v>
      </c>
      <c r="K111">
        <f t="shared" si="21"/>
        <v>0.45384515637179557</v>
      </c>
      <c r="L111">
        <f t="shared" si="21"/>
        <v>0.74112603689636058</v>
      </c>
      <c r="M111">
        <f t="shared" si="21"/>
        <v>0.94475403104155709</v>
      </c>
      <c r="N111" s="18">
        <v>47000</v>
      </c>
      <c r="O111" s="1" cm="1">
        <f t="array" ref="O111">Linterp(KCAS_qc56[[#This Row],[h]], atmos_h, atmos_aspeed)</f>
        <v>968.1005104214338</v>
      </c>
      <c r="P111" s="1" cm="1">
        <f t="array" ref="P111">Linterp(KCAS_qc56[[#This Row],[h]],atmos_h,atmos_DR)</f>
        <v>0.1758308799505372</v>
      </c>
      <c r="Q111" s="1" cm="1">
        <f t="array" ref="Q111">Linterp(KCAS_qc56[[#This Row],[h]],atmos_h, atmos_P)</f>
        <v>279.78105672514971</v>
      </c>
    </row>
    <row r="112" spans="2:17">
      <c r="B112" t="e">
        <f t="shared" si="21"/>
        <v>#NUM!</v>
      </c>
      <c r="C112" t="e">
        <f t="shared" si="21"/>
        <v>#NUM!</v>
      </c>
      <c r="D112" t="e">
        <f t="shared" si="21"/>
        <v>#NUM!</v>
      </c>
      <c r="E112" t="e">
        <f t="shared" si="21"/>
        <v>#NUM!</v>
      </c>
      <c r="F112" t="e">
        <f t="shared" si="21"/>
        <v>#NUM!</v>
      </c>
      <c r="G112" t="e">
        <f t="shared" si="21"/>
        <v>#NUM!</v>
      </c>
      <c r="H112" t="e">
        <f t="shared" si="21"/>
        <v>#NUM!</v>
      </c>
      <c r="I112" t="e">
        <f t="shared" si="21"/>
        <v>#NUM!</v>
      </c>
      <c r="J112" t="e">
        <f t="shared" si="21"/>
        <v>#NUM!</v>
      </c>
      <c r="K112">
        <f t="shared" si="21"/>
        <v>0.37056301844818029</v>
      </c>
      <c r="L112">
        <f t="shared" si="21"/>
        <v>0.69325992762094102</v>
      </c>
      <c r="M112">
        <f t="shared" si="21"/>
        <v>0.90769031274359113</v>
      </c>
      <c r="N112">
        <v>48000</v>
      </c>
      <c r="O112" s="1" cm="1">
        <f t="array" ref="O112">Linterp(KCAS_qc56[[#This Row],[h]], atmos_h, atmos_aspeed)</f>
        <v>968.1005104214338</v>
      </c>
      <c r="P112" s="1" cm="1">
        <f t="array" ref="P112">Linterp(KCAS_qc56[[#This Row],[h]],atmos_h,atmos_DR)</f>
        <v>0.16757967732697948</v>
      </c>
      <c r="Q112" s="1" cm="1">
        <f t="array" ref="Q112">Linterp(KCAS_qc56[[#This Row],[h]],atmos_h, atmos_P)</f>
        <v>266.65179188883815</v>
      </c>
    </row>
    <row r="113" spans="2:17">
      <c r="B113" t="e">
        <f t="shared" si="21"/>
        <v>#NUM!</v>
      </c>
      <c r="C113" t="e">
        <f t="shared" si="21"/>
        <v>#NUM!</v>
      </c>
      <c r="D113" t="e">
        <f t="shared" si="21"/>
        <v>#NUM!</v>
      </c>
      <c r="E113" t="e">
        <f t="shared" si="21"/>
        <v>#NUM!</v>
      </c>
      <c r="F113" t="e">
        <f t="shared" si="21"/>
        <v>#NUM!</v>
      </c>
      <c r="G113" t="e">
        <f t="shared" si="21"/>
        <v>#NUM!</v>
      </c>
      <c r="H113" t="e">
        <f t="shared" si="21"/>
        <v>#NUM!</v>
      </c>
      <c r="I113" t="e">
        <f t="shared" si="21"/>
        <v>#NUM!</v>
      </c>
      <c r="J113" t="e">
        <f t="shared" si="21"/>
        <v>#NUM!</v>
      </c>
      <c r="K113">
        <f t="shared" si="21"/>
        <v>0.26202762320166401</v>
      </c>
      <c r="L113">
        <f t="shared" si="21"/>
        <v>0.64183397535833142</v>
      </c>
      <c r="M113">
        <f t="shared" si="21"/>
        <v>0.86904731086854259</v>
      </c>
      <c r="N113" s="18">
        <v>49000</v>
      </c>
      <c r="O113" s="1" cm="1">
        <f t="array" ref="O113">Linterp(KCAS_qc56[[#This Row],[h]], atmos_h, atmos_aspeed)</f>
        <v>968.1005104214338</v>
      </c>
      <c r="P113" s="1" cm="1">
        <f t="array" ref="P113">Linterp(KCAS_qc56[[#This Row],[h]],atmos_h,atmos_DR)</f>
        <v>0.15971567827513883</v>
      </c>
      <c r="Q113" s="1" cm="1">
        <f t="array" ref="Q113">Linterp(KCAS_qc56[[#This Row],[h]],atmos_h, atmos_P)</f>
        <v>254.13864308682744</v>
      </c>
    </row>
    <row r="114" spans="2:17">
      <c r="B114" t="e">
        <f t="shared" si="21"/>
        <v>#NUM!</v>
      </c>
      <c r="C114" t="e">
        <f t="shared" si="21"/>
        <v>#NUM!</v>
      </c>
      <c r="D114" t="e">
        <f t="shared" si="21"/>
        <v>#NUM!</v>
      </c>
      <c r="E114" t="e">
        <f t="shared" si="21"/>
        <v>#NUM!</v>
      </c>
      <c r="F114" t="e">
        <f t="shared" si="21"/>
        <v>#NUM!</v>
      </c>
      <c r="G114" t="e">
        <f t="shared" si="21"/>
        <v>#NUM!</v>
      </c>
      <c r="H114" t="e">
        <f t="shared" si="21"/>
        <v>#NUM!</v>
      </c>
      <c r="I114" t="e">
        <f t="shared" si="21"/>
        <v>#NUM!</v>
      </c>
      <c r="J114" t="e">
        <f t="shared" si="21"/>
        <v>#NUM!</v>
      </c>
      <c r="K114">
        <f t="shared" si="21"/>
        <v>0</v>
      </c>
      <c r="L114">
        <f t="shared" si="21"/>
        <v>0.5859115774616217</v>
      </c>
      <c r="M114">
        <f t="shared" si="21"/>
        <v>0.82860409919763967</v>
      </c>
      <c r="N114">
        <v>50000</v>
      </c>
      <c r="O114" s="1" cm="1">
        <f t="array" ref="O114">Linterp(KCAS_qc56[[#This Row],[h]], atmos_h, atmos_aspeed)</f>
        <v>968.1005104214338</v>
      </c>
      <c r="P114" s="1" cm="1">
        <f t="array" ref="P114">Linterp(KCAS_qc56[[#This Row],[h]],atmos_h,atmos_DR)</f>
        <v>0.15222071252180899</v>
      </c>
      <c r="Q114" s="1" cm="1">
        <f t="array" ref="Q114">Linterp(KCAS_qc56[[#This Row],[h]],atmos_h, atmos_P)</f>
        <v>242.21269788780825</v>
      </c>
    </row>
    <row r="115" spans="2:17">
      <c r="B115" t="e">
        <f t="shared" si="21"/>
        <v>#NUM!</v>
      </c>
      <c r="C115" t="e">
        <f t="shared" si="21"/>
        <v>#NUM!</v>
      </c>
      <c r="D115" t="e">
        <f t="shared" si="21"/>
        <v>#NUM!</v>
      </c>
      <c r="E115" t="e">
        <f t="shared" si="21"/>
        <v>#NUM!</v>
      </c>
      <c r="F115" t="e">
        <f t="shared" si="21"/>
        <v>#NUM!</v>
      </c>
      <c r="G115" t="e">
        <f t="shared" si="21"/>
        <v>#NUM!</v>
      </c>
      <c r="H115" t="e">
        <f t="shared" si="21"/>
        <v>#NUM!</v>
      </c>
      <c r="I115" t="e">
        <f t="shared" si="21"/>
        <v>#NUM!</v>
      </c>
      <c r="J115" t="e">
        <f t="shared" si="21"/>
        <v>#NUM!</v>
      </c>
      <c r="K115" t="e">
        <f t="shared" si="21"/>
        <v>#NUM!</v>
      </c>
      <c r="L115">
        <f t="shared" si="21"/>
        <v>0.52405524640332801</v>
      </c>
      <c r="M115">
        <f t="shared" si="21"/>
        <v>0.78608286960499196</v>
      </c>
      <c r="N115" s="18">
        <v>51000</v>
      </c>
      <c r="O115" s="1" cm="1">
        <f t="array" ref="O115">Linterp(KCAS_qc56[[#This Row],[h]], atmos_h, atmos_aspeed)</f>
        <v>968.1005104214338</v>
      </c>
      <c r="P115" s="1" cm="1">
        <f t="array" ref="P115">Linterp(KCAS_qc56[[#This Row],[h]],atmos_h,atmos_DR)</f>
        <v>0.14507746246884276</v>
      </c>
      <c r="Q115" s="1" cm="1">
        <f t="array" ref="Q115">Linterp(KCAS_qc56[[#This Row],[h]],atmos_h, atmos_P)</f>
        <v>230.84640063198444</v>
      </c>
    </row>
    <row r="116" spans="2:17">
      <c r="B116" t="e">
        <f t="shared" si="21"/>
        <v>#NUM!</v>
      </c>
      <c r="C116" t="e">
        <f t="shared" si="21"/>
        <v>#NUM!</v>
      </c>
      <c r="D116" t="e">
        <f t="shared" si="21"/>
        <v>#NUM!</v>
      </c>
      <c r="E116" t="e">
        <f t="shared" si="21"/>
        <v>#NUM!</v>
      </c>
      <c r="F116" t="e">
        <f t="shared" si="21"/>
        <v>#NUM!</v>
      </c>
      <c r="G116" t="e">
        <f t="shared" si="21"/>
        <v>#NUM!</v>
      </c>
      <c r="H116" t="e">
        <f t="shared" si="21"/>
        <v>#NUM!</v>
      </c>
      <c r="I116" t="e">
        <f t="shared" si="21"/>
        <v>#NUM!</v>
      </c>
      <c r="J116" t="e">
        <f t="shared" si="21"/>
        <v>#NUM!</v>
      </c>
      <c r="K116" t="e">
        <f t="shared" si="21"/>
        <v>#NUM!</v>
      </c>
      <c r="L116">
        <f t="shared" si="21"/>
        <v>0.45384515637179557</v>
      </c>
      <c r="M116">
        <f t="shared" si="21"/>
        <v>0.74112603689636058</v>
      </c>
      <c r="N116">
        <v>52000</v>
      </c>
      <c r="O116" s="1" cm="1">
        <f t="array" ref="O116">Linterp(KCAS_qc56[[#This Row],[h]], atmos_h, atmos_aspeed)</f>
        <v>968.1005104214338</v>
      </c>
      <c r="P116" s="1" cm="1">
        <f t="array" ref="P116">Linterp(KCAS_qc56[[#This Row],[h]],atmos_h,atmos_DR)</f>
        <v>0.13826942317973293</v>
      </c>
      <c r="Q116" s="1" cm="1">
        <f t="array" ref="Q116">Linterp(KCAS_qc56[[#This Row],[h]],atmos_h, atmos_P)</f>
        <v>220.01348876195735</v>
      </c>
    </row>
    <row r="117" spans="2:17">
      <c r="B117" t="e">
        <f t="shared" si="21"/>
        <v>#NUM!</v>
      </c>
      <c r="C117" t="e">
        <f t="shared" si="21"/>
        <v>#NUM!</v>
      </c>
      <c r="D117" t="e">
        <f t="shared" si="21"/>
        <v>#NUM!</v>
      </c>
      <c r="E117" t="e">
        <f t="shared" si="21"/>
        <v>#NUM!</v>
      </c>
      <c r="F117" t="e">
        <f t="shared" si="21"/>
        <v>#NUM!</v>
      </c>
      <c r="G117" t="e">
        <f t="shared" si="21"/>
        <v>#NUM!</v>
      </c>
      <c r="H117" t="e">
        <f t="shared" si="21"/>
        <v>#NUM!</v>
      </c>
      <c r="I117" t="e">
        <f t="shared" si="21"/>
        <v>#NUM!</v>
      </c>
      <c r="J117" t="e">
        <f t="shared" si="21"/>
        <v>#NUM!</v>
      </c>
      <c r="K117" t="e">
        <f t="shared" si="21"/>
        <v>#NUM!</v>
      </c>
      <c r="L117">
        <f t="shared" si="21"/>
        <v>0.37056301844818029</v>
      </c>
      <c r="M117">
        <f t="shared" si="21"/>
        <v>0.69325992762094102</v>
      </c>
      <c r="N117" s="18">
        <v>53000</v>
      </c>
      <c r="O117" s="1" cm="1">
        <f t="array" ref="O117">Linterp(KCAS_qc56[[#This Row],[h]], atmos_h, atmos_aspeed)</f>
        <v>968.1005104214338</v>
      </c>
      <c r="P117" s="1" cm="1">
        <f t="array" ref="P117">Linterp(KCAS_qc56[[#This Row],[h]],atmos_h,atmos_DR)</f>
        <v>0.13178086424390001</v>
      </c>
      <c r="Q117" s="1" cm="1">
        <f t="array" ref="Q117">Linterp(KCAS_qc56[[#This Row],[h]],atmos_h, atmos_P)</f>
        <v>209.68893214140564</v>
      </c>
    </row>
    <row r="118" spans="2:17">
      <c r="B118" t="e">
        <f t="shared" si="21"/>
        <v>#NUM!</v>
      </c>
      <c r="C118" t="e">
        <f t="shared" si="21"/>
        <v>#NUM!</v>
      </c>
      <c r="D118" t="e">
        <f t="shared" si="21"/>
        <v>#NUM!</v>
      </c>
      <c r="E118" t="e">
        <f t="shared" si="21"/>
        <v>#NUM!</v>
      </c>
      <c r="F118" t="e">
        <f t="shared" si="21"/>
        <v>#NUM!</v>
      </c>
      <c r="G118" t="e">
        <f t="shared" si="21"/>
        <v>#NUM!</v>
      </c>
      <c r="H118" t="e">
        <f t="shared" si="21"/>
        <v>#NUM!</v>
      </c>
      <c r="I118" t="e">
        <f t="shared" si="21"/>
        <v>#NUM!</v>
      </c>
      <c r="J118" t="e">
        <f t="shared" si="21"/>
        <v>#NUM!</v>
      </c>
      <c r="K118" t="e">
        <f t="shared" si="21"/>
        <v>#NUM!</v>
      </c>
      <c r="L118">
        <f t="shared" si="21"/>
        <v>0.26202762320166401</v>
      </c>
      <c r="M118">
        <f t="shared" si="21"/>
        <v>0.64183397535833142</v>
      </c>
      <c r="N118">
        <v>54000</v>
      </c>
      <c r="O118" s="1" cm="1">
        <f t="array" ref="O118">Linterp(KCAS_qc56[[#This Row],[h]], atmos_h, atmos_aspeed)</f>
        <v>968.1005104214338</v>
      </c>
      <c r="P118" s="1" cm="1">
        <f t="array" ref="P118">Linterp(KCAS_qc56[[#This Row],[h]],atmos_h,atmos_DR)</f>
        <v>0.12559679343057156</v>
      </c>
      <c r="Q118" s="1" cm="1">
        <f t="array" ref="Q118">Linterp(KCAS_qc56[[#This Row],[h]],atmos_h, atmos_P)</f>
        <v>199.84887522135327</v>
      </c>
    </row>
    <row r="119" spans="2:17">
      <c r="B119" t="e">
        <f t="shared" si="21"/>
        <v>#NUM!</v>
      </c>
      <c r="C119" t="e">
        <f t="shared" si="21"/>
        <v>#NUM!</v>
      </c>
      <c r="D119" t="e">
        <f t="shared" si="21"/>
        <v>#NUM!</v>
      </c>
      <c r="E119" t="e">
        <f t="shared" si="21"/>
        <v>#NUM!</v>
      </c>
      <c r="F119" t="e">
        <f t="shared" si="21"/>
        <v>#NUM!</v>
      </c>
      <c r="G119" t="e">
        <f t="shared" si="21"/>
        <v>#NUM!</v>
      </c>
      <c r="H119" t="e">
        <f t="shared" si="21"/>
        <v>#NUM!</v>
      </c>
      <c r="I119" t="e">
        <f t="shared" si="21"/>
        <v>#NUM!</v>
      </c>
      <c r="J119" t="e">
        <f t="shared" si="21"/>
        <v>#NUM!</v>
      </c>
      <c r="K119" t="e">
        <f t="shared" si="21"/>
        <v>#NUM!</v>
      </c>
      <c r="L119">
        <f t="shared" si="21"/>
        <v>0</v>
      </c>
      <c r="M119">
        <f t="shared" si="21"/>
        <v>0.5859115774616217</v>
      </c>
      <c r="N119" s="18">
        <v>55000</v>
      </c>
      <c r="O119" s="1" cm="1">
        <f t="array" ref="O119">Linterp(KCAS_qc56[[#This Row],[h]], atmos_h, atmos_aspeed)</f>
        <v>968.1005104214338</v>
      </c>
      <c r="P119" s="1" cm="1">
        <f t="array" ref="P119">Linterp(KCAS_qc56[[#This Row],[h]],atmos_h,atmos_DR)</f>
        <v>0.11970292204827346</v>
      </c>
      <c r="Q119" s="1" cm="1">
        <f t="array" ref="Q119">Linterp(KCAS_qc56[[#This Row],[h]],atmos_h, atmos_P)</f>
        <v>190.47058192039634</v>
      </c>
    </row>
    <row r="120" spans="2:17">
      <c r="B120" t="e">
        <f t="shared" si="21"/>
        <v>#NUM!</v>
      </c>
      <c r="C120" t="e">
        <f t="shared" si="21"/>
        <v>#NUM!</v>
      </c>
      <c r="D120" t="e">
        <f t="shared" si="21"/>
        <v>#NUM!</v>
      </c>
      <c r="E120" t="e">
        <f t="shared" si="21"/>
        <v>#NUM!</v>
      </c>
      <c r="F120" t="e">
        <f t="shared" si="21"/>
        <v>#NUM!</v>
      </c>
      <c r="G120" t="e">
        <f t="shared" si="21"/>
        <v>#NUM!</v>
      </c>
      <c r="H120" t="e">
        <f t="shared" si="21"/>
        <v>#NUM!</v>
      </c>
      <c r="I120" t="e">
        <f t="shared" si="21"/>
        <v>#NUM!</v>
      </c>
      <c r="J120" t="e">
        <f t="shared" si="21"/>
        <v>#NUM!</v>
      </c>
      <c r="K120" t="e">
        <f t="shared" si="21"/>
        <v>#NUM!</v>
      </c>
      <c r="L120" t="e">
        <f t="shared" si="21"/>
        <v>#NUM!</v>
      </c>
      <c r="M120">
        <f t="shared" si="21"/>
        <v>0.52405524640332801</v>
      </c>
      <c r="N120">
        <v>56000</v>
      </c>
      <c r="O120" s="1" cm="1">
        <f t="array" ref="O120">Linterp(KCAS_qc56[[#This Row],[h]], atmos_h, atmos_aspeed)</f>
        <v>968.1005104214338</v>
      </c>
      <c r="P120" s="1" cm="1">
        <f t="array" ref="P120">Linterp(KCAS_qc56[[#This Row],[h]],atmos_h,atmos_DR)</f>
        <v>0.11408563192989331</v>
      </c>
      <c r="Q120" s="1" cm="1">
        <f t="array" ref="Q120">Linterp(KCAS_qc56[[#This Row],[h]],atmos_h, atmos_P)</f>
        <v>181.53238309153164</v>
      </c>
    </row>
    <row r="121" spans="2:17">
      <c r="B121" t="e">
        <f t="shared" si="21"/>
        <v>#NUM!</v>
      </c>
      <c r="C121" t="e">
        <f t="shared" si="21"/>
        <v>#NUM!</v>
      </c>
      <c r="D121" t="e">
        <f t="shared" si="21"/>
        <v>#NUM!</v>
      </c>
      <c r="E121" t="e">
        <f t="shared" si="21"/>
        <v>#NUM!</v>
      </c>
      <c r="F121" t="e">
        <f t="shared" si="21"/>
        <v>#NUM!</v>
      </c>
      <c r="G121" t="e">
        <f t="shared" si="21"/>
        <v>#NUM!</v>
      </c>
      <c r="H121" t="e">
        <f t="shared" si="21"/>
        <v>#NUM!</v>
      </c>
      <c r="I121" t="e">
        <f t="shared" si="21"/>
        <v>#NUM!</v>
      </c>
      <c r="J121" t="e">
        <f t="shared" si="21"/>
        <v>#NUM!</v>
      </c>
      <c r="K121" t="e">
        <f t="shared" si="21"/>
        <v>#NUM!</v>
      </c>
      <c r="L121" t="e">
        <f t="shared" si="21"/>
        <v>#NUM!</v>
      </c>
      <c r="M121">
        <f t="shared" si="21"/>
        <v>0.45384515637179557</v>
      </c>
      <c r="N121" s="18">
        <v>57000</v>
      </c>
      <c r="O121" s="1" cm="1">
        <f t="array" ref="O121">Linterp(KCAS_qc56[[#This Row],[h]], atmos_h, atmos_aspeed)</f>
        <v>968.1005104214338</v>
      </c>
      <c r="P121" s="1" cm="1">
        <f t="array" ref="P121">Linterp(KCAS_qc56[[#This Row],[h]],atmos_h,atmos_DR)</f>
        <v>0.10873194396703384</v>
      </c>
      <c r="Q121" s="1" cm="1">
        <f t="array" ref="Q121">Linterp(KCAS_qc56[[#This Row],[h]],atmos_h, atmos_P)</f>
        <v>173.01362645420548</v>
      </c>
    </row>
    <row r="122" spans="2:17">
      <c r="B122" t="e">
        <f t="shared" si="21"/>
        <v>#NUM!</v>
      </c>
      <c r="C122" t="e">
        <f t="shared" si="21"/>
        <v>#NUM!</v>
      </c>
      <c r="D122" t="e">
        <f t="shared" si="21"/>
        <v>#NUM!</v>
      </c>
      <c r="E122" t="e">
        <f t="shared" si="21"/>
        <v>#NUM!</v>
      </c>
      <c r="F122" t="e">
        <f t="shared" si="21"/>
        <v>#NUM!</v>
      </c>
      <c r="G122" t="e">
        <f t="shared" si="21"/>
        <v>#NUM!</v>
      </c>
      <c r="H122" t="e">
        <f t="shared" si="21"/>
        <v>#NUM!</v>
      </c>
      <c r="I122" t="e">
        <f t="shared" si="21"/>
        <v>#NUM!</v>
      </c>
      <c r="J122" t="e">
        <f t="shared" si="21"/>
        <v>#NUM!</v>
      </c>
      <c r="K122" t="e">
        <f t="shared" si="21"/>
        <v>#NUM!</v>
      </c>
      <c r="L122" t="e">
        <f t="shared" si="21"/>
        <v>#NUM!</v>
      </c>
      <c r="M122">
        <f t="shared" si="21"/>
        <v>0.37056301844818029</v>
      </c>
      <c r="N122">
        <v>58000</v>
      </c>
      <c r="O122" s="1" cm="1">
        <f t="array" ref="O122">Linterp(KCAS_qc56[[#This Row],[h]], atmos_h, atmos_aspeed)</f>
        <v>968.1005104214338</v>
      </c>
      <c r="P122" s="1" cm="1">
        <f t="array" ref="P122">Linterp(KCAS_qc56[[#This Row],[h]],atmos_h,atmos_DR)</f>
        <v>0.10362948812095209</v>
      </c>
      <c r="Q122" s="1" cm="1">
        <f t="array" ref="Q122">Linterp(KCAS_qc56[[#This Row],[h]],atmos_h, atmos_P)</f>
        <v>164.89462887589752</v>
      </c>
    </row>
    <row r="123" spans="2:17">
      <c r="B123" t="e">
        <f t="shared" si="21"/>
        <v>#NUM!</v>
      </c>
      <c r="C123" t="e">
        <f t="shared" si="21"/>
        <v>#NUM!</v>
      </c>
      <c r="D123" t="e">
        <f t="shared" si="21"/>
        <v>#NUM!</v>
      </c>
      <c r="E123" t="e">
        <f t="shared" ref="E123:M123" si="22">SQRT((E$63-$N123)*(2*32.174))/$O123</f>
        <v>#NUM!</v>
      </c>
      <c r="F123" t="e">
        <f t="shared" si="22"/>
        <v>#NUM!</v>
      </c>
      <c r="G123" t="e">
        <f t="shared" si="22"/>
        <v>#NUM!</v>
      </c>
      <c r="H123" t="e">
        <f t="shared" si="22"/>
        <v>#NUM!</v>
      </c>
      <c r="I123" t="e">
        <f t="shared" si="22"/>
        <v>#NUM!</v>
      </c>
      <c r="J123" t="e">
        <f t="shared" si="22"/>
        <v>#NUM!</v>
      </c>
      <c r="K123" t="e">
        <f t="shared" si="22"/>
        <v>#NUM!</v>
      </c>
      <c r="L123" t="e">
        <f t="shared" si="22"/>
        <v>#NUM!</v>
      </c>
      <c r="M123">
        <f t="shared" si="22"/>
        <v>0.26202762320166401</v>
      </c>
      <c r="N123" s="18">
        <v>59000</v>
      </c>
      <c r="O123" s="1" cm="1">
        <f t="array" ref="O123">Linterp(KCAS_qc56[[#This Row],[h]], atmos_h, atmos_aspeed)</f>
        <v>968.1005104214338</v>
      </c>
      <c r="P123" s="1" cm="1">
        <f t="array" ref="P123">Linterp(KCAS_qc56[[#This Row],[h]],atmos_h,atmos_DR)</f>
        <v>9.8766474840792873E-2</v>
      </c>
      <c r="Q123" s="1" cm="1">
        <f t="array" ref="Q123">Linterp(KCAS_qc56[[#This Row],[h]],atmos_h, atmos_P)</f>
        <v>157.15663089298278</v>
      </c>
    </row>
    <row r="124" spans="2:17">
      <c r="B124" t="e">
        <f t="shared" ref="B124:M124" si="23">SQRT((B$63-$N124)*(2*32.174))/$O124</f>
        <v>#NUM!</v>
      </c>
      <c r="C124" t="e">
        <f t="shared" si="23"/>
        <v>#NUM!</v>
      </c>
      <c r="D124" t="e">
        <f t="shared" si="23"/>
        <v>#NUM!</v>
      </c>
      <c r="E124" t="e">
        <f t="shared" si="23"/>
        <v>#NUM!</v>
      </c>
      <c r="F124" t="e">
        <f t="shared" si="23"/>
        <v>#NUM!</v>
      </c>
      <c r="G124" t="e">
        <f t="shared" si="23"/>
        <v>#NUM!</v>
      </c>
      <c r="H124" t="e">
        <f t="shared" si="23"/>
        <v>#NUM!</v>
      </c>
      <c r="I124" t="e">
        <f t="shared" si="23"/>
        <v>#NUM!</v>
      </c>
      <c r="J124" t="e">
        <f t="shared" si="23"/>
        <v>#NUM!</v>
      </c>
      <c r="K124" t="e">
        <f t="shared" si="23"/>
        <v>#NUM!</v>
      </c>
      <c r="L124" t="e">
        <f t="shared" si="23"/>
        <v>#NUM!</v>
      </c>
      <c r="M124">
        <f t="shared" si="23"/>
        <v>0</v>
      </c>
      <c r="N124">
        <v>60000</v>
      </c>
      <c r="O124" s="1" cm="1">
        <f t="array" ref="O124">Linterp(KCAS_qc56[[#This Row],[h]], atmos_h, atmos_aspeed)</f>
        <v>968.1005104214338</v>
      </c>
      <c r="P124" s="1" cm="1">
        <f t="array" ref="P124">Linterp(KCAS_qc56[[#This Row],[h]],atmos_h,atmos_DR)</f>
        <v>9.4131667823077053E-2</v>
      </c>
      <c r="Q124" s="1" cm="1">
        <f t="array" ref="Q124">Linterp(KCAS_qc56[[#This Row],[h]],atmos_h, atmos_P)</f>
        <v>149.78175336579045</v>
      </c>
    </row>
  </sheetData>
  <phoneticPr fontId="25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67CB0-95C5-42DD-84DA-487E9DF45813}">
  <sheetPr codeName="Sheet31">
    <tabColor rgb="FFFFFF00"/>
  </sheetPr>
  <dimension ref="C2:J35"/>
  <sheetViews>
    <sheetView zoomScale="92" workbookViewId="0">
      <selection activeCell="D37" sqref="D37"/>
    </sheetView>
  </sheetViews>
  <sheetFormatPr defaultRowHeight="14.5"/>
  <sheetData>
    <row r="2" spans="10:10">
      <c r="J2" s="5"/>
    </row>
    <row r="33" spans="3:4">
      <c r="C33">
        <v>3</v>
      </c>
      <c r="D33" s="1" cm="1">
        <f t="array" ref="D33">250/Linterp(20000,atmos_h,atmos_sqrtDR)</f>
        <v>342.49596380853467</v>
      </c>
    </row>
    <row r="34" spans="3:4">
      <c r="C34">
        <v>4</v>
      </c>
      <c r="D34" s="1" cm="1">
        <f t="array" ref="D34">0.56*Linterp(15000,atmos_h,atmos_aspeed)</f>
        <v>592.09617801892671</v>
      </c>
    </row>
    <row r="35" spans="3:4">
      <c r="C35">
        <v>5</v>
      </c>
      <c r="D35" s="1">
        <f>SQRT((23220-15000)*2*32.174)</f>
        <v>727.28299856383273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62A6B-C8A3-4F0A-B652-64E1D5F5360E}">
  <sheetPr codeName="Sheet4">
    <tabColor rgb="FFFFC000"/>
  </sheetPr>
  <dimension ref="B1:I12"/>
  <sheetViews>
    <sheetView topLeftCell="D1" workbookViewId="0">
      <selection activeCell="H8" sqref="H8"/>
    </sheetView>
  </sheetViews>
  <sheetFormatPr defaultRowHeight="14.5"/>
  <cols>
    <col min="1" max="1" width="2.7265625" customWidth="1"/>
    <col min="2" max="5" width="14.7265625" customWidth="1"/>
    <col min="6" max="6" width="20.7265625" customWidth="1"/>
    <col min="7" max="9" width="14.7265625" customWidth="1"/>
  </cols>
  <sheetData>
    <row r="1" spans="2:9" ht="15" thickBot="1"/>
    <row r="2" spans="2:9">
      <c r="B2" s="549" t="s">
        <v>299</v>
      </c>
      <c r="C2" s="550"/>
    </row>
    <row r="3" spans="2:9" ht="15" thickBot="1">
      <c r="B3" s="551" t="s">
        <v>71</v>
      </c>
      <c r="C3" s="552"/>
    </row>
    <row r="4" spans="2:9" ht="15" thickBot="1"/>
    <row r="5" spans="2:9">
      <c r="B5" s="34" t="s">
        <v>1</v>
      </c>
      <c r="C5" s="35" t="s">
        <v>72</v>
      </c>
      <c r="D5" s="35" t="s">
        <v>6</v>
      </c>
      <c r="E5" s="35" t="s">
        <v>73</v>
      </c>
      <c r="F5" s="36" t="s">
        <v>298</v>
      </c>
      <c r="G5" s="35" t="s">
        <v>74</v>
      </c>
      <c r="H5" s="35" t="s">
        <v>75</v>
      </c>
      <c r="I5" s="37" t="s">
        <v>76</v>
      </c>
    </row>
    <row r="6" spans="2:9" ht="16.5">
      <c r="B6" s="38" t="s">
        <v>30</v>
      </c>
      <c r="C6" s="27" t="s">
        <v>77</v>
      </c>
      <c r="D6" s="27" t="s">
        <v>78</v>
      </c>
      <c r="E6" s="27" t="s">
        <v>46</v>
      </c>
      <c r="F6" s="28" t="s">
        <v>68</v>
      </c>
      <c r="G6" s="27" t="s">
        <v>77</v>
      </c>
      <c r="H6" s="27" t="s">
        <v>77</v>
      </c>
      <c r="I6" s="39" t="s">
        <v>78</v>
      </c>
    </row>
    <row r="7" spans="2:9">
      <c r="B7" s="38" t="s">
        <v>93</v>
      </c>
      <c r="C7" s="27" t="s">
        <v>80</v>
      </c>
      <c r="D7" s="27" t="s">
        <v>93</v>
      </c>
      <c r="E7" s="27" t="s">
        <v>81</v>
      </c>
      <c r="F7" s="28" t="s">
        <v>125</v>
      </c>
      <c r="G7" s="27" t="s">
        <v>80</v>
      </c>
      <c r="H7" s="27" t="s">
        <v>80</v>
      </c>
      <c r="I7" s="39" t="s">
        <v>93</v>
      </c>
    </row>
    <row r="8" spans="2:9">
      <c r="B8" s="40">
        <v>0</v>
      </c>
      <c r="C8" s="29">
        <v>0.4</v>
      </c>
      <c r="D8" s="30">
        <v>12086</v>
      </c>
      <c r="E8" s="31">
        <v>1</v>
      </c>
      <c r="F8" s="233" cm="1">
        <f t="array" ref="F8">Linterp(B8,atmos_h,atmos_qms)*C8^2</f>
        <v>237.01664000000005</v>
      </c>
      <c r="G8" s="33">
        <f>E8*D8/(F8*S)</f>
        <v>0.2999541198755446</v>
      </c>
      <c r="H8" s="33" cm="1">
        <f t="array" ref="H8">InterpolateXY(G8, C8, CD_CL, CD_M, CD_table)</f>
        <v>2.6647132492221538E-2</v>
      </c>
      <c r="I8" s="41">
        <f>H8*F8*S</f>
        <v>1073.68834752</v>
      </c>
    </row>
    <row r="9" spans="2:9">
      <c r="B9" s="40">
        <v>5000</v>
      </c>
      <c r="C9" s="29">
        <v>0.6</v>
      </c>
      <c r="D9" s="30">
        <v>9231</v>
      </c>
      <c r="E9" s="31">
        <v>3.27</v>
      </c>
      <c r="F9" s="233" cm="1">
        <f t="array" ref="F9">Linterp(B9,atmos_h,atmos_qms)*C9^2</f>
        <v>443.72025314731599</v>
      </c>
      <c r="G9" s="33">
        <f>E9*D9/(F9*S)</f>
        <v>0.40016428986632124</v>
      </c>
      <c r="H9" s="33" cm="1">
        <f t="array" ref="H9">InterpolateXY(G9, C9, CD_CL, CD_M, CD_table)</f>
        <v>3.7433022263130569E-2</v>
      </c>
      <c r="I9" s="41">
        <f>H9*F9*S</f>
        <v>2823.6643194931198</v>
      </c>
    </row>
    <row r="10" spans="2:9">
      <c r="B10" s="40">
        <v>6905</v>
      </c>
      <c r="C10" s="29">
        <v>0.67279999999999995</v>
      </c>
      <c r="D10" s="30">
        <v>10098</v>
      </c>
      <c r="E10" s="31">
        <v>2.0499999999999998</v>
      </c>
      <c r="F10" s="233" cm="1">
        <f t="array" ref="F10">Linterp(B10,atmos_h,atmos_qms)*C10^2</f>
        <v>519.29547966686255</v>
      </c>
      <c r="G10" s="33">
        <f>E10*D10/(F10*S)</f>
        <v>0.23449077599927817</v>
      </c>
      <c r="H10" s="33" cm="1">
        <f t="array" ref="H10">InterpolateXY(G10, C10, CD_CL, CD_M, CD_table)</f>
        <v>2.2010073499954885E-2</v>
      </c>
      <c r="I10" s="41">
        <f>H10*F10*S</f>
        <v>1943.054384862535</v>
      </c>
    </row>
    <row r="11" spans="2:9">
      <c r="B11" s="40">
        <v>16295</v>
      </c>
      <c r="C11" s="29">
        <v>0.8</v>
      </c>
      <c r="D11" s="30">
        <v>10000</v>
      </c>
      <c r="E11" s="31">
        <v>4.25</v>
      </c>
      <c r="F11" s="233" cm="1">
        <f t="array" ref="F11">Linterp(B11,atmos_h,atmos_qms)*C11^2</f>
        <v>507.71880623827656</v>
      </c>
      <c r="G11" s="33">
        <f>E11*D11/(F11*S)</f>
        <v>0.49239854212269024</v>
      </c>
      <c r="H11" s="33" cm="1">
        <f t="array" ref="H11">InterpolateXY(G11, C11, CD_CL, CD_M, CD_table)</f>
        <v>5.4417125190127112E-2</v>
      </c>
      <c r="I11" s="41">
        <f>H11*F11*S</f>
        <v>4696.861632876532</v>
      </c>
    </row>
    <row r="12" spans="2:9" ht="15" thickBot="1">
      <c r="B12" s="42">
        <v>22980</v>
      </c>
      <c r="C12" s="43">
        <v>0.72350000000000003</v>
      </c>
      <c r="D12" s="44">
        <v>11567</v>
      </c>
      <c r="E12" s="45">
        <v>1</v>
      </c>
      <c r="F12" s="260" cm="1">
        <f t="array" ref="F12">Linterp(B12,atmos_h,atmos_qms)*C12^2</f>
        <v>314.03978360895064</v>
      </c>
      <c r="G12" s="261">
        <f>E12*D12/(F12*S)</f>
        <v>0.2166641935892894</v>
      </c>
      <c r="H12" s="261" cm="1">
        <f t="array" ref="H12">InterpolateXY(G12, C12, CD_CL, CD_M, CD_table)</f>
        <v>2.0794512099330587E-2</v>
      </c>
      <c r="I12" s="47">
        <f>H12*F12*S</f>
        <v>1110.1516935876721</v>
      </c>
    </row>
  </sheetData>
  <mergeCells count="2">
    <mergeCell ref="B2:C2"/>
    <mergeCell ref="B3:C3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FE8EB-F916-42A4-BA7B-1CFE9B718C3F}">
  <sheetPr codeName="Sheet44">
    <tabColor rgb="FFFFC000"/>
  </sheetPr>
  <dimension ref="A1"/>
  <sheetViews>
    <sheetView workbookViewId="0">
      <selection activeCell="O14" sqref="O14"/>
    </sheetView>
  </sheetViews>
  <sheetFormatPr defaultRowHeight="14.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140A5-A2DA-4E12-9ACB-260B9517FA3F}">
  <sheetPr codeName="Sheet5">
    <tabColor rgb="FF92D050"/>
  </sheetPr>
  <dimension ref="B1:L26"/>
  <sheetViews>
    <sheetView topLeftCell="B3" workbookViewId="0">
      <selection activeCell="D9" sqref="D9"/>
    </sheetView>
  </sheetViews>
  <sheetFormatPr defaultRowHeight="14.5"/>
  <cols>
    <col min="1" max="1" width="2.7265625" customWidth="1"/>
    <col min="2" max="13" width="14.7265625" customWidth="1"/>
  </cols>
  <sheetData>
    <row r="1" spans="2:10" ht="15" thickBot="1"/>
    <row r="2" spans="2:10">
      <c r="B2" s="553" t="s">
        <v>300</v>
      </c>
      <c r="C2" s="554"/>
    </row>
    <row r="3" spans="2:10" ht="15" thickBot="1">
      <c r="B3" s="555" t="s">
        <v>83</v>
      </c>
      <c r="C3" s="556"/>
    </row>
    <row r="4" spans="2:10">
      <c r="B4" s="6"/>
      <c r="C4" s="6"/>
    </row>
    <row r="5" spans="2:10" ht="15" thickBot="1">
      <c r="B5" s="6" t="s">
        <v>88</v>
      </c>
      <c r="G5" s="6" t="s">
        <v>89</v>
      </c>
    </row>
    <row r="6" spans="2:10">
      <c r="B6" s="34" t="s">
        <v>1</v>
      </c>
      <c r="C6" s="36" t="s">
        <v>72</v>
      </c>
      <c r="D6" s="36" t="s">
        <v>84</v>
      </c>
      <c r="E6" s="50" t="s">
        <v>85</v>
      </c>
      <c r="G6" s="34" t="s">
        <v>1</v>
      </c>
      <c r="H6" s="36" t="s">
        <v>72</v>
      </c>
      <c r="I6" s="36" t="s">
        <v>84</v>
      </c>
      <c r="J6" s="50" t="s">
        <v>85</v>
      </c>
    </row>
    <row r="7" spans="2:10">
      <c r="B7" s="38" t="s">
        <v>30</v>
      </c>
      <c r="C7" s="28" t="s">
        <v>77</v>
      </c>
      <c r="D7" s="28" t="s">
        <v>78</v>
      </c>
      <c r="E7" s="52" t="s">
        <v>86</v>
      </c>
      <c r="G7" s="38" t="s">
        <v>30</v>
      </c>
      <c r="H7" s="28" t="s">
        <v>77</v>
      </c>
      <c r="I7" s="28" t="s">
        <v>78</v>
      </c>
      <c r="J7" s="52" t="s">
        <v>86</v>
      </c>
    </row>
    <row r="8" spans="2:10">
      <c r="B8" s="58" t="s">
        <v>93</v>
      </c>
      <c r="C8" s="59" t="s">
        <v>80</v>
      </c>
      <c r="D8" s="59" t="s">
        <v>93</v>
      </c>
      <c r="E8" s="60" t="s">
        <v>93</v>
      </c>
      <c r="G8" s="58" t="s">
        <v>93</v>
      </c>
      <c r="H8" s="59" t="s">
        <v>80</v>
      </c>
      <c r="I8" s="59" t="s">
        <v>93</v>
      </c>
      <c r="J8" s="60" t="s">
        <v>93</v>
      </c>
    </row>
    <row r="9" spans="2:10">
      <c r="B9" s="40">
        <v>0.1</v>
      </c>
      <c r="C9" s="29">
        <v>0.5</v>
      </c>
      <c r="D9" s="56" cm="1">
        <f t="array" ref="D9">InterpolateXY($B9,$C9,Tmax_h,Tmax_M,Tmax_table)*numeng</f>
        <v>6699.9866335274846</v>
      </c>
      <c r="E9" s="56" cm="1">
        <f t="array" ref="E9">InterpolateXY($B9,$C9,FFmax_h,FFmax_M,FFmax_table)*numeng</f>
        <v>17687.959190673078</v>
      </c>
      <c r="F9" s="55"/>
      <c r="G9" s="61">
        <v>0.1</v>
      </c>
      <c r="H9" s="29">
        <v>0.5</v>
      </c>
      <c r="I9" s="56" cm="1">
        <f t="array" ref="I9">InterpolateXY($G9,$H9,Tmil_h,Tmil_M,Tmil_table)*numeng</f>
        <v>3999.9923801164909</v>
      </c>
      <c r="J9" s="56" cm="1">
        <f t="array" ref="J9">InterpolateXY($G9,$H9,FFmil_h,FFmil_M,FFmil_table)*numeng</f>
        <v>4559.9898826743884</v>
      </c>
    </row>
    <row r="10" spans="2:10">
      <c r="B10" s="40">
        <v>1450</v>
      </c>
      <c r="C10" s="29">
        <v>0.45340000000000003</v>
      </c>
      <c r="D10" s="56" cm="1">
        <f t="array" ref="D10">InterpolateXY($B10,$C10,Tmax_h,Tmax_M,Tmax_table)*numeng</f>
        <v>6391.8460023051221</v>
      </c>
      <c r="E10" s="56" cm="1">
        <f t="array" ref="E10">InterpolateXY($B10,$C10,FFmax_h,FFmax_M,FFmax_table)*numeng</f>
        <v>16796.0058194495</v>
      </c>
      <c r="F10" s="55"/>
      <c r="G10" s="61">
        <v>2957</v>
      </c>
      <c r="H10" s="29">
        <v>0.63219999999999998</v>
      </c>
      <c r="I10" s="56" cm="1">
        <f t="array" ref="I10">InterpolateXY($G10,$H10,Tmil_h,Tmil_M,Tmil_table)*numeng</f>
        <v>3850.1811025199231</v>
      </c>
      <c r="J10" s="56" cm="1">
        <f t="array" ref="J10">InterpolateXY($G10,$H10,FFmil_h,FFmil_M,FFmil_table)*numeng</f>
        <v>4345.8366183215321</v>
      </c>
    </row>
    <row r="11" spans="2:10">
      <c r="B11" s="40">
        <v>9890</v>
      </c>
      <c r="C11" s="29">
        <v>0.67279999999999995</v>
      </c>
      <c r="D11" s="56" cm="1">
        <f t="array" ref="D11">InterpolateXY($B11,$C11,Tmax_h,Tmax_M,Tmax_table)*numeng</f>
        <v>5864.0771091236484</v>
      </c>
      <c r="E11" s="56" cm="1">
        <f t="array" ref="E11">InterpolateXY($B11,$C11,FFmax_h,FFmax_M,FFmax_table)*numeng</f>
        <v>14946.141959963332</v>
      </c>
      <c r="F11" s="55"/>
      <c r="G11" s="61">
        <v>7653</v>
      </c>
      <c r="H11" s="29">
        <v>0.67279999999999995</v>
      </c>
      <c r="I11" s="56" cm="1">
        <f t="array" ref="I11">InterpolateXY($G11,$H11,Tmil_h,Tmil_M,Tmil_table)*numeng</f>
        <v>3559.9992243119605</v>
      </c>
      <c r="J11" s="56" cm="1">
        <f t="array" ref="J11">InterpolateXY($G11,$H11,FFmil_h,FFmil_M,FFmil_table)*numeng</f>
        <v>3951.707612099643</v>
      </c>
    </row>
    <row r="12" spans="2:10">
      <c r="B12" s="40">
        <v>15000</v>
      </c>
      <c r="C12" s="29">
        <v>0.75</v>
      </c>
      <c r="D12" s="56" cm="1">
        <f t="array" ref="D12">InterpolateXY($B12,$C12,Tmax_h,Tmax_M,Tmax_table)*numeng</f>
        <v>5348.4769646872228</v>
      </c>
      <c r="E12" s="56" cm="1">
        <f t="array" ref="E12">InterpolateXY($B12,$C12,FFmax_h,FFmax_M,FFmax_table)*numeng</f>
        <v>13372.081007763867</v>
      </c>
      <c r="F12" s="55"/>
      <c r="G12" s="61">
        <v>15000</v>
      </c>
      <c r="H12" s="29">
        <v>0.75</v>
      </c>
      <c r="I12" s="56" cm="1">
        <f t="array" ref="I12">InterpolateXY($G12,$H12,Tmil_h,Tmil_M,Tmil_table)*numeng</f>
        <v>3051.7780327921209</v>
      </c>
      <c r="J12" s="56" cm="1">
        <f t="array" ref="J12">InterpolateXY($G12,$H12,FFmil_h,FFmil_M,FFmil_table)*numeng</f>
        <v>3294.7520450947595</v>
      </c>
    </row>
    <row r="13" spans="2:10">
      <c r="B13" s="40">
        <v>21667</v>
      </c>
      <c r="C13" s="29">
        <v>1.2324999999999999</v>
      </c>
      <c r="D13" s="56" cm="1">
        <f t="array" ref="D13">InterpolateXY($B13,$C13,Tmax_h,Tmax_M,Tmax_table)*numeng</f>
        <v>5585.0665663559757</v>
      </c>
      <c r="E13" s="56" cm="1">
        <f t="array" ref="E13">InterpolateXY($B13,$C13,FFmax_h,FFmax_M,FFmax_table)*numeng</f>
        <v>13609.190868294047</v>
      </c>
      <c r="F13" s="55"/>
      <c r="G13" s="61">
        <v>20231</v>
      </c>
      <c r="H13" s="29">
        <v>0.59150000000000003</v>
      </c>
      <c r="I13" s="56" cm="1">
        <f t="array" ref="I13">InterpolateXY($G13,$H13,Tmil_h,Tmil_M,Tmil_table)*numeng</f>
        <v>2512.7871616259217</v>
      </c>
      <c r="J13" s="56" cm="1">
        <f t="array" ref="J13">InterpolateXY($G13,$H13,FFmil_h,FFmil_M,FFmil_table)*numeng</f>
        <v>2658.202986603515</v>
      </c>
    </row>
    <row r="14" spans="2:10" ht="15" thickBot="1">
      <c r="B14" s="42">
        <v>26564</v>
      </c>
      <c r="C14" s="43">
        <v>1.3521000000000001</v>
      </c>
      <c r="D14" s="56" cm="1">
        <f t="array" ref="D14">InterpolateXY($B14,$C14,Tmax_h,Tmax_M,Tmax_table)*numeng</f>
        <v>5158.7241004412799</v>
      </c>
      <c r="E14" s="56" cm="1">
        <f t="array" ref="E14">InterpolateXY($B14,$C14,FFmax_h,FFmax_M,FFmax_table)*numeng</f>
        <v>12319.554912767639</v>
      </c>
      <c r="F14" s="55"/>
      <c r="G14" s="62">
        <v>27543</v>
      </c>
      <c r="H14" s="43">
        <v>0.72350000000000003</v>
      </c>
      <c r="I14" s="56" cm="1">
        <f t="array" ref="I14">InterpolateXY($G14,$H14,Tmil_h,Tmil_M,Tmil_table)*numeng</f>
        <v>2121.9463747222508</v>
      </c>
      <c r="J14" s="56" cm="1">
        <f t="array" ref="J14">InterpolateXY($G14,$H14,FFmil_h,FFmil_M,FFmil_table)*numeng</f>
        <v>2179.6053515958956</v>
      </c>
    </row>
    <row r="16" spans="2:10" ht="15" thickBot="1">
      <c r="B16" s="6" t="s">
        <v>279</v>
      </c>
      <c r="F16" s="198"/>
    </row>
    <row r="17" spans="2:12" ht="29">
      <c r="B17" s="34" t="s">
        <v>1</v>
      </c>
      <c r="C17" s="35" t="s">
        <v>72</v>
      </c>
      <c r="D17" s="35" t="s">
        <v>6</v>
      </c>
      <c r="E17" s="35" t="s">
        <v>73</v>
      </c>
      <c r="F17" s="199" t="s">
        <v>305</v>
      </c>
      <c r="G17" s="35" t="s">
        <v>74</v>
      </c>
      <c r="H17" s="35" t="s">
        <v>75</v>
      </c>
      <c r="I17" s="35" t="s">
        <v>76</v>
      </c>
      <c r="J17" s="196" t="s">
        <v>302</v>
      </c>
      <c r="K17" s="196" t="s">
        <v>303</v>
      </c>
      <c r="L17" s="197" t="s">
        <v>304</v>
      </c>
    </row>
    <row r="18" spans="2:12" ht="16.5">
      <c r="B18" s="38" t="s">
        <v>30</v>
      </c>
      <c r="C18" s="27" t="s">
        <v>77</v>
      </c>
      <c r="D18" s="27" t="s">
        <v>78</v>
      </c>
      <c r="E18" s="27" t="s">
        <v>46</v>
      </c>
      <c r="F18" s="28" t="s">
        <v>68</v>
      </c>
      <c r="G18" s="27" t="s">
        <v>77</v>
      </c>
      <c r="H18" s="27" t="s">
        <v>77</v>
      </c>
      <c r="I18" s="27" t="s">
        <v>78</v>
      </c>
      <c r="J18" s="27" t="s">
        <v>78</v>
      </c>
      <c r="K18" s="27" t="s">
        <v>87</v>
      </c>
      <c r="L18" s="39" t="s">
        <v>86</v>
      </c>
    </row>
    <row r="19" spans="2:12">
      <c r="B19" s="58" t="s">
        <v>93</v>
      </c>
      <c r="C19" s="59" t="s">
        <v>80</v>
      </c>
      <c r="D19" s="59" t="s">
        <v>93</v>
      </c>
      <c r="E19" s="59" t="s">
        <v>81</v>
      </c>
      <c r="F19" s="59" t="s">
        <v>125</v>
      </c>
      <c r="G19" s="59" t="s">
        <v>80</v>
      </c>
      <c r="H19" s="59" t="s">
        <v>80</v>
      </c>
      <c r="I19" s="59" t="s">
        <v>93</v>
      </c>
      <c r="J19" s="59" t="s">
        <v>93</v>
      </c>
      <c r="K19" s="59" t="s">
        <v>301</v>
      </c>
      <c r="L19" s="60" t="s">
        <v>93</v>
      </c>
    </row>
    <row r="20" spans="2:12">
      <c r="B20" s="40">
        <v>0</v>
      </c>
      <c r="C20" s="29">
        <v>0.4</v>
      </c>
      <c r="D20" s="30">
        <v>12086</v>
      </c>
      <c r="E20" s="31">
        <v>1</v>
      </c>
      <c r="F20" s="119" cm="1">
        <f t="array" ref="F20">Linterp(B20,atmos_h,atmos_qms)*C20^2</f>
        <v>237.01664000000005</v>
      </c>
      <c r="G20" s="33">
        <f>E20*D20/(F20*S)</f>
        <v>0.2999541198755446</v>
      </c>
      <c r="H20" s="33" cm="1">
        <f t="array" ref="H20">InterpolateXY(G20, C20, CD_CL, CD_M, CD_table)</f>
        <v>2.6647132492221538E-2</v>
      </c>
      <c r="I20" s="56">
        <f>H20*F20*S</f>
        <v>1073.68834752</v>
      </c>
      <c r="J20" s="56" cm="1">
        <f t="array" ref="J20">InterpolateXY(B20,C20, Tnorm_h, Tnorm_M, Tnorm_table)*numeng</f>
        <v>3700</v>
      </c>
      <c r="K20" s="57">
        <f>I20/J20</f>
        <v>0.29018603987027025</v>
      </c>
      <c r="L20" s="41" cm="1">
        <f t="array" ref="L20">InterpolateXYZ(K20,C20,B20,FFnorm_PS,FFnorm_M,FFnorm_h,FFnorm_table)*numeng</f>
        <v>1170.3202987968</v>
      </c>
    </row>
    <row r="21" spans="2:12">
      <c r="B21" s="40">
        <v>5000</v>
      </c>
      <c r="C21" s="29">
        <v>0.6</v>
      </c>
      <c r="D21" s="30">
        <v>9231</v>
      </c>
      <c r="E21" s="31">
        <v>1</v>
      </c>
      <c r="F21" s="119" cm="1">
        <f t="array" ref="F21">Linterp(B21,atmos_h,atmos_qms)*C21^2</f>
        <v>443.72025314731599</v>
      </c>
      <c r="G21" s="33">
        <f>E21*D21/(F21*S)</f>
        <v>0.12237440057074045</v>
      </c>
      <c r="H21" s="33" cm="1">
        <f t="array" ref="H21">InterpolateXY(G21, C21, CD_CL, CD_M, CD_table)</f>
        <v>1.7089040021402768E-2</v>
      </c>
      <c r="I21" s="56">
        <f>H21*F21*S</f>
        <v>1289.0680379380467</v>
      </c>
      <c r="J21" s="56" cm="1">
        <f t="array" ref="J21">InterpolateXY(B21,C21, Tnorm_h, Tnorm_M, Tnorm_table)*numeng</f>
        <v>3463.9057923945593</v>
      </c>
      <c r="K21" s="57">
        <f t="shared" ref="K21:K24" si="0">I21/J21</f>
        <v>0.37214292627944956</v>
      </c>
      <c r="L21" s="41" cm="1">
        <f t="array" ref="L21">InterpolateXYZ(K21,C21,B21,FFnorm_PS,FFnorm_M,FFnorm_h,FFnorm_table)*numeng</f>
        <v>1380.7221029446798</v>
      </c>
    </row>
    <row r="22" spans="2:12">
      <c r="B22" s="40">
        <v>6905</v>
      </c>
      <c r="C22" s="29">
        <v>0.67279999999999995</v>
      </c>
      <c r="D22" s="30">
        <v>10098</v>
      </c>
      <c r="E22" s="31">
        <v>1</v>
      </c>
      <c r="F22" s="119" cm="1">
        <f t="array" ref="F22">Linterp(B22,atmos_h,atmos_qms)*C22^2</f>
        <v>519.29547966686255</v>
      </c>
      <c r="G22" s="33">
        <f>E22*D22/(F22*S)</f>
        <v>0.11438574438989181</v>
      </c>
      <c r="H22" s="33" cm="1">
        <f t="array" ref="H22">InterpolateXY(G22, C22, CD_CL, CD_M, CD_table)</f>
        <v>1.6643865414620942E-2</v>
      </c>
      <c r="I22" s="56">
        <f>H22*F22*S</f>
        <v>1469.3242925793686</v>
      </c>
      <c r="J22" s="56" cm="1">
        <f t="array" ref="J22">InterpolateXY(B22,C22, Tnorm_h, Tnorm_M, Tnorm_table)*numeng</f>
        <v>3398.3903712590932</v>
      </c>
      <c r="K22" s="57">
        <f t="shared" si="0"/>
        <v>0.43235889114027487</v>
      </c>
      <c r="L22" s="41" cm="1">
        <f t="array" ref="L22">InterpolateXYZ(K22,C22,B22,FFnorm_PS,FFnorm_M,FFnorm_h,FFnorm_table)*numeng</f>
        <v>1563.6205329548302</v>
      </c>
    </row>
    <row r="23" spans="2:12">
      <c r="B23" s="40">
        <v>16295</v>
      </c>
      <c r="C23" s="29">
        <v>0.8</v>
      </c>
      <c r="D23" s="30">
        <v>10000</v>
      </c>
      <c r="E23" s="31">
        <v>1</v>
      </c>
      <c r="F23" s="119" cm="1">
        <f t="array" ref="F23">Linterp(B23,atmos_h,atmos_qms)*C23^2</f>
        <v>507.71880623827656</v>
      </c>
      <c r="G23" s="33">
        <f>E23*D23/(F23*S)</f>
        <v>0.11585848049945652</v>
      </c>
      <c r="H23" s="33" cm="1">
        <f t="array" ref="H23">InterpolateXY(G23, C23, CD_CL, CD_M, CD_table)</f>
        <v>1.6444693018729618E-2</v>
      </c>
      <c r="I23" s="56">
        <f>H23*F23*S</f>
        <v>1419.3775844321347</v>
      </c>
      <c r="J23" s="56" cm="1">
        <f t="array" ref="J23">InterpolateXY(B23,C23, Tnorm_h, Tnorm_M, Tnorm_table)*numeng</f>
        <v>2837.9226537119189</v>
      </c>
      <c r="K23" s="57">
        <f t="shared" si="0"/>
        <v>0.50014667685732406</v>
      </c>
      <c r="L23" s="41" cm="1">
        <f t="array" ref="L23">InterpolateXYZ(K23,C23,B23,FFnorm_PS,FFnorm_M,FFnorm_h,FFnorm_table)*numeng</f>
        <v>1458.5291386640054</v>
      </c>
    </row>
    <row r="24" spans="2:12" ht="15" thickBot="1">
      <c r="B24" s="42">
        <v>22980</v>
      </c>
      <c r="C24" s="43">
        <v>0.72350000000000003</v>
      </c>
      <c r="D24" s="44">
        <v>11567</v>
      </c>
      <c r="E24" s="45">
        <v>1</v>
      </c>
      <c r="F24" s="119" cm="1">
        <f t="array" ref="F24">Linterp(B24,atmos_h,atmos_qms)*C24^2</f>
        <v>314.03978360895064</v>
      </c>
      <c r="G24" s="33">
        <f>E24*D24/(F24*S)</f>
        <v>0.2166641935892894</v>
      </c>
      <c r="H24" s="33" cm="1">
        <f t="array" ref="H24">InterpolateXY(G24, C24, CD_CL, CD_M, CD_table)</f>
        <v>2.0794512099330587E-2</v>
      </c>
      <c r="I24" s="56">
        <f>H24*F24*S</f>
        <v>1110.1516935876721</v>
      </c>
      <c r="J24" s="56" cm="1">
        <f t="array" ref="J24">InterpolateXY(B24,C24, Tnorm_h, Tnorm_M, Tnorm_table)*numeng</f>
        <v>2304.436375492498</v>
      </c>
      <c r="K24" s="57">
        <f t="shared" si="0"/>
        <v>0.48174543042023166</v>
      </c>
      <c r="L24" s="41" cm="1">
        <f t="array" ref="L24">InterpolateXYZ(K24,C24,B24,FFnorm_PS,FFnorm_M,FFnorm_h,FFnorm_table)*numeng</f>
        <v>1111.0984387890505</v>
      </c>
    </row>
    <row r="25" spans="2:12">
      <c r="L25" t="s">
        <v>527</v>
      </c>
    </row>
    <row r="26" spans="2:12">
      <c r="L26" t="s">
        <v>528</v>
      </c>
    </row>
  </sheetData>
  <mergeCells count="2">
    <mergeCell ref="B2:C2"/>
    <mergeCell ref="B3:C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6DE8F-CAF2-4F46-8E16-6A14A4B0A164}">
  <sheetPr codeName="Sheet32">
    <tabColor rgb="FF92D050"/>
  </sheetPr>
  <dimension ref="A1"/>
  <sheetViews>
    <sheetView topLeftCell="A16" workbookViewId="0">
      <selection activeCell="S12" sqref="S12"/>
    </sheetView>
  </sheetViews>
  <sheetFormatPr defaultRowHeight="14.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770D0-07F5-4EBD-9E90-E855B8B866AC}">
  <sheetPr codeName="Sheet7">
    <tabColor theme="5" tint="0.59999389629810485"/>
  </sheetPr>
  <dimension ref="B1:N26"/>
  <sheetViews>
    <sheetView topLeftCell="A7" zoomScale="89" workbookViewId="0">
      <selection activeCell="F20" sqref="F20"/>
    </sheetView>
  </sheetViews>
  <sheetFormatPr defaultRowHeight="14.5"/>
  <cols>
    <col min="1" max="1" width="2.7265625" customWidth="1"/>
    <col min="2" max="2" width="33.7265625" customWidth="1"/>
    <col min="3" max="8" width="12.7265625" customWidth="1"/>
  </cols>
  <sheetData>
    <row r="1" spans="2:14" ht="15" thickBot="1"/>
    <row r="2" spans="2:14" ht="15" thickBot="1">
      <c r="B2" s="265" t="s">
        <v>151</v>
      </c>
      <c r="C2" s="5"/>
      <c r="D2" s="5" t="s">
        <v>152</v>
      </c>
      <c r="E2" s="405">
        <f>46.4/17.4</f>
        <v>2.666666666666667</v>
      </c>
      <c r="F2" s="5" t="s">
        <v>529</v>
      </c>
      <c r="G2" t="s">
        <v>531</v>
      </c>
    </row>
    <row r="3" spans="2:14" ht="15" thickBot="1">
      <c r="B3" s="266" t="s">
        <v>120</v>
      </c>
      <c r="C3" s="5"/>
      <c r="E3" s="3">
        <f>25.25/9.5</f>
        <v>2.6578947368421053</v>
      </c>
      <c r="F3" t="s">
        <v>530</v>
      </c>
      <c r="G3" t="s">
        <v>532</v>
      </c>
    </row>
    <row r="4" spans="2:14" ht="15" thickBot="1"/>
    <row r="5" spans="2:14" ht="30" customHeight="1" thickBot="1">
      <c r="B5" s="211" t="s">
        <v>306</v>
      </c>
      <c r="C5" s="212"/>
      <c r="D5" s="213" t="s">
        <v>121</v>
      </c>
      <c r="E5" s="214"/>
      <c r="F5" s="213" t="s">
        <v>307</v>
      </c>
      <c r="G5" s="213" t="s">
        <v>308</v>
      </c>
      <c r="H5" s="213" t="s">
        <v>309</v>
      </c>
    </row>
    <row r="6" spans="2:14" ht="18.75" customHeight="1" thickBot="1">
      <c r="B6" s="200" t="s">
        <v>122</v>
      </c>
      <c r="C6" s="201" t="s">
        <v>123</v>
      </c>
      <c r="D6" s="202" t="s">
        <v>310</v>
      </c>
      <c r="E6" s="202" t="s">
        <v>125</v>
      </c>
      <c r="F6" s="207">
        <f>90-57</f>
        <v>33</v>
      </c>
      <c r="G6" s="207">
        <v>35</v>
      </c>
      <c r="H6" s="207">
        <f>90-59</f>
        <v>31</v>
      </c>
    </row>
    <row r="7" spans="2:14" ht="18.75" customHeight="1" thickBot="1">
      <c r="B7" s="200" t="s">
        <v>126</v>
      </c>
      <c r="C7" s="201" t="s">
        <v>127</v>
      </c>
      <c r="D7" s="202" t="s">
        <v>310</v>
      </c>
      <c r="E7" s="202" t="s">
        <v>125</v>
      </c>
      <c r="F7" s="207">
        <v>3.3</v>
      </c>
      <c r="G7" s="207">
        <v>16</v>
      </c>
      <c r="H7" s="207">
        <v>-5.5</v>
      </c>
    </row>
    <row r="8" spans="2:14" ht="18.75" customHeight="1" thickBot="1">
      <c r="B8" s="200" t="s">
        <v>128</v>
      </c>
      <c r="C8" s="201" t="s">
        <v>129</v>
      </c>
      <c r="D8" s="202" t="s">
        <v>310</v>
      </c>
      <c r="E8" s="202" t="s">
        <v>125</v>
      </c>
      <c r="F8" s="207">
        <f>DEGREES(ATAN(TAN(RADIANS(F6))-0.25*F10*(1-F13)/(F11/2)))</f>
        <v>25.019180925286935</v>
      </c>
      <c r="G8" s="207">
        <f>DEGREES(ATAN(TAN(RADIANS(G6))-0.25*G10*(1-G13)/(G12)))</f>
        <v>24.003676650653002</v>
      </c>
      <c r="H8" s="207">
        <f t="shared" ref="H8" si="0">DEGREES(ATAN(TAN(RADIANS(H6))-0.25*H10*(1-H13)/(H11/2)))</f>
        <v>22.975144139963881</v>
      </c>
      <c r="J8" t="s">
        <v>533</v>
      </c>
      <c r="N8" t="s">
        <v>534</v>
      </c>
    </row>
    <row r="9" spans="2:14" ht="18.75" customHeight="1" thickBot="1">
      <c r="B9" s="200" t="s">
        <v>130</v>
      </c>
      <c r="C9" s="202" t="s">
        <v>131</v>
      </c>
      <c r="D9" s="202" t="s">
        <v>132</v>
      </c>
      <c r="E9" s="202" t="s">
        <v>125</v>
      </c>
      <c r="F9" s="207">
        <f>0.6*E2</f>
        <v>1.6</v>
      </c>
      <c r="G9" s="207">
        <f>0.9*E2</f>
        <v>2.4000000000000004</v>
      </c>
      <c r="H9" s="207">
        <f>0.8*E2</f>
        <v>2.1333333333333337</v>
      </c>
    </row>
    <row r="10" spans="2:14" ht="18.75" customHeight="1" thickBot="1">
      <c r="B10" s="200" t="s">
        <v>133</v>
      </c>
      <c r="C10" s="202" t="s">
        <v>134</v>
      </c>
      <c r="D10" s="202" t="s">
        <v>132</v>
      </c>
      <c r="E10" s="202" t="s">
        <v>125</v>
      </c>
      <c r="F10" s="207">
        <f>2.5*E2</f>
        <v>6.6666666666666679</v>
      </c>
      <c r="G10" s="207">
        <f>3.5*E2</f>
        <v>9.3333333333333339</v>
      </c>
      <c r="H10" s="207">
        <f>4.15*E2</f>
        <v>11.066666666666668</v>
      </c>
    </row>
    <row r="11" spans="2:14" ht="18.75" customHeight="1" thickBot="1">
      <c r="B11" s="200" t="s">
        <v>311</v>
      </c>
      <c r="C11" s="202" t="s">
        <v>135</v>
      </c>
      <c r="D11" s="202" t="s">
        <v>132</v>
      </c>
      <c r="E11" s="202" t="s">
        <v>125</v>
      </c>
      <c r="F11" s="207">
        <f>5.2*E2</f>
        <v>13.866666666666669</v>
      </c>
      <c r="G11" s="203" t="s">
        <v>93</v>
      </c>
      <c r="H11" s="207">
        <v>25.25</v>
      </c>
    </row>
    <row r="12" spans="2:14" ht="18.75" customHeight="1" thickBot="1">
      <c r="B12" s="200" t="s">
        <v>312</v>
      </c>
      <c r="C12" s="202" t="s">
        <v>282</v>
      </c>
      <c r="D12" s="202" t="s">
        <v>132</v>
      </c>
      <c r="E12" s="202" t="s">
        <v>125</v>
      </c>
      <c r="F12" s="203" t="s">
        <v>93</v>
      </c>
      <c r="G12" s="207">
        <f>2.55*E2</f>
        <v>6.8000000000000007</v>
      </c>
      <c r="H12" s="203" t="s">
        <v>93</v>
      </c>
    </row>
    <row r="13" spans="2:14" ht="18.75" customHeight="1" thickBot="1">
      <c r="B13" s="200" t="s">
        <v>136</v>
      </c>
      <c r="C13" s="201" t="s">
        <v>137</v>
      </c>
      <c r="D13" s="202" t="s">
        <v>138</v>
      </c>
      <c r="E13" s="202" t="s">
        <v>81</v>
      </c>
      <c r="F13" s="208">
        <f>F9/F10</f>
        <v>0.23999999999999996</v>
      </c>
      <c r="G13" s="208">
        <f>G9/G10</f>
        <v>0.25714285714285717</v>
      </c>
      <c r="H13" s="208">
        <f>H9/H10</f>
        <v>0.19277108433734941</v>
      </c>
    </row>
    <row r="14" spans="2:14" ht="18.75" customHeight="1" thickBot="1">
      <c r="B14" s="200" t="s">
        <v>313</v>
      </c>
      <c r="C14" s="202" t="s">
        <v>35</v>
      </c>
      <c r="D14" s="202" t="s">
        <v>139</v>
      </c>
      <c r="E14" s="202" t="s">
        <v>125</v>
      </c>
      <c r="F14" s="207">
        <f t="shared" ref="F14" si="1">0.5*(F10+F9)*F11</f>
        <v>57.315555555555569</v>
      </c>
      <c r="G14" s="207">
        <f>0.5*(G10+G9)*G12</f>
        <v>39.893333333333338</v>
      </c>
      <c r="H14" s="207">
        <f>0.5*(H10+H9)*H11</f>
        <v>166.65000000000003</v>
      </c>
    </row>
    <row r="15" spans="2:14" ht="18.75" customHeight="1" thickBot="1">
      <c r="B15" s="200" t="s">
        <v>140</v>
      </c>
      <c r="C15" s="202" t="s">
        <v>21</v>
      </c>
      <c r="D15" s="202" t="s">
        <v>138</v>
      </c>
      <c r="E15" s="202" t="s">
        <v>81</v>
      </c>
      <c r="F15" s="208">
        <f>F11^2/F14</f>
        <v>3.3548387096774199</v>
      </c>
      <c r="G15" s="208">
        <f>(G12^2)/G14</f>
        <v>1.1590909090909092</v>
      </c>
      <c r="H15" s="208">
        <f>(H11^2)/H14</f>
        <v>3.8257575757575748</v>
      </c>
    </row>
    <row r="16" spans="2:14" ht="18.75" customHeight="1" thickBot="1">
      <c r="B16" s="200" t="s">
        <v>141</v>
      </c>
      <c r="C16" s="202" t="s">
        <v>142</v>
      </c>
      <c r="D16" s="202" t="s">
        <v>132</v>
      </c>
      <c r="E16" s="202" t="s">
        <v>125</v>
      </c>
      <c r="F16" s="207">
        <f>(2/3)*F10*(1+F13+F13^2)/(1+F13)</f>
        <v>4.650896057347671</v>
      </c>
      <c r="G16" s="207">
        <f t="shared" ref="G16:H16" si="2">(2/3)*G10*(1+G13+G13^2)/(1+G13)</f>
        <v>6.5494949494949495</v>
      </c>
      <c r="H16" s="207">
        <f t="shared" si="2"/>
        <v>7.6076318742985425</v>
      </c>
      <c r="I16" t="s">
        <v>536</v>
      </c>
      <c r="J16">
        <f>F16/(4*$E$2)</f>
        <v>0.4360215053763441</v>
      </c>
      <c r="K16">
        <f t="shared" ref="K16:L16" si="3">G16/(4*$E$2)</f>
        <v>0.6140151515151514</v>
      </c>
      <c r="L16">
        <f t="shared" si="3"/>
        <v>0.7132154882154883</v>
      </c>
    </row>
    <row r="17" spans="2:12" ht="18.75" customHeight="1" thickBot="1">
      <c r="B17" s="200" t="s">
        <v>143</v>
      </c>
      <c r="C17" s="202" t="s">
        <v>144</v>
      </c>
      <c r="D17" s="202" t="s">
        <v>132</v>
      </c>
      <c r="E17" s="202" t="s">
        <v>125</v>
      </c>
      <c r="F17" s="207">
        <f>(F11/6)*(1+2*F13)/(1+F13)</f>
        <v>2.7584229390681005</v>
      </c>
      <c r="G17" s="207">
        <f>(G12/3)*(1+2*G13)/(1+G13)</f>
        <v>2.7303030303030309</v>
      </c>
      <c r="H17" s="207">
        <f t="shared" ref="H17" si="4">(H11/6)*(1+2*H13)/(1+H13)</f>
        <v>4.888468013468013</v>
      </c>
      <c r="I17" t="s">
        <v>535</v>
      </c>
      <c r="J17">
        <f>F17/($E$2)</f>
        <v>1.0344086021505376</v>
      </c>
      <c r="K17">
        <f t="shared" ref="K17:L17" si="5">G17/($E$2)</f>
        <v>1.0238636363636364</v>
      </c>
      <c r="L17">
        <f t="shared" si="5"/>
        <v>1.8331755050505047</v>
      </c>
    </row>
    <row r="18" spans="2:12" ht="34.5" customHeight="1" thickBot="1">
      <c r="B18" s="215" t="s">
        <v>322</v>
      </c>
      <c r="C18" s="216" t="s">
        <v>314</v>
      </c>
      <c r="D18" s="216" t="s">
        <v>132</v>
      </c>
      <c r="E18" s="216" t="s">
        <v>125</v>
      </c>
      <c r="F18" s="217">
        <f>4.6*E2</f>
        <v>12.266666666666667</v>
      </c>
      <c r="G18" s="210" t="s">
        <v>93</v>
      </c>
      <c r="H18" s="210" t="s">
        <v>93</v>
      </c>
      <c r="J18" t="s">
        <v>537</v>
      </c>
      <c r="K18" t="s">
        <v>534</v>
      </c>
      <c r="L18" t="s">
        <v>538</v>
      </c>
    </row>
    <row r="19" spans="2:12" ht="34.5" customHeight="1" thickBot="1">
      <c r="B19" s="218" t="s">
        <v>323</v>
      </c>
      <c r="C19" s="216" t="s">
        <v>315</v>
      </c>
      <c r="D19" s="216" t="s">
        <v>132</v>
      </c>
      <c r="E19" s="219" t="s">
        <v>125</v>
      </c>
      <c r="F19" s="213" t="s">
        <v>93</v>
      </c>
      <c r="G19" s="220">
        <f>4.1*E2</f>
        <v>10.933333333333334</v>
      </c>
      <c r="H19" s="213" t="s">
        <v>93</v>
      </c>
    </row>
    <row r="20" spans="2:12" ht="18" thickBot="1">
      <c r="B20" s="200" t="s">
        <v>316</v>
      </c>
      <c r="C20" s="219" t="s">
        <v>317</v>
      </c>
      <c r="D20" s="219" t="s">
        <v>138</v>
      </c>
      <c r="E20" s="202" t="s">
        <v>81</v>
      </c>
      <c r="F20" s="208">
        <f>F18*F14/(H14*H16)</f>
        <v>0.55455453724293691</v>
      </c>
      <c r="G20" s="203" t="s">
        <v>93</v>
      </c>
      <c r="H20" s="203" t="s">
        <v>93</v>
      </c>
    </row>
    <row r="21" spans="2:12" ht="18" thickBot="1">
      <c r="B21" s="200" t="s">
        <v>318</v>
      </c>
      <c r="C21" s="202" t="s">
        <v>319</v>
      </c>
      <c r="D21" s="202" t="s">
        <v>138</v>
      </c>
      <c r="E21" s="202" t="s">
        <v>81</v>
      </c>
      <c r="F21" s="203" t="s">
        <v>93</v>
      </c>
      <c r="G21" s="208">
        <f>G19*G14/(H11*H14)</f>
        <v>0.10365403537053373</v>
      </c>
      <c r="H21" s="203" t="s">
        <v>93</v>
      </c>
    </row>
    <row r="22" spans="2:12" ht="30" customHeight="1" thickBot="1">
      <c r="B22" s="204" t="s">
        <v>145</v>
      </c>
      <c r="C22" s="205"/>
      <c r="D22" s="205"/>
      <c r="E22" s="205"/>
      <c r="F22" s="203" t="s">
        <v>320</v>
      </c>
      <c r="G22" s="206"/>
      <c r="H22" s="206"/>
    </row>
    <row r="23" spans="2:12" ht="18.75" customHeight="1" thickBot="1">
      <c r="B23" s="200" t="s">
        <v>146</v>
      </c>
      <c r="C23" s="202" t="s">
        <v>147</v>
      </c>
      <c r="D23" s="202" t="s">
        <v>132</v>
      </c>
      <c r="E23" s="202" t="s">
        <v>125</v>
      </c>
      <c r="F23" s="207">
        <f>5.1*E2</f>
        <v>13.600000000000001</v>
      </c>
      <c r="G23" s="203" t="s">
        <v>93</v>
      </c>
      <c r="H23" s="203" t="s">
        <v>93</v>
      </c>
    </row>
    <row r="24" spans="2:12" ht="18.75" customHeight="1" thickBot="1">
      <c r="B24" s="200" t="s">
        <v>148</v>
      </c>
      <c r="C24" s="202" t="s">
        <v>149</v>
      </c>
      <c r="D24" s="202" t="s">
        <v>132</v>
      </c>
      <c r="E24" s="202" t="s">
        <v>125</v>
      </c>
      <c r="F24" s="209">
        <v>46.4</v>
      </c>
      <c r="G24" s="203" t="s">
        <v>93</v>
      </c>
      <c r="H24" s="203" t="s">
        <v>93</v>
      </c>
    </row>
    <row r="25" spans="2:12" ht="18.75" customHeight="1" thickBot="1">
      <c r="B25" s="200" t="s">
        <v>150</v>
      </c>
      <c r="C25" s="201" t="s">
        <v>82</v>
      </c>
      <c r="D25" s="202" t="s">
        <v>124</v>
      </c>
      <c r="E25" s="202" t="s">
        <v>125</v>
      </c>
      <c r="F25" s="207">
        <v>15</v>
      </c>
      <c r="G25" s="203" t="s">
        <v>93</v>
      </c>
      <c r="H25" s="203" t="s">
        <v>93</v>
      </c>
    </row>
    <row r="26" spans="2:12" ht="34.5" customHeight="1" thickBot="1">
      <c r="B26" s="200" t="s">
        <v>321</v>
      </c>
      <c r="C26" s="202"/>
      <c r="D26" s="202" t="s">
        <v>132</v>
      </c>
      <c r="E26" s="202" t="s">
        <v>125</v>
      </c>
      <c r="F26" s="207" t="s">
        <v>93</v>
      </c>
      <c r="G26" s="203" t="s">
        <v>93</v>
      </c>
      <c r="H26" s="203" t="s">
        <v>93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9A59C-2F93-4B40-8F9A-216819AD4F6C}">
  <sheetPr codeName="Sheet6">
    <tabColor theme="7" tint="0.59999389629810485"/>
  </sheetPr>
  <dimension ref="B1:P64"/>
  <sheetViews>
    <sheetView zoomScale="85" zoomScaleNormal="100" workbookViewId="0">
      <selection activeCell="E23" sqref="E23"/>
    </sheetView>
  </sheetViews>
  <sheetFormatPr defaultRowHeight="14.5"/>
  <cols>
    <col min="1" max="1" width="2.7265625" customWidth="1"/>
    <col min="2" max="17" width="12.7265625" customWidth="1"/>
  </cols>
  <sheetData>
    <row r="1" spans="2:16" ht="15" thickBot="1"/>
    <row r="2" spans="2:16">
      <c r="B2" s="557" t="s">
        <v>324</v>
      </c>
      <c r="C2" s="558"/>
    </row>
    <row r="3" spans="2:16" ht="15" thickBot="1">
      <c r="B3" s="559" t="s">
        <v>95</v>
      </c>
      <c r="C3" s="560"/>
    </row>
    <row r="4" spans="2:16" ht="15" thickBot="1"/>
    <row r="5" spans="2:16" ht="15" thickBot="1">
      <c r="B5" s="84" t="s">
        <v>96</v>
      </c>
      <c r="G5" s="84" t="s">
        <v>104</v>
      </c>
      <c r="L5" s="84" t="s">
        <v>117</v>
      </c>
    </row>
    <row r="6" spans="2:16" ht="15" thickBot="1"/>
    <row r="7" spans="2:16" ht="15" thickBot="1">
      <c r="B7" s="5" t="s">
        <v>97</v>
      </c>
      <c r="D7" s="63"/>
      <c r="G7" s="5" t="s">
        <v>97</v>
      </c>
      <c r="L7" s="561" t="s">
        <v>106</v>
      </c>
      <c r="M7" s="562"/>
      <c r="N7" s="562"/>
      <c r="O7" s="562"/>
      <c r="P7" s="563"/>
    </row>
    <row r="8" spans="2:16">
      <c r="B8" s="64" t="s">
        <v>93</v>
      </c>
      <c r="C8" s="66" t="s">
        <v>94</v>
      </c>
      <c r="G8" s="64" t="s">
        <v>93</v>
      </c>
      <c r="H8" s="66" t="s">
        <v>94</v>
      </c>
      <c r="L8" s="51" t="s">
        <v>72</v>
      </c>
      <c r="M8" s="28" t="s">
        <v>108</v>
      </c>
      <c r="N8" s="28" t="s">
        <v>109</v>
      </c>
      <c r="O8" s="28" t="s">
        <v>110</v>
      </c>
      <c r="P8" s="52" t="s">
        <v>111</v>
      </c>
    </row>
    <row r="9" spans="2:16">
      <c r="B9" s="70">
        <v>1</v>
      </c>
      <c r="C9" s="71">
        <v>6</v>
      </c>
      <c r="G9" s="152">
        <v>0.81</v>
      </c>
      <c r="H9" s="71">
        <v>62.5</v>
      </c>
      <c r="L9" s="51" t="s">
        <v>48</v>
      </c>
      <c r="M9" s="28" t="s">
        <v>112</v>
      </c>
      <c r="N9" s="28" t="s">
        <v>113</v>
      </c>
      <c r="O9" s="28" t="s">
        <v>114</v>
      </c>
      <c r="P9" s="52" t="s">
        <v>114</v>
      </c>
    </row>
    <row r="10" spans="2:16">
      <c r="B10" s="70">
        <v>2</v>
      </c>
      <c r="C10" s="71">
        <v>12</v>
      </c>
      <c r="G10" s="152">
        <v>0.82</v>
      </c>
      <c r="H10" s="71">
        <v>29.6</v>
      </c>
      <c r="L10" s="51" t="s">
        <v>81</v>
      </c>
      <c r="M10" s="28" t="s">
        <v>81</v>
      </c>
      <c r="N10" s="28" t="s">
        <v>125</v>
      </c>
      <c r="O10" s="28" t="s">
        <v>81</v>
      </c>
      <c r="P10" s="52" t="s">
        <v>81</v>
      </c>
    </row>
    <row r="11" spans="2:16" ht="15" thickBot="1">
      <c r="B11" s="72">
        <v>5</v>
      </c>
      <c r="C11" s="73">
        <v>10</v>
      </c>
      <c r="G11" s="153">
        <v>0.83</v>
      </c>
      <c r="H11" s="73">
        <v>-10.199999999999999</v>
      </c>
      <c r="L11" s="100">
        <v>0.25</v>
      </c>
      <c r="M11" s="31">
        <v>0</v>
      </c>
      <c r="N11" s="101">
        <v>6528.6</v>
      </c>
      <c r="O11" s="32">
        <v>0</v>
      </c>
      <c r="P11" s="98">
        <v>0</v>
      </c>
    </row>
    <row r="12" spans="2:16" ht="15" thickBot="1">
      <c r="L12" s="102">
        <v>0.45</v>
      </c>
      <c r="M12" s="45">
        <v>55.831024314842786</v>
      </c>
      <c r="N12" s="103">
        <v>6868</v>
      </c>
      <c r="O12" s="46">
        <f>(M12-M11)*(1/3600)*(N12+N11)/2</f>
        <v>103.88137504669763</v>
      </c>
      <c r="P12" s="99">
        <f>P11+O12</f>
        <v>103.88137504669763</v>
      </c>
    </row>
    <row r="13" spans="2:16" ht="15" thickBot="1">
      <c r="B13" s="5" t="s">
        <v>98</v>
      </c>
      <c r="G13" s="5" t="s">
        <v>98</v>
      </c>
    </row>
    <row r="14" spans="2:16">
      <c r="B14" s="64" t="s">
        <v>90</v>
      </c>
      <c r="C14" s="65" t="s">
        <v>91</v>
      </c>
      <c r="D14" s="66" t="s">
        <v>92</v>
      </c>
      <c r="G14" s="85" t="s">
        <v>90</v>
      </c>
      <c r="H14" s="86" t="s">
        <v>91</v>
      </c>
      <c r="I14" s="87" t="s">
        <v>92</v>
      </c>
      <c r="L14" s="561" t="s">
        <v>115</v>
      </c>
      <c r="M14" s="562"/>
      <c r="N14" s="562"/>
      <c r="O14" s="562"/>
      <c r="P14" s="563"/>
    </row>
    <row r="15" spans="2:16" ht="15" thickBot="1">
      <c r="B15" s="67">
        <f>(1/(B10-B11)*((C10-C9)/(B10-B9)-(C11-C9)/(B11-B9)))</f>
        <v>-1.6666666666666665</v>
      </c>
      <c r="C15" s="68">
        <f>(C10-C9)/(B10-B9)-B15*(B10+B9)</f>
        <v>11</v>
      </c>
      <c r="D15" s="69">
        <f>C9-C15*B9-B15*B9*B9</f>
        <v>-3.3333333333333335</v>
      </c>
      <c r="G15" s="88">
        <f>1/(G10-G11)*((H10-H9)/(G10-G9)-(H11-H9)/(G11-G9))</f>
        <v>-34499.999999998334</v>
      </c>
      <c r="H15" s="89">
        <f>(H10-H9)/(G10-G9)-G15*(G10+G9)</f>
        <v>52944.999999997242</v>
      </c>
      <c r="I15" s="90">
        <f>H9-H15*G9-G15*G9*G9</f>
        <v>-20187.499999998858</v>
      </c>
      <c r="L15" s="51" t="s">
        <v>72</v>
      </c>
      <c r="M15" s="28" t="s">
        <v>108</v>
      </c>
      <c r="N15" s="28" t="s">
        <v>109</v>
      </c>
      <c r="O15" s="28" t="s">
        <v>110</v>
      </c>
      <c r="P15" s="52" t="s">
        <v>111</v>
      </c>
    </row>
    <row r="16" spans="2:16">
      <c r="L16" s="51" t="s">
        <v>48</v>
      </c>
      <c r="M16" s="28" t="s">
        <v>112</v>
      </c>
      <c r="N16" s="28" t="s">
        <v>113</v>
      </c>
      <c r="O16" s="28" t="s">
        <v>114</v>
      </c>
      <c r="P16" s="52" t="s">
        <v>114</v>
      </c>
    </row>
    <row r="17" spans="2:16" ht="17" thickBot="1">
      <c r="B17" s="5" t="s">
        <v>99</v>
      </c>
      <c r="G17" s="5" t="s">
        <v>99</v>
      </c>
      <c r="L17" s="51" t="s">
        <v>81</v>
      </c>
      <c r="M17" s="28" t="s">
        <v>81</v>
      </c>
      <c r="N17" s="28" t="s">
        <v>125</v>
      </c>
      <c r="O17" s="28" t="s">
        <v>81</v>
      </c>
      <c r="P17" s="52" t="s">
        <v>81</v>
      </c>
    </row>
    <row r="18" spans="2:16" ht="15" thickBot="1">
      <c r="B18" s="64" t="s">
        <v>93</v>
      </c>
      <c r="C18" s="66" t="s">
        <v>94</v>
      </c>
      <c r="G18" s="91" t="s">
        <v>93</v>
      </c>
      <c r="H18" s="92" t="s">
        <v>94</v>
      </c>
      <c r="L18" s="100">
        <v>0.25</v>
      </c>
      <c r="M18" s="31">
        <v>0</v>
      </c>
      <c r="N18" s="101">
        <v>6528.6</v>
      </c>
      <c r="O18" s="32">
        <v>0</v>
      </c>
      <c r="P18" s="98">
        <v>0</v>
      </c>
    </row>
    <row r="19" spans="2:16">
      <c r="B19" s="70">
        <v>-3</v>
      </c>
      <c r="C19" s="74">
        <f>$B$15*B19*B19+$C$15*B19+$D$15</f>
        <v>-51.333333333333336</v>
      </c>
      <c r="G19" s="93">
        <v>0.76</v>
      </c>
      <c r="H19" s="234">
        <f>$G$15*G19*G19+$H$15*G19+$I$15</f>
        <v>123.50000000000728</v>
      </c>
      <c r="L19" s="100">
        <v>0.35</v>
      </c>
      <c r="M19" s="31">
        <v>19.83627589864518</v>
      </c>
      <c r="N19" s="101">
        <v>6678.5999999999995</v>
      </c>
      <c r="O19" s="32">
        <f>(M19-M18)*(1/3600)*(N19+N18)/2</f>
        <v>36.386342090081477</v>
      </c>
      <c r="P19" s="98">
        <f>O19+P18</f>
        <v>36.386342090081477</v>
      </c>
    </row>
    <row r="20" spans="2:16" ht="15" thickBot="1">
      <c r="B20" s="70">
        <v>-2</v>
      </c>
      <c r="C20" s="74">
        <f t="shared" ref="C20:C28" si="0">$B$15*B20*B20+$C$15*B20+$D$15</f>
        <v>-31.999999999999996</v>
      </c>
      <c r="G20" s="70">
        <v>0.77</v>
      </c>
      <c r="H20" s="235">
        <f t="shared" ref="H20:H28" si="1">$G$15*G20*G20+$H$15*G20+$I$15</f>
        <v>125.10000000000582</v>
      </c>
      <c r="L20" s="102">
        <v>0.44999999999999996</v>
      </c>
      <c r="M20" s="45">
        <v>57.26679373137496</v>
      </c>
      <c r="N20" s="103">
        <v>6868</v>
      </c>
      <c r="O20" s="424">
        <f>(M20-M19)*(1/3600)*(N20+N19)/2</f>
        <v>70.424479565674602</v>
      </c>
      <c r="P20" s="98">
        <f>O20+P19</f>
        <v>106.81082165575609</v>
      </c>
    </row>
    <row r="21" spans="2:16" ht="15" thickBot="1">
      <c r="B21" s="70">
        <v>-1</v>
      </c>
      <c r="C21" s="74">
        <f t="shared" si="0"/>
        <v>-16</v>
      </c>
      <c r="G21" s="70">
        <v>0.78</v>
      </c>
      <c r="H21" s="235">
        <f t="shared" si="1"/>
        <v>119.80000000000655</v>
      </c>
    </row>
    <row r="22" spans="2:16">
      <c r="B22" s="70">
        <v>0</v>
      </c>
      <c r="C22" s="74">
        <f t="shared" si="0"/>
        <v>-3.3333333333333335</v>
      </c>
      <c r="G22" s="70">
        <v>0.79</v>
      </c>
      <c r="H22" s="235">
        <f t="shared" si="1"/>
        <v>107.59999999999854</v>
      </c>
      <c r="L22" s="561" t="s">
        <v>116</v>
      </c>
      <c r="M22" s="562"/>
      <c r="N22" s="562"/>
      <c r="O22" s="562"/>
      <c r="P22" s="563"/>
    </row>
    <row r="23" spans="2:16">
      <c r="B23" s="70">
        <v>1</v>
      </c>
      <c r="C23" s="74">
        <f t="shared" si="0"/>
        <v>6</v>
      </c>
      <c r="G23" s="70">
        <v>0.8</v>
      </c>
      <c r="H23" s="235">
        <f t="shared" si="1"/>
        <v>88.5</v>
      </c>
      <c r="L23" s="51" t="s">
        <v>72</v>
      </c>
      <c r="M23" s="28" t="s">
        <v>108</v>
      </c>
      <c r="N23" s="28" t="s">
        <v>109</v>
      </c>
      <c r="O23" s="28" t="s">
        <v>110</v>
      </c>
      <c r="P23" s="52" t="s">
        <v>111</v>
      </c>
    </row>
    <row r="24" spans="2:16">
      <c r="B24" s="70">
        <v>2</v>
      </c>
      <c r="C24" s="74">
        <f t="shared" si="0"/>
        <v>12</v>
      </c>
      <c r="G24" s="70">
        <v>0.81</v>
      </c>
      <c r="H24" s="235">
        <f t="shared" si="1"/>
        <v>62.5</v>
      </c>
      <c r="L24" s="51" t="s">
        <v>48</v>
      </c>
      <c r="M24" s="28" t="s">
        <v>112</v>
      </c>
      <c r="N24" s="28" t="s">
        <v>113</v>
      </c>
      <c r="O24" s="28" t="s">
        <v>114</v>
      </c>
      <c r="P24" s="52" t="s">
        <v>114</v>
      </c>
    </row>
    <row r="25" spans="2:16">
      <c r="B25" s="70">
        <v>3</v>
      </c>
      <c r="C25" s="74">
        <f t="shared" si="0"/>
        <v>14.666666666666666</v>
      </c>
      <c r="G25" s="70">
        <v>0.82</v>
      </c>
      <c r="H25" s="235">
        <f t="shared" si="1"/>
        <v>29.600000000005821</v>
      </c>
      <c r="L25" s="51" t="s">
        <v>81</v>
      </c>
      <c r="M25" s="28" t="s">
        <v>81</v>
      </c>
      <c r="N25" s="28" t="s">
        <v>125</v>
      </c>
      <c r="O25" s="28" t="s">
        <v>81</v>
      </c>
      <c r="P25" s="52" t="s">
        <v>81</v>
      </c>
    </row>
    <row r="26" spans="2:16">
      <c r="B26" s="70">
        <v>4</v>
      </c>
      <c r="C26" s="74">
        <f t="shared" si="0"/>
        <v>14.000000000000002</v>
      </c>
      <c r="G26" s="70">
        <v>0.83</v>
      </c>
      <c r="H26" s="235">
        <f t="shared" si="1"/>
        <v>-10.200000000000728</v>
      </c>
      <c r="L26" s="100">
        <v>0.25</v>
      </c>
      <c r="M26" s="31">
        <v>0</v>
      </c>
      <c r="N26" s="101">
        <v>6528.6</v>
      </c>
      <c r="O26" s="32">
        <v>0</v>
      </c>
      <c r="P26" s="98">
        <v>0</v>
      </c>
    </row>
    <row r="27" spans="2:16">
      <c r="B27" s="70">
        <v>5</v>
      </c>
      <c r="C27" s="74">
        <f t="shared" si="0"/>
        <v>10.000000000000009</v>
      </c>
      <c r="G27" s="70">
        <v>0.84</v>
      </c>
      <c r="H27" s="235">
        <f t="shared" si="1"/>
        <v>-56.899999999997817</v>
      </c>
      <c r="L27" s="100">
        <v>0.3</v>
      </c>
      <c r="M27" s="31">
        <v>8.9582314886800631</v>
      </c>
      <c r="N27" s="101">
        <v>6589.2</v>
      </c>
      <c r="O27" s="32">
        <f>(M27-M26)*(1/3600)*(N27+N26)/2</f>
        <v>16.321151253084352</v>
      </c>
      <c r="P27" s="98">
        <f>O27+P26</f>
        <v>16.321151253084352</v>
      </c>
    </row>
    <row r="28" spans="2:16" ht="15" thickBot="1">
      <c r="B28" s="72">
        <v>6</v>
      </c>
      <c r="C28" s="69">
        <f t="shared" si="0"/>
        <v>2.6666666666666665</v>
      </c>
      <c r="G28" s="72">
        <v>0.85</v>
      </c>
      <c r="H28" s="90">
        <f t="shared" si="1"/>
        <v>-110.49999999999272</v>
      </c>
      <c r="L28" s="100">
        <v>0.35</v>
      </c>
      <c r="M28" s="31">
        <v>19.661972777030538</v>
      </c>
      <c r="N28" s="101">
        <v>6678.5999999999995</v>
      </c>
      <c r="O28" s="32">
        <f t="shared" ref="O28:O30" si="2">(M28-M27)*(1/3600)*(N28+N27)/2</f>
        <v>19.724319259107837</v>
      </c>
      <c r="P28" s="98">
        <f t="shared" ref="P28:P30" si="3">O28+P27</f>
        <v>36.045470512192189</v>
      </c>
    </row>
    <row r="29" spans="2:16" ht="15" thickBot="1">
      <c r="B29" s="55"/>
      <c r="C29" s="83"/>
      <c r="L29" s="100">
        <v>0.39999999999999997</v>
      </c>
      <c r="M29" s="31">
        <v>34.199099925102914</v>
      </c>
      <c r="N29" s="101">
        <v>6768</v>
      </c>
      <c r="O29" s="32">
        <f t="shared" si="2"/>
        <v>27.149296376287499</v>
      </c>
      <c r="P29" s="98">
        <f t="shared" si="3"/>
        <v>63.194766888479691</v>
      </c>
    </row>
    <row r="30" spans="2:16" ht="15" thickBot="1">
      <c r="B30" s="75"/>
      <c r="C30" s="36" t="s">
        <v>100</v>
      </c>
      <c r="D30" s="50" t="s">
        <v>101</v>
      </c>
      <c r="G30" s="75"/>
      <c r="H30" s="36" t="s">
        <v>100</v>
      </c>
      <c r="I30" s="50" t="s">
        <v>105</v>
      </c>
      <c r="L30" s="102">
        <v>0.44999999999999996</v>
      </c>
      <c r="M30" s="45">
        <v>59.445559455810589</v>
      </c>
      <c r="N30" s="103">
        <v>6868</v>
      </c>
      <c r="O30" s="46">
        <f t="shared" si="2"/>
        <v>47.813989188990256</v>
      </c>
      <c r="P30" s="98">
        <f t="shared" si="3"/>
        <v>111.00875607746994</v>
      </c>
    </row>
    <row r="31" spans="2:16" ht="15" thickBot="1">
      <c r="B31" s="80"/>
      <c r="C31" s="81" t="s">
        <v>80</v>
      </c>
      <c r="D31" s="82" t="s">
        <v>80</v>
      </c>
      <c r="G31" s="94"/>
      <c r="H31" s="28" t="s">
        <v>80</v>
      </c>
      <c r="I31" s="52" t="s">
        <v>80</v>
      </c>
    </row>
    <row r="32" spans="2:16">
      <c r="B32" s="76" t="s">
        <v>356</v>
      </c>
      <c r="C32" s="29">
        <f>-C15/(2*B15)</f>
        <v>3.3000000000000003</v>
      </c>
      <c r="D32" s="78" cm="1">
        <f t="array" ref="D32">x_at_ymax(B19:B28,C19:C28)</f>
        <v>3.3000000000000003</v>
      </c>
      <c r="G32" s="51" t="s">
        <v>102</v>
      </c>
      <c r="H32" s="29">
        <f>(-H15+SQRT(H15*H15-4*I15*G15))/(2*G15)</f>
        <v>0.70704218197656965</v>
      </c>
      <c r="I32" s="96"/>
      <c r="L32" s="561" t="s">
        <v>107</v>
      </c>
      <c r="M32" s="562"/>
      <c r="N32" s="562"/>
      <c r="O32" s="562"/>
      <c r="P32" s="563"/>
    </row>
    <row r="33" spans="2:16" ht="15" thickBot="1">
      <c r="B33" s="77" t="s">
        <v>357</v>
      </c>
      <c r="C33" s="43">
        <f>D15-C15*C15/(4*B15)</f>
        <v>14.816666666666668</v>
      </c>
      <c r="D33" s="79" cm="1">
        <f t="array" ref="D33">y_max(B19:B28,C19:C28)</f>
        <v>14.816666666666666</v>
      </c>
      <c r="G33" s="51" t="s">
        <v>103</v>
      </c>
      <c r="H33" s="29">
        <f>(-H15-SQRT(H15*H15-4*I15*G15))/(2*G15)</f>
        <v>0.82759549918284481</v>
      </c>
      <c r="I33" s="96"/>
      <c r="L33" s="51" t="s">
        <v>72</v>
      </c>
      <c r="M33" s="28" t="s">
        <v>108</v>
      </c>
      <c r="N33" s="28" t="s">
        <v>109</v>
      </c>
      <c r="O33" s="28" t="s">
        <v>110</v>
      </c>
      <c r="P33" s="52" t="s">
        <v>111</v>
      </c>
    </row>
    <row r="34" spans="2:16">
      <c r="G34" s="51" t="s">
        <v>358</v>
      </c>
      <c r="H34" s="29">
        <f>IF(ABS(H32)&lt;=ABS(G11),(IF(ABS(H32)&gt;=ABS(G10),H32,H33)),H33)</f>
        <v>0.82759549918284481</v>
      </c>
      <c r="I34" s="78" cm="1">
        <f t="array" ref="I34">x_at_y0(G19:G28,H19:H28)</f>
        <v>0.8275954991828447</v>
      </c>
      <c r="L34" s="51" t="s">
        <v>48</v>
      </c>
      <c r="M34" s="28" t="s">
        <v>112</v>
      </c>
      <c r="N34" s="28" t="s">
        <v>113</v>
      </c>
      <c r="O34" s="28" t="s">
        <v>114</v>
      </c>
      <c r="P34" s="52" t="s">
        <v>114</v>
      </c>
    </row>
    <row r="35" spans="2:16" ht="15" thickBot="1">
      <c r="G35" s="97" t="s">
        <v>359</v>
      </c>
      <c r="H35" s="43">
        <f>G15*H34*H34+H15*H34+I15</f>
        <v>0</v>
      </c>
      <c r="I35" s="79">
        <v>0</v>
      </c>
      <c r="L35" s="51" t="s">
        <v>81</v>
      </c>
      <c r="M35" s="28" t="s">
        <v>81</v>
      </c>
      <c r="N35" s="28" t="s">
        <v>125</v>
      </c>
      <c r="O35" s="28" t="s">
        <v>81</v>
      </c>
      <c r="P35" s="52" t="s">
        <v>81</v>
      </c>
    </row>
    <row r="36" spans="2:16">
      <c r="L36" s="100">
        <v>0.25</v>
      </c>
      <c r="M36" s="31">
        <v>0</v>
      </c>
      <c r="N36" s="101">
        <v>6528.6</v>
      </c>
      <c r="O36" s="32">
        <v>0</v>
      </c>
      <c r="P36" s="98">
        <v>0</v>
      </c>
    </row>
    <row r="37" spans="2:16">
      <c r="L37" s="100">
        <v>0.26</v>
      </c>
      <c r="M37" s="31">
        <v>1.6910592406300071</v>
      </c>
      <c r="N37" s="101">
        <v>6540.72</v>
      </c>
      <c r="O37" s="32">
        <f>(M37-M36)*(1/3600)*(N37+N36)/2</f>
        <v>3.0695825492709119</v>
      </c>
      <c r="P37" s="98">
        <f>O37+P36</f>
        <v>3.0695825492709119</v>
      </c>
    </row>
    <row r="38" spans="2:16">
      <c r="L38" s="100">
        <v>0.27</v>
      </c>
      <c r="M38" s="31">
        <v>3.4136240862255418</v>
      </c>
      <c r="N38" s="101">
        <v>6552.84</v>
      </c>
      <c r="O38" s="32">
        <f t="shared" ref="O38:O56" si="4">(M38-M37)*(1/3600)*(N38+N37)/2</f>
        <v>3.1325702999577598</v>
      </c>
      <c r="P38" s="98">
        <f t="shared" ref="P38:P56" si="5">O38+P37</f>
        <v>6.2021528492286713</v>
      </c>
    </row>
    <row r="39" spans="2:16">
      <c r="L39" s="100">
        <v>0.28000000000000003</v>
      </c>
      <c r="M39" s="31">
        <v>5.1819591332996433</v>
      </c>
      <c r="N39" s="101">
        <v>6564.96</v>
      </c>
      <c r="O39" s="32">
        <f t="shared" si="4"/>
        <v>3.22175909451509</v>
      </c>
      <c r="P39" s="98">
        <f t="shared" si="5"/>
        <v>9.4239119437437608</v>
      </c>
    </row>
    <row r="40" spans="2:16">
      <c r="L40" s="100">
        <v>0.29000000000000004</v>
      </c>
      <c r="M40" s="31">
        <v>7.0039296539435965</v>
      </c>
      <c r="N40" s="101">
        <v>6577.08</v>
      </c>
      <c r="O40" s="32">
        <f t="shared" si="4"/>
        <v>3.3256124251560641</v>
      </c>
      <c r="P40" s="98">
        <f t="shared" si="5"/>
        <v>12.749524368899825</v>
      </c>
    </row>
    <row r="41" spans="2:16">
      <c r="L41" s="100">
        <v>0.30000000000000004</v>
      </c>
      <c r="M41" s="31">
        <v>8.8879122723844723</v>
      </c>
      <c r="N41" s="101">
        <v>6589.2</v>
      </c>
      <c r="O41" s="32">
        <f t="shared" si="4"/>
        <v>3.4451448152119073</v>
      </c>
      <c r="P41" s="98">
        <f t="shared" si="5"/>
        <v>16.194669184111731</v>
      </c>
    </row>
    <row r="42" spans="2:16">
      <c r="L42" s="100">
        <v>0.31000000000000005</v>
      </c>
      <c r="M42" s="31">
        <v>10.842569447403566</v>
      </c>
      <c r="N42" s="101">
        <v>6607.08</v>
      </c>
      <c r="O42" s="32">
        <f t="shared" si="4"/>
        <v>3.5825282479945781</v>
      </c>
      <c r="P42" s="98">
        <f t="shared" si="5"/>
        <v>19.777197432106309</v>
      </c>
    </row>
    <row r="43" spans="2:16">
      <c r="L43" s="100">
        <v>0.32000000000000006</v>
      </c>
      <c r="M43" s="31">
        <v>12.875733436919976</v>
      </c>
      <c r="N43" s="101">
        <v>6624.96</v>
      </c>
      <c r="O43" s="32">
        <f t="shared" si="4"/>
        <v>3.7365148938667674</v>
      </c>
      <c r="P43" s="98">
        <f t="shared" si="5"/>
        <v>23.513712325973078</v>
      </c>
    </row>
    <row r="44" spans="2:16">
      <c r="L44" s="100">
        <v>0.33000000000000007</v>
      </c>
      <c r="M44" s="31">
        <v>14.998438943543114</v>
      </c>
      <c r="N44" s="101">
        <v>6642.84</v>
      </c>
      <c r="O44" s="32">
        <f t="shared" si="4"/>
        <v>3.9116155723297874</v>
      </c>
      <c r="P44" s="98">
        <f t="shared" si="5"/>
        <v>27.425327898302864</v>
      </c>
    </row>
    <row r="45" spans="2:16">
      <c r="L45" s="100">
        <v>0.34000000000000008</v>
      </c>
      <c r="M45" s="31">
        <v>17.225261889383422</v>
      </c>
      <c r="N45" s="101">
        <v>6660.72</v>
      </c>
      <c r="O45" s="32">
        <f t="shared" si="4"/>
        <v>4.1145378707449005</v>
      </c>
      <c r="P45" s="98">
        <f t="shared" si="5"/>
        <v>31.539865769047765</v>
      </c>
    </row>
    <row r="46" spans="2:16">
      <c r="L46" s="100">
        <v>0.35000000000000009</v>
      </c>
      <c r="M46" s="31">
        <v>19.575154442726266</v>
      </c>
      <c r="N46" s="101">
        <v>6678.6</v>
      </c>
      <c r="O46" s="32">
        <f t="shared" si="4"/>
        <v>4.3536067687023978</v>
      </c>
      <c r="P46" s="98">
        <f t="shared" si="5"/>
        <v>35.893472537750164</v>
      </c>
    </row>
    <row r="47" spans="2:16">
      <c r="L47" s="100">
        <v>0.3600000000000001</v>
      </c>
      <c r="M47" s="31">
        <v>22.071589775519492</v>
      </c>
      <c r="N47" s="101">
        <v>6696.4800000000005</v>
      </c>
      <c r="O47" s="32">
        <f t="shared" si="4"/>
        <v>4.6375030959633365</v>
      </c>
      <c r="P47" s="98">
        <f t="shared" si="5"/>
        <v>40.530975633713503</v>
      </c>
    </row>
    <row r="48" spans="2:16">
      <c r="L48" s="100">
        <v>0.37000000000000011</v>
      </c>
      <c r="M48" s="31">
        <v>24.742351048065295</v>
      </c>
      <c r="N48" s="101">
        <v>6714.36</v>
      </c>
      <c r="O48" s="32">
        <f t="shared" si="4"/>
        <v>4.9746044589316893</v>
      </c>
      <c r="P48" s="98">
        <f t="shared" si="5"/>
        <v>45.505580092645189</v>
      </c>
    </row>
    <row r="49" spans="12:16">
      <c r="L49" s="100">
        <v>0.38000000000000012</v>
      </c>
      <c r="M49" s="31">
        <v>27.622480085127965</v>
      </c>
      <c r="N49" s="101">
        <v>6732.24</v>
      </c>
      <c r="O49" s="32">
        <f t="shared" si="4"/>
        <v>5.3788809874676229</v>
      </c>
      <c r="P49" s="98">
        <f t="shared" si="5"/>
        <v>50.884461080112814</v>
      </c>
    </row>
    <row r="50" spans="12:16">
      <c r="L50" s="100">
        <v>0.39000000000000012</v>
      </c>
      <c r="M50" s="31">
        <v>30.758982829108596</v>
      </c>
      <c r="N50" s="101">
        <v>6750.12</v>
      </c>
      <c r="O50" s="32">
        <f t="shared" si="4"/>
        <v>5.8732582132409323</v>
      </c>
      <c r="P50" s="98">
        <f t="shared" si="5"/>
        <v>56.757719293353745</v>
      </c>
    </row>
    <row r="51" spans="12:16">
      <c r="L51" s="100">
        <v>0.40000000000000013</v>
      </c>
      <c r="M51" s="31">
        <v>34.211935934555171</v>
      </c>
      <c r="N51" s="101">
        <v>6768</v>
      </c>
      <c r="O51" s="32">
        <f t="shared" si="4"/>
        <v>6.4829770046943684</v>
      </c>
      <c r="P51" s="98">
        <f t="shared" si="5"/>
        <v>63.240696298048114</v>
      </c>
    </row>
    <row r="52" spans="12:16">
      <c r="L52" s="100">
        <v>0.41000000000000014</v>
      </c>
      <c r="M52" s="31">
        <v>38.050187161393012</v>
      </c>
      <c r="N52" s="101">
        <v>6788</v>
      </c>
      <c r="O52" s="32">
        <f t="shared" si="4"/>
        <v>7.2265741154185781</v>
      </c>
      <c r="P52" s="98">
        <f t="shared" si="5"/>
        <v>70.467270413466693</v>
      </c>
    </row>
    <row r="53" spans="12:16">
      <c r="L53" s="100">
        <v>0.42000000000000015</v>
      </c>
      <c r="M53" s="31">
        <v>42.36793557941634</v>
      </c>
      <c r="N53" s="101">
        <v>6808</v>
      </c>
      <c r="O53" s="32">
        <f t="shared" si="4"/>
        <v>8.1533482627007174</v>
      </c>
      <c r="P53" s="98">
        <f t="shared" si="5"/>
        <v>78.62061867616741</v>
      </c>
    </row>
    <row r="54" spans="12:16">
      <c r="L54" s="100">
        <v>0.43000000000000016</v>
      </c>
      <c r="M54" s="31">
        <v>47.316095456416505</v>
      </c>
      <c r="N54" s="101">
        <v>6828</v>
      </c>
      <c r="O54" s="32">
        <f t="shared" si="4"/>
        <v>9.3712650114964244</v>
      </c>
      <c r="P54" s="98">
        <f t="shared" si="5"/>
        <v>87.99188368766383</v>
      </c>
    </row>
    <row r="55" spans="12:16">
      <c r="L55" s="100">
        <v>0.44000000000000017</v>
      </c>
      <c r="M55" s="31">
        <v>53.161348898280657</v>
      </c>
      <c r="N55" s="101">
        <v>6848</v>
      </c>
      <c r="O55" s="32">
        <f t="shared" si="4"/>
        <v>11.102734176518631</v>
      </c>
      <c r="P55" s="98">
        <f t="shared" si="5"/>
        <v>99.094617864182453</v>
      </c>
    </row>
    <row r="56" spans="12:16" ht="15" thickBot="1">
      <c r="L56" s="95">
        <v>0.45000000000000018</v>
      </c>
      <c r="M56" s="45">
        <v>60.394702050720198</v>
      </c>
      <c r="N56" s="103">
        <v>6868</v>
      </c>
      <c r="O56" s="32">
        <f t="shared" si="4"/>
        <v>13.779537755397326</v>
      </c>
      <c r="P56" s="98">
        <f t="shared" si="5"/>
        <v>112.87415561957978</v>
      </c>
    </row>
    <row r="58" spans="12:16" ht="15" thickBot="1"/>
    <row r="59" spans="12:16" ht="15.75" customHeight="1">
      <c r="M59" s="134" t="s">
        <v>119</v>
      </c>
      <c r="N59" s="104" t="s">
        <v>118</v>
      </c>
    </row>
    <row r="60" spans="12:16" ht="15.5">
      <c r="M60" s="140" t="s">
        <v>230</v>
      </c>
      <c r="N60" s="105" t="s">
        <v>114</v>
      </c>
    </row>
    <row r="61" spans="12:16" ht="15.5">
      <c r="M61" s="137">
        <v>1</v>
      </c>
      <c r="N61" s="135">
        <f>P12</f>
        <v>103.88137504669763</v>
      </c>
    </row>
    <row r="62" spans="12:16" ht="15.5">
      <c r="M62" s="137">
        <v>2</v>
      </c>
      <c r="N62" s="135">
        <f>P20</f>
        <v>106.81082165575609</v>
      </c>
    </row>
    <row r="63" spans="12:16" ht="15.5">
      <c r="M63" s="137">
        <v>4</v>
      </c>
      <c r="N63" s="135">
        <f>P30</f>
        <v>111.00875607746994</v>
      </c>
    </row>
    <row r="64" spans="12:16" ht="16" thickBot="1">
      <c r="M64" s="138">
        <v>20</v>
      </c>
      <c r="N64" s="136">
        <f>P56</f>
        <v>112.87415561957978</v>
      </c>
    </row>
  </sheetData>
  <mergeCells count="6">
    <mergeCell ref="B2:C2"/>
    <mergeCell ref="B3:C3"/>
    <mergeCell ref="L7:P7"/>
    <mergeCell ref="L32:P32"/>
    <mergeCell ref="L14:P14"/>
    <mergeCell ref="L22:P2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72562-F172-459B-A89C-ACFF5D97F7E1}">
  <sheetPr codeName="Sheet21">
    <tabColor theme="9" tint="0.79998168889431442"/>
    <pageSetUpPr fitToPage="1"/>
  </sheetPr>
  <dimension ref="B1:S193"/>
  <sheetViews>
    <sheetView topLeftCell="M1" workbookViewId="0">
      <selection activeCell="U12" sqref="U12"/>
    </sheetView>
  </sheetViews>
  <sheetFormatPr defaultRowHeight="14.5"/>
  <cols>
    <col min="1" max="1" width="2.7265625" customWidth="1"/>
    <col min="3" max="9" width="12.7265625" customWidth="1"/>
    <col min="10" max="13" width="10.7265625" customWidth="1"/>
    <col min="14" max="14" width="1.7265625" customWidth="1"/>
    <col min="15" max="15" width="12.7265625" customWidth="1"/>
    <col min="16" max="19" width="10.7265625" customWidth="1"/>
    <col min="20" max="26" width="12.7265625" customWidth="1"/>
    <col min="27" max="27" width="16.7265625" customWidth="1"/>
    <col min="28" max="29" width="12.7265625" customWidth="1"/>
    <col min="30" max="30" width="16.7265625" customWidth="1"/>
  </cols>
  <sheetData>
    <row r="1" spans="2:19" ht="15" thickBot="1"/>
    <row r="2" spans="2:19">
      <c r="B2" s="564" t="s">
        <v>325</v>
      </c>
      <c r="C2" s="565"/>
      <c r="I2" s="564" t="s">
        <v>325</v>
      </c>
      <c r="J2" s="565"/>
    </row>
    <row r="3" spans="2:19" ht="15" thickBot="1">
      <c r="B3" s="566" t="s">
        <v>53</v>
      </c>
      <c r="C3" s="567"/>
      <c r="I3" s="566" t="s">
        <v>54</v>
      </c>
      <c r="J3" s="567"/>
    </row>
    <row r="5" spans="2:19">
      <c r="C5" t="s">
        <v>6</v>
      </c>
      <c r="D5" s="8">
        <v>10000</v>
      </c>
      <c r="E5" t="s">
        <v>5</v>
      </c>
      <c r="H5" s="1"/>
      <c r="J5" t="s">
        <v>6</v>
      </c>
      <c r="K5" s="8">
        <v>10000</v>
      </c>
      <c r="L5" t="s">
        <v>5</v>
      </c>
      <c r="P5" t="s">
        <v>6</v>
      </c>
      <c r="Q5" s="8">
        <v>10000</v>
      </c>
      <c r="R5" t="s">
        <v>5</v>
      </c>
    </row>
    <row r="6" spans="2:19">
      <c r="C6" t="s">
        <v>56</v>
      </c>
      <c r="D6" s="10">
        <v>1</v>
      </c>
      <c r="E6" t="s">
        <v>546</v>
      </c>
      <c r="H6" s="1"/>
      <c r="J6" t="s">
        <v>1</v>
      </c>
      <c r="K6" s="8">
        <v>0.1</v>
      </c>
      <c r="L6" t="s">
        <v>2</v>
      </c>
      <c r="P6" t="s">
        <v>1</v>
      </c>
      <c r="Q6" s="8">
        <v>30000</v>
      </c>
      <c r="R6" t="s">
        <v>2</v>
      </c>
    </row>
    <row r="7" spans="2:19">
      <c r="B7" s="22" t="s">
        <v>53</v>
      </c>
      <c r="C7" s="23"/>
      <c r="D7" s="8"/>
      <c r="H7" s="9"/>
      <c r="I7" s="22" t="s">
        <v>54</v>
      </c>
      <c r="J7" t="s">
        <v>0</v>
      </c>
      <c r="K7" s="3">
        <f>Linterp(K6,atmos_h,atmos_qms)</f>
        <v>1481.348685772839</v>
      </c>
      <c r="L7" s="20" t="s">
        <v>19</v>
      </c>
      <c r="O7" s="22" t="s">
        <v>54</v>
      </c>
      <c r="P7" t="s">
        <v>0</v>
      </c>
      <c r="Q7" s="3">
        <f>Linterp(Q6,atmos_h,atmos_qms)</f>
        <v>439.90350606186917</v>
      </c>
      <c r="R7" s="20" t="s">
        <v>19</v>
      </c>
    </row>
    <row r="8" spans="2:19" ht="15" thickBot="1">
      <c r="H8" s="2"/>
      <c r="I8" s="22" t="s">
        <v>55</v>
      </c>
      <c r="L8" s="4"/>
      <c r="M8" s="4"/>
      <c r="N8" s="4"/>
      <c r="O8" s="24">
        <f>Q6</f>
        <v>30000</v>
      </c>
      <c r="P8" s="22" t="s">
        <v>2</v>
      </c>
      <c r="R8" s="4"/>
      <c r="S8" s="4"/>
    </row>
    <row r="9" spans="2:19">
      <c r="B9" s="13" t="s">
        <v>1</v>
      </c>
      <c r="C9" s="6" t="s">
        <v>0</v>
      </c>
      <c r="D9" s="154" t="s">
        <v>49</v>
      </c>
      <c r="E9" s="155" t="s">
        <v>50</v>
      </c>
      <c r="F9" s="6" t="s">
        <v>51</v>
      </c>
      <c r="G9" s="6" t="s">
        <v>52</v>
      </c>
      <c r="H9" s="2"/>
      <c r="I9" s="6" t="s">
        <v>56</v>
      </c>
      <c r="J9" s="6" t="s">
        <v>49</v>
      </c>
      <c r="L9" s="6" t="s">
        <v>58</v>
      </c>
      <c r="M9" s="6" t="s">
        <v>51</v>
      </c>
      <c r="N9" s="4"/>
      <c r="O9" s="6" t="s">
        <v>56</v>
      </c>
      <c r="P9" s="6" t="s">
        <v>49</v>
      </c>
      <c r="R9" s="6" t="s">
        <v>58</v>
      </c>
      <c r="S9" s="6" t="s">
        <v>51</v>
      </c>
    </row>
    <row r="10" spans="2:19">
      <c r="B10" s="6" t="s">
        <v>30</v>
      </c>
      <c r="C10" s="6" t="s">
        <v>47</v>
      </c>
      <c r="D10" s="156" t="s">
        <v>48</v>
      </c>
      <c r="E10" s="157" t="s">
        <v>48</v>
      </c>
      <c r="F10" s="6" t="s">
        <v>48</v>
      </c>
      <c r="G10" s="6" t="s">
        <v>48</v>
      </c>
      <c r="H10" s="6"/>
      <c r="I10" s="6" t="s">
        <v>46</v>
      </c>
      <c r="J10" s="6" t="s">
        <v>48</v>
      </c>
      <c r="L10" s="6"/>
      <c r="M10" s="6"/>
      <c r="N10" s="6"/>
      <c r="O10" s="6" t="s">
        <v>46</v>
      </c>
      <c r="P10" s="6" t="s">
        <v>48</v>
      </c>
      <c r="R10" s="6"/>
      <c r="S10" s="6"/>
    </row>
    <row r="11" spans="2:19">
      <c r="B11" s="8">
        <v>0.1</v>
      </c>
      <c r="C11" s="7">
        <f>Linterp(B11,atmos_h,atmos_qms)</f>
        <v>1481.348685772839</v>
      </c>
      <c r="D11" s="158" cm="1">
        <f t="array" ref="D11">SQRT(W_FE*n_FE/(Linterp(B11,atmos_h,atmos_qms)*S*CLmax))</f>
        <v>0.2227931826612925</v>
      </c>
      <c r="E11" s="159" cm="1">
        <f t="array" ref="E11">SQRT(maxq/Linterp(B11,atmos_h,atmos_qms))</f>
        <v>1.0588596641475423</v>
      </c>
      <c r="F11" s="11">
        <f>_xlfn.SINGLE(amlim)</f>
        <v>1.58</v>
      </c>
      <c r="G11" s="11">
        <f>MIN(E11,F11)</f>
        <v>1.0588596641475423</v>
      </c>
      <c r="H11" s="12"/>
      <c r="I11" s="7">
        <v>0.1</v>
      </c>
      <c r="J11" s="11">
        <f t="shared" ref="J11:J21" si="0">SQRT($K$5*I11/($K$7*_xlfn.SINGLE(CLmax)*_xlfn.SINGLE(S)))</f>
        <v>7.045339043676184E-2</v>
      </c>
      <c r="L11" s="7">
        <f>I21</f>
        <v>7.2</v>
      </c>
      <c r="M11" s="11">
        <f>G11</f>
        <v>1.0588596641475423</v>
      </c>
      <c r="N11" s="3"/>
      <c r="O11" s="7">
        <v>0.1</v>
      </c>
      <c r="P11" s="11">
        <f t="shared" ref="P11:P21" si="1">SQRT($Q$5*O11/($Q$7*_xlfn.SINGLE(CLmax)*_xlfn.SINGLE(S)))</f>
        <v>0.12928609978166608</v>
      </c>
      <c r="R11" s="7">
        <f>O21</f>
        <v>7.2</v>
      </c>
      <c r="S11" s="11">
        <f>G41</f>
        <v>1.58</v>
      </c>
    </row>
    <row r="12" spans="2:19">
      <c r="B12" s="8">
        <v>1000</v>
      </c>
      <c r="C12" s="7">
        <f t="shared" ref="C12:C42" si="2">Linterp(B12,atmos_h,atmos_qms)</f>
        <v>1428.5989841193521</v>
      </c>
      <c r="D12" s="158" cm="1">
        <f t="array" ref="D12">SQRT(W_FE*n_FE/(Linterp(B12,atmos_h,atmos_qms)*S*CLmax))</f>
        <v>0.22686911522783662</v>
      </c>
      <c r="E12" s="159" cm="1">
        <f t="array" ref="E12">SQRT(maxq/Linterp(B12,atmos_h,atmos_qms))</f>
        <v>1.0782311751468723</v>
      </c>
      <c r="F12" s="11">
        <f t="shared" ref="F12:F42" si="3">_xlfn.SINGLE(amlim)</f>
        <v>1.58</v>
      </c>
      <c r="G12" s="11">
        <f t="shared" ref="G12:G61" si="4">MIN(E12,F12)</f>
        <v>1.0782311751468723</v>
      </c>
      <c r="H12" s="12"/>
      <c r="I12" s="7">
        <v>0.5</v>
      </c>
      <c r="J12" s="11">
        <f t="shared" si="0"/>
        <v>0.15753857026193308</v>
      </c>
      <c r="L12" s="7">
        <f>I28</f>
        <v>-2.94</v>
      </c>
      <c r="M12" s="11">
        <f>M11</f>
        <v>1.0588596641475423</v>
      </c>
      <c r="N12" s="12"/>
      <c r="O12" s="7">
        <v>0.5</v>
      </c>
      <c r="P12" s="11">
        <f t="shared" si="1"/>
        <v>0.28909250765762606</v>
      </c>
      <c r="R12" s="7">
        <f>O28</f>
        <v>-2.94</v>
      </c>
      <c r="S12" s="11">
        <f>S11</f>
        <v>1.58</v>
      </c>
    </row>
    <row r="13" spans="2:19">
      <c r="B13" s="8">
        <v>2000</v>
      </c>
      <c r="C13" s="7">
        <f t="shared" si="2"/>
        <v>1377.3756937914036</v>
      </c>
      <c r="D13" s="158" cm="1">
        <f t="array" ref="D13">SQRT(W_FE*n_FE/(Linterp(B13,atmos_h,atmos_qms)*S*CLmax))</f>
        <v>0.23104913045172065</v>
      </c>
      <c r="E13" s="159" cm="1">
        <f t="array" ref="E13">SQRT(maxq/Linterp(B13,atmos_h,atmos_qms))</f>
        <v>1.0980973553559064</v>
      </c>
      <c r="F13" s="11">
        <f t="shared" si="3"/>
        <v>1.58</v>
      </c>
      <c r="G13" s="11">
        <f t="shared" si="4"/>
        <v>1.0980973553559064</v>
      </c>
      <c r="H13" s="12"/>
      <c r="I13" s="7">
        <v>1</v>
      </c>
      <c r="J13" s="11">
        <f t="shared" si="0"/>
        <v>0.2227931826612925</v>
      </c>
      <c r="K13" s="12"/>
      <c r="L13" s="12"/>
      <c r="M13" s="12"/>
      <c r="N13" s="12"/>
      <c r="O13" s="7">
        <v>1</v>
      </c>
      <c r="P13" s="11">
        <f t="shared" si="1"/>
        <v>0.40883854510986267</v>
      </c>
      <c r="Q13" s="12"/>
      <c r="R13" s="12"/>
      <c r="S13" s="12"/>
    </row>
    <row r="14" spans="2:19">
      <c r="B14" s="8">
        <v>3000</v>
      </c>
      <c r="C14" s="7">
        <f t="shared" si="2"/>
        <v>1327.6498704479548</v>
      </c>
      <c r="D14" s="158" cm="1">
        <f t="array" ref="D14">SQRT(W_FE*n_FE/(Linterp(B14,atmos_h,atmos_qms)*S*CLmax))</f>
        <v>0.23533621654334333</v>
      </c>
      <c r="E14" s="159" cm="1">
        <f t="array" ref="E14">SQRT(maxq/Linterp(B14,atmos_h,atmos_qms))</f>
        <v>1.1184724067148537</v>
      </c>
      <c r="F14" s="11">
        <f t="shared" si="3"/>
        <v>1.58</v>
      </c>
      <c r="G14" s="11">
        <f t="shared" si="4"/>
        <v>1.1184724067148537</v>
      </c>
      <c r="H14" s="12"/>
      <c r="I14" s="7">
        <v>1.5</v>
      </c>
      <c r="J14" s="11">
        <f t="shared" si="0"/>
        <v>0.27286480784542749</v>
      </c>
      <c r="K14" s="12"/>
      <c r="L14" s="21" t="s">
        <v>57</v>
      </c>
      <c r="M14" s="12"/>
      <c r="N14" s="12"/>
      <c r="O14" s="7">
        <v>1.5</v>
      </c>
      <c r="P14" s="11">
        <f t="shared" si="1"/>
        <v>0.50072291135050306</v>
      </c>
      <c r="Q14" s="12"/>
      <c r="R14" s="21" t="s">
        <v>57</v>
      </c>
      <c r="S14" s="12"/>
    </row>
    <row r="15" spans="2:19">
      <c r="B15" s="8">
        <v>4000</v>
      </c>
      <c r="C15" s="7">
        <f t="shared" si="2"/>
        <v>1279.3877901163921</v>
      </c>
      <c r="D15" s="158" cm="1">
        <f t="array" ref="D15">SQRT(W_FE*n_FE/(Linterp(B15,atmos_h,atmos_qms)*S*CLmax))</f>
        <v>0.23973389691114599</v>
      </c>
      <c r="E15" s="159" cm="1">
        <f t="array" ref="E15">SQRT(maxq/Linterp(B15,atmos_h,atmos_qms))</f>
        <v>1.1393730747768518</v>
      </c>
      <c r="F15" s="11">
        <f t="shared" si="3"/>
        <v>1.58</v>
      </c>
      <c r="G15" s="11">
        <f t="shared" si="4"/>
        <v>1.1393730747768518</v>
      </c>
      <c r="H15" s="12"/>
      <c r="I15" s="7">
        <v>2</v>
      </c>
      <c r="J15" s="11">
        <f t="shared" si="0"/>
        <v>0.31507714052386615</v>
      </c>
      <c r="K15" s="12"/>
      <c r="L15" s="7">
        <f>I21</f>
        <v>7.2</v>
      </c>
      <c r="M15" s="11">
        <f>J21</f>
        <v>0.59781684162501303</v>
      </c>
      <c r="N15" s="12"/>
      <c r="O15" s="7">
        <v>2</v>
      </c>
      <c r="P15" s="11">
        <f t="shared" si="1"/>
        <v>0.57818501531525213</v>
      </c>
      <c r="Q15" s="12"/>
      <c r="R15" s="7">
        <f>O21</f>
        <v>7.2</v>
      </c>
      <c r="S15" s="11">
        <f>P21</f>
        <v>1.0970289344253206</v>
      </c>
    </row>
    <row r="16" spans="2:19">
      <c r="B16" s="8">
        <v>5000</v>
      </c>
      <c r="C16" s="7">
        <f t="shared" si="2"/>
        <v>1232.5562587425445</v>
      </c>
      <c r="D16" s="158" cm="1">
        <f t="array" ref="D16">SQRT(W_FE*n_FE/(Linterp(B16,atmos_h,atmos_qms)*S*CLmax))</f>
        <v>0.24424583697069233</v>
      </c>
      <c r="E16" s="159" cm="1">
        <f t="array" ref="E16">SQRT(maxq/Linterp(B16,atmos_h,atmos_qms))</f>
        <v>1.1608167800062359</v>
      </c>
      <c r="F16" s="11">
        <f t="shared" si="3"/>
        <v>1.58</v>
      </c>
      <c r="G16" s="11">
        <f t="shared" si="4"/>
        <v>1.1608167800062359</v>
      </c>
      <c r="H16" s="12"/>
      <c r="I16" s="7">
        <v>3</v>
      </c>
      <c r="J16" s="11">
        <f t="shared" si="0"/>
        <v>0.38588911194933206</v>
      </c>
      <c r="K16" s="12"/>
      <c r="L16" s="7">
        <f>L15</f>
        <v>7.2</v>
      </c>
      <c r="M16" s="11">
        <f>M11</f>
        <v>1.0588596641475423</v>
      </c>
      <c r="N16" s="12"/>
      <c r="O16" s="7">
        <v>3</v>
      </c>
      <c r="P16" s="11">
        <f t="shared" si="1"/>
        <v>0.70812913222282248</v>
      </c>
      <c r="Q16" s="12"/>
      <c r="R16" s="7">
        <f>R15</f>
        <v>7.2</v>
      </c>
      <c r="S16" s="11">
        <f>S11</f>
        <v>1.58</v>
      </c>
    </row>
    <row r="17" spans="2:19">
      <c r="B17" s="8">
        <v>6000</v>
      </c>
      <c r="C17" s="7">
        <f t="shared" si="2"/>
        <v>1187.1226075219445</v>
      </c>
      <c r="D17" s="158" cm="1">
        <f t="array" ref="D17">SQRT(W_FE*n_FE/(Linterp(B17,atmos_h,atmos_qms)*S*CLmax))</f>
        <v>0.24887585093362427</v>
      </c>
      <c r="E17" s="159" cm="1">
        <f t="array" ref="E17">SQRT(maxq/Linterp(B17,atmos_h,atmos_qms))</f>
        <v>1.1828216500441209</v>
      </c>
      <c r="F17" s="11">
        <f t="shared" si="3"/>
        <v>1.58</v>
      </c>
      <c r="G17" s="11">
        <f t="shared" si="4"/>
        <v>1.1828216500441209</v>
      </c>
      <c r="H17" s="12"/>
      <c r="I17" s="7">
        <v>4</v>
      </c>
      <c r="J17" s="11">
        <f t="shared" si="0"/>
        <v>0.445586365322585</v>
      </c>
      <c r="K17" s="12"/>
      <c r="L17" s="12"/>
      <c r="M17" s="12"/>
      <c r="N17" s="12"/>
      <c r="O17" s="7">
        <v>4</v>
      </c>
      <c r="P17" s="11">
        <f t="shared" si="1"/>
        <v>0.81767709021972534</v>
      </c>
      <c r="Q17" s="12"/>
      <c r="R17" s="12"/>
      <c r="S17" s="12"/>
    </row>
    <row r="18" spans="2:19">
      <c r="B18" s="8">
        <v>7000</v>
      </c>
      <c r="C18" s="7">
        <f t="shared" si="2"/>
        <v>1143.0546882395377</v>
      </c>
      <c r="D18" s="158" cm="1">
        <f t="array" ref="D18">SQRT(W_FE*n_FE/(Linterp(B18,atmos_h,atmos_qms)*S*CLmax))</f>
        <v>0.25362790897285703</v>
      </c>
      <c r="E18" s="159" cm="1">
        <f t="array" ref="E18">SQRT(maxq/Linterp(B18,atmos_h,atmos_qms))</f>
        <v>1.2054065537621188</v>
      </c>
      <c r="F18" s="11">
        <f t="shared" si="3"/>
        <v>1.58</v>
      </c>
      <c r="G18" s="11">
        <f t="shared" si="4"/>
        <v>1.2054065537621188</v>
      </c>
      <c r="H18" s="12"/>
      <c r="I18" s="7">
        <v>5</v>
      </c>
      <c r="J18" s="11">
        <f t="shared" si="0"/>
        <v>0.49818070135417752</v>
      </c>
      <c r="K18" s="12"/>
      <c r="L18" s="21" t="s">
        <v>59</v>
      </c>
      <c r="M18" s="12"/>
      <c r="N18" s="12"/>
      <c r="O18" s="7">
        <v>5</v>
      </c>
      <c r="P18" s="11">
        <f t="shared" si="1"/>
        <v>0.9141907786877671</v>
      </c>
      <c r="Q18" s="12"/>
      <c r="R18" s="21" t="s">
        <v>59</v>
      </c>
      <c r="S18" s="12"/>
    </row>
    <row r="19" spans="2:19">
      <c r="B19" s="8">
        <v>8000</v>
      </c>
      <c r="C19" s="7">
        <f t="shared" si="2"/>
        <v>1100.320868617878</v>
      </c>
      <c r="D19" s="158" cm="1">
        <f t="array" ref="D19">SQRT(W_FE*n_FE/(Linterp(B19,atmos_h,atmos_qms)*S*CLmax))</f>
        <v>0.25850614478777095</v>
      </c>
      <c r="E19" s="159" cm="1">
        <f t="array" ref="E19">SQRT(maxq/Linterp(B19,atmos_h,atmos_qms))</f>
        <v>1.228591137217103</v>
      </c>
      <c r="F19" s="11">
        <f t="shared" si="3"/>
        <v>1.58</v>
      </c>
      <c r="G19" s="11">
        <f t="shared" si="4"/>
        <v>1.228591137217103</v>
      </c>
      <c r="H19" s="12"/>
      <c r="I19" s="7">
        <v>6</v>
      </c>
      <c r="J19" s="11">
        <f t="shared" si="0"/>
        <v>0.54572961569085499</v>
      </c>
      <c r="K19" s="12"/>
      <c r="L19" s="7">
        <f>L12</f>
        <v>-2.94</v>
      </c>
      <c r="M19" s="11">
        <f>J28</f>
        <v>0.3820107309835985</v>
      </c>
      <c r="N19" s="12"/>
      <c r="O19" s="7">
        <v>6</v>
      </c>
      <c r="P19" s="11">
        <f t="shared" si="1"/>
        <v>1.0014458227010061</v>
      </c>
      <c r="Q19" s="12"/>
      <c r="R19" s="7">
        <f>R12</f>
        <v>-2.94</v>
      </c>
      <c r="S19" s="11">
        <f>P28</f>
        <v>0.70101207589070436</v>
      </c>
    </row>
    <row r="20" spans="2:19">
      <c r="B20" s="8">
        <v>9000</v>
      </c>
      <c r="C20" s="7">
        <f t="shared" si="2"/>
        <v>1058.8900276738709</v>
      </c>
      <c r="D20" s="158" cm="1">
        <f t="array" ref="D20">SQRT(W_FE*n_FE/(Linterp(B20,atmos_h,atmos_qms)*S*CLmax))</f>
        <v>0.26351486359484128</v>
      </c>
      <c r="E20" s="159" cm="1">
        <f t="array" ref="E20">SQRT(maxq/Linterp(B20,atmos_h,atmos_qms))</f>
        <v>1.252395861627934</v>
      </c>
      <c r="F20" s="11">
        <f t="shared" si="3"/>
        <v>1.58</v>
      </c>
      <c r="G20" s="11">
        <f t="shared" si="4"/>
        <v>1.252395861627934</v>
      </c>
      <c r="H20" s="12"/>
      <c r="I20" s="7">
        <v>7</v>
      </c>
      <c r="J20" s="11">
        <f t="shared" si="0"/>
        <v>0.58945535512236746</v>
      </c>
      <c r="K20" s="12"/>
      <c r="L20" s="7">
        <f>L19</f>
        <v>-2.94</v>
      </c>
      <c r="M20" s="11">
        <f>M12</f>
        <v>1.0588596641475423</v>
      </c>
      <c r="N20" s="12"/>
      <c r="O20" s="7">
        <v>7</v>
      </c>
      <c r="P20" s="11">
        <f t="shared" si="1"/>
        <v>1.0816851167381589</v>
      </c>
      <c r="Q20" s="12"/>
      <c r="R20" s="7">
        <f>R19</f>
        <v>-2.94</v>
      </c>
      <c r="S20" s="11">
        <f>S12</f>
        <v>1.58</v>
      </c>
    </row>
    <row r="21" spans="2:19">
      <c r="B21" s="8">
        <v>10000</v>
      </c>
      <c r="C21" s="7">
        <f t="shared" si="2"/>
        <v>1018.7315510840876</v>
      </c>
      <c r="D21" s="158" cm="1">
        <f t="array" ref="D21">SQRT(W_FE*n_FE/(Linterp(B21,atmos_h,atmos_qms)*S*CLmax))</f>
        <v>0.26865855057097071</v>
      </c>
      <c r="E21" s="159" cm="1">
        <f t="array" ref="E21">SQRT(maxq/Linterp(B21,atmos_h,atmos_qms))</f>
        <v>1.2768420435037258</v>
      </c>
      <c r="F21" s="11">
        <f t="shared" si="3"/>
        <v>1.58</v>
      </c>
      <c r="G21" s="11">
        <f t="shared" si="4"/>
        <v>1.2768420435037258</v>
      </c>
      <c r="H21" s="12"/>
      <c r="I21" s="7">
        <v>7.2</v>
      </c>
      <c r="J21" s="11">
        <f t="shared" si="0"/>
        <v>0.59781684162501303</v>
      </c>
      <c r="K21" s="12"/>
      <c r="L21" s="12"/>
      <c r="M21" s="12"/>
      <c r="N21" s="12"/>
      <c r="O21" s="7">
        <v>7.2</v>
      </c>
      <c r="P21" s="11">
        <f t="shared" si="1"/>
        <v>1.0970289344253206</v>
      </c>
      <c r="Q21" s="12"/>
      <c r="R21" s="12"/>
      <c r="S21" s="12"/>
    </row>
    <row r="22" spans="2:19">
      <c r="B22" s="8">
        <v>11000</v>
      </c>
      <c r="C22" s="7">
        <f t="shared" si="2"/>
        <v>979.81532655871706</v>
      </c>
      <c r="D22" s="158" cm="1">
        <f t="array" ref="D22">SQRT(W_FE*n_FE/(Linterp(B22,atmos_h,atmos_qms)*S*CLmax))</f>
        <v>0.27394187977874901</v>
      </c>
      <c r="E22" s="159" cm="1">
        <f t="array" ref="E22">SQRT(maxq/Linterp(B22,atmos_h,atmos_qms))</f>
        <v>1.3019518970625483</v>
      </c>
      <c r="F22" s="11">
        <f t="shared" si="3"/>
        <v>1.58</v>
      </c>
      <c r="G22" s="11">
        <f t="shared" si="4"/>
        <v>1.3019518970625483</v>
      </c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2:19">
      <c r="B23" s="8">
        <v>12000</v>
      </c>
      <c r="C23" s="7">
        <f t="shared" si="2"/>
        <v>942.11173922419323</v>
      </c>
      <c r="D23" s="158" cm="1">
        <f t="array" ref="D23">SQRT(W_FE*n_FE/(Linterp(B23,atmos_h,atmos_qms)*S*CLmax))</f>
        <v>0.27936972360498863</v>
      </c>
      <c r="E23" s="159" cm="1">
        <f t="array" ref="E23">SQRT(maxq/Linterp(B23,atmos_h,atmos_qms))</f>
        <v>1.3277485790895514</v>
      </c>
      <c r="F23" s="11">
        <f t="shared" si="3"/>
        <v>1.58</v>
      </c>
      <c r="G23" s="11">
        <f t="shared" si="4"/>
        <v>1.3277485790895514</v>
      </c>
      <c r="H23" s="12"/>
      <c r="I23" s="7">
        <v>-0.1</v>
      </c>
      <c r="J23" s="11">
        <f t="shared" ref="J23:J28" si="5">SQRT($K$5*ABS(I23)/($K$7*_xlfn.SINGLE(CLmax)*_xlfn.SINGLE(S)))</f>
        <v>7.045339043676184E-2</v>
      </c>
      <c r="K23" s="12"/>
      <c r="L23" s="12"/>
      <c r="M23" s="12"/>
      <c r="N23" s="12"/>
      <c r="O23" s="7">
        <v>-0.1</v>
      </c>
      <c r="P23" s="11">
        <f t="shared" ref="P23:P28" si="6">SQRT($Q$5*ABS(O23)/($Q$7*_xlfn.SINGLE(CLmax)*_xlfn.SINGLE(S)))</f>
        <v>0.12928609978166608</v>
      </c>
      <c r="Q23" s="12"/>
      <c r="R23" s="12"/>
      <c r="S23" s="12"/>
    </row>
    <row r="24" spans="2:19">
      <c r="B24" s="8">
        <v>13000</v>
      </c>
      <c r="C24" s="7">
        <f t="shared" si="2"/>
        <v>905.59166701454205</v>
      </c>
      <c r="D24" s="158" cm="1">
        <f t="array" ref="D24">SQRT(W_FE*n_FE/(Linterp(B24,atmos_h,atmos_qms)*S*CLmax))</f>
        <v>0.28494716274617715</v>
      </c>
      <c r="E24" s="159" cm="1">
        <f t="array" ref="E24">SQRT(maxq/Linterp(B24,atmos_h,atmos_qms))</f>
        <v>1.3542562363944008</v>
      </c>
      <c r="F24" s="11">
        <f t="shared" si="3"/>
        <v>1.58</v>
      </c>
      <c r="G24" s="11">
        <f t="shared" si="4"/>
        <v>1.3542562363944008</v>
      </c>
      <c r="H24" s="12"/>
      <c r="I24" s="7">
        <v>-0.5</v>
      </c>
      <c r="J24" s="11">
        <f t="shared" si="5"/>
        <v>0.15753857026193308</v>
      </c>
      <c r="K24" s="12"/>
      <c r="L24" s="12"/>
      <c r="M24" s="12"/>
      <c r="N24" s="12"/>
      <c r="O24" s="7">
        <v>-0.5</v>
      </c>
      <c r="P24" s="11">
        <f t="shared" si="6"/>
        <v>0.28909250765762606</v>
      </c>
      <c r="Q24" s="12"/>
      <c r="R24" s="12"/>
      <c r="S24" s="12"/>
    </row>
    <row r="25" spans="2:19">
      <c r="B25" s="8">
        <v>14000</v>
      </c>
      <c r="C25" s="7">
        <f t="shared" si="2"/>
        <v>870.22647607150509</v>
      </c>
      <c r="D25" s="158" cm="1">
        <f t="array" ref="D25">SQRT(W_FE*n_FE/(Linterp(B25,atmos_h,atmos_qms)*S*CLmax))</f>
        <v>0.29067949677696531</v>
      </c>
      <c r="E25" s="159" cm="1">
        <f t="array" ref="E25">SQRT(maxq/Linterp(B25,atmos_h,atmos_qms))</f>
        <v>1.3815000560396795</v>
      </c>
      <c r="F25" s="11">
        <f t="shared" si="3"/>
        <v>1.58</v>
      </c>
      <c r="G25" s="11">
        <f t="shared" si="4"/>
        <v>1.3815000560396795</v>
      </c>
      <c r="H25" s="12"/>
      <c r="I25" s="7">
        <v>-1</v>
      </c>
      <c r="J25" s="11">
        <f t="shared" si="5"/>
        <v>0.2227931826612925</v>
      </c>
      <c r="K25" s="12"/>
      <c r="L25" s="12"/>
      <c r="M25" s="12"/>
      <c r="N25" s="12"/>
      <c r="O25" s="7">
        <v>-1</v>
      </c>
      <c r="P25" s="11">
        <f t="shared" si="6"/>
        <v>0.40883854510986267</v>
      </c>
      <c r="Q25" s="12"/>
      <c r="R25" s="12"/>
      <c r="S25" s="12"/>
    </row>
    <row r="26" spans="2:19">
      <c r="B26" s="8">
        <v>15000</v>
      </c>
      <c r="C26" s="7">
        <f t="shared" si="2"/>
        <v>835.98801615348191</v>
      </c>
      <c r="D26" s="158" cm="1">
        <f t="array" ref="D26">SQRT(W_FE*n_FE/(Linterp(B26,atmos_h,atmos_qms)*S*CLmax))</f>
        <v>0.29657225534049347</v>
      </c>
      <c r="E26" s="159" cm="1">
        <f t="array" ref="E26">SQRT(maxq/Linterp(B26,atmos_h,atmos_qms))</f>
        <v>1.4095063185246761</v>
      </c>
      <c r="F26" s="11">
        <f t="shared" si="3"/>
        <v>1.58</v>
      </c>
      <c r="G26" s="11">
        <f t="shared" si="4"/>
        <v>1.4095063185246761</v>
      </c>
      <c r="H26" s="12"/>
      <c r="I26" s="7">
        <v>-1.5</v>
      </c>
      <c r="J26" s="11">
        <f t="shared" si="5"/>
        <v>0.27286480784542749</v>
      </c>
      <c r="K26" s="12"/>
      <c r="L26" s="12"/>
      <c r="M26" s="12"/>
      <c r="N26" s="12"/>
      <c r="O26" s="7">
        <v>-1.5</v>
      </c>
      <c r="P26" s="11">
        <f t="shared" si="6"/>
        <v>0.50072291135050306</v>
      </c>
      <c r="Q26" s="12"/>
      <c r="R26" s="12"/>
      <c r="S26" s="12"/>
    </row>
    <row r="27" spans="2:19">
      <c r="B27" s="8">
        <v>16000</v>
      </c>
      <c r="C27" s="7">
        <f t="shared" si="2"/>
        <v>802.84861605334584</v>
      </c>
      <c r="D27" s="158" cm="1">
        <f t="array" ref="D27">SQRT(W_FE*n_FE/(Linterp(B27,atmos_h,atmos_qms)*S*CLmax))</f>
        <v>0.30263121000226201</v>
      </c>
      <c r="E27" s="159" cm="1">
        <f t="array" ref="E27">SQRT(maxq/Linterp(B27,atmos_h,atmos_qms))</f>
        <v>1.4383024541227698</v>
      </c>
      <c r="F27" s="11">
        <f t="shared" si="3"/>
        <v>1.58</v>
      </c>
      <c r="G27" s="11">
        <f t="shared" si="4"/>
        <v>1.4383024541227698</v>
      </c>
      <c r="H27" s="12"/>
      <c r="I27" s="7">
        <v>-2</v>
      </c>
      <c r="J27" s="11">
        <f t="shared" si="5"/>
        <v>0.31507714052386615</v>
      </c>
      <c r="K27" s="12"/>
      <c r="L27" s="12"/>
      <c r="M27" s="12"/>
      <c r="N27" s="12"/>
      <c r="O27" s="7">
        <v>-2</v>
      </c>
      <c r="P27" s="11">
        <f t="shared" si="6"/>
        <v>0.57818501531525213</v>
      </c>
      <c r="Q27" s="12"/>
      <c r="R27" s="12"/>
      <c r="S27" s="12"/>
    </row>
    <row r="28" spans="2:19">
      <c r="B28" s="8">
        <v>17000</v>
      </c>
      <c r="C28" s="7">
        <f t="shared" si="2"/>
        <v>770.78107902517468</v>
      </c>
      <c r="D28" s="158" cm="1">
        <f t="array" ref="D28">SQRT(W_FE*n_FE/(Linterp(B28,atmos_h,atmos_qms)*S*CLmax))</f>
        <v>0.3088623868123993</v>
      </c>
      <c r="E28" s="159" cm="1">
        <f t="array" ref="E28">SQRT(maxq/Linterp(B28,atmos_h,atmos_qms))</f>
        <v>1.4679171025855848</v>
      </c>
      <c r="F28" s="11">
        <f t="shared" si="3"/>
        <v>1.58</v>
      </c>
      <c r="G28" s="11">
        <f t="shared" si="4"/>
        <v>1.4679171025855848</v>
      </c>
      <c r="H28" s="12"/>
      <c r="I28" s="7">
        <v>-2.94</v>
      </c>
      <c r="J28" s="11">
        <f t="shared" si="5"/>
        <v>0.3820107309835985</v>
      </c>
      <c r="K28" s="12"/>
      <c r="L28" s="12"/>
      <c r="M28" s="12"/>
      <c r="N28" s="12"/>
      <c r="O28" s="7">
        <v>-2.94</v>
      </c>
      <c r="P28" s="11">
        <f t="shared" si="6"/>
        <v>0.70101207589070436</v>
      </c>
      <c r="Q28" s="12"/>
      <c r="R28" s="12"/>
      <c r="S28" s="12"/>
    </row>
    <row r="29" spans="2:19">
      <c r="B29" s="8">
        <v>18000</v>
      </c>
      <c r="C29" s="7">
        <f t="shared" si="2"/>
        <v>739.75867821996189</v>
      </c>
      <c r="D29" s="158" cm="1">
        <f t="array" ref="D29">SQRT(W_FE*n_FE/(Linterp(B29,atmos_h,atmos_qms)*S*CLmax))</f>
        <v>0.31527207962458598</v>
      </c>
      <c r="E29" s="159" cm="1">
        <f t="array" ref="E29">SQRT(maxq/Linterp(B29,atmos_h,atmos_qms))</f>
        <v>1.4983801764432754</v>
      </c>
      <c r="F29" s="11">
        <f t="shared" si="3"/>
        <v>1.58</v>
      </c>
      <c r="G29" s="11">
        <f t="shared" si="4"/>
        <v>1.4983801764432754</v>
      </c>
      <c r="H29" s="12"/>
      <c r="I29" s="12"/>
      <c r="J29" s="12"/>
      <c r="K29" s="12"/>
      <c r="L29" s="12"/>
      <c r="M29" s="12"/>
      <c r="N29" s="12"/>
      <c r="O29" s="12"/>
    </row>
    <row r="30" spans="2:19">
      <c r="B30" s="8">
        <v>19000</v>
      </c>
      <c r="C30" s="7">
        <f t="shared" si="2"/>
        <v>709.75515213034032</v>
      </c>
      <c r="D30" s="158" cm="1">
        <f t="array" ref="D30">SQRT(W_FE*n_FE/(Linterp(B30,atmos_h,atmos_qms)*S*CLmax))</f>
        <v>0.32186686422359939</v>
      </c>
      <c r="E30" s="159" cm="1">
        <f t="array" ref="E30">SQRT(maxq/Linterp(B30,atmos_h,atmos_qms))</f>
        <v>1.5297229281479034</v>
      </c>
      <c r="F30" s="11">
        <f t="shared" si="3"/>
        <v>1.58</v>
      </c>
      <c r="G30" s="11">
        <f t="shared" si="4"/>
        <v>1.5297229281479034</v>
      </c>
      <c r="H30" s="12"/>
      <c r="I30" s="12"/>
      <c r="J30" s="12"/>
      <c r="K30" s="12"/>
      <c r="L30" s="12"/>
      <c r="M30" s="12"/>
      <c r="N30" s="12"/>
      <c r="O30" s="12"/>
    </row>
    <row r="31" spans="2:19">
      <c r="B31" s="8">
        <v>20000</v>
      </c>
      <c r="C31" s="7">
        <f t="shared" si="2"/>
        <v>680.74470004439161</v>
      </c>
      <c r="D31" s="158" cm="1">
        <f t="array" ref="D31">SQRT(W_FE*n_FE/(Linterp(B31,atmos_h,atmos_qms)*S*CLmax))</f>
        <v>0.32865361331744819</v>
      </c>
      <c r="E31" s="159" cm="1">
        <f t="array" ref="E31">SQRT(maxq/Linterp(B31,atmos_h,atmos_qms))</f>
        <v>1.561978021325918</v>
      </c>
      <c r="F31" s="11">
        <f t="shared" si="3"/>
        <v>1.58</v>
      </c>
      <c r="G31" s="11">
        <f t="shared" si="4"/>
        <v>1.561978021325918</v>
      </c>
      <c r="H31" s="12"/>
      <c r="I31" s="12"/>
      <c r="J31" s="12"/>
      <c r="K31" s="12"/>
      <c r="L31" s="12"/>
      <c r="M31" s="12"/>
      <c r="N31" s="12"/>
      <c r="O31" s="12"/>
    </row>
    <row r="32" spans="2:19">
      <c r="B32" s="8">
        <v>21000</v>
      </c>
      <c r="C32" s="7">
        <f t="shared" si="2"/>
        <v>652.70197750857403</v>
      </c>
      <c r="D32" s="158" cm="1">
        <f t="array" ref="D32">SQRT(W_FE*n_FE/(Linterp(B32,atmos_h,atmos_qms)*S*CLmax))</f>
        <v>0.33563951245443246</v>
      </c>
      <c r="E32" s="159" cm="1">
        <f t="array" ref="E32">SQRT(maxq/Linterp(B32,atmos_h,atmos_qms))</f>
        <v>1.5951796064264883</v>
      </c>
      <c r="F32" s="11">
        <f t="shared" si="3"/>
        <v>1.58</v>
      </c>
      <c r="G32" s="11">
        <f t="shared" si="4"/>
        <v>1.58</v>
      </c>
      <c r="H32" s="12"/>
      <c r="I32" s="12"/>
      <c r="J32" s="12"/>
      <c r="K32" s="12"/>
      <c r="L32" s="12"/>
      <c r="M32" s="12"/>
      <c r="N32" s="12"/>
      <c r="O32" s="12"/>
    </row>
    <row r="33" spans="2:15">
      <c r="B33" s="8">
        <v>22000</v>
      </c>
      <c r="C33" s="7">
        <f t="shared" si="2"/>
        <v>625.60209179984054</v>
      </c>
      <c r="D33" s="158" cm="1">
        <f t="array" ref="D33">SQRT(W_FE*n_FE/(Linterp(B33,atmos_h,atmos_qms)*S*CLmax))</f>
        <v>0.34283207693019496</v>
      </c>
      <c r="E33" s="159" cm="1">
        <f t="array" ref="E33">SQRT(maxq/Linterp(B33,atmos_h,atmos_qms))</f>
        <v>1.6293634010749254</v>
      </c>
      <c r="F33" s="11">
        <f t="shared" si="3"/>
        <v>1.58</v>
      </c>
      <c r="G33" s="11">
        <f t="shared" si="4"/>
        <v>1.58</v>
      </c>
      <c r="H33" s="12"/>
      <c r="I33" s="12"/>
      <c r="J33" s="12"/>
      <c r="K33" s="12"/>
      <c r="L33" s="12"/>
      <c r="M33" s="12"/>
      <c r="N33" s="12"/>
      <c r="O33" s="12"/>
    </row>
    <row r="34" spans="2:15">
      <c r="B34" s="8">
        <v>23000</v>
      </c>
      <c r="C34" s="7">
        <f t="shared" si="2"/>
        <v>599.42059740698846</v>
      </c>
      <c r="D34" s="158" cm="1">
        <f t="array" ref="D34">SQRT(W_FE*n_FE/(Linterp(B34,atmos_h,atmos_qms)*S*CLmax))</f>
        <v>0.35023916975498381</v>
      </c>
      <c r="E34" s="159" cm="1">
        <f t="array" ref="E34">SQRT(maxq/Linterp(B34,atmos_h,atmos_qms))</f>
        <v>1.6645667754649276</v>
      </c>
      <c r="F34" s="11">
        <f t="shared" si="3"/>
        <v>1.58</v>
      </c>
      <c r="G34" s="11">
        <f t="shared" si="4"/>
        <v>1.58</v>
      </c>
      <c r="H34" s="12"/>
      <c r="I34" s="12"/>
      <c r="J34" s="12"/>
      <c r="K34" s="12"/>
      <c r="L34" s="12"/>
      <c r="M34" s="12"/>
      <c r="N34" s="12"/>
      <c r="O34" s="12"/>
    </row>
    <row r="35" spans="2:15">
      <c r="B35" s="8">
        <v>24000</v>
      </c>
      <c r="C35" s="7">
        <f t="shared" si="2"/>
        <v>574.13349152130138</v>
      </c>
      <c r="D35" s="158" cm="1">
        <f t="array" ref="D35">SQRT(W_FE*n_FE/(Linterp(B35,atmos_h,atmos_qms)*S*CLmax))</f>
        <v>0.35786902075694876</v>
      </c>
      <c r="E35" s="159" cm="1">
        <f t="array" ref="E35">SQRT(maxq/Linterp(B35,atmos_h,atmos_qms))</f>
        <v>1.7008288431499994</v>
      </c>
      <c r="F35" s="11">
        <f t="shared" si="3"/>
        <v>1.58</v>
      </c>
      <c r="G35" s="11">
        <f t="shared" si="4"/>
        <v>1.58</v>
      </c>
      <c r="H35" s="12"/>
      <c r="I35" s="12"/>
      <c r="J35" s="12"/>
      <c r="K35" s="12"/>
      <c r="L35" s="12"/>
      <c r="M35" s="12"/>
      <c r="N35" s="12"/>
      <c r="O35" s="12"/>
    </row>
    <row r="36" spans="2:15">
      <c r="B36" s="8">
        <v>25000</v>
      </c>
      <c r="C36" s="7">
        <f t="shared" si="2"/>
        <v>549.71720953653789</v>
      </c>
      <c r="D36" s="158" cm="1">
        <f t="array" ref="D36">SQRT(W_FE*n_FE/(Linterp(B36,atmos_h,atmos_qms)*S*CLmax))</f>
        <v>0.3657302469033939</v>
      </c>
      <c r="E36" s="159" cm="1">
        <f t="array" ref="E36">SQRT(maxq/Linterp(B36,atmos_h,atmos_qms))</f>
        <v>1.7381905576234062</v>
      </c>
      <c r="F36" s="11">
        <f t="shared" si="3"/>
        <v>1.58</v>
      </c>
      <c r="G36" s="11">
        <f t="shared" si="4"/>
        <v>1.58</v>
      </c>
      <c r="H36" s="12"/>
      <c r="I36" s="12"/>
      <c r="J36" s="12"/>
      <c r="K36" s="12"/>
      <c r="L36" s="12"/>
      <c r="M36" s="12"/>
      <c r="N36" s="12"/>
      <c r="O36" s="12"/>
    </row>
    <row r="37" spans="2:15">
      <c r="B37" s="8">
        <v>26000</v>
      </c>
      <c r="C37" s="7">
        <f t="shared" si="2"/>
        <v>526.14862055832521</v>
      </c>
      <c r="D37" s="158" cm="1">
        <f t="array" ref="D37">SQRT(W_FE*n_FE/(Linterp(B37,atmos_h,atmos_qms)*S*CLmax))</f>
        <v>0.37383187392855954</v>
      </c>
      <c r="E37" s="159" cm="1">
        <f t="array" ref="E37">SQRT(maxq/Linterp(B37,atmos_h,atmos_qms))</f>
        <v>1.7766948151076092</v>
      </c>
      <c r="F37" s="11">
        <f t="shared" si="3"/>
        <v>1.58</v>
      </c>
      <c r="G37" s="11">
        <f t="shared" si="4"/>
        <v>1.58</v>
      </c>
      <c r="H37" s="12"/>
      <c r="I37" s="12"/>
      <c r="J37" s="12"/>
      <c r="K37" s="12"/>
      <c r="L37" s="12"/>
      <c r="M37" s="12"/>
      <c r="N37" s="12"/>
      <c r="O37" s="12"/>
    </row>
    <row r="38" spans="2:15">
      <c r="B38" s="8">
        <v>27000</v>
      </c>
      <c r="C38" s="7">
        <f t="shared" si="2"/>
        <v>503.40502292301625</v>
      </c>
      <c r="D38" s="158" cm="1">
        <f t="array" ref="D38">SQRT(W_FE*n_FE/(Linterp(B38,atmos_h,atmos_qms)*S*CLmax))</f>
        <v>0.38218335936375175</v>
      </c>
      <c r="E38" s="159" cm="1">
        <f t="array" ref="E38">SQRT(maxq/Linterp(B38,atmos_h,atmos_qms))</f>
        <v>1.8163865640085828</v>
      </c>
      <c r="F38" s="11">
        <f t="shared" si="3"/>
        <v>1.58</v>
      </c>
      <c r="G38" s="11">
        <f t="shared" si="4"/>
        <v>1.58</v>
      </c>
      <c r="H38" s="12"/>
      <c r="I38" s="12"/>
      <c r="J38" s="12"/>
      <c r="K38" s="12"/>
      <c r="L38" s="12"/>
      <c r="M38" s="12"/>
      <c r="N38" s="12"/>
      <c r="O38" s="12"/>
    </row>
    <row r="39" spans="2:15">
      <c r="B39" s="8">
        <v>28000</v>
      </c>
      <c r="C39" s="7">
        <f t="shared" si="2"/>
        <v>481.46413972606013</v>
      </c>
      <c r="D39" s="158" cm="1">
        <f t="array" ref="D39">SQRT(W_FE*n_FE/(Linterp(B39,atmos_h,atmos_qms)*S*CLmax))</f>
        <v>0.39079461707355373</v>
      </c>
      <c r="E39" s="159" cm="1">
        <f t="array" ref="E39">SQRT(maxq/Linterp(B39,atmos_h,atmos_qms))</f>
        <v>1.857312921528018</v>
      </c>
      <c r="F39" s="11">
        <f t="shared" si="3"/>
        <v>1.58</v>
      </c>
      <c r="G39" s="11">
        <f t="shared" si="4"/>
        <v>1.58</v>
      </c>
      <c r="H39" s="12"/>
      <c r="I39" s="12"/>
      <c r="J39" s="12"/>
      <c r="K39" s="12"/>
      <c r="L39" s="12"/>
      <c r="M39" s="12"/>
      <c r="N39" s="12"/>
      <c r="O39" s="12"/>
    </row>
    <row r="40" spans="2:15">
      <c r="B40" s="8">
        <v>29000</v>
      </c>
      <c r="C40" s="7">
        <f t="shared" si="2"/>
        <v>460.30411435996132</v>
      </c>
      <c r="D40" s="158" cm="1">
        <f t="array" ref="D40">SQRT(W_FE*n_FE/(Linterp(B40,atmos_h,atmos_qms)*S*CLmax))</f>
        <v>0.39967604341047702</v>
      </c>
      <c r="E40" s="159" cm="1">
        <f t="array" ref="E40">SQRT(maxq/Linterp(B40,atmos_h,atmos_qms))</f>
        <v>1.8995232979674206</v>
      </c>
      <c r="F40" s="11">
        <f t="shared" si="3"/>
        <v>1.58</v>
      </c>
      <c r="G40" s="11">
        <f t="shared" si="4"/>
        <v>1.58</v>
      </c>
      <c r="H40" s="12"/>
      <c r="I40" s="12"/>
      <c r="J40" s="12"/>
      <c r="K40" s="12"/>
      <c r="L40" s="12"/>
      <c r="M40" s="12"/>
      <c r="N40" s="12"/>
      <c r="O40" s="12"/>
    </row>
    <row r="41" spans="2:15">
      <c r="B41" s="8">
        <v>30000</v>
      </c>
      <c r="C41" s="7">
        <f t="shared" si="2"/>
        <v>439.90350606186917</v>
      </c>
      <c r="D41" s="158" cm="1">
        <f t="array" ref="D41">SQRT(W_FE*n_FE/(Linterp(B41,atmos_h,atmos_qms)*S*CLmax))</f>
        <v>0.40883854510986267</v>
      </c>
      <c r="E41" s="159" cm="1">
        <f t="array" ref="E41">SQRT(maxq/Linterp(B41,atmos_h,atmos_qms))</f>
        <v>1.9430695293030185</v>
      </c>
      <c r="F41" s="11">
        <f t="shared" si="3"/>
        <v>1.58</v>
      </c>
      <c r="G41" s="11">
        <f t="shared" si="4"/>
        <v>1.58</v>
      </c>
      <c r="H41" s="12"/>
      <c r="I41" s="12"/>
      <c r="J41" s="12"/>
      <c r="K41" s="12"/>
      <c r="L41" s="12"/>
      <c r="M41" s="12"/>
      <c r="N41" s="12"/>
      <c r="O41" s="12"/>
    </row>
    <row r="42" spans="2:15">
      <c r="B42" s="8">
        <v>31000</v>
      </c>
      <c r="C42" s="7">
        <f t="shared" si="2"/>
        <v>420.24128547087412</v>
      </c>
      <c r="D42" s="158" cm="1">
        <f t="array" ref="D42">SQRT(W_FE*n_FE/(Linterp(B42,atmos_h,atmos_qms)*S*CLmax))</f>
        <v>0.41829356905714621</v>
      </c>
      <c r="E42" s="159" cm="1">
        <f t="array" ref="E42">SQRT(maxq/Linterp(B42,atmos_h,atmos_qms))</f>
        <v>1.9880060186593735</v>
      </c>
      <c r="F42" s="11">
        <f t="shared" si="3"/>
        <v>1.58</v>
      </c>
      <c r="G42" s="11">
        <f t="shared" si="4"/>
        <v>1.58</v>
      </c>
      <c r="H42" s="12"/>
      <c r="I42" s="12"/>
      <c r="J42" s="12"/>
      <c r="K42" s="12"/>
      <c r="L42" s="12"/>
      <c r="M42" s="12"/>
      <c r="N42" s="12"/>
      <c r="O42" s="12"/>
    </row>
    <row r="43" spans="2:15">
      <c r="B43" s="8">
        <v>32000</v>
      </c>
      <c r="C43" s="7">
        <f t="shared" ref="C43:C61" si="7">Linterp(B43,atmos_h,atmos_qms)</f>
        <v>401.29683019506137</v>
      </c>
      <c r="D43" s="158" cm="1">
        <f t="array" ref="D43">SQRT(W_FE*n_FE/(Linterp(B43,atmos_h,atmos_qms)*S*CLmax))</f>
        <v>0.42805313407090567</v>
      </c>
      <c r="E43" s="159" cm="1">
        <f t="array" ref="E43">SQRT(maxq/Linterp(B43,atmos_h,atmos_qms))</f>
        <v>2.0343898873633184</v>
      </c>
      <c r="F43" s="11">
        <f t="shared" ref="F43:F61" si="8">_xlfn.SINGLE(amlim)</f>
        <v>1.58</v>
      </c>
      <c r="G43" s="11">
        <f t="shared" si="4"/>
        <v>1.58</v>
      </c>
      <c r="H43" s="12"/>
      <c r="I43" s="12"/>
      <c r="J43" s="12"/>
      <c r="K43" s="12"/>
      <c r="L43" s="12"/>
      <c r="M43" s="12"/>
      <c r="N43" s="12"/>
      <c r="O43" s="12"/>
    </row>
    <row r="44" spans="2:15">
      <c r="B44" s="8">
        <v>33000</v>
      </c>
      <c r="C44" s="7">
        <f t="shared" si="7"/>
        <v>383.0499203883931</v>
      </c>
      <c r="D44" s="158" cm="1">
        <f t="array" ref="D44">SQRT(W_FE*n_FE/(Linterp(B44,atmos_h,atmos_qms)*S*CLmax))</f>
        <v>0.43812986485746858</v>
      </c>
      <c r="E44" s="159" cm="1">
        <f t="array" ref="E44">SQRT(maxq/Linterp(B44,atmos_h,atmos_qms))</f>
        <v>2.082281136318572</v>
      </c>
      <c r="F44" s="11">
        <f t="shared" si="8"/>
        <v>1.58</v>
      </c>
      <c r="G44" s="11">
        <f t="shared" si="4"/>
        <v>1.58</v>
      </c>
      <c r="H44" s="12"/>
      <c r="I44" s="12"/>
      <c r="J44" s="12"/>
      <c r="K44" s="12"/>
      <c r="L44" s="12"/>
      <c r="M44" s="12"/>
      <c r="N44" s="12"/>
      <c r="O44" s="12"/>
    </row>
    <row r="45" spans="2:15">
      <c r="B45" s="8">
        <v>34000</v>
      </c>
      <c r="C45" s="7">
        <f t="shared" si="7"/>
        <v>365.48073433747794</v>
      </c>
      <c r="D45" s="158" cm="1">
        <f t="array" ref="D45">SQRT(W_FE*n_FE/(Linterp(B45,atmos_h,atmos_qms)*S*CLmax))</f>
        <v>0.44853702830641795</v>
      </c>
      <c r="E45" s="159" cm="1">
        <f t="array" ref="E45">SQRT(maxq/Linterp(B45,atmos_h,atmos_qms))</f>
        <v>2.1317428185058414</v>
      </c>
      <c r="F45" s="11">
        <f t="shared" si="8"/>
        <v>1.58</v>
      </c>
      <c r="G45" s="11">
        <f t="shared" si="4"/>
        <v>1.58</v>
      </c>
      <c r="H45" s="12"/>
      <c r="I45" s="12"/>
      <c r="J45" s="12"/>
      <c r="K45" s="12"/>
      <c r="L45" s="12"/>
      <c r="M45" s="12"/>
      <c r="N45" s="12"/>
      <c r="O45" s="12"/>
    </row>
    <row r="46" spans="2:15">
      <c r="B46" s="8">
        <v>35000</v>
      </c>
      <c r="C46" s="7">
        <f t="shared" si="7"/>
        <v>348.56984405829382</v>
      </c>
      <c r="D46" s="158" cm="1">
        <f t="array" ref="D46">SQRT(W_FE*n_FE/(Linterp(B46,atmos_h,atmos_qms)*S*CLmax))</f>
        <v>0.45928857231120107</v>
      </c>
      <c r="E46" s="159" cm="1">
        <f t="array" ref="E46">SQRT(maxq/Linterp(B46,atmos_h,atmos_qms))</f>
        <v>2.182841223483877</v>
      </c>
      <c r="F46" s="11">
        <f t="shared" si="8"/>
        <v>1.58</v>
      </c>
      <c r="G46" s="11">
        <f t="shared" si="4"/>
        <v>1.58</v>
      </c>
      <c r="H46" s="12"/>
      <c r="I46" s="12"/>
      <c r="J46" s="12"/>
      <c r="K46" s="12"/>
      <c r="L46" s="12"/>
      <c r="M46" s="12"/>
      <c r="N46" s="12"/>
      <c r="O46" s="12"/>
    </row>
    <row r="47" spans="2:15">
      <c r="B47" s="8">
        <v>36000</v>
      </c>
      <c r="C47" s="7">
        <f t="shared" si="7"/>
        <v>332.29821090292938</v>
      </c>
      <c r="D47" s="158" cm="1">
        <f t="array" ref="D47">SQRT(W_FE*n_FE/(Linterp(B47,atmos_h,atmos_qms)*S*CLmax))</f>
        <v>0.47039916731537268</v>
      </c>
      <c r="E47" s="159" cm="1">
        <f t="array" ref="E47">SQRT(maxq/Linterp(B47,atmos_h,atmos_qms))</f>
        <v>2.2356460748445306</v>
      </c>
      <c r="F47" s="11">
        <f t="shared" si="8"/>
        <v>1.58</v>
      </c>
      <c r="G47" s="11">
        <f t="shared" si="4"/>
        <v>1.58</v>
      </c>
      <c r="H47" s="12"/>
      <c r="I47" s="12"/>
      <c r="J47" s="12"/>
      <c r="K47" s="12"/>
      <c r="L47" s="12"/>
      <c r="M47" s="12"/>
      <c r="N47" s="12"/>
      <c r="O47" s="12"/>
    </row>
    <row r="48" spans="2:15">
      <c r="B48" s="8">
        <v>37000</v>
      </c>
      <c r="C48" s="7">
        <f t="shared" si="7"/>
        <v>316.70457937064464</v>
      </c>
      <c r="D48" s="158" cm="1">
        <f t="array" ref="D48">SQRT(W_FE*n_FE/(Linterp(B48,atmos_h,atmos_qms)*S*CLmax))</f>
        <v>0.48184058149571163</v>
      </c>
      <c r="E48" s="159" cm="1">
        <f t="array" ref="E48">SQRT(maxq/Linterp(B48,atmos_h,atmos_qms))</f>
        <v>2.2900231964047744</v>
      </c>
      <c r="F48" s="11">
        <f t="shared" si="8"/>
        <v>1.58</v>
      </c>
      <c r="G48" s="11">
        <f t="shared" si="4"/>
        <v>1.58</v>
      </c>
      <c r="H48" s="12"/>
      <c r="I48" s="12"/>
      <c r="J48" s="12"/>
      <c r="K48" s="12"/>
      <c r="L48" s="12"/>
      <c r="M48" s="12"/>
      <c r="N48" s="12"/>
      <c r="O48" s="12"/>
    </row>
    <row r="49" spans="2:15">
      <c r="B49" s="8">
        <v>38000</v>
      </c>
      <c r="C49" s="7">
        <f t="shared" si="7"/>
        <v>301.84260713385146</v>
      </c>
      <c r="D49" s="158" cm="1">
        <f t="array" ref="D49">SQRT(W_FE*n_FE/(Linterp(B49,atmos_h,atmos_qms)*S*CLmax))</f>
        <v>0.49356036204003867</v>
      </c>
      <c r="E49" s="159" cm="1">
        <f t="array" ref="E49">SQRT(maxq/Linterp(B49,atmos_h,atmos_qms))</f>
        <v>2.3457232979196174</v>
      </c>
      <c r="F49" s="11">
        <f t="shared" si="8"/>
        <v>1.58</v>
      </c>
      <c r="G49" s="11">
        <f t="shared" si="4"/>
        <v>1.58</v>
      </c>
      <c r="H49" s="12"/>
      <c r="I49" s="12"/>
      <c r="J49" s="12"/>
      <c r="K49" s="12"/>
      <c r="L49" s="12"/>
      <c r="M49" s="12"/>
      <c r="N49" s="12"/>
      <c r="O49" s="12"/>
    </row>
    <row r="50" spans="2:15">
      <c r="B50" s="8">
        <v>39000</v>
      </c>
      <c r="C50" s="7">
        <f t="shared" si="7"/>
        <v>287.67806156264714</v>
      </c>
      <c r="D50" s="158" cm="1">
        <f t="array" ref="D50">SQRT(W_FE*n_FE/(Linterp(B50,atmos_h,atmos_qms)*S*CLmax))</f>
        <v>0.50556520212746359</v>
      </c>
      <c r="E50" s="159" cm="1">
        <f t="array" ref="E50">SQRT(maxq/Linterp(B50,atmos_h,atmos_qms))</f>
        <v>2.4027781897761633</v>
      </c>
      <c r="F50" s="11">
        <f t="shared" si="8"/>
        <v>1.58</v>
      </c>
      <c r="G50" s="11">
        <f t="shared" si="4"/>
        <v>1.58</v>
      </c>
      <c r="H50" s="12"/>
      <c r="I50" s="12"/>
      <c r="J50" s="12"/>
      <c r="K50" s="12"/>
      <c r="L50" s="12"/>
      <c r="M50" s="12"/>
      <c r="N50" s="12"/>
      <c r="O50" s="12"/>
    </row>
    <row r="51" spans="2:15">
      <c r="B51" s="8">
        <v>40000</v>
      </c>
      <c r="C51" s="7">
        <f t="shared" si="7"/>
        <v>274.17821456777654</v>
      </c>
      <c r="D51" s="158" cm="1">
        <f t="array" ref="D51">SQRT(W_FE*n_FE/(Linterp(B51,atmos_h,atmos_qms)*S*CLmax))</f>
        <v>0.51786203524473595</v>
      </c>
      <c r="E51" s="159" cm="1">
        <f t="array" ref="E51">SQRT(maxq/Linterp(B51,atmos_h,atmos_qms))</f>
        <v>2.461220824461392</v>
      </c>
      <c r="F51" s="11">
        <f t="shared" si="8"/>
        <v>1.58</v>
      </c>
      <c r="G51" s="11">
        <f t="shared" si="4"/>
        <v>1.58</v>
      </c>
      <c r="H51" s="12"/>
      <c r="I51" s="12"/>
      <c r="J51" s="12"/>
      <c r="K51" s="12"/>
      <c r="L51" s="12"/>
      <c r="M51" s="12"/>
      <c r="N51" s="12"/>
      <c r="O51" s="12"/>
    </row>
    <row r="52" spans="2:15">
      <c r="B52" s="8">
        <v>41000</v>
      </c>
      <c r="C52" s="7">
        <f t="shared" si="7"/>
        <v>261.31187388859428</v>
      </c>
      <c r="D52" s="158" cm="1">
        <f t="array" ref="D52">SQRT(W_FE*n_FE/(Linterp(B52,atmos_h,atmos_qms)*S*CLmax))</f>
        <v>0.53045796352140162</v>
      </c>
      <c r="E52" s="159" cm="1">
        <f t="array" ref="E52">SQRT(maxq/Linterp(B52,atmos_h,atmos_qms))</f>
        <v>2.521084955963715</v>
      </c>
      <c r="F52" s="11">
        <f t="shared" si="8"/>
        <v>1.58</v>
      </c>
      <c r="G52" s="11">
        <f t="shared" si="4"/>
        <v>1.58</v>
      </c>
      <c r="H52" s="12"/>
      <c r="I52" s="12"/>
      <c r="J52" s="12"/>
      <c r="K52" s="12"/>
      <c r="L52" s="12"/>
      <c r="M52" s="12"/>
      <c r="N52" s="12"/>
      <c r="O52" s="12"/>
    </row>
    <row r="53" spans="2:15">
      <c r="B53" s="8">
        <v>42000</v>
      </c>
      <c r="C53" s="7">
        <f t="shared" si="7"/>
        <v>249.04931102134992</v>
      </c>
      <c r="D53" s="158" cm="1">
        <f t="array" ref="D53">SQRT(W_FE*n_FE/(Linterp(B53,atmos_h,atmos_qms)*S*CLmax))</f>
        <v>0.54336026183169195</v>
      </c>
      <c r="E53" s="159" cm="1">
        <f t="array" ref="E53">SQRT(maxq/Linterp(B53,atmos_h,atmos_qms))</f>
        <v>2.5824051592678492</v>
      </c>
      <c r="F53" s="11">
        <f t="shared" si="8"/>
        <v>1.58</v>
      </c>
      <c r="G53" s="11">
        <f t="shared" si="4"/>
        <v>1.58</v>
      </c>
      <c r="H53" s="12"/>
      <c r="I53" s="12"/>
      <c r="J53" s="12"/>
      <c r="K53" s="12"/>
      <c r="L53" s="12"/>
      <c r="M53" s="12"/>
      <c r="N53" s="12"/>
      <c r="O53" s="12"/>
    </row>
    <row r="54" spans="2:15">
      <c r="B54" s="8">
        <v>43000</v>
      </c>
      <c r="C54" s="7">
        <f t="shared" si="7"/>
        <v>237.36219252957719</v>
      </c>
      <c r="D54" s="158" cm="1">
        <f t="array" ref="D54">SQRT(W_FE*n_FE/(Linterp(B54,atmos_h,atmos_qms)*S*CLmax))</f>
        <v>0.55657638199618287</v>
      </c>
      <c r="E54" s="159" cm="1">
        <f t="array" ref="E54">SQRT(maxq/Linterp(B54,atmos_h,atmos_qms))</f>
        <v>2.6452168503238593</v>
      </c>
      <c r="F54" s="11">
        <f t="shared" si="8"/>
        <v>1.58</v>
      </c>
      <c r="G54" s="11">
        <f t="shared" si="4"/>
        <v>1.58</v>
      </c>
      <c r="H54" s="12"/>
      <c r="I54" s="12"/>
      <c r="J54" s="12"/>
      <c r="K54" s="12"/>
      <c r="L54" s="12"/>
      <c r="M54" s="12"/>
      <c r="N54" s="12"/>
      <c r="O54" s="12"/>
    </row>
    <row r="55" spans="2:15">
      <c r="B55" s="8">
        <v>44000</v>
      </c>
      <c r="C55" s="7">
        <f t="shared" si="7"/>
        <v>226.22351457787488</v>
      </c>
      <c r="D55" s="158" cm="1">
        <f t="array" ref="D55">SQRT(W_FE*n_FE/(Linterp(B55,atmos_h,atmos_qms)*S*CLmax))</f>
        <v>0.57011395708565016</v>
      </c>
      <c r="E55" s="159" cm="1">
        <f t="array" ref="E55">SQRT(maxq/Linterp(B55,atmos_h,atmos_qms))</f>
        <v>2.7095563065019137</v>
      </c>
      <c r="F55" s="11">
        <f t="shared" si="8"/>
        <v>1.58</v>
      </c>
      <c r="G55" s="11">
        <f t="shared" si="4"/>
        <v>1.58</v>
      </c>
      <c r="H55" s="12"/>
      <c r="I55" s="12"/>
      <c r="J55" s="12"/>
      <c r="K55" s="12"/>
      <c r="L55" s="12"/>
      <c r="M55" s="12"/>
      <c r="N55" s="12"/>
      <c r="O55" s="12"/>
    </row>
    <row r="56" spans="2:15">
      <c r="B56" s="8">
        <v>45000</v>
      </c>
      <c r="C56" s="7">
        <f t="shared" si="7"/>
        <v>215.60754053781716</v>
      </c>
      <c r="D56" s="158" cm="1">
        <f t="array" ref="D56">SQRT(W_FE*n_FE/(Linterp(B56,atmos_h,atmos_qms)*S*CLmax))</f>
        <v>0.58398080582960799</v>
      </c>
      <c r="E56" s="159" cm="1">
        <f t="array" ref="E56">SQRT(maxq/Linterp(B56,atmos_h,atmos_qms))</f>
        <v>2.7754606875445522</v>
      </c>
      <c r="F56" s="11">
        <f t="shared" si="8"/>
        <v>1.58</v>
      </c>
      <c r="G56" s="11">
        <f t="shared" si="4"/>
        <v>1.58</v>
      </c>
      <c r="H56" s="12"/>
      <c r="I56" s="12"/>
      <c r="J56" s="12"/>
      <c r="K56" s="12"/>
      <c r="L56" s="12"/>
      <c r="M56" s="12"/>
      <c r="N56" s="12"/>
      <c r="O56" s="12"/>
    </row>
    <row r="57" spans="2:15">
      <c r="B57" s="8">
        <v>46000</v>
      </c>
      <c r="C57" s="7">
        <f t="shared" si="7"/>
        <v>205.48974152182566</v>
      </c>
      <c r="D57" s="158" cm="1">
        <f t="array" ref="D57">SQRT(W_FE*n_FE/(Linterp(B57,atmos_h,atmos_qms)*S*CLmax))</f>
        <v>0.59818493713207521</v>
      </c>
      <c r="E57" s="159" cm="1">
        <f t="array" ref="E57">SQRT(maxq/Linterp(B57,atmos_h,atmos_qms))</f>
        <v>2.8429680570285787</v>
      </c>
      <c r="F57" s="11">
        <f t="shared" si="8"/>
        <v>1.58</v>
      </c>
      <c r="G57" s="11">
        <f t="shared" si="4"/>
        <v>1.58</v>
      </c>
      <c r="H57" s="12"/>
      <c r="I57" s="12"/>
      <c r="J57" s="12"/>
      <c r="K57" s="12"/>
      <c r="L57" s="12"/>
      <c r="M57" s="12"/>
      <c r="N57" s="12"/>
      <c r="O57" s="12"/>
    </row>
    <row r="58" spans="2:15">
      <c r="B58" s="8">
        <v>47000</v>
      </c>
      <c r="C58" s="7">
        <f t="shared" si="7"/>
        <v>195.84673970760483</v>
      </c>
      <c r="D58" s="158" cm="1">
        <f t="array" ref="D58">SQRT(W_FE*n_FE/(Linterp(B58,atmos_h,atmos_qms)*S*CLmax))</f>
        <v>0.6127345546971793</v>
      </c>
      <c r="E58" s="159" cm="1">
        <f t="array" ref="E58">SQRT(maxq/Linterp(B58,atmos_h,atmos_qms))</f>
        <v>2.9121174043489706</v>
      </c>
      <c r="F58" s="11">
        <f t="shared" si="8"/>
        <v>1.58</v>
      </c>
      <c r="G58" s="11">
        <f t="shared" si="4"/>
        <v>1.58</v>
      </c>
      <c r="H58" s="12"/>
      <c r="I58" s="12"/>
      <c r="J58" s="12"/>
      <c r="K58" s="12"/>
      <c r="L58" s="12"/>
      <c r="M58" s="12"/>
      <c r="N58" s="12"/>
      <c r="O58" s="12"/>
    </row>
    <row r="59" spans="2:15">
      <c r="B59" s="8">
        <v>48000</v>
      </c>
      <c r="C59" s="7">
        <f t="shared" si="7"/>
        <v>186.65625432218673</v>
      </c>
      <c r="D59" s="158" cm="1">
        <f t="array" ref="D59">SQRT(W_FE*n_FE/(Linterp(B59,atmos_h,atmos_qms)*S*CLmax))</f>
        <v>0.62763806176726777</v>
      </c>
      <c r="E59" s="159" cm="1">
        <f t="array" ref="E59">SQRT(maxq/Linterp(B59,atmos_h,atmos_qms))</f>
        <v>2.9829486672375012</v>
      </c>
      <c r="F59" s="11">
        <f t="shared" si="8"/>
        <v>1.58</v>
      </c>
      <c r="G59" s="11">
        <f t="shared" si="4"/>
        <v>1.58</v>
      </c>
      <c r="H59" s="12"/>
      <c r="I59" s="12"/>
      <c r="J59" s="12"/>
      <c r="K59" s="12"/>
      <c r="L59" s="12"/>
      <c r="M59" s="12"/>
      <c r="N59" s="12"/>
      <c r="O59" s="12"/>
    </row>
    <row r="60" spans="2:15">
      <c r="B60" s="8">
        <v>49000</v>
      </c>
      <c r="C60" s="7">
        <f t="shared" si="7"/>
        <v>177.89705016077923</v>
      </c>
      <c r="D60" s="158" cm="1">
        <f t="array" ref="D60">SQRT(W_FE*n_FE/(Linterp(B60,atmos_h,atmos_qms)*S*CLmax))</f>
        <v>0.64290406597626493</v>
      </c>
      <c r="E60" s="159" cm="1">
        <f t="array" ref="E60">SQRT(maxq/Linterp(B60,atmos_h,atmos_qms))</f>
        <v>3.0555027548290785</v>
      </c>
      <c r="F60" s="11">
        <f t="shared" si="8"/>
        <v>1.58</v>
      </c>
      <c r="G60" s="11">
        <f t="shared" si="4"/>
        <v>1.58</v>
      </c>
      <c r="H60" s="12"/>
      <c r="I60" s="12"/>
      <c r="J60" s="12"/>
      <c r="K60" s="12"/>
      <c r="L60" s="12"/>
      <c r="M60" s="12"/>
      <c r="N60" s="12"/>
      <c r="O60" s="12"/>
    </row>
    <row r="61" spans="2:15" ht="15" thickBot="1">
      <c r="B61" s="8">
        <v>50000</v>
      </c>
      <c r="C61" s="7">
        <f t="shared" si="7"/>
        <v>169.54888852146578</v>
      </c>
      <c r="D61" s="158" cm="1">
        <f t="array" ref="D61">SQRT(W_FE*n_FE/(Linterp(B61,atmos_h,atmos_qms)*S*CLmax))</f>
        <v>0.65854138432107612</v>
      </c>
      <c r="E61" s="159" cm="1">
        <f t="array" ref="E61">SQRT(maxq/Linterp(B61,atmos_h,atmos_qms))</f>
        <v>3.1298215712891286</v>
      </c>
      <c r="F61" s="11">
        <f t="shared" si="8"/>
        <v>1.58</v>
      </c>
      <c r="G61" s="11">
        <f t="shared" si="4"/>
        <v>1.58</v>
      </c>
      <c r="H61" s="12"/>
      <c r="I61" s="12"/>
      <c r="J61" s="12"/>
      <c r="K61" s="12"/>
      <c r="L61" s="12"/>
      <c r="M61" s="12"/>
      <c r="N61" s="12"/>
      <c r="O61" s="12"/>
    </row>
    <row r="62" spans="2:15">
      <c r="C62" s="7"/>
      <c r="D62" s="236"/>
      <c r="E62" s="236"/>
      <c r="F62" s="19"/>
      <c r="G62" s="16"/>
      <c r="H62" s="12"/>
      <c r="I62" s="12"/>
      <c r="J62" s="12"/>
      <c r="K62" s="12"/>
      <c r="L62" s="12"/>
      <c r="M62" s="12"/>
      <c r="N62" s="12"/>
      <c r="O62" s="12"/>
    </row>
    <row r="63" spans="2:15">
      <c r="B63" s="8"/>
      <c r="C63" s="7"/>
      <c r="D63" s="7"/>
      <c r="E63" s="11"/>
      <c r="F63" s="19"/>
      <c r="G63" s="16"/>
      <c r="H63" s="12"/>
      <c r="I63" s="12"/>
      <c r="J63" s="12"/>
      <c r="K63" s="12"/>
      <c r="L63" s="12"/>
      <c r="M63" s="12"/>
      <c r="N63" s="12"/>
      <c r="O63" s="12"/>
    </row>
    <row r="64" spans="2:15">
      <c r="C64" s="8">
        <f>_xlfn.SINGLE(maxalt)-100</f>
        <v>49900</v>
      </c>
      <c r="D64" s="11">
        <f>D61</f>
        <v>0.65854138432107612</v>
      </c>
      <c r="E64" s="11"/>
      <c r="F64" s="19"/>
      <c r="G64" s="16"/>
      <c r="H64" s="12"/>
      <c r="I64" s="12"/>
      <c r="J64" s="12"/>
      <c r="K64" s="12"/>
      <c r="L64" s="12"/>
      <c r="M64" s="12"/>
      <c r="N64" s="12"/>
      <c r="O64" s="12"/>
    </row>
    <row r="65" spans="3:15">
      <c r="C65" s="8">
        <f>C64</f>
        <v>49900</v>
      </c>
      <c r="D65" s="11">
        <f>G61</f>
        <v>1.58</v>
      </c>
      <c r="E65" s="11"/>
      <c r="F65" s="19"/>
      <c r="G65" s="16"/>
      <c r="H65" s="12"/>
      <c r="I65" s="12"/>
      <c r="J65" s="12"/>
      <c r="K65" s="12"/>
      <c r="L65" s="12"/>
      <c r="M65" s="12"/>
      <c r="N65" s="12"/>
      <c r="O65" s="12"/>
    </row>
    <row r="66" spans="3:15">
      <c r="C66" s="7"/>
      <c r="D66" s="7"/>
      <c r="E66" s="11"/>
      <c r="F66" s="19"/>
      <c r="G66" s="16"/>
      <c r="H66" s="12"/>
      <c r="I66" s="12"/>
      <c r="J66" s="12"/>
      <c r="K66" s="12"/>
      <c r="L66" s="12"/>
      <c r="M66" s="12"/>
      <c r="N66" s="12"/>
      <c r="O66" s="12"/>
    </row>
    <row r="67" spans="3:15">
      <c r="C67" s="7"/>
      <c r="D67" s="7"/>
      <c r="E67" s="11"/>
      <c r="F67" s="19"/>
      <c r="G67" s="16"/>
      <c r="H67" s="12"/>
      <c r="I67" s="12"/>
      <c r="J67" s="12"/>
      <c r="K67" s="12"/>
      <c r="L67" s="12"/>
      <c r="M67" s="12"/>
      <c r="N67" s="12"/>
      <c r="O67" s="12"/>
    </row>
    <row r="68" spans="3:15">
      <c r="C68" s="7"/>
      <c r="D68" s="7"/>
      <c r="E68" s="11"/>
      <c r="F68" s="19"/>
      <c r="G68" s="16"/>
      <c r="H68" s="12"/>
      <c r="I68" s="12"/>
      <c r="J68" s="12"/>
      <c r="K68" s="12"/>
      <c r="L68" s="12"/>
      <c r="M68" s="12"/>
      <c r="N68" s="12"/>
      <c r="O68" s="12"/>
    </row>
    <row r="69" spans="3:15">
      <c r="C69" s="7"/>
      <c r="D69" s="7"/>
      <c r="E69" s="11"/>
      <c r="F69" s="19"/>
      <c r="G69" s="16"/>
      <c r="H69" s="12"/>
      <c r="I69" s="12"/>
      <c r="J69" s="12"/>
      <c r="K69" s="12"/>
      <c r="L69" s="12"/>
      <c r="M69" s="12"/>
      <c r="N69" s="12"/>
      <c r="O69" s="12"/>
    </row>
    <row r="70" spans="3:15">
      <c r="C70" s="7"/>
      <c r="D70" s="7"/>
      <c r="E70" s="11"/>
      <c r="F70" s="19"/>
      <c r="G70" s="16"/>
      <c r="H70" s="12"/>
      <c r="I70" s="12"/>
      <c r="J70" s="12"/>
      <c r="K70" s="12"/>
      <c r="L70" s="12"/>
      <c r="M70" s="12"/>
      <c r="N70" s="12"/>
      <c r="O70" s="12"/>
    </row>
    <row r="71" spans="3:15">
      <c r="C71" s="7"/>
      <c r="D71" s="7"/>
      <c r="E71" s="11"/>
      <c r="F71" s="19"/>
      <c r="G71" s="16"/>
      <c r="H71" s="12"/>
      <c r="I71" s="12"/>
      <c r="J71" s="12"/>
      <c r="K71" s="12"/>
      <c r="L71" s="12"/>
      <c r="M71" s="12"/>
      <c r="N71" s="12"/>
      <c r="O71" s="12"/>
    </row>
    <row r="72" spans="3:15">
      <c r="C72" s="7"/>
      <c r="D72" s="7"/>
      <c r="E72" s="11"/>
      <c r="F72" s="19"/>
      <c r="G72" s="16"/>
      <c r="H72" s="12"/>
      <c r="I72" s="12"/>
      <c r="J72" s="12"/>
      <c r="K72" s="12"/>
      <c r="L72" s="12"/>
      <c r="M72" s="12"/>
      <c r="N72" s="12"/>
      <c r="O72" s="12"/>
    </row>
    <row r="73" spans="3:15">
      <c r="C73" s="7"/>
      <c r="D73" s="7"/>
      <c r="E73" s="11"/>
      <c r="F73" s="19"/>
      <c r="G73" s="16"/>
      <c r="H73" s="12"/>
      <c r="I73" s="12"/>
      <c r="J73" s="12"/>
      <c r="K73" s="12"/>
      <c r="L73" s="12"/>
      <c r="M73" s="12"/>
      <c r="N73" s="12"/>
      <c r="O73" s="12"/>
    </row>
    <row r="74" spans="3:15">
      <c r="C74" s="7"/>
      <c r="D74" s="7"/>
      <c r="E74" s="11"/>
      <c r="F74" s="19"/>
      <c r="G74" s="16"/>
      <c r="H74" s="12"/>
      <c r="I74" s="12"/>
      <c r="J74" s="12"/>
      <c r="K74" s="12"/>
      <c r="L74" s="12"/>
      <c r="M74" s="12"/>
      <c r="N74" s="12"/>
      <c r="O74" s="12"/>
    </row>
    <row r="75" spans="3:15">
      <c r="C75" s="7"/>
      <c r="D75" s="7"/>
      <c r="E75" s="11"/>
      <c r="F75" s="19"/>
      <c r="G75" s="16"/>
      <c r="H75" s="12"/>
      <c r="I75" s="12"/>
      <c r="J75" s="12"/>
      <c r="K75" s="12"/>
      <c r="L75" s="12"/>
      <c r="M75" s="12"/>
      <c r="N75" s="12"/>
      <c r="O75" s="12"/>
    </row>
    <row r="76" spans="3:15">
      <c r="C76" s="7"/>
      <c r="D76" s="7"/>
      <c r="E76" s="11"/>
      <c r="F76" s="19"/>
      <c r="G76" s="16"/>
      <c r="H76" s="12"/>
      <c r="I76" s="12"/>
      <c r="J76" s="12"/>
      <c r="K76" s="12"/>
      <c r="L76" s="12"/>
      <c r="M76" s="12"/>
      <c r="N76" s="12"/>
      <c r="O76" s="12"/>
    </row>
    <row r="77" spans="3:15">
      <c r="C77" s="7"/>
      <c r="D77" s="7"/>
      <c r="E77" s="11"/>
      <c r="F77" s="19"/>
      <c r="G77" s="16"/>
      <c r="H77" s="12"/>
      <c r="I77" s="12"/>
      <c r="J77" s="12"/>
      <c r="K77" s="12"/>
      <c r="L77" s="12"/>
      <c r="M77" s="12"/>
      <c r="N77" s="12"/>
      <c r="O77" s="12"/>
    </row>
    <row r="78" spans="3:15">
      <c r="C78" s="7"/>
      <c r="D78" s="7"/>
      <c r="E78" s="11"/>
      <c r="F78" s="19"/>
      <c r="G78" s="16"/>
      <c r="H78" s="12"/>
      <c r="I78" s="12"/>
      <c r="J78" s="12"/>
      <c r="K78" s="12"/>
      <c r="L78" s="12"/>
      <c r="M78" s="12"/>
      <c r="N78" s="12"/>
      <c r="O78" s="12"/>
    </row>
    <row r="79" spans="3:15">
      <c r="C79" s="7"/>
      <c r="D79" s="7"/>
      <c r="E79" s="11"/>
      <c r="F79" s="19"/>
      <c r="G79" s="16"/>
      <c r="H79" s="12"/>
      <c r="I79" s="12"/>
      <c r="J79" s="12"/>
      <c r="K79" s="12"/>
      <c r="L79" s="12"/>
      <c r="M79" s="12"/>
      <c r="N79" s="12"/>
      <c r="O79" s="12"/>
    </row>
    <row r="80" spans="3:15">
      <c r="C80" s="7"/>
      <c r="D80" s="7"/>
      <c r="E80" s="11"/>
      <c r="F80" s="19"/>
      <c r="G80" s="16"/>
      <c r="H80" s="12"/>
      <c r="I80" s="12"/>
      <c r="J80" s="12"/>
      <c r="K80" s="12"/>
      <c r="L80" s="12"/>
      <c r="M80" s="12"/>
      <c r="N80" s="12"/>
      <c r="O80" s="12"/>
    </row>
    <row r="81" spans="3:15">
      <c r="C81" s="7"/>
      <c r="D81" s="7"/>
      <c r="E81" s="11"/>
      <c r="F81" s="19"/>
      <c r="G81" s="16"/>
      <c r="H81" s="12"/>
      <c r="I81" s="12"/>
      <c r="J81" s="12"/>
      <c r="K81" s="12"/>
      <c r="L81" s="12"/>
      <c r="M81" s="12"/>
      <c r="N81" s="12"/>
      <c r="O81" s="12"/>
    </row>
    <row r="82" spans="3:15">
      <c r="C82" s="7"/>
      <c r="D82" s="7"/>
      <c r="E82" s="11"/>
      <c r="F82" s="19"/>
      <c r="G82" s="16"/>
      <c r="H82" s="12"/>
      <c r="I82" s="12"/>
      <c r="J82" s="12"/>
      <c r="K82" s="12"/>
      <c r="L82" s="12"/>
      <c r="M82" s="12"/>
      <c r="N82" s="12"/>
      <c r="O82" s="12"/>
    </row>
    <row r="83" spans="3:15">
      <c r="C83" s="7"/>
      <c r="D83" s="7"/>
      <c r="E83" s="11"/>
      <c r="F83" s="19"/>
      <c r="G83" s="16"/>
      <c r="H83" s="12"/>
      <c r="I83" s="12"/>
      <c r="J83" s="12"/>
      <c r="K83" s="12"/>
      <c r="L83" s="12"/>
      <c r="M83" s="12"/>
      <c r="N83" s="12"/>
      <c r="O83" s="12"/>
    </row>
    <row r="84" spans="3:15">
      <c r="C84" s="7"/>
      <c r="D84" s="7"/>
      <c r="E84" s="11"/>
      <c r="F84" s="19"/>
      <c r="G84" s="16"/>
      <c r="H84" s="12"/>
      <c r="I84" s="12"/>
      <c r="J84" s="12"/>
      <c r="K84" s="12"/>
      <c r="L84" s="12"/>
      <c r="M84" s="12"/>
      <c r="N84" s="12"/>
      <c r="O84" s="12"/>
    </row>
    <row r="85" spans="3:15">
      <c r="C85" s="7"/>
      <c r="D85" s="7"/>
      <c r="E85" s="11"/>
      <c r="F85" s="19"/>
      <c r="G85" s="16"/>
      <c r="H85" s="12"/>
      <c r="I85" s="12"/>
      <c r="J85" s="12"/>
      <c r="K85" s="12"/>
      <c r="L85" s="12"/>
      <c r="M85" s="12"/>
      <c r="N85" s="12"/>
      <c r="O85" s="12"/>
    </row>
    <row r="86" spans="3:15">
      <c r="C86" s="7"/>
      <c r="D86" s="7"/>
      <c r="E86" s="11"/>
      <c r="F86" s="19"/>
      <c r="G86" s="16"/>
      <c r="H86" s="12"/>
      <c r="I86" s="12"/>
      <c r="J86" s="12"/>
      <c r="K86" s="12"/>
      <c r="L86" s="12"/>
      <c r="M86" s="12"/>
      <c r="N86" s="12"/>
      <c r="O86" s="12"/>
    </row>
    <row r="87" spans="3:15">
      <c r="C87" s="7"/>
      <c r="D87" s="7"/>
      <c r="E87" s="11"/>
      <c r="F87" s="19"/>
      <c r="G87" s="16"/>
      <c r="H87" s="12"/>
      <c r="I87" s="12"/>
      <c r="J87" s="12"/>
      <c r="K87" s="12"/>
      <c r="L87" s="12"/>
      <c r="M87" s="12"/>
      <c r="N87" s="12"/>
      <c r="O87" s="12"/>
    </row>
    <row r="88" spans="3:15">
      <c r="C88" s="7"/>
      <c r="D88" s="7"/>
      <c r="E88" s="11"/>
      <c r="F88" s="19"/>
      <c r="G88" s="16"/>
      <c r="H88" s="12"/>
      <c r="I88" s="12"/>
      <c r="J88" s="12"/>
      <c r="K88" s="12"/>
      <c r="L88" s="12"/>
      <c r="M88" s="12"/>
      <c r="N88" s="12"/>
      <c r="O88" s="12"/>
    </row>
    <row r="89" spans="3:15">
      <c r="C89" s="7"/>
      <c r="D89" s="7"/>
      <c r="E89" s="11"/>
      <c r="F89" s="19"/>
      <c r="G89" s="16"/>
      <c r="H89" s="12"/>
      <c r="I89" s="12"/>
      <c r="J89" s="12"/>
      <c r="K89" s="12"/>
      <c r="L89" s="12"/>
      <c r="M89" s="12"/>
      <c r="N89" s="12"/>
      <c r="O89" s="12"/>
    </row>
    <row r="90" spans="3:15">
      <c r="C90" s="7"/>
      <c r="D90" s="7"/>
      <c r="E90" s="11"/>
      <c r="F90" s="19"/>
      <c r="G90" s="16"/>
      <c r="H90" s="12"/>
      <c r="I90" s="12"/>
      <c r="J90" s="12"/>
      <c r="K90" s="12"/>
      <c r="L90" s="12"/>
      <c r="M90" s="12"/>
      <c r="N90" s="12"/>
      <c r="O90" s="12"/>
    </row>
    <row r="91" spans="3:15">
      <c r="C91" s="7"/>
      <c r="D91" s="7"/>
      <c r="E91" s="11"/>
      <c r="F91" s="19"/>
      <c r="G91" s="16"/>
      <c r="H91" s="12"/>
      <c r="I91" s="12"/>
      <c r="J91" s="12"/>
      <c r="K91" s="12"/>
      <c r="L91" s="12"/>
      <c r="M91" s="12"/>
      <c r="N91" s="12"/>
      <c r="O91" s="12"/>
    </row>
    <row r="92" spans="3:15">
      <c r="C92" s="7"/>
      <c r="D92" s="7"/>
      <c r="E92" s="11"/>
      <c r="F92" s="19"/>
      <c r="G92" s="16"/>
      <c r="H92" s="12"/>
      <c r="I92" s="12"/>
      <c r="J92" s="12"/>
      <c r="K92" s="12"/>
      <c r="L92" s="12"/>
      <c r="M92" s="12"/>
      <c r="N92" s="12"/>
      <c r="O92" s="12"/>
    </row>
    <row r="93" spans="3:15">
      <c r="C93" s="7"/>
      <c r="D93" s="7"/>
      <c r="E93" s="11"/>
      <c r="F93" s="19"/>
      <c r="G93" s="16"/>
      <c r="H93" s="12"/>
      <c r="I93" s="12"/>
      <c r="J93" s="12"/>
      <c r="K93" s="12"/>
      <c r="L93" s="12"/>
      <c r="M93" s="12"/>
      <c r="N93" s="12"/>
      <c r="O93" s="12"/>
    </row>
    <row r="94" spans="3:15">
      <c r="C94" s="7"/>
      <c r="D94" s="7"/>
      <c r="E94" s="11"/>
      <c r="F94" s="19"/>
      <c r="G94" s="16"/>
      <c r="H94" s="12"/>
      <c r="I94" s="12"/>
      <c r="J94" s="12"/>
      <c r="K94" s="12"/>
      <c r="L94" s="12"/>
      <c r="M94" s="12"/>
      <c r="N94" s="12"/>
      <c r="O94" s="12"/>
    </row>
    <row r="95" spans="3:15">
      <c r="C95" s="7"/>
      <c r="D95" s="7"/>
      <c r="E95" s="11"/>
      <c r="F95" s="19"/>
      <c r="G95" s="16"/>
      <c r="H95" s="12"/>
      <c r="I95" s="12"/>
      <c r="J95" s="12"/>
      <c r="K95" s="12"/>
      <c r="L95" s="12"/>
      <c r="M95" s="12"/>
      <c r="N95" s="12"/>
      <c r="O95" s="12"/>
    </row>
    <row r="96" spans="3:15">
      <c r="C96" s="7"/>
      <c r="D96" s="7"/>
      <c r="E96" s="11"/>
      <c r="F96" s="19"/>
      <c r="G96" s="16"/>
      <c r="H96" s="12"/>
      <c r="I96" s="12"/>
      <c r="J96" s="12"/>
      <c r="K96" s="12"/>
      <c r="L96" s="12"/>
      <c r="M96" s="12"/>
      <c r="N96" s="12"/>
      <c r="O96" s="12"/>
    </row>
    <row r="97" spans="3:15">
      <c r="C97" s="7"/>
      <c r="D97" s="7"/>
      <c r="E97" s="11"/>
      <c r="F97" s="19"/>
      <c r="G97" s="16"/>
      <c r="H97" s="12"/>
      <c r="I97" s="12"/>
      <c r="J97" s="12"/>
      <c r="K97" s="12"/>
      <c r="L97" s="12"/>
      <c r="M97" s="12"/>
      <c r="N97" s="12"/>
      <c r="O97" s="12"/>
    </row>
    <row r="98" spans="3:15">
      <c r="C98" s="7"/>
      <c r="D98" s="7"/>
      <c r="E98" s="11"/>
      <c r="F98" s="19"/>
      <c r="G98" s="16"/>
      <c r="H98" s="12"/>
      <c r="I98" s="12"/>
      <c r="J98" s="12"/>
      <c r="K98" s="12"/>
      <c r="L98" s="12"/>
      <c r="M98" s="12"/>
      <c r="N98" s="12"/>
      <c r="O98" s="12"/>
    </row>
    <row r="99" spans="3:15">
      <c r="C99" s="7"/>
      <c r="D99" s="7"/>
      <c r="E99" s="11"/>
      <c r="F99" s="19"/>
      <c r="G99" s="16"/>
      <c r="H99" s="12"/>
      <c r="I99" s="12"/>
      <c r="J99" s="12"/>
      <c r="K99" s="12"/>
      <c r="L99" s="12"/>
      <c r="M99" s="12"/>
      <c r="N99" s="12"/>
      <c r="O99" s="12"/>
    </row>
    <row r="100" spans="3:15">
      <c r="C100" s="7"/>
      <c r="D100" s="7"/>
      <c r="E100" s="11"/>
      <c r="F100" s="19"/>
      <c r="G100" s="16"/>
      <c r="H100" s="12"/>
      <c r="I100" s="12"/>
      <c r="J100" s="12"/>
      <c r="K100" s="12"/>
      <c r="L100" s="12"/>
      <c r="M100" s="12"/>
      <c r="N100" s="12"/>
      <c r="O100" s="12"/>
    </row>
    <row r="101" spans="3:15">
      <c r="C101" s="7"/>
      <c r="D101" s="7"/>
      <c r="E101" s="11"/>
      <c r="F101" s="19"/>
      <c r="G101" s="16"/>
      <c r="H101" s="12"/>
      <c r="I101" s="12"/>
      <c r="J101" s="12"/>
      <c r="K101" s="12"/>
      <c r="L101" s="12"/>
      <c r="M101" s="12"/>
      <c r="N101" s="12"/>
      <c r="O101" s="12"/>
    </row>
    <row r="102" spans="3:15">
      <c r="C102" s="7"/>
      <c r="D102" s="7"/>
      <c r="E102" s="11"/>
      <c r="F102" s="19"/>
      <c r="G102" s="16"/>
      <c r="H102" s="12"/>
      <c r="I102" s="12"/>
      <c r="J102" s="12"/>
      <c r="K102" s="12"/>
      <c r="L102" s="12"/>
      <c r="M102" s="12"/>
      <c r="N102" s="12"/>
      <c r="O102" s="12"/>
    </row>
    <row r="103" spans="3:15">
      <c r="C103" s="7"/>
      <c r="D103" s="7"/>
      <c r="E103" s="11"/>
      <c r="F103" s="19"/>
      <c r="G103" s="16"/>
      <c r="H103" s="12"/>
      <c r="I103" s="12"/>
      <c r="J103" s="12"/>
      <c r="K103" s="12"/>
      <c r="L103" s="12"/>
      <c r="M103" s="12"/>
      <c r="N103" s="12"/>
      <c r="O103" s="12"/>
    </row>
    <row r="104" spans="3:15">
      <c r="C104" s="7"/>
      <c r="D104" s="7"/>
      <c r="E104" s="11"/>
      <c r="F104" s="19"/>
      <c r="G104" s="16"/>
      <c r="H104" s="12"/>
      <c r="I104" s="12"/>
      <c r="J104" s="12"/>
      <c r="K104" s="12"/>
      <c r="L104" s="12"/>
      <c r="M104" s="12"/>
      <c r="N104" s="12"/>
      <c r="O104" s="12"/>
    </row>
    <row r="105" spans="3:15">
      <c r="C105" s="7"/>
      <c r="D105" s="7"/>
      <c r="E105" s="11"/>
      <c r="F105" s="19"/>
      <c r="G105" s="16"/>
      <c r="H105" s="12"/>
      <c r="I105" s="12"/>
      <c r="J105" s="12"/>
      <c r="K105" s="12"/>
      <c r="L105" s="12"/>
      <c r="M105" s="12"/>
      <c r="N105" s="12"/>
      <c r="O105" s="12"/>
    </row>
    <row r="106" spans="3:15">
      <c r="C106" s="7"/>
      <c r="D106" s="7"/>
      <c r="E106" s="11"/>
      <c r="F106" s="19"/>
      <c r="G106" s="16"/>
      <c r="H106" s="12"/>
      <c r="I106" s="12"/>
      <c r="J106" s="12"/>
      <c r="K106" s="12"/>
      <c r="L106" s="12"/>
      <c r="M106" s="12"/>
      <c r="N106" s="12"/>
      <c r="O106" s="12"/>
    </row>
    <row r="107" spans="3:15">
      <c r="C107" s="7"/>
      <c r="D107" s="7"/>
      <c r="E107" s="11"/>
      <c r="F107" s="19"/>
      <c r="G107" s="16"/>
      <c r="H107" s="12"/>
      <c r="I107" s="12"/>
      <c r="J107" s="12"/>
      <c r="K107" s="12"/>
      <c r="L107" s="12"/>
      <c r="M107" s="12"/>
      <c r="N107" s="12"/>
      <c r="O107" s="12"/>
    </row>
    <row r="108" spans="3:15">
      <c r="C108" s="7"/>
      <c r="D108" s="7"/>
      <c r="E108" s="11"/>
      <c r="F108" s="19"/>
      <c r="G108" s="16"/>
      <c r="H108" s="12"/>
      <c r="I108" s="12"/>
      <c r="J108" s="12"/>
      <c r="K108" s="12"/>
      <c r="L108" s="12"/>
      <c r="M108" s="12"/>
      <c r="N108" s="12"/>
      <c r="O108" s="12"/>
    </row>
    <row r="109" spans="3:15">
      <c r="C109" s="7"/>
      <c r="D109" s="7"/>
      <c r="E109" s="11"/>
      <c r="F109" s="19"/>
      <c r="G109" s="16"/>
      <c r="H109" s="12"/>
      <c r="I109" s="12"/>
      <c r="J109" s="12"/>
      <c r="K109" s="12"/>
      <c r="L109" s="12"/>
      <c r="M109" s="12"/>
      <c r="N109" s="12"/>
      <c r="O109" s="12"/>
    </row>
    <row r="110" spans="3:15">
      <c r="C110" s="7"/>
      <c r="D110" s="7"/>
      <c r="E110" s="11"/>
      <c r="F110" s="19"/>
      <c r="G110" s="16"/>
      <c r="H110" s="12"/>
      <c r="I110" s="12"/>
      <c r="J110" s="12"/>
      <c r="K110" s="12"/>
      <c r="L110" s="12"/>
      <c r="M110" s="12"/>
      <c r="N110" s="12"/>
      <c r="O110" s="12"/>
    </row>
    <row r="111" spans="3:15">
      <c r="C111" s="7"/>
      <c r="D111" s="7"/>
      <c r="E111" s="11"/>
      <c r="F111" s="19"/>
      <c r="G111" s="16"/>
      <c r="H111" s="12"/>
      <c r="I111" s="12"/>
      <c r="J111" s="12"/>
      <c r="K111" s="12"/>
      <c r="L111" s="12"/>
      <c r="M111" s="12"/>
      <c r="N111" s="12"/>
      <c r="O111" s="12"/>
    </row>
    <row r="112" spans="3:15">
      <c r="C112" s="7"/>
      <c r="D112" s="7"/>
      <c r="E112" s="11"/>
      <c r="F112" s="19"/>
      <c r="G112" s="16"/>
      <c r="H112" s="12"/>
      <c r="I112" s="12"/>
      <c r="J112" s="12"/>
      <c r="K112" s="12"/>
      <c r="L112" s="12"/>
      <c r="M112" s="12"/>
      <c r="N112" s="12"/>
      <c r="O112" s="12"/>
    </row>
    <row r="113" spans="3:15">
      <c r="C113" s="7"/>
      <c r="D113" s="7"/>
      <c r="E113" s="11"/>
      <c r="F113" s="19"/>
      <c r="G113" s="16"/>
      <c r="H113" s="12"/>
      <c r="I113" s="12"/>
      <c r="J113" s="12"/>
      <c r="K113" s="12"/>
      <c r="L113" s="12"/>
      <c r="M113" s="12"/>
      <c r="N113" s="12"/>
      <c r="O113" s="12"/>
    </row>
    <row r="114" spans="3:15">
      <c r="C114" s="7"/>
      <c r="D114" s="7"/>
      <c r="E114" s="11"/>
      <c r="F114" s="19"/>
      <c r="G114" s="16"/>
      <c r="H114" s="12"/>
      <c r="I114" s="12"/>
      <c r="J114" s="12"/>
      <c r="K114" s="12"/>
      <c r="L114" s="12"/>
      <c r="M114" s="12"/>
      <c r="N114" s="12"/>
      <c r="O114" s="12"/>
    </row>
    <row r="115" spans="3:15">
      <c r="C115" s="7"/>
      <c r="D115" s="7"/>
      <c r="E115" s="11"/>
      <c r="F115" s="19"/>
      <c r="G115" s="16"/>
      <c r="H115" s="12"/>
      <c r="I115" s="12"/>
      <c r="J115" s="12"/>
      <c r="K115" s="12"/>
      <c r="L115" s="12"/>
      <c r="M115" s="12"/>
      <c r="N115" s="12"/>
      <c r="O115" s="12"/>
    </row>
    <row r="116" spans="3:15">
      <c r="C116" s="7"/>
      <c r="D116" s="7"/>
      <c r="E116" s="11"/>
      <c r="F116" s="19"/>
      <c r="G116" s="16"/>
      <c r="H116" s="12"/>
      <c r="I116" s="12"/>
      <c r="J116" s="12"/>
      <c r="K116" s="12"/>
      <c r="L116" s="12"/>
      <c r="M116" s="12"/>
      <c r="N116" s="12"/>
      <c r="O116" s="12"/>
    </row>
    <row r="117" spans="3:15">
      <c r="C117" s="7"/>
      <c r="D117" s="7"/>
      <c r="E117" s="11"/>
      <c r="F117" s="19"/>
      <c r="G117" s="16"/>
      <c r="H117" s="12"/>
      <c r="I117" s="12"/>
      <c r="J117" s="12"/>
      <c r="K117" s="12"/>
      <c r="L117" s="12"/>
      <c r="M117" s="12"/>
      <c r="N117" s="12"/>
      <c r="O117" s="12"/>
    </row>
    <row r="118" spans="3:15">
      <c r="C118" s="7"/>
      <c r="D118" s="7"/>
      <c r="E118" s="11"/>
      <c r="F118" s="19"/>
      <c r="G118" s="16"/>
      <c r="H118" s="12"/>
      <c r="I118" s="12"/>
      <c r="J118" s="12"/>
      <c r="K118" s="12"/>
      <c r="L118" s="12"/>
      <c r="M118" s="12"/>
      <c r="N118" s="12"/>
      <c r="O118" s="12"/>
    </row>
    <row r="119" spans="3:15">
      <c r="C119" s="7"/>
      <c r="D119" s="7"/>
      <c r="E119" s="11"/>
      <c r="F119" s="19"/>
      <c r="G119" s="16"/>
      <c r="H119" s="12"/>
      <c r="I119" s="12"/>
      <c r="J119" s="12"/>
      <c r="K119" s="12"/>
      <c r="L119" s="12"/>
      <c r="M119" s="12"/>
      <c r="N119" s="12"/>
      <c r="O119" s="12"/>
    </row>
    <row r="120" spans="3:15">
      <c r="C120" s="7"/>
      <c r="D120" s="7"/>
      <c r="E120" s="11"/>
      <c r="F120" s="19"/>
      <c r="G120" s="16"/>
      <c r="H120" s="12"/>
      <c r="I120" s="12"/>
      <c r="J120" s="12"/>
      <c r="K120" s="12"/>
      <c r="L120" s="12"/>
      <c r="M120" s="12"/>
      <c r="N120" s="12"/>
      <c r="O120" s="12"/>
    </row>
    <row r="121" spans="3:15">
      <c r="C121" s="7"/>
      <c r="D121" s="7"/>
      <c r="E121" s="11"/>
      <c r="F121" s="19"/>
      <c r="G121" s="16"/>
      <c r="H121" s="12"/>
      <c r="I121" s="12"/>
      <c r="J121" s="12"/>
      <c r="K121" s="12"/>
      <c r="L121" s="12"/>
      <c r="M121" s="12"/>
      <c r="N121" s="12"/>
      <c r="O121" s="12"/>
    </row>
    <row r="122" spans="3:15">
      <c r="C122" s="7"/>
      <c r="D122" s="7"/>
      <c r="E122" s="11"/>
      <c r="F122" s="19"/>
      <c r="G122" s="16"/>
      <c r="H122" s="12"/>
      <c r="I122" s="12"/>
      <c r="J122" s="12"/>
      <c r="K122" s="12"/>
      <c r="L122" s="12"/>
      <c r="M122" s="12"/>
      <c r="N122" s="12"/>
      <c r="O122" s="12"/>
    </row>
    <row r="123" spans="3:15">
      <c r="C123" s="7"/>
      <c r="D123" s="7"/>
      <c r="E123" s="11"/>
      <c r="F123" s="19"/>
      <c r="G123" s="16"/>
      <c r="H123" s="12"/>
      <c r="I123" s="12"/>
      <c r="J123" s="12"/>
      <c r="K123" s="12"/>
      <c r="L123" s="12"/>
      <c r="M123" s="12"/>
      <c r="N123" s="12"/>
      <c r="O123" s="12"/>
    </row>
    <row r="124" spans="3:15">
      <c r="C124" s="7"/>
      <c r="D124" s="7"/>
      <c r="E124" s="11"/>
      <c r="F124" s="19"/>
      <c r="G124" s="16"/>
      <c r="H124" s="12"/>
      <c r="I124" s="12"/>
      <c r="J124" s="12"/>
      <c r="K124" s="12"/>
      <c r="L124" s="12"/>
      <c r="M124" s="12"/>
      <c r="N124" s="12"/>
      <c r="O124" s="12"/>
    </row>
    <row r="125" spans="3:15">
      <c r="C125" s="7"/>
      <c r="D125" s="7"/>
      <c r="E125" s="11"/>
      <c r="F125" s="19"/>
      <c r="G125" s="16"/>
      <c r="H125" s="12"/>
      <c r="I125" s="12"/>
      <c r="J125" s="12"/>
      <c r="K125" s="12"/>
      <c r="L125" s="12"/>
      <c r="M125" s="12"/>
      <c r="N125" s="12"/>
      <c r="O125" s="12"/>
    </row>
    <row r="126" spans="3:15">
      <c r="C126" s="7"/>
      <c r="D126" s="7"/>
      <c r="E126" s="11"/>
      <c r="F126" s="19"/>
      <c r="G126" s="16"/>
      <c r="H126" s="12"/>
      <c r="I126" s="12"/>
      <c r="J126" s="12"/>
      <c r="K126" s="12"/>
      <c r="L126" s="12"/>
      <c r="M126" s="12"/>
      <c r="N126" s="12"/>
      <c r="O126" s="12"/>
    </row>
    <row r="127" spans="3:15">
      <c r="C127" s="7"/>
      <c r="D127" s="7"/>
      <c r="E127" s="11"/>
      <c r="F127" s="19"/>
      <c r="G127" s="16"/>
      <c r="H127" s="12"/>
      <c r="I127" s="12"/>
      <c r="J127" s="12"/>
      <c r="K127" s="12"/>
      <c r="L127" s="12"/>
      <c r="M127" s="12"/>
      <c r="N127" s="12"/>
      <c r="O127" s="12"/>
    </row>
    <row r="128" spans="3:15">
      <c r="C128" s="7"/>
      <c r="D128" s="7"/>
      <c r="E128" s="11"/>
      <c r="F128" s="19"/>
      <c r="G128" s="16"/>
      <c r="H128" s="12"/>
      <c r="I128" s="12"/>
      <c r="J128" s="12"/>
      <c r="K128" s="12"/>
      <c r="L128" s="12"/>
      <c r="M128" s="12"/>
      <c r="N128" s="12"/>
      <c r="O128" s="12"/>
    </row>
    <row r="129" spans="3:15">
      <c r="C129" s="7"/>
      <c r="D129" s="7"/>
      <c r="E129" s="11"/>
      <c r="F129" s="19"/>
      <c r="G129" s="16"/>
      <c r="H129" s="12"/>
      <c r="I129" s="12"/>
      <c r="J129" s="12"/>
      <c r="K129" s="12"/>
      <c r="L129" s="12"/>
      <c r="M129" s="12"/>
      <c r="N129" s="12"/>
      <c r="O129" s="12"/>
    </row>
    <row r="130" spans="3:15">
      <c r="C130" s="7"/>
      <c r="D130" s="7"/>
      <c r="E130" s="11"/>
      <c r="F130" s="19"/>
      <c r="G130" s="16"/>
      <c r="H130" s="12"/>
      <c r="I130" s="12"/>
      <c r="J130" s="12"/>
      <c r="K130" s="12"/>
      <c r="L130" s="12"/>
      <c r="M130" s="12"/>
      <c r="N130" s="12"/>
      <c r="O130" s="12"/>
    </row>
    <row r="131" spans="3:15">
      <c r="C131" s="7"/>
      <c r="D131" s="7"/>
      <c r="E131" s="11"/>
      <c r="F131" s="19"/>
      <c r="G131" s="16"/>
      <c r="H131" s="12"/>
      <c r="I131" s="12"/>
      <c r="J131" s="12"/>
      <c r="K131" s="12"/>
      <c r="L131" s="12"/>
      <c r="M131" s="12"/>
      <c r="N131" s="12"/>
      <c r="O131" s="12"/>
    </row>
    <row r="132" spans="3:15">
      <c r="C132" s="7"/>
      <c r="D132" s="7"/>
      <c r="E132" s="11"/>
      <c r="F132" s="19"/>
      <c r="G132" s="16"/>
      <c r="H132" s="12"/>
      <c r="I132" s="12"/>
      <c r="J132" s="12"/>
      <c r="K132" s="12"/>
      <c r="L132" s="12"/>
      <c r="M132" s="12"/>
      <c r="N132" s="12"/>
      <c r="O132" s="12"/>
    </row>
    <row r="133" spans="3:15">
      <c r="C133" s="7"/>
      <c r="D133" s="7"/>
      <c r="E133" s="11"/>
      <c r="F133" s="19"/>
      <c r="G133" s="16"/>
      <c r="H133" s="12"/>
      <c r="I133" s="12"/>
      <c r="J133" s="12"/>
      <c r="K133" s="12"/>
      <c r="L133" s="12"/>
      <c r="M133" s="12"/>
      <c r="N133" s="12"/>
      <c r="O133" s="12"/>
    </row>
    <row r="134" spans="3:15">
      <c r="C134" s="7"/>
      <c r="D134" s="7"/>
      <c r="E134" s="11"/>
      <c r="F134" s="19"/>
      <c r="G134" s="16"/>
      <c r="H134" s="12"/>
      <c r="I134" s="12"/>
      <c r="J134" s="12"/>
      <c r="K134" s="12"/>
      <c r="L134" s="12"/>
      <c r="M134" s="12"/>
      <c r="N134" s="12"/>
      <c r="O134" s="12"/>
    </row>
    <row r="135" spans="3:15">
      <c r="C135" s="7"/>
      <c r="D135" s="7"/>
      <c r="E135" s="11"/>
      <c r="F135" s="19"/>
      <c r="G135" s="16"/>
      <c r="H135" s="12"/>
      <c r="I135" s="12"/>
      <c r="J135" s="12"/>
      <c r="K135" s="12"/>
      <c r="L135" s="12"/>
      <c r="M135" s="12"/>
      <c r="N135" s="12"/>
      <c r="O135" s="12"/>
    </row>
    <row r="136" spans="3:15">
      <c r="C136" s="7"/>
      <c r="D136" s="7"/>
      <c r="E136" s="11"/>
      <c r="F136" s="19"/>
      <c r="G136" s="16"/>
      <c r="H136" s="12"/>
      <c r="I136" s="12"/>
      <c r="J136" s="12"/>
      <c r="K136" s="12"/>
      <c r="L136" s="12"/>
      <c r="M136" s="12"/>
      <c r="N136" s="12"/>
      <c r="O136" s="12"/>
    </row>
    <row r="137" spans="3:15">
      <c r="C137" s="7"/>
      <c r="D137" s="7"/>
      <c r="E137" s="11"/>
      <c r="F137" s="19"/>
      <c r="G137" s="16"/>
      <c r="H137" s="12"/>
      <c r="I137" s="12"/>
      <c r="J137" s="12"/>
      <c r="K137" s="12"/>
      <c r="L137" s="12"/>
      <c r="M137" s="12"/>
      <c r="N137" s="12"/>
      <c r="O137" s="12"/>
    </row>
    <row r="138" spans="3:15">
      <c r="C138" s="7"/>
      <c r="D138" s="7"/>
      <c r="E138" s="11"/>
      <c r="F138" s="19"/>
      <c r="G138" s="16"/>
      <c r="H138" s="12"/>
      <c r="I138" s="12"/>
      <c r="J138" s="12"/>
      <c r="K138" s="12"/>
      <c r="L138" s="12"/>
      <c r="M138" s="12"/>
      <c r="N138" s="12"/>
      <c r="O138" s="12"/>
    </row>
    <row r="139" spans="3:15">
      <c r="C139" s="7"/>
      <c r="D139" s="7"/>
      <c r="E139" s="11"/>
      <c r="F139" s="19"/>
      <c r="G139" s="16"/>
      <c r="H139" s="12"/>
      <c r="I139" s="12"/>
      <c r="J139" s="12"/>
      <c r="K139" s="12"/>
      <c r="L139" s="12"/>
      <c r="M139" s="12"/>
      <c r="N139" s="12"/>
      <c r="O139" s="12"/>
    </row>
    <row r="140" spans="3:15">
      <c r="C140" s="7"/>
      <c r="D140" s="7"/>
      <c r="E140" s="11"/>
      <c r="F140" s="19"/>
      <c r="G140" s="16"/>
      <c r="H140" s="12"/>
      <c r="I140" s="12"/>
      <c r="J140" s="12"/>
      <c r="K140" s="12"/>
      <c r="L140" s="12"/>
      <c r="M140" s="12"/>
      <c r="N140" s="12"/>
      <c r="O140" s="12"/>
    </row>
    <row r="141" spans="3:15">
      <c r="C141" s="7"/>
      <c r="D141" s="7"/>
      <c r="E141" s="11"/>
      <c r="F141" s="19"/>
      <c r="G141" s="16"/>
      <c r="H141" s="12"/>
      <c r="I141" s="12"/>
      <c r="J141" s="12"/>
      <c r="K141" s="12"/>
      <c r="L141" s="12"/>
      <c r="M141" s="12"/>
      <c r="N141" s="12"/>
      <c r="O141" s="12"/>
    </row>
    <row r="142" spans="3:15">
      <c r="C142" s="7"/>
      <c r="D142" s="7"/>
      <c r="E142" s="11"/>
      <c r="F142" s="19"/>
      <c r="G142" s="16"/>
      <c r="H142" s="12"/>
      <c r="I142" s="12"/>
      <c r="J142" s="12"/>
      <c r="K142" s="12"/>
      <c r="L142" s="12"/>
      <c r="M142" s="12"/>
      <c r="N142" s="12"/>
      <c r="O142" s="12"/>
    </row>
    <row r="143" spans="3:15">
      <c r="C143" s="7"/>
      <c r="D143" s="7"/>
      <c r="E143" s="11"/>
      <c r="F143" s="19"/>
      <c r="G143" s="16"/>
      <c r="H143" s="12"/>
      <c r="I143" s="12"/>
      <c r="J143" s="12"/>
      <c r="K143" s="12"/>
      <c r="L143" s="12"/>
      <c r="M143" s="12"/>
      <c r="N143" s="12"/>
      <c r="O143" s="12"/>
    </row>
    <row r="144" spans="3:15">
      <c r="C144" s="7"/>
      <c r="D144" s="7"/>
      <c r="E144" s="11"/>
      <c r="F144" s="19"/>
      <c r="G144" s="16"/>
      <c r="H144" s="12"/>
      <c r="I144" s="12"/>
      <c r="J144" s="12"/>
      <c r="K144" s="12"/>
      <c r="L144" s="12"/>
      <c r="M144" s="12"/>
      <c r="N144" s="12"/>
      <c r="O144" s="12"/>
    </row>
    <row r="145" spans="3:15">
      <c r="C145" s="7"/>
      <c r="D145" s="7"/>
      <c r="E145" s="11"/>
      <c r="F145" s="19"/>
      <c r="G145" s="16"/>
      <c r="H145" s="12"/>
      <c r="I145" s="12"/>
      <c r="J145" s="12"/>
      <c r="K145" s="12"/>
      <c r="L145" s="12"/>
      <c r="M145" s="12"/>
      <c r="N145" s="12"/>
      <c r="O145" s="12"/>
    </row>
    <row r="146" spans="3:15">
      <c r="C146" s="7"/>
      <c r="D146" s="7"/>
      <c r="E146" s="11"/>
      <c r="F146" s="19"/>
      <c r="G146" s="16"/>
      <c r="H146" s="12"/>
      <c r="I146" s="12"/>
      <c r="J146" s="12"/>
      <c r="K146" s="12"/>
      <c r="L146" s="12"/>
      <c r="M146" s="12"/>
      <c r="N146" s="12"/>
      <c r="O146" s="12"/>
    </row>
    <row r="147" spans="3:15">
      <c r="C147" s="7"/>
      <c r="D147" s="7"/>
      <c r="E147" s="11"/>
      <c r="F147" s="19"/>
      <c r="G147" s="16"/>
      <c r="H147" s="12"/>
      <c r="I147" s="12"/>
      <c r="J147" s="12"/>
      <c r="K147" s="12"/>
      <c r="L147" s="12"/>
      <c r="M147" s="12"/>
      <c r="N147" s="12"/>
      <c r="O147" s="12"/>
    </row>
    <row r="148" spans="3:15">
      <c r="C148" s="7"/>
      <c r="D148" s="7"/>
      <c r="E148" s="11"/>
      <c r="F148" s="19"/>
      <c r="G148" s="16"/>
      <c r="H148" s="12"/>
      <c r="I148" s="12"/>
      <c r="J148" s="12"/>
      <c r="K148" s="12"/>
      <c r="L148" s="12"/>
      <c r="M148" s="12"/>
      <c r="N148" s="12"/>
      <c r="O148" s="12"/>
    </row>
    <row r="149" spans="3:15">
      <c r="C149" s="7"/>
      <c r="D149" s="7"/>
      <c r="E149" s="11"/>
      <c r="F149" s="19"/>
      <c r="G149" s="16"/>
      <c r="H149" s="12"/>
      <c r="I149" s="12"/>
      <c r="J149" s="12"/>
      <c r="K149" s="12"/>
      <c r="L149" s="12"/>
      <c r="M149" s="12"/>
      <c r="N149" s="12"/>
      <c r="O149" s="12"/>
    </row>
    <row r="150" spans="3:15">
      <c r="C150" s="7"/>
      <c r="D150" s="7"/>
      <c r="E150" s="11"/>
      <c r="F150" s="19"/>
      <c r="G150" s="16"/>
      <c r="H150" s="12"/>
      <c r="I150" s="12"/>
      <c r="J150" s="12"/>
      <c r="K150" s="12"/>
      <c r="L150" s="12"/>
      <c r="M150" s="12"/>
      <c r="N150" s="12"/>
      <c r="O150" s="12"/>
    </row>
    <row r="151" spans="3:15">
      <c r="C151" s="7"/>
      <c r="D151" s="7"/>
      <c r="E151" s="11"/>
      <c r="F151" s="19"/>
      <c r="G151" s="16"/>
      <c r="H151" s="12"/>
      <c r="I151" s="12"/>
      <c r="J151" s="12"/>
      <c r="K151" s="12"/>
      <c r="L151" s="12"/>
      <c r="M151" s="12"/>
      <c r="N151" s="12"/>
      <c r="O151" s="12"/>
    </row>
    <row r="152" spans="3:15">
      <c r="C152" s="7"/>
      <c r="D152" s="7"/>
      <c r="E152" s="11"/>
      <c r="F152" s="19"/>
      <c r="G152" s="16"/>
      <c r="H152" s="12"/>
      <c r="I152" s="12"/>
      <c r="J152" s="12"/>
      <c r="K152" s="12"/>
      <c r="L152" s="12"/>
      <c r="M152" s="12"/>
      <c r="N152" s="12"/>
      <c r="O152" s="12"/>
    </row>
    <row r="153" spans="3:15">
      <c r="C153" s="7"/>
      <c r="D153" s="7"/>
      <c r="E153" s="11"/>
      <c r="F153" s="19"/>
      <c r="G153" s="16"/>
      <c r="H153" s="12"/>
      <c r="I153" s="12"/>
      <c r="J153" s="12"/>
      <c r="K153" s="12"/>
      <c r="L153" s="12"/>
      <c r="M153" s="12"/>
      <c r="N153" s="12"/>
      <c r="O153" s="12"/>
    </row>
    <row r="154" spans="3:15">
      <c r="C154" s="7"/>
      <c r="D154" s="7"/>
      <c r="E154" s="11"/>
      <c r="F154" s="19"/>
      <c r="G154" s="16"/>
      <c r="H154" s="12"/>
      <c r="I154" s="12"/>
      <c r="J154" s="12"/>
      <c r="K154" s="12"/>
      <c r="L154" s="12"/>
      <c r="M154" s="12"/>
      <c r="N154" s="12"/>
      <c r="O154" s="12"/>
    </row>
    <row r="155" spans="3:15">
      <c r="C155" s="7"/>
      <c r="D155" s="7"/>
      <c r="E155" s="11"/>
      <c r="F155" s="19"/>
      <c r="G155" s="16"/>
      <c r="H155" s="12"/>
      <c r="I155" s="12"/>
      <c r="J155" s="12"/>
      <c r="K155" s="12"/>
      <c r="L155" s="12"/>
      <c r="M155" s="12"/>
      <c r="N155" s="12"/>
      <c r="O155" s="12"/>
    </row>
    <row r="156" spans="3:15">
      <c r="C156" s="7"/>
      <c r="D156" s="7"/>
      <c r="E156" s="11"/>
      <c r="F156" s="19"/>
      <c r="G156" s="16"/>
      <c r="H156" s="12"/>
      <c r="I156" s="12"/>
      <c r="J156" s="12"/>
      <c r="K156" s="12"/>
      <c r="L156" s="12"/>
      <c r="M156" s="12"/>
      <c r="N156" s="12"/>
      <c r="O156" s="12"/>
    </row>
    <row r="157" spans="3:15">
      <c r="C157" s="7"/>
      <c r="D157" s="7"/>
      <c r="E157" s="11"/>
      <c r="F157" s="19"/>
      <c r="G157" s="16"/>
      <c r="H157" s="12"/>
      <c r="I157" s="12"/>
      <c r="J157" s="12"/>
      <c r="K157" s="12"/>
      <c r="L157" s="12"/>
      <c r="M157" s="12"/>
      <c r="N157" s="12"/>
      <c r="O157" s="12"/>
    </row>
    <row r="158" spans="3:15">
      <c r="C158" s="7"/>
      <c r="D158" s="7"/>
      <c r="E158" s="11"/>
      <c r="F158" s="19"/>
      <c r="G158" s="16"/>
      <c r="H158" s="12"/>
      <c r="I158" s="12"/>
      <c r="J158" s="12"/>
      <c r="K158" s="12"/>
      <c r="L158" s="12"/>
      <c r="M158" s="12"/>
      <c r="N158" s="12"/>
      <c r="O158" s="12"/>
    </row>
    <row r="159" spans="3:15">
      <c r="C159" s="7"/>
      <c r="D159" s="7"/>
      <c r="E159" s="11"/>
      <c r="F159" s="19"/>
      <c r="G159" s="16"/>
      <c r="H159" s="12"/>
      <c r="I159" s="12"/>
      <c r="J159" s="12"/>
      <c r="K159" s="12"/>
      <c r="L159" s="12"/>
      <c r="M159" s="12"/>
      <c r="N159" s="12"/>
      <c r="O159" s="12"/>
    </row>
    <row r="160" spans="3:15">
      <c r="C160" s="7"/>
      <c r="D160" s="7"/>
      <c r="E160" s="11"/>
      <c r="F160" s="19"/>
      <c r="G160" s="16"/>
      <c r="H160" s="12"/>
      <c r="I160" s="12"/>
      <c r="J160" s="12"/>
      <c r="K160" s="12"/>
      <c r="L160" s="12"/>
      <c r="M160" s="12"/>
      <c r="N160" s="12"/>
      <c r="O160" s="12"/>
    </row>
    <row r="161" spans="3:15">
      <c r="C161" s="7"/>
      <c r="D161" s="7"/>
      <c r="E161" s="11"/>
      <c r="F161" s="19"/>
      <c r="G161" s="16"/>
      <c r="H161" s="12"/>
      <c r="I161" s="12"/>
      <c r="J161" s="12"/>
      <c r="K161" s="12"/>
      <c r="L161" s="12"/>
      <c r="M161" s="12"/>
      <c r="N161" s="12"/>
      <c r="O161" s="12"/>
    </row>
    <row r="162" spans="3:15">
      <c r="C162" s="7"/>
      <c r="D162" s="7"/>
      <c r="E162" s="11"/>
      <c r="H162" s="11"/>
      <c r="I162" s="12"/>
      <c r="J162" s="12"/>
      <c r="K162" s="12"/>
      <c r="L162" s="12"/>
      <c r="M162" s="12"/>
      <c r="N162" s="12"/>
      <c r="O162" s="12"/>
    </row>
    <row r="163" spans="3:15">
      <c r="C163" s="7"/>
      <c r="D163" s="7"/>
      <c r="E163" s="11"/>
      <c r="H163" s="11"/>
      <c r="I163" s="12"/>
      <c r="J163" s="12"/>
      <c r="K163" s="12"/>
      <c r="L163" s="12"/>
      <c r="M163" s="12"/>
      <c r="N163" s="12"/>
      <c r="O163" s="12"/>
    </row>
    <row r="164" spans="3:15">
      <c r="C164" s="7"/>
      <c r="D164" s="7"/>
      <c r="E164" s="11"/>
      <c r="H164" s="11"/>
      <c r="I164" s="12"/>
      <c r="J164" s="12"/>
      <c r="K164" s="12"/>
      <c r="L164" s="12"/>
      <c r="M164" s="12"/>
      <c r="N164" s="12"/>
      <c r="O164" s="12"/>
    </row>
    <row r="165" spans="3:15">
      <c r="C165" s="7"/>
      <c r="D165" s="7"/>
      <c r="E165" s="11"/>
      <c r="H165" s="11"/>
      <c r="I165" s="12"/>
      <c r="J165" s="12"/>
      <c r="K165" s="12"/>
      <c r="L165" s="12"/>
      <c r="M165" s="12"/>
      <c r="N165" s="12"/>
      <c r="O165" s="12"/>
    </row>
    <row r="166" spans="3:15">
      <c r="C166" s="7"/>
      <c r="D166" s="7"/>
      <c r="E166" s="11"/>
      <c r="H166" s="11"/>
      <c r="I166" s="12"/>
      <c r="J166" s="12"/>
      <c r="K166" s="12"/>
      <c r="L166" s="12"/>
      <c r="M166" s="12"/>
      <c r="N166" s="12"/>
      <c r="O166" s="12"/>
    </row>
    <row r="167" spans="3:15">
      <c r="C167" s="7"/>
      <c r="D167" s="7"/>
      <c r="E167" s="11"/>
      <c r="H167" s="11"/>
      <c r="I167" s="12"/>
      <c r="J167" s="12"/>
      <c r="K167" s="12"/>
      <c r="L167" s="12"/>
      <c r="M167" s="12"/>
      <c r="N167" s="12"/>
      <c r="O167" s="12"/>
    </row>
    <row r="168" spans="3:15">
      <c r="C168" s="7"/>
      <c r="D168" s="7"/>
      <c r="E168" s="11"/>
      <c r="H168" s="11"/>
      <c r="I168" s="12"/>
      <c r="J168" s="12"/>
      <c r="K168" s="12"/>
      <c r="L168" s="12"/>
      <c r="M168" s="12"/>
      <c r="N168" s="12"/>
      <c r="O168" s="12"/>
    </row>
    <row r="169" spans="3:15">
      <c r="C169" s="7"/>
      <c r="D169" s="7"/>
      <c r="E169" s="11"/>
      <c r="H169" s="11"/>
      <c r="I169" s="12"/>
      <c r="J169" s="12"/>
      <c r="K169" s="12"/>
      <c r="L169" s="12"/>
      <c r="M169" s="12"/>
      <c r="N169" s="12"/>
      <c r="O169" s="12"/>
    </row>
    <row r="170" spans="3:15">
      <c r="C170" s="7"/>
      <c r="D170" s="7"/>
      <c r="E170" s="11"/>
      <c r="H170" s="11"/>
      <c r="I170" s="12"/>
      <c r="J170" s="12"/>
      <c r="K170" s="12"/>
      <c r="L170" s="12"/>
      <c r="M170" s="12"/>
      <c r="N170" s="12"/>
      <c r="O170" s="12"/>
    </row>
    <row r="172" spans="3:15">
      <c r="J172" s="7"/>
      <c r="K172" s="7"/>
      <c r="L172" s="7"/>
      <c r="M172" s="7"/>
      <c r="N172" s="7"/>
      <c r="O172" s="7"/>
    </row>
    <row r="173" spans="3:15">
      <c r="C173" s="5" t="s">
        <v>28</v>
      </c>
      <c r="D173" s="5" t="s">
        <v>27</v>
      </c>
      <c r="E173" s="3" t="e">
        <f>#REF!</f>
        <v>#REF!</v>
      </c>
      <c r="F173" t="s">
        <v>20</v>
      </c>
      <c r="G173" s="17" t="e">
        <f>E173*60</f>
        <v>#REF!</v>
      </c>
      <c r="H173" t="s">
        <v>25</v>
      </c>
      <c r="J173" s="7">
        <v>0.3</v>
      </c>
      <c r="K173" s="7"/>
      <c r="L173" s="7"/>
      <c r="M173" s="7"/>
      <c r="N173" s="7"/>
      <c r="O173" s="7"/>
    </row>
    <row r="174" spans="3:15">
      <c r="C174" s="13"/>
      <c r="D174" s="5" t="s">
        <v>24</v>
      </c>
      <c r="E174" s="2" t="e">
        <f>#REF!</f>
        <v>#REF!</v>
      </c>
      <c r="F174" t="s">
        <v>23</v>
      </c>
      <c r="G174" s="1" t="e">
        <f>E174*$H$6</f>
        <v>#REF!</v>
      </c>
      <c r="H174" t="s">
        <v>20</v>
      </c>
      <c r="J174" s="7">
        <v>0.31</v>
      </c>
      <c r="K174" s="7"/>
      <c r="L174" s="7"/>
      <c r="M174" s="7"/>
      <c r="N174" s="7"/>
      <c r="O174" s="7"/>
    </row>
    <row r="175" spans="3:15">
      <c r="C175" s="5"/>
      <c r="D175" s="5"/>
      <c r="J175" s="7">
        <v>0.32</v>
      </c>
      <c r="K175" s="7"/>
      <c r="L175" s="7"/>
      <c r="M175" s="7"/>
      <c r="N175" s="7"/>
      <c r="O175" s="7"/>
    </row>
    <row r="176" spans="3:15">
      <c r="C176" s="5"/>
      <c r="D176" s="5"/>
    </row>
    <row r="177" spans="3:15">
      <c r="C177" s="5"/>
      <c r="D177" s="5"/>
    </row>
    <row r="178" spans="3:15">
      <c r="C178" s="5"/>
      <c r="D178" s="5"/>
      <c r="E178" s="2"/>
      <c r="G178" s="2"/>
    </row>
    <row r="179" spans="3:15">
      <c r="C179" s="5" t="s">
        <v>28</v>
      </c>
      <c r="D179" s="5" t="s">
        <v>29</v>
      </c>
      <c r="E179" s="3" t="e">
        <f>#REF!</f>
        <v>#REF!</v>
      </c>
      <c r="F179" t="s">
        <v>26</v>
      </c>
      <c r="G179" s="17"/>
      <c r="J179" s="7">
        <v>0.23</v>
      </c>
      <c r="K179" s="7"/>
      <c r="L179" s="7"/>
      <c r="M179" s="7"/>
      <c r="N179" s="7"/>
      <c r="O179" s="7"/>
    </row>
    <row r="180" spans="3:15">
      <c r="C180" s="13"/>
      <c r="D180" s="5" t="s">
        <v>24</v>
      </c>
      <c r="E180" s="2" t="e">
        <f>#REF!</f>
        <v>#REF!</v>
      </c>
      <c r="F180" t="s">
        <v>23</v>
      </c>
      <c r="G180" s="1" t="e">
        <f>E180*$H$6</f>
        <v>#REF!</v>
      </c>
      <c r="H180" t="s">
        <v>20</v>
      </c>
      <c r="J180" s="7">
        <v>0.24</v>
      </c>
      <c r="K180" s="7"/>
      <c r="L180" s="7"/>
      <c r="M180" s="7"/>
      <c r="N180" s="7"/>
      <c r="O180" s="7"/>
    </row>
    <row r="181" spans="3:15">
      <c r="C181" s="5"/>
      <c r="D181" s="5"/>
      <c r="J181" s="7">
        <v>0.25</v>
      </c>
      <c r="K181" s="7"/>
      <c r="L181" s="7"/>
      <c r="M181" s="7"/>
      <c r="N181" s="7"/>
      <c r="O181" s="7"/>
    </row>
    <row r="182" spans="3:15">
      <c r="C182" s="5"/>
      <c r="D182" s="5"/>
    </row>
    <row r="183" spans="3:15">
      <c r="C183" s="5"/>
      <c r="D183" s="5"/>
    </row>
    <row r="184" spans="3:15">
      <c r="C184" s="5"/>
      <c r="D184" s="5"/>
      <c r="E184" s="2"/>
      <c r="F184" s="3"/>
      <c r="G184" s="1"/>
      <c r="H184" s="15"/>
      <c r="I184" s="14"/>
      <c r="J184" s="14"/>
      <c r="K184" s="14"/>
      <c r="L184" s="14"/>
      <c r="M184" s="14"/>
      <c r="N184" s="14"/>
      <c r="O184" s="14"/>
    </row>
    <row r="185" spans="3:15">
      <c r="C185" s="5"/>
      <c r="D185" s="5"/>
      <c r="E185" s="3"/>
      <c r="G185" s="17"/>
      <c r="J185" s="7"/>
      <c r="K185" s="7"/>
      <c r="L185" s="7"/>
      <c r="M185" s="7"/>
      <c r="N185" s="7"/>
      <c r="O185" s="7"/>
    </row>
    <row r="186" spans="3:15">
      <c r="C186" s="13"/>
      <c r="D186" s="5"/>
      <c r="E186" s="2"/>
      <c r="G186" s="1"/>
      <c r="J186" s="7"/>
      <c r="K186" s="7"/>
      <c r="L186" s="7"/>
      <c r="M186" s="7"/>
      <c r="N186" s="7"/>
      <c r="O186" s="7"/>
    </row>
    <row r="187" spans="3:15">
      <c r="C187" s="5"/>
      <c r="D187" s="5"/>
      <c r="J187" s="7"/>
      <c r="K187" s="7"/>
      <c r="L187" s="7"/>
      <c r="M187" s="7"/>
      <c r="N187" s="7"/>
      <c r="O187" s="7"/>
    </row>
    <row r="188" spans="3:15">
      <c r="C188" s="5"/>
      <c r="D188" s="5"/>
    </row>
    <row r="189" spans="3:15">
      <c r="C189" s="5"/>
      <c r="D189" s="5"/>
    </row>
    <row r="190" spans="3:15">
      <c r="C190" s="5"/>
      <c r="D190" s="5"/>
    </row>
    <row r="191" spans="3:15">
      <c r="C191" s="5"/>
      <c r="D191" s="5"/>
      <c r="E191" s="3"/>
      <c r="G191" s="17"/>
      <c r="J191" s="7"/>
      <c r="K191" s="7"/>
      <c r="L191" s="7"/>
      <c r="M191" s="7"/>
      <c r="N191" s="7"/>
      <c r="O191" s="7"/>
    </row>
    <row r="192" spans="3:15">
      <c r="C192" s="13"/>
      <c r="D192" s="5"/>
      <c r="E192" s="2"/>
      <c r="G192" s="1"/>
      <c r="J192" s="7"/>
      <c r="K192" s="7"/>
      <c r="L192" s="7"/>
      <c r="M192" s="7"/>
      <c r="N192" s="7"/>
      <c r="O192" s="7"/>
    </row>
    <row r="193" spans="10:15">
      <c r="J193" s="7"/>
      <c r="K193" s="7"/>
      <c r="L193" s="7"/>
      <c r="M193" s="7"/>
      <c r="N193" s="7"/>
      <c r="O193" s="7"/>
    </row>
  </sheetData>
  <mergeCells count="4">
    <mergeCell ref="B2:C2"/>
    <mergeCell ref="B3:C3"/>
    <mergeCell ref="I2:J2"/>
    <mergeCell ref="I3:J3"/>
  </mergeCells>
  <printOptions gridLines="1"/>
  <pageMargins left="0.45" right="0.45" top="1" bottom="1" header="0.3" footer="0.3"/>
  <pageSetup scale="17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DED54-B2C3-4CA9-83FD-D8202C693AD8}">
  <sheetPr codeName="Sheet33">
    <tabColor theme="9" tint="0.79998168889431442"/>
  </sheetPr>
  <dimension ref="A1"/>
  <sheetViews>
    <sheetView workbookViewId="0">
      <selection activeCell="S17" sqref="S17"/>
    </sheetView>
  </sheetViews>
  <sheetFormatPr defaultRowHeight="14.5"/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5C406-2519-46C7-8F8F-EE51F60CEDCA}">
  <sheetPr codeName="Sheet16">
    <tabColor rgb="FFCCCCFF"/>
  </sheetPr>
  <dimension ref="B1:I32"/>
  <sheetViews>
    <sheetView topLeftCell="B13" workbookViewId="0">
      <selection activeCell="D33" sqref="D33"/>
    </sheetView>
  </sheetViews>
  <sheetFormatPr defaultRowHeight="14.5"/>
  <cols>
    <col min="1" max="1" width="2.7265625" customWidth="1"/>
    <col min="2" max="2" width="48.26953125" customWidth="1"/>
    <col min="3" max="4" width="9.7265625" customWidth="1"/>
    <col min="5" max="6" width="12.7265625" customWidth="1"/>
    <col min="7" max="7" width="12.26953125" customWidth="1"/>
  </cols>
  <sheetData>
    <row r="1" spans="2:7" ht="15" thickBot="1"/>
    <row r="2" spans="2:7">
      <c r="B2" s="583" t="s">
        <v>354</v>
      </c>
      <c r="C2" s="584"/>
    </row>
    <row r="3" spans="2:7" ht="15" thickBot="1">
      <c r="B3" s="585" t="s">
        <v>355</v>
      </c>
      <c r="C3" s="586"/>
      <c r="D3" t="s">
        <v>6</v>
      </c>
      <c r="E3">
        <v>10000</v>
      </c>
      <c r="F3" t="s">
        <v>547</v>
      </c>
    </row>
    <row r="4" spans="2:7" ht="15" thickBot="1"/>
    <row r="5" spans="2:7" ht="18.75" customHeight="1" thickBot="1">
      <c r="B5" s="578" t="s">
        <v>335</v>
      </c>
      <c r="C5" s="580" t="s">
        <v>121</v>
      </c>
      <c r="D5" s="580"/>
      <c r="E5" s="568" t="s">
        <v>336</v>
      </c>
    </row>
    <row r="6" spans="2:7" ht="18.75" customHeight="1" thickTop="1" thickBot="1">
      <c r="B6" s="579"/>
      <c r="C6" s="581"/>
      <c r="D6" s="581"/>
      <c r="E6" s="569"/>
      <c r="F6" t="s">
        <v>1</v>
      </c>
      <c r="G6" t="s">
        <v>72</v>
      </c>
    </row>
    <row r="7" spans="2:7" ht="18.75" customHeight="1" thickBot="1">
      <c r="B7" s="221" t="s">
        <v>337</v>
      </c>
      <c r="C7" s="222" t="s">
        <v>132</v>
      </c>
      <c r="D7" s="222" t="s">
        <v>93</v>
      </c>
      <c r="E7" s="232" cm="1">
        <f t="array" ref="E7">F7+(1/(2*32.174))*(G7*Linterp(F7,atmos_h, atmos_aspeed))^2</f>
        <v>6973.4229020326984</v>
      </c>
      <c r="F7">
        <v>0</v>
      </c>
      <c r="G7">
        <v>0.6</v>
      </c>
    </row>
    <row r="8" spans="2:7" ht="18.75" customHeight="1" thickBot="1">
      <c r="B8" s="570" t="s">
        <v>338</v>
      </c>
      <c r="C8" s="572" t="s">
        <v>132</v>
      </c>
      <c r="D8" s="572" t="s">
        <v>93</v>
      </c>
      <c r="E8" s="574">
        <f>E7</f>
        <v>6973.4229020326984</v>
      </c>
    </row>
    <row r="9" spans="2:7" ht="18.75" customHeight="1" thickTop="1" thickBot="1">
      <c r="B9" s="571"/>
      <c r="C9" s="573"/>
      <c r="D9" s="573"/>
      <c r="E9" s="575"/>
    </row>
    <row r="10" spans="2:7" ht="18.75" customHeight="1" thickBot="1">
      <c r="B10" s="570" t="s">
        <v>339</v>
      </c>
      <c r="C10" s="572" t="s">
        <v>72</v>
      </c>
      <c r="D10" s="572" t="s">
        <v>80</v>
      </c>
      <c r="E10" s="576" cm="1">
        <f t="array" ref="E10">SQRT((E7-0)*2*32.174)/Linterp(0,atmos_h,atmos_aspeed)</f>
        <v>0.60000000000000009</v>
      </c>
    </row>
    <row r="11" spans="2:7" ht="18.75" customHeight="1" thickTop="1" thickBot="1">
      <c r="B11" s="571"/>
      <c r="C11" s="573"/>
      <c r="D11" s="573"/>
      <c r="E11" s="577"/>
    </row>
    <row r="12" spans="2:7" ht="18.75" customHeight="1" thickBot="1">
      <c r="B12" s="578" t="s">
        <v>340</v>
      </c>
      <c r="C12" s="580"/>
      <c r="D12" s="580"/>
      <c r="E12" s="568"/>
    </row>
    <row r="13" spans="2:7" ht="18.75" customHeight="1" thickTop="1" thickBot="1">
      <c r="B13" s="579"/>
      <c r="C13" s="581"/>
      <c r="D13" s="581"/>
      <c r="E13" s="569"/>
      <c r="F13" t="s">
        <v>221</v>
      </c>
      <c r="G13" t="s">
        <v>72</v>
      </c>
    </row>
    <row r="14" spans="2:7" ht="18.75" customHeight="1" thickBot="1">
      <c r="B14" s="221" t="s">
        <v>337</v>
      </c>
      <c r="C14" s="223" t="s">
        <v>132</v>
      </c>
      <c r="D14" s="222" t="s">
        <v>93</v>
      </c>
      <c r="E14" s="232" cm="1">
        <f t="array" ref="E14">F14+(1/(2*32.174))*(G14*Linterp(F14,atmos_h, atmos_aspeed))^2</f>
        <v>39840.171462609593</v>
      </c>
      <c r="F14">
        <v>30000</v>
      </c>
      <c r="G14">
        <v>0.8</v>
      </c>
    </row>
    <row r="15" spans="2:7" ht="18.75" customHeight="1" thickBot="1">
      <c r="B15" s="570" t="s">
        <v>341</v>
      </c>
      <c r="C15" s="572" t="s">
        <v>132</v>
      </c>
      <c r="D15" s="572" t="s">
        <v>93</v>
      </c>
      <c r="E15" s="574">
        <f>E14</f>
        <v>39840.171462609593</v>
      </c>
    </row>
    <row r="16" spans="2:7" ht="18.75" customHeight="1" thickTop="1" thickBot="1">
      <c r="B16" s="571"/>
      <c r="C16" s="573"/>
      <c r="D16" s="573"/>
      <c r="E16" s="575"/>
    </row>
    <row r="17" spans="2:9" ht="18.75" customHeight="1" thickBot="1">
      <c r="B17" s="570" t="s">
        <v>342</v>
      </c>
      <c r="C17" s="572" t="s">
        <v>72</v>
      </c>
      <c r="D17" s="572" t="s">
        <v>80</v>
      </c>
      <c r="E17" s="576" cm="1">
        <f t="array" ref="E17">SQRT((E14-0)*2*32.174)/Linterp(0,atmos_h,atmos_aspeed)</f>
        <v>1.4341310805417644</v>
      </c>
    </row>
    <row r="18" spans="2:9" ht="18.75" customHeight="1" thickTop="1" thickBot="1">
      <c r="B18" s="571"/>
      <c r="C18" s="573"/>
      <c r="D18" s="573"/>
      <c r="E18" s="577"/>
    </row>
    <row r="19" spans="2:9" ht="18.75" customHeight="1" thickBot="1"/>
    <row r="20" spans="2:9" ht="18.75" customHeight="1" thickBot="1">
      <c r="B20" s="587" t="s">
        <v>343</v>
      </c>
      <c r="C20" s="588" t="s">
        <v>121</v>
      </c>
      <c r="D20" s="588"/>
      <c r="E20" s="582" t="s">
        <v>344</v>
      </c>
      <c r="F20" s="582" t="s">
        <v>345</v>
      </c>
    </row>
    <row r="21" spans="2:9" ht="18.75" customHeight="1" thickBot="1">
      <c r="B21" s="587"/>
      <c r="C21" s="588"/>
      <c r="D21" s="588"/>
      <c r="E21" s="582"/>
      <c r="F21" s="582"/>
      <c r="G21" t="s">
        <v>221</v>
      </c>
      <c r="H21" t="s">
        <v>72</v>
      </c>
      <c r="I21" t="s">
        <v>548</v>
      </c>
    </row>
    <row r="22" spans="2:9" ht="18.75" customHeight="1" thickBot="1">
      <c r="B22" s="227" t="s">
        <v>346</v>
      </c>
      <c r="C22" s="223" t="s">
        <v>347</v>
      </c>
      <c r="D22" s="223" t="s">
        <v>125</v>
      </c>
      <c r="E22" s="228" cm="1">
        <f t="array" ref="E22">(numeng*InterpolateXY(G22,H22,Tmil_h,Tmil_M,Tmil_table)-H23*S*Linterp(G22,atmos_h,atmos_qms)*H22^2)*(H22*Linterp(G22,atmos_h,atmos_aspeed))/W_8</f>
        <v>169.59528779553</v>
      </c>
      <c r="F22" s="228" cm="1">
        <f t="array" ref="F22">(numeng*InterpolateXY(G22,H22,Tmax_h,Tmax_M,Tmax_table)-H23*S*Linterp(G22,atmos_h,atmos_qms)*H22^2)*(H22*Linterp(G22,atmos_h,atmos_aspeed))/W_8</f>
        <v>363.85758779552998</v>
      </c>
      <c r="G22">
        <v>0</v>
      </c>
      <c r="H22">
        <v>0.6</v>
      </c>
      <c r="I22">
        <v>1</v>
      </c>
    </row>
    <row r="23" spans="2:9" ht="18.75" customHeight="1" thickBot="1">
      <c r="B23" s="221" t="s">
        <v>348</v>
      </c>
      <c r="C23" s="222" t="s">
        <v>349</v>
      </c>
      <c r="D23" s="222" t="s">
        <v>93</v>
      </c>
      <c r="E23" s="229">
        <f>E22*60</f>
        <v>10175.717267731799</v>
      </c>
      <c r="F23" s="229">
        <f>F22*60</f>
        <v>21831.455267731799</v>
      </c>
      <c r="G23" t="s">
        <v>75</v>
      </c>
      <c r="H23" cm="1">
        <f t="array" ref="H23">(InterpolateXY(H24,H22,CD_CL,CD_M,CD_table))</f>
        <v>1.6636385347723878E-2</v>
      </c>
    </row>
    <row r="24" spans="2:9" ht="18.75" customHeight="1" thickBot="1">
      <c r="B24" s="221" t="s">
        <v>350</v>
      </c>
      <c r="C24" s="222" t="s">
        <v>351</v>
      </c>
      <c r="D24" s="222" t="s">
        <v>81</v>
      </c>
      <c r="E24" s="230" cm="1">
        <f t="array" ref="E24">E22*32.174/(H22*Linterp(G22,atmos_h,atmos_aspeed))</f>
        <v>8.1456981049059998</v>
      </c>
      <c r="F24" s="231" cm="1">
        <f t="array" ref="F24">F22*32.174/(H22*Linterp(G22,atmos_h,atmos_aspeed))</f>
        <v>17.476158104905998</v>
      </c>
      <c r="G24" t="s">
        <v>74</v>
      </c>
      <c r="H24" cm="1">
        <f t="array" ref="H24">I22*W_8/(S*Linterp(G22,atmos_h,atmos_qms)*H22^2)</f>
        <v>0.11030360927263674</v>
      </c>
    </row>
    <row r="25" spans="2:9" ht="18.75" customHeight="1" thickBot="1">
      <c r="B25" s="224" t="s">
        <v>352</v>
      </c>
      <c r="C25" s="225"/>
      <c r="D25" s="225"/>
      <c r="E25" s="226"/>
      <c r="F25" s="226"/>
      <c r="G25" t="s">
        <v>221</v>
      </c>
      <c r="H25" t="s">
        <v>72</v>
      </c>
      <c r="I25" t="s">
        <v>548</v>
      </c>
    </row>
    <row r="26" spans="2:9" ht="18.75" customHeight="1" thickBot="1">
      <c r="B26" s="221" t="s">
        <v>346</v>
      </c>
      <c r="C26" s="222" t="s">
        <v>347</v>
      </c>
      <c r="D26" s="222" t="s">
        <v>125</v>
      </c>
      <c r="E26" s="228" cm="1">
        <f t="array" ref="E26">(numeng*InterpolateXY(G26,H26,Tmil_h,Tmil_M,Tmil_table)-H27*S*Linterp(G26,atmos_h,atmos_qms)*H26^2)*(H26*Linterp(G26,atmos_h,atmos_aspeed))/W_8</f>
        <v>83.987498566810373</v>
      </c>
      <c r="F26" s="228" cm="1">
        <f t="array" ref="F26">(numeng*InterpolateXY(G26,H26,Tmax_h,Tmax_M,Tmax_table)-H27*S*Linterp(G26,atmos_h,atmos_qms)*H26^2)*(H26*Linterp(G26,atmos_h,atmos_aspeed))/W_8</f>
        <v>210.81038678398477</v>
      </c>
      <c r="G26">
        <v>30000</v>
      </c>
      <c r="H26">
        <v>0.8</v>
      </c>
      <c r="I26">
        <v>1</v>
      </c>
    </row>
    <row r="27" spans="2:9" ht="18.75" customHeight="1" thickBot="1">
      <c r="B27" s="221" t="s">
        <v>348</v>
      </c>
      <c r="C27" s="222" t="s">
        <v>349</v>
      </c>
      <c r="D27" s="222" t="s">
        <v>93</v>
      </c>
      <c r="E27" s="229">
        <f>E26*60</f>
        <v>5039.249914008622</v>
      </c>
      <c r="F27" s="229">
        <f>F26*60</f>
        <v>12648.623207039087</v>
      </c>
      <c r="G27" t="s">
        <v>75</v>
      </c>
      <c r="H27" cm="1">
        <f t="array" ref="H27">(InterpolateXY(H28,H26,CD_CL,CD_M,CD_table))</f>
        <v>2.0158512184964776E-2</v>
      </c>
    </row>
    <row r="28" spans="2:9" ht="18.75" customHeight="1" thickBot="1">
      <c r="B28" s="221" t="s">
        <v>350</v>
      </c>
      <c r="C28" s="222" t="s">
        <v>351</v>
      </c>
      <c r="D28" s="222" t="s">
        <v>81</v>
      </c>
      <c r="E28" s="230" cm="1">
        <f t="array" ref="E28">E26*32.174/(H26*Linterp(G26,atmos_h,atmos_aspeed))</f>
        <v>3.3958683445858555</v>
      </c>
      <c r="F28" s="231" cm="1">
        <f t="array" ref="F28">F26*32.174/(H26*Linterp(G26,atmos_h,atmos_aspeed))</f>
        <v>8.5237009246103774</v>
      </c>
      <c r="G28" t="s">
        <v>74</v>
      </c>
      <c r="H28" cm="1">
        <f t="array" ref="H28">I26*W_8/(S*Linterp(G26,atmos_h,atmos_qms)*H26^2)</f>
        <v>0.20893619495943644</v>
      </c>
    </row>
    <row r="29" spans="2:9" ht="18.75" customHeight="1" thickBot="1">
      <c r="B29" s="224" t="s">
        <v>353</v>
      </c>
      <c r="C29" s="225"/>
      <c r="D29" s="225"/>
      <c r="E29" s="226"/>
      <c r="F29" s="226"/>
      <c r="G29" t="s">
        <v>221</v>
      </c>
      <c r="H29" t="s">
        <v>72</v>
      </c>
      <c r="I29" t="s">
        <v>548</v>
      </c>
    </row>
    <row r="30" spans="2:9" ht="18.75" customHeight="1" thickBot="1">
      <c r="B30" s="221" t="s">
        <v>346</v>
      </c>
      <c r="C30" s="222" t="s">
        <v>347</v>
      </c>
      <c r="D30" s="222" t="s">
        <v>125</v>
      </c>
      <c r="E30" s="228" cm="1">
        <f t="array" ref="E30">(numeng*InterpolateXY(G30,H30,Tmil_h,Tmil_M,Tmil_table)-H31*S*Linterp(G30,atmos_h,atmos_qms)*H30^2)*(H30*Linterp(G30,atmos_h,atmos_aspeed))/W_8</f>
        <v>-194.07180577084577</v>
      </c>
      <c r="F30" s="228" cm="1">
        <f t="array" ref="F30">(numeng*InterpolateXY(G30,H30,Tmax_h,Tmax_M,Tmax_table)-H31*S*Linterp(G30,atmos_h,atmos_qms)*H30^2)*(H30*Linterp(G30,atmos_h,atmos_aspeed))/W_8</f>
        <v>-67.248917553671347</v>
      </c>
      <c r="G30">
        <v>30000</v>
      </c>
      <c r="H30">
        <v>0.8</v>
      </c>
      <c r="I30">
        <v>3</v>
      </c>
    </row>
    <row r="31" spans="2:9" ht="18.75" customHeight="1" thickBot="1">
      <c r="B31" s="221" t="s">
        <v>348</v>
      </c>
      <c r="C31" s="222" t="s">
        <v>349</v>
      </c>
      <c r="D31" s="222" t="s">
        <v>93</v>
      </c>
      <c r="E31" s="229">
        <f>E30*60</f>
        <v>-11644.308346250746</v>
      </c>
      <c r="F31" s="229">
        <f>F30*60</f>
        <v>-4034.9350532202807</v>
      </c>
      <c r="G31" t="s">
        <v>75</v>
      </c>
      <c r="H31" cm="1">
        <f t="array" ref="H31">(InterpolateXY(H32,H30,CD_CL,CD_M,CD_table))</f>
        <v>9.3168496244342744E-2</v>
      </c>
    </row>
    <row r="32" spans="2:9" ht="18.75" customHeight="1" thickBot="1">
      <c r="B32" s="221" t="s">
        <v>350</v>
      </c>
      <c r="C32" s="222" t="s">
        <v>351</v>
      </c>
      <c r="D32" s="222" t="s">
        <v>81</v>
      </c>
      <c r="E32" s="230" cm="1">
        <f t="array" ref="E32">E30*32.174/(H30*Linterp(G30,atmos_h,atmos_aspeed))</f>
        <v>-7.8469095167726035</v>
      </c>
      <c r="F32" s="231" cm="1">
        <f t="array" ref="F32">F30*32.174/(H30*Linterp(G30,atmos_h,atmos_aspeed))</f>
        <v>-2.7190769367480812</v>
      </c>
      <c r="G32" t="s">
        <v>74</v>
      </c>
      <c r="H32" cm="1">
        <f t="array" ref="H32">I30*W_8/(S*Linterp(G30,atmos_h,atmos_qms)*H30^2)</f>
        <v>0.62680858487830937</v>
      </c>
    </row>
  </sheetData>
  <mergeCells count="31">
    <mergeCell ref="B2:C2"/>
    <mergeCell ref="B3:C3"/>
    <mergeCell ref="B20:B21"/>
    <mergeCell ref="C20:C21"/>
    <mergeCell ref="D20:D21"/>
    <mergeCell ref="B10:B11"/>
    <mergeCell ref="C10:C11"/>
    <mergeCell ref="D10:D11"/>
    <mergeCell ref="B5:B6"/>
    <mergeCell ref="C5:C6"/>
    <mergeCell ref="D5:D6"/>
    <mergeCell ref="E20:E21"/>
    <mergeCell ref="F20:F21"/>
    <mergeCell ref="B15:B16"/>
    <mergeCell ref="C15:C16"/>
    <mergeCell ref="D15:D16"/>
    <mergeCell ref="E15:E16"/>
    <mergeCell ref="B17:B18"/>
    <mergeCell ref="C17:C18"/>
    <mergeCell ref="D17:D18"/>
    <mergeCell ref="E17:E18"/>
    <mergeCell ref="E10:E11"/>
    <mergeCell ref="B12:B13"/>
    <mergeCell ref="C12:C13"/>
    <mergeCell ref="D12:D13"/>
    <mergeCell ref="E12:E13"/>
    <mergeCell ref="E5:E6"/>
    <mergeCell ref="B8:B9"/>
    <mergeCell ref="C8:C9"/>
    <mergeCell ref="D8:D9"/>
    <mergeCell ref="E8:E9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29F93-1ACD-4B2F-99E9-D8AB5DB3F831}">
  <sheetPr codeName="Sheet18">
    <tabColor rgb="FFCCFFCC"/>
  </sheetPr>
  <dimension ref="B1:R111"/>
  <sheetViews>
    <sheetView topLeftCell="J3" workbookViewId="0">
      <selection activeCell="O29" sqref="O29"/>
    </sheetView>
  </sheetViews>
  <sheetFormatPr defaultRowHeight="14.5"/>
  <cols>
    <col min="1" max="1" width="2.7265625" customWidth="1"/>
    <col min="2" max="11" width="10.7265625" customWidth="1"/>
    <col min="12" max="12" width="16.7265625" customWidth="1"/>
    <col min="13" max="17" width="15.7265625" customWidth="1"/>
  </cols>
  <sheetData>
    <row r="1" spans="2:18" ht="15" thickBot="1"/>
    <row r="2" spans="2:18">
      <c r="B2" s="589" t="s">
        <v>334</v>
      </c>
      <c r="C2" s="590"/>
    </row>
    <row r="3" spans="2:18" ht="15" thickBot="1">
      <c r="B3" s="591" t="s">
        <v>257</v>
      </c>
      <c r="C3" s="592"/>
    </row>
    <row r="4" spans="2:18" ht="15" thickBot="1"/>
    <row r="5" spans="2:18" ht="19" thickBot="1">
      <c r="L5" s="593" t="s">
        <v>364</v>
      </c>
      <c r="M5" s="594"/>
      <c r="N5" s="594"/>
      <c r="O5" s="594"/>
      <c r="P5" s="594"/>
      <c r="Q5" s="595"/>
    </row>
    <row r="6" spans="2:18" ht="18" thickBot="1">
      <c r="B6" t="s">
        <v>6</v>
      </c>
      <c r="C6" s="117">
        <v>10000</v>
      </c>
      <c r="D6" t="s">
        <v>5</v>
      </c>
      <c r="F6" t="s">
        <v>0</v>
      </c>
      <c r="G6" s="1">
        <f>Linterp(C7,atmos_h,atmos_qms)</f>
        <v>835.98801615348191</v>
      </c>
      <c r="H6" t="s">
        <v>19</v>
      </c>
      <c r="L6" s="213" t="s">
        <v>257</v>
      </c>
      <c r="M6" s="238" t="s">
        <v>73</v>
      </c>
      <c r="N6" s="238" t="s">
        <v>360</v>
      </c>
      <c r="O6" s="238" t="s">
        <v>259</v>
      </c>
      <c r="P6" s="238" t="s">
        <v>261</v>
      </c>
      <c r="Q6" s="238" t="s">
        <v>262</v>
      </c>
    </row>
    <row r="7" spans="2:18" ht="16" thickBot="1">
      <c r="B7" t="s">
        <v>1</v>
      </c>
      <c r="C7" s="117">
        <v>15000</v>
      </c>
      <c r="D7" t="s">
        <v>2</v>
      </c>
      <c r="F7" t="s">
        <v>153</v>
      </c>
      <c r="G7" s="3">
        <f>Linterp(C7,atmos_h,atmos_aspeed)</f>
        <v>1057.3146036052262</v>
      </c>
      <c r="H7" t="s">
        <v>20</v>
      </c>
      <c r="L7" s="239" t="s">
        <v>361</v>
      </c>
      <c r="M7" s="203" t="s">
        <v>362</v>
      </c>
      <c r="N7" s="203" t="s">
        <v>69</v>
      </c>
      <c r="O7" s="203" t="s">
        <v>363</v>
      </c>
      <c r="P7" s="203" t="s">
        <v>30</v>
      </c>
      <c r="Q7" s="203" t="s">
        <v>199</v>
      </c>
    </row>
    <row r="8" spans="2:18" ht="16" thickBot="1">
      <c r="B8" t="s">
        <v>251</v>
      </c>
      <c r="C8" s="114">
        <v>7.2</v>
      </c>
      <c r="F8" t="s">
        <v>155</v>
      </c>
      <c r="G8">
        <f>Linterp(C7,atmos_h,atmos_rho)</f>
        <v>1.4956106477433447E-3</v>
      </c>
      <c r="H8" t="s">
        <v>156</v>
      </c>
      <c r="L8" s="240" t="s">
        <v>80</v>
      </c>
      <c r="M8" s="213" t="s">
        <v>81</v>
      </c>
      <c r="N8" s="241" t="s">
        <v>125</v>
      </c>
      <c r="O8" s="241" t="s">
        <v>81</v>
      </c>
      <c r="P8" s="241" t="s">
        <v>93</v>
      </c>
      <c r="Q8" s="213" t="s">
        <v>125</v>
      </c>
    </row>
    <row r="9" spans="2:18" ht="16" thickBot="1">
      <c r="B9" t="s">
        <v>252</v>
      </c>
      <c r="C9" s="116" cm="1">
        <f t="array" ref="C9">MIN(amlim,SQRT(maxq/G6))</f>
        <v>1.4095063185246761</v>
      </c>
      <c r="L9" s="244">
        <f>O13</f>
        <v>0.79578686781812202</v>
      </c>
      <c r="M9" s="245">
        <f>O14</f>
        <v>7.2</v>
      </c>
      <c r="N9" s="246">
        <f>O18</f>
        <v>-839.7325456021847</v>
      </c>
      <c r="O9" s="247">
        <f>O25</f>
        <v>15.621742038511238</v>
      </c>
      <c r="P9" s="248">
        <f>O27</f>
        <v>3085.9875467657876</v>
      </c>
      <c r="Q9" s="249">
        <f>O29</f>
        <v>82.016443854444589</v>
      </c>
      <c r="R9" s="243"/>
    </row>
    <row r="10" spans="2:18">
      <c r="I10" s="9"/>
      <c r="M10" s="242"/>
    </row>
    <row r="11" spans="2:18">
      <c r="B11" s="6" t="s">
        <v>1</v>
      </c>
      <c r="C11" s="6" t="s">
        <v>72</v>
      </c>
      <c r="D11" s="6" t="s">
        <v>24</v>
      </c>
      <c r="E11" s="6" t="s">
        <v>82</v>
      </c>
      <c r="F11" s="6" t="s">
        <v>253</v>
      </c>
      <c r="G11" s="6" t="s">
        <v>4</v>
      </c>
      <c r="H11" s="147" t="s">
        <v>255</v>
      </c>
      <c r="I11" s="6" t="s">
        <v>57</v>
      </c>
      <c r="J11" s="6" t="s">
        <v>254</v>
      </c>
    </row>
    <row r="12" spans="2:18" ht="15" thickBot="1">
      <c r="B12" s="6" t="s">
        <v>30</v>
      </c>
      <c r="C12" s="6"/>
      <c r="D12" s="6" t="s">
        <v>69</v>
      </c>
      <c r="E12" s="6" t="s">
        <v>256</v>
      </c>
      <c r="F12" s="6"/>
      <c r="G12" s="6"/>
      <c r="H12" s="6"/>
      <c r="I12" s="6"/>
      <c r="J12" s="6"/>
    </row>
    <row r="13" spans="2:18" ht="15" thickBot="1">
      <c r="B13" s="14">
        <f>C7</f>
        <v>15000</v>
      </c>
      <c r="C13" s="3">
        <v>0.1</v>
      </c>
      <c r="D13" s="3">
        <f t="shared" ref="D13:D76" si="0">C13*$G$7</f>
        <v>105.73146036052263</v>
      </c>
      <c r="E13" s="3">
        <f>$G$6*C13*C13</f>
        <v>8.3598801615348197</v>
      </c>
      <c r="F13" s="2">
        <f t="shared" ref="F13:F44" si="1">$C$6/(E13*_xlfn.SINGLE(S))</f>
        <v>7.0364082110197481</v>
      </c>
      <c r="G13" s="132">
        <f t="shared" ref="G13:G44" si="2">_xlfn.SINGLE(CLmax)</f>
        <v>0.8</v>
      </c>
      <c r="H13" s="2">
        <f t="shared" ref="H13:H44" si="3">IF(F13&gt;G13,1,G13*E13*_xlfn.SINGLE(S)/$C$6)</f>
        <v>1</v>
      </c>
      <c r="I13" s="2">
        <f>C8</f>
        <v>7.2</v>
      </c>
      <c r="J13" s="2">
        <f>I13-H13</f>
        <v>6.2</v>
      </c>
      <c r="L13" s="5" t="s">
        <v>257</v>
      </c>
      <c r="N13" s="55" t="s">
        <v>358</v>
      </c>
      <c r="O13" s="192" cm="1">
        <f t="array" ref="O13">x_at_y0(C81:C85,J81:J85)</f>
        <v>0.79578686781812202</v>
      </c>
      <c r="P13" t="s">
        <v>23</v>
      </c>
    </row>
    <row r="14" spans="2:18">
      <c r="B14" s="14">
        <f>B13</f>
        <v>15000</v>
      </c>
      <c r="C14" s="3">
        <v>0.11</v>
      </c>
      <c r="D14" s="3">
        <f t="shared" si="0"/>
        <v>116.30460639657488</v>
      </c>
      <c r="E14" s="3">
        <f t="shared" ref="E14:E77" si="4">$G$6*C14*C14</f>
        <v>10.115454995457132</v>
      </c>
      <c r="F14" s="2">
        <f t="shared" si="1"/>
        <v>5.8152133975369829</v>
      </c>
      <c r="G14" s="132">
        <f t="shared" si="2"/>
        <v>0.8</v>
      </c>
      <c r="H14" s="2">
        <f t="shared" si="3"/>
        <v>1</v>
      </c>
      <c r="I14" s="2">
        <f>I13</f>
        <v>7.2</v>
      </c>
      <c r="J14" s="2">
        <f t="shared" ref="J14:J77" si="5">I14-H14</f>
        <v>6.2</v>
      </c>
      <c r="O14" s="3">
        <f>C8</f>
        <v>7.2</v>
      </c>
      <c r="P14" t="s">
        <v>37</v>
      </c>
    </row>
    <row r="15" spans="2:18">
      <c r="B15" s="14">
        <f t="shared" ref="B15:B78" si="6">B14</f>
        <v>15000</v>
      </c>
      <c r="C15" s="3">
        <v>0.12</v>
      </c>
      <c r="D15" s="3">
        <f t="shared" si="0"/>
        <v>126.87775243262715</v>
      </c>
      <c r="E15" s="3">
        <f t="shared" si="4"/>
        <v>12.038227432610139</v>
      </c>
      <c r="F15" s="2">
        <f t="shared" si="1"/>
        <v>4.8863945909859368</v>
      </c>
      <c r="G15" s="132">
        <f t="shared" si="2"/>
        <v>0.8</v>
      </c>
      <c r="H15" s="2">
        <f t="shared" si="3"/>
        <v>1</v>
      </c>
      <c r="I15" s="2">
        <f t="shared" ref="I15:I78" si="7">I14</f>
        <v>7.2</v>
      </c>
      <c r="J15" s="2">
        <f t="shared" si="5"/>
        <v>6.2</v>
      </c>
    </row>
    <row r="16" spans="2:18">
      <c r="B16" s="14">
        <f t="shared" si="6"/>
        <v>15000</v>
      </c>
      <c r="C16" s="3">
        <v>0.13</v>
      </c>
      <c r="D16" s="3">
        <f t="shared" si="0"/>
        <v>137.45089846867941</v>
      </c>
      <c r="E16" s="3">
        <f t="shared" si="4"/>
        <v>14.128197472993845</v>
      </c>
      <c r="F16" s="2">
        <f t="shared" si="1"/>
        <v>4.163555154449555</v>
      </c>
      <c r="G16" s="132">
        <f t="shared" si="2"/>
        <v>0.8</v>
      </c>
      <c r="H16" s="2">
        <f t="shared" si="3"/>
        <v>1</v>
      </c>
      <c r="I16" s="2">
        <f t="shared" si="7"/>
        <v>7.2</v>
      </c>
      <c r="J16" s="2">
        <f t="shared" si="5"/>
        <v>6.2</v>
      </c>
    </row>
    <row r="17" spans="2:16" ht="15" thickBot="1">
      <c r="B17" s="14">
        <f t="shared" si="6"/>
        <v>15000</v>
      </c>
      <c r="C17" s="3">
        <v>0.14000000000000001</v>
      </c>
      <c r="D17" s="3">
        <f t="shared" si="0"/>
        <v>148.02404450473168</v>
      </c>
      <c r="E17" s="3">
        <f t="shared" si="4"/>
        <v>16.385365116608249</v>
      </c>
      <c r="F17" s="2">
        <f t="shared" si="1"/>
        <v>3.5900041892957897</v>
      </c>
      <c r="G17" s="132">
        <f t="shared" si="2"/>
        <v>0.8</v>
      </c>
      <c r="H17" s="2">
        <f t="shared" si="3"/>
        <v>1</v>
      </c>
      <c r="I17" s="2">
        <f t="shared" si="7"/>
        <v>7.2</v>
      </c>
      <c r="J17" s="2">
        <f t="shared" si="5"/>
        <v>6.2</v>
      </c>
    </row>
    <row r="18" spans="2:16" ht="15" thickBot="1">
      <c r="B18" s="14">
        <f t="shared" si="6"/>
        <v>15000</v>
      </c>
      <c r="C18" s="3">
        <v>0.15</v>
      </c>
      <c r="D18" s="3">
        <f t="shared" si="0"/>
        <v>158.59719054078394</v>
      </c>
      <c r="E18" s="3">
        <f t="shared" si="4"/>
        <v>18.80973036345334</v>
      </c>
      <c r="F18" s="2">
        <f t="shared" si="1"/>
        <v>3.127292538231</v>
      </c>
      <c r="G18" s="132">
        <f t="shared" si="2"/>
        <v>0.8</v>
      </c>
      <c r="H18" s="2">
        <f t="shared" si="3"/>
        <v>1</v>
      </c>
      <c r="I18" s="2">
        <f t="shared" si="7"/>
        <v>7.2</v>
      </c>
      <c r="J18" s="2">
        <f t="shared" si="5"/>
        <v>6.2</v>
      </c>
      <c r="L18" s="5" t="s">
        <v>258</v>
      </c>
      <c r="N18" s="55" t="s">
        <v>188</v>
      </c>
      <c r="O18" s="194" cm="1">
        <f t="array" ref="O18">(O20-O23)*(O13*Linterp(C7,atmos_h,atmos_aspeed))/C6</f>
        <v>-839.7325456021847</v>
      </c>
      <c r="P18" t="s">
        <v>20</v>
      </c>
    </row>
    <row r="19" spans="2:16" ht="15" thickBot="1">
      <c r="B19" s="14">
        <f t="shared" si="6"/>
        <v>15000</v>
      </c>
      <c r="C19" s="3">
        <v>0.16</v>
      </c>
      <c r="D19" s="3">
        <f t="shared" si="0"/>
        <v>169.17033657683621</v>
      </c>
      <c r="E19" s="3">
        <f t="shared" si="4"/>
        <v>21.40129321352914</v>
      </c>
      <c r="F19" s="2">
        <f t="shared" si="1"/>
        <v>2.748596957429589</v>
      </c>
      <c r="G19" s="132">
        <f t="shared" si="2"/>
        <v>0.8</v>
      </c>
      <c r="H19" s="2">
        <f t="shared" si="3"/>
        <v>1</v>
      </c>
      <c r="I19" s="2">
        <f t="shared" si="7"/>
        <v>7.2</v>
      </c>
      <c r="J19" s="2">
        <f t="shared" si="5"/>
        <v>6.2</v>
      </c>
    </row>
    <row r="20" spans="2:16" ht="15" thickBot="1">
      <c r="B20" s="14">
        <f t="shared" si="6"/>
        <v>15000</v>
      </c>
      <c r="C20" s="3">
        <v>0.17</v>
      </c>
      <c r="D20" s="3">
        <f t="shared" si="0"/>
        <v>179.74348261288847</v>
      </c>
      <c r="E20" s="3">
        <f t="shared" si="4"/>
        <v>24.16005366683563</v>
      </c>
      <c r="F20" s="2">
        <f t="shared" si="1"/>
        <v>2.4347433256123696</v>
      </c>
      <c r="G20" s="132">
        <f t="shared" si="2"/>
        <v>0.8</v>
      </c>
      <c r="H20" s="2">
        <f t="shared" si="3"/>
        <v>1</v>
      </c>
      <c r="I20" s="2">
        <f t="shared" si="7"/>
        <v>7.2</v>
      </c>
      <c r="J20" s="2">
        <f t="shared" si="5"/>
        <v>6.2</v>
      </c>
      <c r="N20" t="s">
        <v>84</v>
      </c>
      <c r="O20" s="169" cm="1">
        <f t="array" ref="O20">InterpolateXY(C7,O13,Tmax_h,Tmax_M, Tmax_table)*numeng</f>
        <v>5463.7193213038827</v>
      </c>
      <c r="P20" t="s">
        <v>5</v>
      </c>
    </row>
    <row r="21" spans="2:16" ht="15" thickBot="1">
      <c r="B21" s="14">
        <f t="shared" si="6"/>
        <v>15000</v>
      </c>
      <c r="C21" s="3">
        <v>0.18</v>
      </c>
      <c r="D21" s="3">
        <f t="shared" si="0"/>
        <v>190.31662864894071</v>
      </c>
      <c r="E21" s="3">
        <f t="shared" si="4"/>
        <v>27.086011723372813</v>
      </c>
      <c r="F21" s="2">
        <f t="shared" si="1"/>
        <v>2.171730929327083</v>
      </c>
      <c r="G21" s="132">
        <f t="shared" si="2"/>
        <v>0.8</v>
      </c>
      <c r="H21" s="2">
        <f t="shared" si="3"/>
        <v>1</v>
      </c>
      <c r="I21" s="2">
        <f t="shared" si="7"/>
        <v>7.2</v>
      </c>
      <c r="J21" s="2">
        <f t="shared" si="5"/>
        <v>6.2</v>
      </c>
      <c r="N21" t="s">
        <v>74</v>
      </c>
      <c r="O21" s="192" cm="1">
        <f t="array" ref="O21">O14*C6/(S*Linterp(C7,atmos_h,atmos_qms)*O13^2)</f>
        <v>0.80000000000000038</v>
      </c>
    </row>
    <row r="22" spans="2:16" ht="15" thickBot="1">
      <c r="B22" s="14">
        <f t="shared" si="6"/>
        <v>15000</v>
      </c>
      <c r="C22" s="3">
        <v>0.19</v>
      </c>
      <c r="D22" s="3">
        <f t="shared" si="0"/>
        <v>200.889774684993</v>
      </c>
      <c r="E22" s="3">
        <f t="shared" si="4"/>
        <v>30.179167383140697</v>
      </c>
      <c r="F22" s="2">
        <f t="shared" si="1"/>
        <v>1.9491435487589333</v>
      </c>
      <c r="G22" s="132">
        <f t="shared" si="2"/>
        <v>0.8</v>
      </c>
      <c r="H22" s="2">
        <f t="shared" si="3"/>
        <v>1</v>
      </c>
      <c r="I22" s="2">
        <f t="shared" si="7"/>
        <v>7.2</v>
      </c>
      <c r="J22" s="2">
        <f t="shared" si="5"/>
        <v>6.2</v>
      </c>
      <c r="N22" t="s">
        <v>75</v>
      </c>
      <c r="O22" s="192" cm="1">
        <f t="array" ref="O22">InterpolateXY(O21,O13,CD_CL,CD_M,CD_table)</f>
        <v>0.17159929308456626</v>
      </c>
    </row>
    <row r="23" spans="2:16" ht="15" thickBot="1">
      <c r="B23" s="14">
        <f t="shared" si="6"/>
        <v>15000</v>
      </c>
      <c r="C23" s="3">
        <v>0.2</v>
      </c>
      <c r="D23" s="3">
        <f t="shared" si="0"/>
        <v>211.46292072104526</v>
      </c>
      <c r="E23" s="3">
        <f t="shared" si="4"/>
        <v>33.439520646139279</v>
      </c>
      <c r="F23" s="2">
        <f t="shared" si="1"/>
        <v>1.759102052754937</v>
      </c>
      <c r="G23" s="132">
        <f t="shared" si="2"/>
        <v>0.8</v>
      </c>
      <c r="H23" s="2">
        <f t="shared" si="3"/>
        <v>1</v>
      </c>
      <c r="I23" s="2">
        <f t="shared" si="7"/>
        <v>7.2</v>
      </c>
      <c r="J23" s="2">
        <f t="shared" si="5"/>
        <v>6.2</v>
      </c>
      <c r="N23" t="s">
        <v>186</v>
      </c>
      <c r="O23" s="169" cm="1">
        <f t="array" ref="O23">S*O22*Linterp(C7,atmos_h,atmos_qms)*O13^2</f>
        <v>15443.936377610957</v>
      </c>
      <c r="P23" t="s">
        <v>431</v>
      </c>
    </row>
    <row r="24" spans="2:16" ht="15" thickBot="1">
      <c r="B24" s="14">
        <f t="shared" si="6"/>
        <v>15000</v>
      </c>
      <c r="C24" s="3">
        <v>0.21</v>
      </c>
      <c r="D24" s="3">
        <f t="shared" si="0"/>
        <v>222.0360667570975</v>
      </c>
      <c r="E24" s="3">
        <f t="shared" si="4"/>
        <v>36.867071512368554</v>
      </c>
      <c r="F24" s="2">
        <f t="shared" si="1"/>
        <v>1.5955574174647955</v>
      </c>
      <c r="G24" s="132">
        <f t="shared" si="2"/>
        <v>0.8</v>
      </c>
      <c r="H24" s="2">
        <f t="shared" si="3"/>
        <v>1</v>
      </c>
      <c r="I24" s="2">
        <f t="shared" si="7"/>
        <v>7.2</v>
      </c>
      <c r="J24" s="2">
        <f t="shared" si="5"/>
        <v>6.2</v>
      </c>
      <c r="L24" s="55"/>
      <c r="M24" s="55"/>
      <c r="N24" s="55"/>
      <c r="O24" s="55"/>
    </row>
    <row r="25" spans="2:16" ht="15" thickBot="1">
      <c r="B25" s="14">
        <f t="shared" si="6"/>
        <v>15000</v>
      </c>
      <c r="C25" s="3">
        <v>0.22</v>
      </c>
      <c r="D25" s="3">
        <f t="shared" si="0"/>
        <v>232.60921279314977</v>
      </c>
      <c r="E25" s="3">
        <f t="shared" si="4"/>
        <v>40.461819981828526</v>
      </c>
      <c r="F25" s="2">
        <f t="shared" si="1"/>
        <v>1.4538033493842457</v>
      </c>
      <c r="G25" s="132">
        <f t="shared" si="2"/>
        <v>0.8</v>
      </c>
      <c r="H25" s="2">
        <f t="shared" si="3"/>
        <v>1</v>
      </c>
      <c r="I25" s="2">
        <f t="shared" si="7"/>
        <v>7.2</v>
      </c>
      <c r="J25" s="2">
        <f t="shared" si="5"/>
        <v>6.2</v>
      </c>
      <c r="L25" s="5" t="s">
        <v>259</v>
      </c>
      <c r="O25" s="193" cm="1">
        <f t="array" ref="O25">DEGREES(32.174*SQRT(O14^2-1)/(O13*Linterp(C7,atmos_h,atmos_aspeed)))</f>
        <v>15.621742038511238</v>
      </c>
      <c r="P25" t="s">
        <v>260</v>
      </c>
    </row>
    <row r="26" spans="2:16" ht="15" thickBot="1">
      <c r="B26" s="14">
        <f t="shared" si="6"/>
        <v>15000</v>
      </c>
      <c r="C26" s="3">
        <v>0.23</v>
      </c>
      <c r="D26" s="3">
        <f t="shared" si="0"/>
        <v>243.18235882920206</v>
      </c>
      <c r="E26" s="3">
        <f t="shared" si="4"/>
        <v>44.223766054519196</v>
      </c>
      <c r="F26" s="2">
        <f t="shared" si="1"/>
        <v>1.3301338773194231</v>
      </c>
      <c r="G26" s="132">
        <f t="shared" si="2"/>
        <v>0.8</v>
      </c>
      <c r="H26" s="2">
        <f t="shared" si="3"/>
        <v>1</v>
      </c>
      <c r="I26" s="2">
        <f t="shared" si="7"/>
        <v>7.2</v>
      </c>
      <c r="J26" s="2">
        <f t="shared" si="5"/>
        <v>6.2</v>
      </c>
    </row>
    <row r="27" spans="2:16" ht="15" thickBot="1">
      <c r="B27" s="14">
        <f t="shared" si="6"/>
        <v>15000</v>
      </c>
      <c r="C27" s="3">
        <v>0.24</v>
      </c>
      <c r="D27" s="3">
        <f t="shared" si="0"/>
        <v>253.7555048652543</v>
      </c>
      <c r="E27" s="3">
        <f t="shared" si="4"/>
        <v>48.152909730440555</v>
      </c>
      <c r="F27" s="2">
        <f t="shared" si="1"/>
        <v>1.2215986477464842</v>
      </c>
      <c r="G27" s="132">
        <f t="shared" si="2"/>
        <v>0.8</v>
      </c>
      <c r="H27" s="2">
        <f t="shared" si="3"/>
        <v>1</v>
      </c>
      <c r="I27" s="2">
        <f t="shared" si="7"/>
        <v>7.2</v>
      </c>
      <c r="J27" s="2">
        <f t="shared" si="5"/>
        <v>6.2</v>
      </c>
      <c r="L27" s="5" t="s">
        <v>261</v>
      </c>
      <c r="O27" s="182" cm="1">
        <f t="array" ref="O27">O13*Linterp(C7,atmos_h,atmos_aspeed)/RADIANS(O25)</f>
        <v>3085.9875467657876</v>
      </c>
      <c r="P27" t="s">
        <v>2</v>
      </c>
    </row>
    <row r="28" spans="2:16" ht="15" thickBot="1">
      <c r="B28" s="14">
        <f t="shared" si="6"/>
        <v>15000</v>
      </c>
      <c r="C28" s="3">
        <v>0.25</v>
      </c>
      <c r="D28" s="3">
        <f t="shared" si="0"/>
        <v>264.32865090130656</v>
      </c>
      <c r="E28" s="3">
        <f t="shared" si="4"/>
        <v>52.249251009592619</v>
      </c>
      <c r="F28" s="2">
        <f t="shared" si="1"/>
        <v>1.12582531376316</v>
      </c>
      <c r="G28" s="132">
        <f t="shared" si="2"/>
        <v>0.8</v>
      </c>
      <c r="H28" s="2">
        <f t="shared" si="3"/>
        <v>1</v>
      </c>
      <c r="I28" s="2">
        <f t="shared" si="7"/>
        <v>7.2</v>
      </c>
      <c r="J28" s="2">
        <f t="shared" si="5"/>
        <v>6.2</v>
      </c>
    </row>
    <row r="29" spans="2:16" ht="15" thickBot="1">
      <c r="B29" s="14">
        <f t="shared" si="6"/>
        <v>15000</v>
      </c>
      <c r="C29" s="3">
        <v>0.26</v>
      </c>
      <c r="D29" s="3">
        <f t="shared" si="0"/>
        <v>274.90179693735882</v>
      </c>
      <c r="E29" s="3">
        <f t="shared" si="4"/>
        <v>56.51278989197538</v>
      </c>
      <c r="F29" s="2">
        <f t="shared" si="1"/>
        <v>1.0408887886123888</v>
      </c>
      <c r="G29" s="132">
        <f t="shared" si="2"/>
        <v>0.8</v>
      </c>
      <c r="H29" s="2">
        <f t="shared" si="3"/>
        <v>1</v>
      </c>
      <c r="I29" s="2">
        <f t="shared" si="7"/>
        <v>7.2</v>
      </c>
      <c r="J29" s="2">
        <f t="shared" si="5"/>
        <v>6.2</v>
      </c>
      <c r="L29" s="5" t="s">
        <v>262</v>
      </c>
      <c r="O29" s="169">
        <f>DEGREES(ACOS(1/O14))</f>
        <v>82.016443854444589</v>
      </c>
      <c r="P29" t="s">
        <v>263</v>
      </c>
    </row>
    <row r="30" spans="2:16">
      <c r="B30" s="14">
        <f t="shared" si="6"/>
        <v>15000</v>
      </c>
      <c r="C30" s="3">
        <v>0.27</v>
      </c>
      <c r="D30" s="3">
        <f t="shared" si="0"/>
        <v>285.47494297341109</v>
      </c>
      <c r="E30" s="3">
        <f t="shared" si="4"/>
        <v>60.943526377588839</v>
      </c>
      <c r="F30" s="2">
        <f t="shared" si="1"/>
        <v>0.96521374636759238</v>
      </c>
      <c r="G30" s="132">
        <f t="shared" si="2"/>
        <v>0.8</v>
      </c>
      <c r="H30" s="2">
        <f t="shared" si="3"/>
        <v>1</v>
      </c>
      <c r="I30" s="2">
        <f t="shared" si="7"/>
        <v>7.2</v>
      </c>
      <c r="J30" s="2">
        <f t="shared" si="5"/>
        <v>6.2</v>
      </c>
    </row>
    <row r="31" spans="2:16">
      <c r="B31" s="14">
        <f t="shared" si="6"/>
        <v>15000</v>
      </c>
      <c r="C31" s="3">
        <v>0.28000000000000003</v>
      </c>
      <c r="D31" s="3">
        <f t="shared" si="0"/>
        <v>296.04808900946335</v>
      </c>
      <c r="E31" s="3">
        <f t="shared" si="4"/>
        <v>65.541460466432994</v>
      </c>
      <c r="F31" s="2">
        <f t="shared" si="1"/>
        <v>0.89750104732394742</v>
      </c>
      <c r="G31" s="132">
        <f t="shared" si="2"/>
        <v>0.8</v>
      </c>
      <c r="H31" s="2">
        <f t="shared" si="3"/>
        <v>1</v>
      </c>
      <c r="I31" s="2">
        <f t="shared" si="7"/>
        <v>7.2</v>
      </c>
      <c r="J31" s="2">
        <f t="shared" si="5"/>
        <v>6.2</v>
      </c>
    </row>
    <row r="32" spans="2:16">
      <c r="B32" s="14">
        <f t="shared" si="6"/>
        <v>15000</v>
      </c>
      <c r="C32" s="3">
        <v>0.28999999999999998</v>
      </c>
      <c r="D32" s="3">
        <f t="shared" si="0"/>
        <v>306.62123504551556</v>
      </c>
      <c r="E32" s="3">
        <f t="shared" si="4"/>
        <v>70.306592158507826</v>
      </c>
      <c r="F32" s="2">
        <f t="shared" si="1"/>
        <v>0.83667160654218187</v>
      </c>
      <c r="G32" s="132">
        <f t="shared" si="2"/>
        <v>0.8</v>
      </c>
      <c r="H32" s="2">
        <f t="shared" si="3"/>
        <v>1</v>
      </c>
      <c r="I32" s="2">
        <f t="shared" si="7"/>
        <v>7.2</v>
      </c>
      <c r="J32" s="2">
        <f t="shared" si="5"/>
        <v>6.2</v>
      </c>
    </row>
    <row r="33" spans="2:10">
      <c r="B33" s="14">
        <f t="shared" si="6"/>
        <v>15000</v>
      </c>
      <c r="C33" s="3">
        <v>0.3</v>
      </c>
      <c r="D33" s="3">
        <f t="shared" si="0"/>
        <v>317.19438108156788</v>
      </c>
      <c r="E33" s="3">
        <f t="shared" si="4"/>
        <v>75.238921453813361</v>
      </c>
      <c r="F33" s="2">
        <f t="shared" si="1"/>
        <v>0.78182313455774999</v>
      </c>
      <c r="G33" s="132">
        <f t="shared" si="2"/>
        <v>0.8</v>
      </c>
      <c r="H33" s="2">
        <f t="shared" si="3"/>
        <v>1.0232493317718618</v>
      </c>
      <c r="I33" s="2">
        <f t="shared" si="7"/>
        <v>7.2</v>
      </c>
      <c r="J33" s="2">
        <f t="shared" si="5"/>
        <v>6.1767506682281379</v>
      </c>
    </row>
    <row r="34" spans="2:10">
      <c r="B34" s="14">
        <f t="shared" si="6"/>
        <v>15000</v>
      </c>
      <c r="C34" s="3">
        <v>0.31</v>
      </c>
      <c r="D34" s="3">
        <f t="shared" si="0"/>
        <v>327.76752711762015</v>
      </c>
      <c r="E34" s="3">
        <f t="shared" si="4"/>
        <v>80.338448352349616</v>
      </c>
      <c r="F34" s="2">
        <f t="shared" si="1"/>
        <v>0.73219648397708093</v>
      </c>
      <c r="G34" s="132">
        <f t="shared" si="2"/>
        <v>0.8</v>
      </c>
      <c r="H34" s="2">
        <f t="shared" si="3"/>
        <v>1.0926028975919548</v>
      </c>
      <c r="I34" s="2">
        <f t="shared" si="7"/>
        <v>7.2</v>
      </c>
      <c r="J34" s="2">
        <f t="shared" si="5"/>
        <v>6.1073971024080453</v>
      </c>
    </row>
    <row r="35" spans="2:10">
      <c r="B35" s="14">
        <f t="shared" si="6"/>
        <v>15000</v>
      </c>
      <c r="C35" s="3">
        <v>0.32</v>
      </c>
      <c r="D35" s="3">
        <f t="shared" si="0"/>
        <v>338.34067315367241</v>
      </c>
      <c r="E35" s="3">
        <f t="shared" si="4"/>
        <v>85.60517285411656</v>
      </c>
      <c r="F35" s="2">
        <f t="shared" si="1"/>
        <v>0.68714923935739725</v>
      </c>
      <c r="G35" s="132">
        <f t="shared" si="2"/>
        <v>0.8</v>
      </c>
      <c r="H35" s="2">
        <f t="shared" si="3"/>
        <v>1.1642303508159852</v>
      </c>
      <c r="I35" s="2">
        <f t="shared" si="7"/>
        <v>7.2</v>
      </c>
      <c r="J35" s="2">
        <f t="shared" si="5"/>
        <v>6.0357696491840152</v>
      </c>
    </row>
    <row r="36" spans="2:10">
      <c r="B36" s="14">
        <f t="shared" si="6"/>
        <v>15000</v>
      </c>
      <c r="C36" s="3">
        <v>0.33</v>
      </c>
      <c r="D36" s="3">
        <f t="shared" si="0"/>
        <v>348.91381918972468</v>
      </c>
      <c r="E36" s="3">
        <f t="shared" si="4"/>
        <v>91.039094959114195</v>
      </c>
      <c r="F36" s="2">
        <f t="shared" si="1"/>
        <v>0.64613482194855354</v>
      </c>
      <c r="G36" s="132">
        <f t="shared" si="2"/>
        <v>0.8</v>
      </c>
      <c r="H36" s="2">
        <f t="shared" si="3"/>
        <v>1.2381316914439531</v>
      </c>
      <c r="I36" s="2">
        <f t="shared" si="7"/>
        <v>7.2</v>
      </c>
      <c r="J36" s="2">
        <f t="shared" si="5"/>
        <v>5.9618683085560473</v>
      </c>
    </row>
    <row r="37" spans="2:10">
      <c r="B37" s="14">
        <f t="shared" si="6"/>
        <v>15000</v>
      </c>
      <c r="C37" s="3">
        <v>0.34</v>
      </c>
      <c r="D37" s="3">
        <f t="shared" si="0"/>
        <v>359.48696522577694</v>
      </c>
      <c r="E37" s="3">
        <f t="shared" si="4"/>
        <v>96.640214667342519</v>
      </c>
      <c r="F37" s="2">
        <f t="shared" si="1"/>
        <v>0.6086858314030924</v>
      </c>
      <c r="G37" s="132">
        <f t="shared" si="2"/>
        <v>0.8</v>
      </c>
      <c r="H37" s="2">
        <f t="shared" si="3"/>
        <v>1.3143069194758583</v>
      </c>
      <c r="I37" s="2">
        <f t="shared" si="7"/>
        <v>7.2</v>
      </c>
      <c r="J37" s="2">
        <f t="shared" si="5"/>
        <v>5.8856930805241419</v>
      </c>
    </row>
    <row r="38" spans="2:10">
      <c r="B38" s="14">
        <f t="shared" si="6"/>
        <v>15000</v>
      </c>
      <c r="C38" s="3">
        <v>0.35</v>
      </c>
      <c r="D38" s="3">
        <f t="shared" si="0"/>
        <v>370.06011126182915</v>
      </c>
      <c r="E38" s="3">
        <f t="shared" si="4"/>
        <v>102.40853197880152</v>
      </c>
      <c r="F38" s="2">
        <f t="shared" si="1"/>
        <v>0.57440067028732655</v>
      </c>
      <c r="G38" s="132">
        <f t="shared" si="2"/>
        <v>0.8</v>
      </c>
      <c r="H38" s="2">
        <f t="shared" si="3"/>
        <v>1.3927560349117007</v>
      </c>
      <c r="I38" s="2">
        <f t="shared" si="7"/>
        <v>7.2</v>
      </c>
      <c r="J38" s="2">
        <f t="shared" si="5"/>
        <v>5.8072439650882997</v>
      </c>
    </row>
    <row r="39" spans="2:10">
      <c r="B39" s="14">
        <f t="shared" si="6"/>
        <v>15000</v>
      </c>
      <c r="C39" s="3">
        <v>0.36</v>
      </c>
      <c r="D39" s="3">
        <f t="shared" si="0"/>
        <v>380.63325729788141</v>
      </c>
      <c r="E39" s="3">
        <f t="shared" si="4"/>
        <v>108.34404689349125</v>
      </c>
      <c r="F39" s="2">
        <f t="shared" si="1"/>
        <v>0.54293273233177075</v>
      </c>
      <c r="G39" s="132">
        <f t="shared" si="2"/>
        <v>0.8</v>
      </c>
      <c r="H39" s="2">
        <f t="shared" si="3"/>
        <v>1.4734790377514813</v>
      </c>
      <c r="I39" s="2">
        <f t="shared" si="7"/>
        <v>7.2</v>
      </c>
      <c r="J39" s="2">
        <f t="shared" si="5"/>
        <v>5.7265209622485189</v>
      </c>
    </row>
    <row r="40" spans="2:10">
      <c r="B40" s="14">
        <f t="shared" si="6"/>
        <v>15000</v>
      </c>
      <c r="C40" s="3">
        <v>0.37</v>
      </c>
      <c r="D40" s="3">
        <f t="shared" si="0"/>
        <v>391.20640333393368</v>
      </c>
      <c r="E40" s="3">
        <f t="shared" si="4"/>
        <v>114.44675941141168</v>
      </c>
      <c r="F40" s="2">
        <f t="shared" si="1"/>
        <v>0.51398160781736657</v>
      </c>
      <c r="G40" s="132">
        <f t="shared" si="2"/>
        <v>0.8</v>
      </c>
      <c r="H40" s="2">
        <f t="shared" si="3"/>
        <v>1.556475927995199</v>
      </c>
      <c r="I40" s="2">
        <f t="shared" si="7"/>
        <v>7.2</v>
      </c>
      <c r="J40" s="2">
        <f t="shared" si="5"/>
        <v>5.6435240720048014</v>
      </c>
    </row>
    <row r="41" spans="2:10">
      <c r="B41" s="14">
        <f t="shared" si="6"/>
        <v>15000</v>
      </c>
      <c r="C41" s="3">
        <v>0.38</v>
      </c>
      <c r="D41" s="3">
        <f t="shared" si="0"/>
        <v>401.779549369986</v>
      </c>
      <c r="E41" s="3">
        <f t="shared" si="4"/>
        <v>120.71666953256279</v>
      </c>
      <c r="F41" s="2">
        <f t="shared" si="1"/>
        <v>0.48728588718973331</v>
      </c>
      <c r="G41" s="132">
        <f t="shared" si="2"/>
        <v>0.8</v>
      </c>
      <c r="H41" s="2">
        <f t="shared" si="3"/>
        <v>1.6417467056428541</v>
      </c>
      <c r="I41" s="2">
        <f t="shared" si="7"/>
        <v>7.2</v>
      </c>
      <c r="J41" s="2">
        <f t="shared" si="5"/>
        <v>5.5582532943571463</v>
      </c>
    </row>
    <row r="42" spans="2:10">
      <c r="B42" s="14">
        <f t="shared" si="6"/>
        <v>15000</v>
      </c>
      <c r="C42" s="3">
        <v>0.39</v>
      </c>
      <c r="D42" s="3">
        <f t="shared" si="0"/>
        <v>412.35269540603826</v>
      </c>
      <c r="E42" s="3">
        <f t="shared" si="4"/>
        <v>127.15377725694461</v>
      </c>
      <c r="F42" s="2">
        <f t="shared" si="1"/>
        <v>0.46261723938328392</v>
      </c>
      <c r="G42" s="132">
        <f t="shared" si="2"/>
        <v>0.8</v>
      </c>
      <c r="H42" s="2">
        <f t="shared" si="3"/>
        <v>1.7292913706944466</v>
      </c>
      <c r="I42" s="2">
        <f t="shared" si="7"/>
        <v>7.2</v>
      </c>
      <c r="J42" s="2">
        <f t="shared" si="5"/>
        <v>5.4707086293055536</v>
      </c>
    </row>
    <row r="43" spans="2:10">
      <c r="B43" s="14">
        <f t="shared" si="6"/>
        <v>15000</v>
      </c>
      <c r="C43" s="3">
        <v>0.4</v>
      </c>
      <c r="D43" s="3">
        <f t="shared" si="0"/>
        <v>422.92584144209053</v>
      </c>
      <c r="E43" s="3">
        <f t="shared" si="4"/>
        <v>133.75808258455712</v>
      </c>
      <c r="F43" s="2">
        <f t="shared" si="1"/>
        <v>0.43977551318873426</v>
      </c>
      <c r="G43" s="132">
        <f t="shared" si="2"/>
        <v>0.8</v>
      </c>
      <c r="H43" s="2">
        <f t="shared" si="3"/>
        <v>1.8191099231499772</v>
      </c>
      <c r="I43" s="2">
        <f t="shared" si="7"/>
        <v>7.2</v>
      </c>
      <c r="J43" s="2">
        <f t="shared" si="5"/>
        <v>5.3808900768500232</v>
      </c>
    </row>
    <row r="44" spans="2:10">
      <c r="B44" s="14">
        <f t="shared" si="6"/>
        <v>15000</v>
      </c>
      <c r="C44" s="3">
        <v>0.41</v>
      </c>
      <c r="D44" s="3">
        <f t="shared" si="0"/>
        <v>433.49898747814274</v>
      </c>
      <c r="E44" s="3">
        <f t="shared" si="4"/>
        <v>140.52958551540027</v>
      </c>
      <c r="F44" s="2">
        <f t="shared" si="1"/>
        <v>0.41858466454608867</v>
      </c>
      <c r="G44" s="132">
        <f t="shared" si="2"/>
        <v>0.8</v>
      </c>
      <c r="H44" s="2">
        <f t="shared" si="3"/>
        <v>1.9112023630094439</v>
      </c>
      <c r="I44" s="2">
        <f t="shared" si="7"/>
        <v>7.2</v>
      </c>
      <c r="J44" s="2">
        <f t="shared" si="5"/>
        <v>5.2887976369905561</v>
      </c>
    </row>
    <row r="45" spans="2:10">
      <c r="B45" s="14">
        <f t="shared" si="6"/>
        <v>15000</v>
      </c>
      <c r="C45" s="3">
        <v>0.42</v>
      </c>
      <c r="D45" s="3">
        <f t="shared" si="0"/>
        <v>444.072133514195</v>
      </c>
      <c r="E45" s="3">
        <f t="shared" si="4"/>
        <v>147.46828604947422</v>
      </c>
      <c r="F45" s="2">
        <f t="shared" ref="F45:F76" si="8">$C$6/(E45*_xlfn.SINGLE(S))</f>
        <v>0.39888935436619888</v>
      </c>
      <c r="G45" s="132">
        <f t="shared" ref="G45:G76" si="9">_xlfn.SINGLE(CLmax)</f>
        <v>0.8</v>
      </c>
      <c r="H45" s="2">
        <f t="shared" ref="H45:H76" si="10">IF(F45&gt;G45,1,G45*E45*_xlfn.SINGLE(S)/$C$6)</f>
        <v>2.0055686902728493</v>
      </c>
      <c r="I45" s="2">
        <f t="shared" si="7"/>
        <v>7.2</v>
      </c>
      <c r="J45" s="2">
        <f t="shared" si="5"/>
        <v>5.1944313097271504</v>
      </c>
    </row>
    <row r="46" spans="2:10">
      <c r="B46" s="14">
        <f t="shared" si="6"/>
        <v>15000</v>
      </c>
      <c r="C46" s="3">
        <v>0.43</v>
      </c>
      <c r="D46" s="3">
        <f t="shared" si="0"/>
        <v>454.64527955024727</v>
      </c>
      <c r="E46" s="3">
        <f t="shared" si="4"/>
        <v>154.57418418677881</v>
      </c>
      <c r="F46" s="2">
        <f t="shared" si="8"/>
        <v>0.38055209361924008</v>
      </c>
      <c r="G46" s="132">
        <f t="shared" si="9"/>
        <v>0.8</v>
      </c>
      <c r="H46" s="2">
        <f t="shared" si="10"/>
        <v>2.1022089049401917</v>
      </c>
      <c r="I46" s="2">
        <f t="shared" si="7"/>
        <v>7.2</v>
      </c>
      <c r="J46" s="2">
        <f t="shared" si="5"/>
        <v>5.097791095059808</v>
      </c>
    </row>
    <row r="47" spans="2:10">
      <c r="B47" s="14">
        <f t="shared" si="6"/>
        <v>15000</v>
      </c>
      <c r="C47" s="3">
        <v>0.44</v>
      </c>
      <c r="D47" s="3">
        <f t="shared" si="0"/>
        <v>465.21842558629953</v>
      </c>
      <c r="E47" s="3">
        <f t="shared" si="4"/>
        <v>161.8472799273141</v>
      </c>
      <c r="F47" s="2">
        <f t="shared" si="8"/>
        <v>0.36345083734606143</v>
      </c>
      <c r="G47" s="132">
        <f t="shared" si="9"/>
        <v>0.8</v>
      </c>
      <c r="H47" s="2">
        <f t="shared" si="10"/>
        <v>2.2011230070114718</v>
      </c>
      <c r="I47" s="2">
        <f t="shared" si="7"/>
        <v>7.2</v>
      </c>
      <c r="J47" s="2">
        <f t="shared" si="5"/>
        <v>4.9988769929885279</v>
      </c>
    </row>
    <row r="48" spans="2:10">
      <c r="B48" s="14">
        <f t="shared" si="6"/>
        <v>15000</v>
      </c>
      <c r="C48" s="3">
        <v>0.45</v>
      </c>
      <c r="D48" s="3">
        <f t="shared" si="0"/>
        <v>475.7915716223518</v>
      </c>
      <c r="E48" s="3">
        <f t="shared" si="4"/>
        <v>169.28757327108011</v>
      </c>
      <c r="F48" s="2">
        <f t="shared" si="8"/>
        <v>0.3474769486923332</v>
      </c>
      <c r="G48" s="132">
        <f t="shared" si="9"/>
        <v>0.8</v>
      </c>
      <c r="H48" s="2">
        <f t="shared" si="10"/>
        <v>2.3023109964866899</v>
      </c>
      <c r="I48" s="2">
        <f t="shared" si="7"/>
        <v>7.2</v>
      </c>
      <c r="J48" s="2">
        <f t="shared" si="5"/>
        <v>4.8976890035133103</v>
      </c>
    </row>
    <row r="49" spans="2:10">
      <c r="B49" s="14">
        <f t="shared" si="6"/>
        <v>15000</v>
      </c>
      <c r="C49" s="3">
        <v>0.46</v>
      </c>
      <c r="D49" s="3">
        <f t="shared" si="0"/>
        <v>486.36471765840412</v>
      </c>
      <c r="E49" s="3">
        <f t="shared" si="4"/>
        <v>176.89506421807678</v>
      </c>
      <c r="F49" s="2">
        <f t="shared" si="8"/>
        <v>0.33253346932985578</v>
      </c>
      <c r="G49" s="132">
        <f t="shared" si="9"/>
        <v>0.8</v>
      </c>
      <c r="H49" s="2">
        <f t="shared" si="10"/>
        <v>2.4057728733658443</v>
      </c>
      <c r="I49" s="2">
        <f t="shared" si="7"/>
        <v>7.2</v>
      </c>
      <c r="J49" s="2">
        <f t="shared" si="5"/>
        <v>4.7942271266341558</v>
      </c>
    </row>
    <row r="50" spans="2:10">
      <c r="B50" s="14">
        <f t="shared" si="6"/>
        <v>15000</v>
      </c>
      <c r="C50" s="3">
        <v>0.47</v>
      </c>
      <c r="D50" s="3">
        <f t="shared" si="0"/>
        <v>496.93786369445633</v>
      </c>
      <c r="E50" s="3">
        <f t="shared" si="4"/>
        <v>184.66975276830414</v>
      </c>
      <c r="F50" s="2">
        <f t="shared" si="8"/>
        <v>0.31853364468174511</v>
      </c>
      <c r="G50" s="132">
        <f t="shared" si="9"/>
        <v>0.8</v>
      </c>
      <c r="H50" s="2">
        <f t="shared" si="10"/>
        <v>2.5115086376489364</v>
      </c>
      <c r="I50" s="2">
        <f t="shared" si="7"/>
        <v>7.2</v>
      </c>
      <c r="J50" s="2">
        <f t="shared" si="5"/>
        <v>4.6884913623510638</v>
      </c>
    </row>
    <row r="51" spans="2:10">
      <c r="B51" s="14">
        <f t="shared" si="6"/>
        <v>15000</v>
      </c>
      <c r="C51" s="3">
        <v>0.48</v>
      </c>
      <c r="D51" s="3">
        <f t="shared" si="0"/>
        <v>507.51100973050859</v>
      </c>
      <c r="E51" s="3">
        <f t="shared" si="4"/>
        <v>192.61163892176222</v>
      </c>
      <c r="F51" s="2">
        <f t="shared" si="8"/>
        <v>0.30539966193662105</v>
      </c>
      <c r="G51" s="132">
        <f t="shared" si="9"/>
        <v>0.8</v>
      </c>
      <c r="H51" s="2">
        <f t="shared" si="10"/>
        <v>2.6195182893359665</v>
      </c>
      <c r="I51" s="2">
        <f t="shared" si="7"/>
        <v>7.2</v>
      </c>
      <c r="J51" s="2">
        <f t="shared" si="5"/>
        <v>4.5804817106640332</v>
      </c>
    </row>
    <row r="52" spans="2:10">
      <c r="B52" s="14">
        <f t="shared" si="6"/>
        <v>15000</v>
      </c>
      <c r="C52" s="3">
        <v>0.49</v>
      </c>
      <c r="D52" s="3">
        <f t="shared" si="0"/>
        <v>518.0841557665608</v>
      </c>
      <c r="E52" s="3">
        <f t="shared" si="4"/>
        <v>200.72072267845101</v>
      </c>
      <c r="F52" s="2">
        <f t="shared" si="8"/>
        <v>0.29306156647312576</v>
      </c>
      <c r="G52" s="132">
        <f t="shared" si="9"/>
        <v>0.8</v>
      </c>
      <c r="H52" s="2">
        <f t="shared" si="10"/>
        <v>2.7298018284269339</v>
      </c>
      <c r="I52" s="2">
        <f t="shared" si="7"/>
        <v>7.2</v>
      </c>
      <c r="J52" s="2">
        <f t="shared" si="5"/>
        <v>4.4701981715730668</v>
      </c>
    </row>
    <row r="53" spans="2:10">
      <c r="B53" s="14">
        <f t="shared" si="6"/>
        <v>15000</v>
      </c>
      <c r="C53" s="3">
        <v>0.5</v>
      </c>
      <c r="D53" s="3">
        <f t="shared" si="0"/>
        <v>528.65730180261312</v>
      </c>
      <c r="E53" s="3">
        <f t="shared" si="4"/>
        <v>208.99700403837048</v>
      </c>
      <c r="F53" s="2">
        <f t="shared" si="8"/>
        <v>0.28145632844078999</v>
      </c>
      <c r="G53" s="132">
        <f t="shared" si="9"/>
        <v>0.8</v>
      </c>
      <c r="H53" s="2">
        <f t="shared" si="10"/>
        <v>2.8423592549218384</v>
      </c>
      <c r="I53" s="2">
        <f t="shared" si="7"/>
        <v>7.2</v>
      </c>
      <c r="J53" s="2">
        <f t="shared" si="5"/>
        <v>4.3576407450781618</v>
      </c>
    </row>
    <row r="54" spans="2:10">
      <c r="B54" s="14">
        <f t="shared" si="6"/>
        <v>15000</v>
      </c>
      <c r="C54" s="3">
        <v>0.51</v>
      </c>
      <c r="D54" s="3">
        <f t="shared" si="0"/>
        <v>539.23044783866544</v>
      </c>
      <c r="E54" s="3">
        <f t="shared" si="4"/>
        <v>217.44048300152065</v>
      </c>
      <c r="F54" s="2">
        <f t="shared" si="8"/>
        <v>0.27052703617915219</v>
      </c>
      <c r="G54" s="132">
        <f t="shared" si="9"/>
        <v>0.8</v>
      </c>
      <c r="H54" s="2">
        <f t="shared" si="10"/>
        <v>2.957190568820681</v>
      </c>
      <c r="I54" s="2">
        <f t="shared" si="7"/>
        <v>7.2</v>
      </c>
      <c r="J54" s="2">
        <f t="shared" si="5"/>
        <v>4.2428094311793192</v>
      </c>
    </row>
    <row r="55" spans="2:10">
      <c r="B55" s="14">
        <f t="shared" si="6"/>
        <v>15000</v>
      </c>
      <c r="C55" s="3">
        <v>0.52</v>
      </c>
      <c r="D55" s="3">
        <f t="shared" si="0"/>
        <v>549.80359387471765</v>
      </c>
      <c r="E55" s="3">
        <f t="shared" si="4"/>
        <v>226.05115956790152</v>
      </c>
      <c r="F55" s="2">
        <f t="shared" si="8"/>
        <v>0.26022219715309719</v>
      </c>
      <c r="G55" s="132">
        <f t="shared" si="9"/>
        <v>0.8</v>
      </c>
      <c r="H55" s="2">
        <f t="shared" si="10"/>
        <v>3.0742957701234608</v>
      </c>
      <c r="I55" s="2">
        <f t="shared" si="7"/>
        <v>7.2</v>
      </c>
      <c r="J55" s="2">
        <f t="shared" si="5"/>
        <v>4.1257042298765398</v>
      </c>
    </row>
    <row r="56" spans="2:10">
      <c r="B56" s="14">
        <f t="shared" si="6"/>
        <v>15000</v>
      </c>
      <c r="C56" s="3">
        <v>0.53</v>
      </c>
      <c r="D56" s="3">
        <f t="shared" si="0"/>
        <v>560.37673991076997</v>
      </c>
      <c r="E56" s="3">
        <f t="shared" si="4"/>
        <v>234.82903373751307</v>
      </c>
      <c r="F56" s="2">
        <f t="shared" si="8"/>
        <v>0.25049513033178172</v>
      </c>
      <c r="G56" s="132">
        <f t="shared" si="9"/>
        <v>0.8</v>
      </c>
      <c r="H56" s="2">
        <f t="shared" si="10"/>
        <v>3.1936748588301778</v>
      </c>
      <c r="I56" s="2">
        <f t="shared" si="7"/>
        <v>7.2</v>
      </c>
      <c r="J56" s="2">
        <f t="shared" si="5"/>
        <v>4.0063251411698229</v>
      </c>
    </row>
    <row r="57" spans="2:10">
      <c r="B57" s="14">
        <f t="shared" si="6"/>
        <v>15000</v>
      </c>
      <c r="C57" s="3">
        <v>0.54</v>
      </c>
      <c r="D57" s="3">
        <f t="shared" si="0"/>
        <v>570.94988594682218</v>
      </c>
      <c r="E57" s="3">
        <f t="shared" si="4"/>
        <v>243.77410551035535</v>
      </c>
      <c r="F57" s="2">
        <f t="shared" si="8"/>
        <v>0.2413034365918981</v>
      </c>
      <c r="G57" s="132">
        <f t="shared" si="9"/>
        <v>0.8</v>
      </c>
      <c r="H57" s="2">
        <f t="shared" si="10"/>
        <v>3.3153278349408333</v>
      </c>
      <c r="I57" s="2">
        <f t="shared" si="7"/>
        <v>7.2</v>
      </c>
      <c r="J57" s="2">
        <f t="shared" si="5"/>
        <v>3.8846721650591669</v>
      </c>
    </row>
    <row r="58" spans="2:10">
      <c r="B58" s="14">
        <f t="shared" si="6"/>
        <v>15000</v>
      </c>
      <c r="C58" s="3">
        <v>0.55000000000000004</v>
      </c>
      <c r="D58" s="3">
        <f t="shared" si="0"/>
        <v>581.5230319828745</v>
      </c>
      <c r="E58" s="3">
        <f t="shared" si="4"/>
        <v>252.88637488642831</v>
      </c>
      <c r="F58" s="2">
        <f t="shared" si="8"/>
        <v>0.23260853590147926</v>
      </c>
      <c r="G58" s="132">
        <f t="shared" si="9"/>
        <v>0.8</v>
      </c>
      <c r="H58" s="2">
        <f t="shared" si="10"/>
        <v>3.4392546984554255</v>
      </c>
      <c r="I58" s="2">
        <f t="shared" si="7"/>
        <v>7.2</v>
      </c>
      <c r="J58" s="2">
        <f t="shared" si="5"/>
        <v>3.7607453015445746</v>
      </c>
    </row>
    <row r="59" spans="2:10">
      <c r="B59" s="14">
        <f t="shared" si="6"/>
        <v>15000</v>
      </c>
      <c r="C59" s="3">
        <v>0.56000000000000005</v>
      </c>
      <c r="D59" s="3">
        <f t="shared" si="0"/>
        <v>592.09617801892671</v>
      </c>
      <c r="E59" s="3">
        <f t="shared" si="4"/>
        <v>262.16584186573198</v>
      </c>
      <c r="F59" s="2">
        <f t="shared" si="8"/>
        <v>0.22437526183098686</v>
      </c>
      <c r="G59" s="132">
        <f t="shared" si="9"/>
        <v>0.8</v>
      </c>
      <c r="H59" s="2">
        <f t="shared" si="10"/>
        <v>3.5654554493739554</v>
      </c>
      <c r="I59" s="2">
        <f t="shared" si="7"/>
        <v>7.2</v>
      </c>
      <c r="J59" s="2">
        <f t="shared" si="5"/>
        <v>3.6345445506260448</v>
      </c>
    </row>
    <row r="60" spans="2:10">
      <c r="B60" s="14">
        <f t="shared" si="6"/>
        <v>15000</v>
      </c>
      <c r="C60" s="3">
        <v>0.56999999999999995</v>
      </c>
      <c r="D60" s="3">
        <f t="shared" si="0"/>
        <v>602.66932405497892</v>
      </c>
      <c r="E60" s="3">
        <f t="shared" si="4"/>
        <v>271.61250644826623</v>
      </c>
      <c r="F60" s="2">
        <f t="shared" si="8"/>
        <v>0.21657150541765927</v>
      </c>
      <c r="G60" s="132">
        <f t="shared" si="9"/>
        <v>0.8</v>
      </c>
      <c r="H60" s="2">
        <f t="shared" si="10"/>
        <v>3.6939300876964203</v>
      </c>
      <c r="I60" s="2">
        <f t="shared" si="7"/>
        <v>7.2</v>
      </c>
      <c r="J60" s="2">
        <f t="shared" si="5"/>
        <v>3.5060699123035799</v>
      </c>
    </row>
    <row r="61" spans="2:10">
      <c r="B61" s="14">
        <f t="shared" si="6"/>
        <v>15000</v>
      </c>
      <c r="C61" s="3">
        <v>0.57999999999999996</v>
      </c>
      <c r="D61" s="3">
        <f t="shared" si="0"/>
        <v>613.24247009103112</v>
      </c>
      <c r="E61" s="3">
        <f t="shared" si="4"/>
        <v>281.2263686340313</v>
      </c>
      <c r="F61" s="2">
        <f t="shared" si="8"/>
        <v>0.20916790163554547</v>
      </c>
      <c r="G61" s="132">
        <f t="shared" si="9"/>
        <v>0.8</v>
      </c>
      <c r="H61" s="2">
        <f t="shared" si="10"/>
        <v>3.8246786134228254</v>
      </c>
      <c r="I61" s="2">
        <f t="shared" si="7"/>
        <v>7.2</v>
      </c>
      <c r="J61" s="2">
        <f t="shared" si="5"/>
        <v>3.3753213865771747</v>
      </c>
    </row>
    <row r="62" spans="2:10">
      <c r="B62" s="14">
        <f t="shared" si="6"/>
        <v>15000</v>
      </c>
      <c r="C62" s="3">
        <v>0.59</v>
      </c>
      <c r="D62" s="3">
        <f t="shared" si="0"/>
        <v>623.81561612708344</v>
      </c>
      <c r="E62" s="3">
        <f t="shared" si="4"/>
        <v>291.00742842302702</v>
      </c>
      <c r="F62" s="2">
        <f t="shared" si="8"/>
        <v>0.20213755274403186</v>
      </c>
      <c r="G62" s="132">
        <f t="shared" si="9"/>
        <v>0.8</v>
      </c>
      <c r="H62" s="2">
        <f t="shared" si="10"/>
        <v>3.9577010265531682</v>
      </c>
      <c r="I62" s="2">
        <f t="shared" si="7"/>
        <v>7.2</v>
      </c>
      <c r="J62" s="2">
        <f t="shared" si="5"/>
        <v>3.2422989734468319</v>
      </c>
    </row>
    <row r="63" spans="2:10">
      <c r="B63" s="14">
        <f t="shared" si="6"/>
        <v>15000</v>
      </c>
      <c r="C63" s="3">
        <v>0.6</v>
      </c>
      <c r="D63" s="3">
        <f t="shared" si="0"/>
        <v>634.38876216313577</v>
      </c>
      <c r="E63" s="3">
        <f t="shared" si="4"/>
        <v>300.95568581525345</v>
      </c>
      <c r="F63" s="2">
        <f t="shared" si="8"/>
        <v>0.1954557836394375</v>
      </c>
      <c r="G63" s="132">
        <f t="shared" si="9"/>
        <v>0.8</v>
      </c>
      <c r="H63" s="2">
        <f t="shared" si="10"/>
        <v>4.0929973270874473</v>
      </c>
      <c r="I63" s="2">
        <f t="shared" si="7"/>
        <v>7.2</v>
      </c>
      <c r="J63" s="2">
        <f t="shared" si="5"/>
        <v>3.1070026729125528</v>
      </c>
    </row>
    <row r="64" spans="2:10">
      <c r="B64" s="14">
        <f t="shared" si="6"/>
        <v>15000</v>
      </c>
      <c r="C64" s="3">
        <v>0.61</v>
      </c>
      <c r="D64" s="3">
        <f t="shared" si="0"/>
        <v>644.96190819918797</v>
      </c>
      <c r="E64" s="3">
        <f t="shared" si="4"/>
        <v>311.07114081071063</v>
      </c>
      <c r="F64" s="2">
        <f t="shared" si="8"/>
        <v>0.1890999250475611</v>
      </c>
      <c r="G64" s="132">
        <f t="shared" si="9"/>
        <v>0.8</v>
      </c>
      <c r="H64" s="2">
        <f t="shared" si="10"/>
        <v>4.2305675150256645</v>
      </c>
      <c r="I64" s="2">
        <f t="shared" si="7"/>
        <v>7.2</v>
      </c>
      <c r="J64" s="2">
        <f t="shared" si="5"/>
        <v>2.9694324849743357</v>
      </c>
    </row>
    <row r="65" spans="2:10">
      <c r="B65" s="14">
        <f t="shared" si="6"/>
        <v>15000</v>
      </c>
      <c r="C65" s="3">
        <v>0.62</v>
      </c>
      <c r="D65" s="3">
        <f t="shared" si="0"/>
        <v>655.5350542352403</v>
      </c>
      <c r="E65" s="3">
        <f t="shared" si="4"/>
        <v>321.35379340939846</v>
      </c>
      <c r="F65" s="2">
        <f t="shared" si="8"/>
        <v>0.18304912099427023</v>
      </c>
      <c r="G65" s="132">
        <f t="shared" si="9"/>
        <v>0.8</v>
      </c>
      <c r="H65" s="2">
        <f t="shared" si="10"/>
        <v>4.3704115903678193</v>
      </c>
      <c r="I65" s="2">
        <f t="shared" si="7"/>
        <v>7.2</v>
      </c>
      <c r="J65" s="2">
        <f t="shared" si="5"/>
        <v>2.8295884096321808</v>
      </c>
    </row>
    <row r="66" spans="2:10">
      <c r="B66" s="14">
        <f t="shared" si="6"/>
        <v>15000</v>
      </c>
      <c r="C66" s="3">
        <v>0.63</v>
      </c>
      <c r="D66" s="3">
        <f t="shared" si="0"/>
        <v>666.1082002712925</v>
      </c>
      <c r="E66" s="3">
        <f t="shared" si="4"/>
        <v>331.80364361131694</v>
      </c>
      <c r="F66" s="2">
        <f t="shared" si="8"/>
        <v>0.17728415749608842</v>
      </c>
      <c r="G66" s="132">
        <f t="shared" si="9"/>
        <v>0.8</v>
      </c>
      <c r="H66" s="2">
        <f t="shared" si="10"/>
        <v>4.5125295531139109</v>
      </c>
      <c r="I66" s="2">
        <f t="shared" si="7"/>
        <v>7.2</v>
      </c>
      <c r="J66" s="2">
        <f t="shared" si="5"/>
        <v>2.6874704468860893</v>
      </c>
    </row>
    <row r="67" spans="2:10">
      <c r="B67" s="14">
        <f t="shared" si="6"/>
        <v>15000</v>
      </c>
      <c r="C67" s="3">
        <v>0.64</v>
      </c>
      <c r="D67" s="3">
        <f t="shared" si="0"/>
        <v>676.68134630734482</v>
      </c>
      <c r="E67" s="3">
        <f t="shared" si="4"/>
        <v>342.42069141646624</v>
      </c>
      <c r="F67" s="2">
        <f t="shared" si="8"/>
        <v>0.17178730983934931</v>
      </c>
      <c r="G67" s="132">
        <f t="shared" si="9"/>
        <v>0.8</v>
      </c>
      <c r="H67" s="2">
        <f t="shared" si="10"/>
        <v>4.656921403263941</v>
      </c>
      <c r="I67" s="2">
        <f t="shared" si="7"/>
        <v>7.2</v>
      </c>
      <c r="J67" s="2">
        <f t="shared" si="5"/>
        <v>2.5430785967360592</v>
      </c>
    </row>
    <row r="68" spans="2:10">
      <c r="B68" s="14">
        <f t="shared" si="6"/>
        <v>15000</v>
      </c>
      <c r="C68" s="3">
        <v>0.65</v>
      </c>
      <c r="D68" s="3">
        <f t="shared" si="0"/>
        <v>687.25449234339703</v>
      </c>
      <c r="E68" s="3">
        <f t="shared" si="4"/>
        <v>353.20493682484613</v>
      </c>
      <c r="F68" s="2">
        <f t="shared" si="8"/>
        <v>0.16654220617798221</v>
      </c>
      <c r="G68" s="132">
        <f t="shared" si="9"/>
        <v>0.8</v>
      </c>
      <c r="H68" s="2">
        <f t="shared" si="10"/>
        <v>4.8035871408179078</v>
      </c>
      <c r="I68" s="2">
        <f t="shared" si="7"/>
        <v>7.2</v>
      </c>
      <c r="J68" s="2">
        <f t="shared" si="5"/>
        <v>2.3964128591820923</v>
      </c>
    </row>
    <row r="69" spans="2:10">
      <c r="B69" s="14">
        <f t="shared" si="6"/>
        <v>15000</v>
      </c>
      <c r="C69" s="3">
        <v>0.66</v>
      </c>
      <c r="D69" s="3">
        <f t="shared" si="0"/>
        <v>697.82763837944935</v>
      </c>
      <c r="E69" s="3">
        <f t="shared" si="4"/>
        <v>364.15637983645678</v>
      </c>
      <c r="F69" s="2">
        <f t="shared" si="8"/>
        <v>0.16153370548713838</v>
      </c>
      <c r="G69" s="132">
        <f t="shared" si="9"/>
        <v>0.8</v>
      </c>
      <c r="H69" s="2">
        <f t="shared" si="10"/>
        <v>4.9525267657758123</v>
      </c>
      <c r="I69" s="2">
        <f t="shared" si="7"/>
        <v>7.2</v>
      </c>
      <c r="J69" s="2">
        <f t="shared" si="5"/>
        <v>2.2474732342241879</v>
      </c>
    </row>
    <row r="70" spans="2:10">
      <c r="B70" s="14">
        <f t="shared" si="6"/>
        <v>15000</v>
      </c>
      <c r="C70" s="3">
        <v>0.67</v>
      </c>
      <c r="D70" s="3">
        <f t="shared" si="0"/>
        <v>708.40078441550168</v>
      </c>
      <c r="E70" s="3">
        <f t="shared" si="4"/>
        <v>375.27502045129802</v>
      </c>
      <c r="F70" s="2">
        <f t="shared" si="8"/>
        <v>0.15674778817152482</v>
      </c>
      <c r="G70" s="132">
        <f t="shared" si="9"/>
        <v>0.8</v>
      </c>
      <c r="H70" s="2">
        <f t="shared" si="10"/>
        <v>5.1037402781376526</v>
      </c>
      <c r="I70" s="2">
        <f t="shared" si="7"/>
        <v>7.2</v>
      </c>
      <c r="J70" s="2">
        <f t="shared" si="5"/>
        <v>2.0962597218623475</v>
      </c>
    </row>
    <row r="71" spans="2:10">
      <c r="B71" s="14">
        <f t="shared" si="6"/>
        <v>15000</v>
      </c>
      <c r="C71" s="3">
        <v>0.68</v>
      </c>
      <c r="D71" s="3">
        <f t="shared" si="0"/>
        <v>718.97393045155388</v>
      </c>
      <c r="E71" s="3">
        <f t="shared" si="4"/>
        <v>386.56085866937008</v>
      </c>
      <c r="F71" s="2">
        <f t="shared" si="8"/>
        <v>0.1521714578507731</v>
      </c>
      <c r="G71" s="132">
        <f t="shared" si="9"/>
        <v>0.8</v>
      </c>
      <c r="H71" s="2">
        <f t="shared" si="10"/>
        <v>5.2572276779034333</v>
      </c>
      <c r="I71" s="2">
        <f t="shared" si="7"/>
        <v>7.2</v>
      </c>
      <c r="J71" s="2">
        <f t="shared" si="5"/>
        <v>1.9427723220965669</v>
      </c>
    </row>
    <row r="72" spans="2:10">
      <c r="B72" s="14">
        <f t="shared" si="6"/>
        <v>15000</v>
      </c>
      <c r="C72" s="3">
        <v>0.69</v>
      </c>
      <c r="D72" s="3">
        <f t="shared" si="0"/>
        <v>729.54707648760609</v>
      </c>
      <c r="E72" s="3">
        <f t="shared" si="4"/>
        <v>398.01389449067267</v>
      </c>
      <c r="F72" s="2">
        <f t="shared" si="8"/>
        <v>0.14779265303549149</v>
      </c>
      <c r="G72" s="132">
        <f t="shared" si="9"/>
        <v>0.8</v>
      </c>
      <c r="H72" s="2">
        <f t="shared" si="10"/>
        <v>5.4129889650731489</v>
      </c>
      <c r="I72" s="2">
        <f t="shared" si="7"/>
        <v>7.2</v>
      </c>
      <c r="J72" s="2">
        <f t="shared" si="5"/>
        <v>1.7870110349268513</v>
      </c>
    </row>
    <row r="73" spans="2:10">
      <c r="B73" s="14">
        <f t="shared" si="6"/>
        <v>15000</v>
      </c>
      <c r="C73" s="3">
        <v>0.7</v>
      </c>
      <c r="D73" s="3">
        <f t="shared" si="0"/>
        <v>740.1202225236583</v>
      </c>
      <c r="E73" s="3">
        <f t="shared" si="4"/>
        <v>409.63412791520608</v>
      </c>
      <c r="F73" s="2">
        <f t="shared" si="8"/>
        <v>0.14360016757183164</v>
      </c>
      <c r="G73" s="132">
        <f t="shared" si="9"/>
        <v>0.8</v>
      </c>
      <c r="H73" s="2">
        <f t="shared" si="10"/>
        <v>5.571024139646803</v>
      </c>
      <c r="I73" s="2">
        <f t="shared" si="7"/>
        <v>7.2</v>
      </c>
      <c r="J73" s="2">
        <f t="shared" si="5"/>
        <v>1.6289758603531972</v>
      </c>
    </row>
    <row r="74" spans="2:10">
      <c r="B74" s="14">
        <f t="shared" si="6"/>
        <v>15000</v>
      </c>
      <c r="C74" s="3">
        <v>0.71</v>
      </c>
      <c r="D74" s="3">
        <f t="shared" si="0"/>
        <v>750.69336855971062</v>
      </c>
      <c r="E74" s="3">
        <f t="shared" si="4"/>
        <v>421.42155894297019</v>
      </c>
      <c r="F74" s="2">
        <f t="shared" si="8"/>
        <v>0.13958357887363121</v>
      </c>
      <c r="G74" s="132">
        <f t="shared" si="9"/>
        <v>0.8</v>
      </c>
      <c r="H74" s="2">
        <f t="shared" si="10"/>
        <v>5.7313332016243947</v>
      </c>
      <c r="I74" s="2">
        <f t="shared" si="7"/>
        <v>7.2</v>
      </c>
      <c r="J74" s="2">
        <f t="shared" si="5"/>
        <v>1.4686667983756054</v>
      </c>
    </row>
    <row r="75" spans="2:10">
      <c r="B75" s="14">
        <f t="shared" si="6"/>
        <v>15000</v>
      </c>
      <c r="C75" s="3">
        <v>0.72</v>
      </c>
      <c r="D75" s="3">
        <f t="shared" si="0"/>
        <v>761.26651459576283</v>
      </c>
      <c r="E75" s="3">
        <f t="shared" si="4"/>
        <v>433.37618757396501</v>
      </c>
      <c r="F75" s="2">
        <f t="shared" si="8"/>
        <v>0.13573318308294269</v>
      </c>
      <c r="G75" s="132">
        <f t="shared" si="9"/>
        <v>0.8</v>
      </c>
      <c r="H75" s="2">
        <f t="shared" si="10"/>
        <v>5.893916151005925</v>
      </c>
      <c r="I75" s="2">
        <f t="shared" si="7"/>
        <v>7.2</v>
      </c>
      <c r="J75" s="2">
        <f t="shared" si="5"/>
        <v>1.3060838489940751</v>
      </c>
    </row>
    <row r="76" spans="2:10">
      <c r="B76" s="14">
        <f t="shared" si="6"/>
        <v>15000</v>
      </c>
      <c r="C76" s="3">
        <v>0.73</v>
      </c>
      <c r="D76" s="3">
        <f t="shared" si="0"/>
        <v>771.83966063181515</v>
      </c>
      <c r="E76" s="3">
        <f t="shared" si="4"/>
        <v>445.49801380819048</v>
      </c>
      <c r="F76" s="2">
        <f t="shared" si="8"/>
        <v>0.13203993640494932</v>
      </c>
      <c r="G76" s="132">
        <f t="shared" si="9"/>
        <v>0.8</v>
      </c>
      <c r="H76" s="2">
        <f t="shared" si="10"/>
        <v>6.0587729877913903</v>
      </c>
      <c r="I76" s="2">
        <f t="shared" si="7"/>
        <v>7.2</v>
      </c>
      <c r="J76" s="2">
        <f t="shared" si="5"/>
        <v>1.1412270122086099</v>
      </c>
    </row>
    <row r="77" spans="2:10">
      <c r="B77" s="14">
        <f t="shared" si="6"/>
        <v>15000</v>
      </c>
      <c r="C77" s="3">
        <v>0.74</v>
      </c>
      <c r="D77" s="3">
        <f t="shared" ref="D77:D98" si="11">C77*$G$7</f>
        <v>782.41280666786736</v>
      </c>
      <c r="E77" s="3">
        <f t="shared" si="4"/>
        <v>457.78703764564671</v>
      </c>
      <c r="F77" s="2">
        <f t="shared" ref="F77:F83" si="12">$C$6/(E77*_xlfn.SINGLE(S))</f>
        <v>0.12849540195434164</v>
      </c>
      <c r="G77" s="132">
        <f t="shared" ref="G77:G98" si="13">_xlfn.SINGLE(CLmax)</f>
        <v>0.8</v>
      </c>
      <c r="H77" s="2">
        <f t="shared" ref="H77:H98" si="14">IF(F77&gt;G77,1,G77*E77*_xlfn.SINGLE(S)/$C$6)</f>
        <v>6.2259037119807958</v>
      </c>
      <c r="I77" s="2">
        <f t="shared" si="7"/>
        <v>7.2</v>
      </c>
      <c r="J77" s="2">
        <f t="shared" si="5"/>
        <v>0.97409628801920434</v>
      </c>
    </row>
    <row r="78" spans="2:10">
      <c r="B78" s="14">
        <f t="shared" si="6"/>
        <v>15000</v>
      </c>
      <c r="C78" s="3">
        <v>0.75</v>
      </c>
      <c r="D78" s="3">
        <f t="shared" si="11"/>
        <v>792.98595270391968</v>
      </c>
      <c r="E78" s="3">
        <f t="shared" ref="E78:E98" si="15">$G$6*C78*C78</f>
        <v>470.24325908633352</v>
      </c>
      <c r="F78" s="2">
        <f t="shared" si="12"/>
        <v>0.12509170152923998</v>
      </c>
      <c r="G78" s="132">
        <f t="shared" si="13"/>
        <v>0.8</v>
      </c>
      <c r="H78" s="2">
        <f t="shared" si="14"/>
        <v>6.3953083235741364</v>
      </c>
      <c r="I78" s="2">
        <f t="shared" si="7"/>
        <v>7.2</v>
      </c>
      <c r="J78" s="2">
        <f t="shared" ref="J78:J98" si="16">I78-H78</f>
        <v>0.80469167642586381</v>
      </c>
    </row>
    <row r="79" spans="2:10">
      <c r="B79" s="14">
        <f t="shared" ref="B79:B98" si="17">B78</f>
        <v>15000</v>
      </c>
      <c r="C79" s="3">
        <v>0.76</v>
      </c>
      <c r="D79" s="3">
        <f t="shared" si="11"/>
        <v>803.559098739972</v>
      </c>
      <c r="E79" s="3">
        <f t="shared" si="15"/>
        <v>482.86667813025116</v>
      </c>
      <c r="F79" s="2">
        <f t="shared" si="12"/>
        <v>0.12182147179743333</v>
      </c>
      <c r="G79" s="132">
        <f t="shared" si="13"/>
        <v>0.8</v>
      </c>
      <c r="H79" s="2">
        <f t="shared" si="14"/>
        <v>6.5669868225714163</v>
      </c>
      <c r="I79" s="2">
        <f t="shared" ref="I79:I98" si="18">I78</f>
        <v>7.2</v>
      </c>
      <c r="J79" s="2">
        <f t="shared" si="16"/>
        <v>0.63301317742858387</v>
      </c>
    </row>
    <row r="80" spans="2:10">
      <c r="B80" s="14">
        <f t="shared" si="17"/>
        <v>15000</v>
      </c>
      <c r="C80" s="3">
        <v>0.77</v>
      </c>
      <c r="D80" s="3">
        <f t="shared" si="11"/>
        <v>814.13224477602421</v>
      </c>
      <c r="E80" s="3">
        <f t="shared" si="15"/>
        <v>495.65729477739939</v>
      </c>
      <c r="F80" s="2">
        <f t="shared" si="12"/>
        <v>0.11867782443953026</v>
      </c>
      <c r="G80" s="132">
        <f t="shared" si="13"/>
        <v>0.8</v>
      </c>
      <c r="H80" s="2">
        <f t="shared" si="14"/>
        <v>6.7409392089726312</v>
      </c>
      <c r="I80" s="2">
        <f t="shared" si="18"/>
        <v>7.2</v>
      </c>
      <c r="J80" s="2">
        <f t="shared" si="16"/>
        <v>0.45906079102736896</v>
      </c>
    </row>
    <row r="81" spans="2:10">
      <c r="B81" s="14">
        <f t="shared" si="17"/>
        <v>15000</v>
      </c>
      <c r="C81" s="3">
        <v>0.78</v>
      </c>
      <c r="D81" s="3">
        <f t="shared" si="11"/>
        <v>824.70539081207653</v>
      </c>
      <c r="E81" s="3">
        <f t="shared" si="15"/>
        <v>508.61510902777843</v>
      </c>
      <c r="F81" s="2">
        <f t="shared" si="12"/>
        <v>0.11565430984582098</v>
      </c>
      <c r="G81" s="132">
        <f t="shared" si="13"/>
        <v>0.8</v>
      </c>
      <c r="H81" s="2">
        <f t="shared" si="14"/>
        <v>6.9171654827777864</v>
      </c>
      <c r="I81" s="2">
        <f t="shared" si="18"/>
        <v>7.2</v>
      </c>
      <c r="J81" s="2">
        <f t="shared" si="16"/>
        <v>0.28283451722221375</v>
      </c>
    </row>
    <row r="82" spans="2:10">
      <c r="B82" s="14">
        <f t="shared" si="17"/>
        <v>15000</v>
      </c>
      <c r="C82" s="3">
        <v>0.79</v>
      </c>
      <c r="D82" s="3">
        <f t="shared" si="11"/>
        <v>835.27853684812874</v>
      </c>
      <c r="E82" s="3">
        <f t="shared" si="15"/>
        <v>521.74012088138818</v>
      </c>
      <c r="F82" s="2">
        <f t="shared" si="12"/>
        <v>0.11274488400928934</v>
      </c>
      <c r="G82" s="132">
        <f t="shared" si="13"/>
        <v>0.8</v>
      </c>
      <c r="H82" s="2">
        <f t="shared" si="14"/>
        <v>7.095665643986881</v>
      </c>
      <c r="I82" s="2">
        <f t="shared" si="18"/>
        <v>7.2</v>
      </c>
      <c r="J82" s="2">
        <f t="shared" si="16"/>
        <v>0.10433435601311913</v>
      </c>
    </row>
    <row r="83" spans="2:10">
      <c r="B83" s="14">
        <f t="shared" si="17"/>
        <v>15000</v>
      </c>
      <c r="C83" s="3">
        <v>0.8</v>
      </c>
      <c r="D83" s="3">
        <f t="shared" si="11"/>
        <v>845.85168288418106</v>
      </c>
      <c r="E83" s="3">
        <f t="shared" si="15"/>
        <v>535.03233033822846</v>
      </c>
      <c r="F83" s="2">
        <f t="shared" si="12"/>
        <v>0.10994387829718356</v>
      </c>
      <c r="G83" s="132">
        <f t="shared" si="13"/>
        <v>0.8</v>
      </c>
      <c r="H83" s="2">
        <f t="shared" si="14"/>
        <v>7.2764396925999089</v>
      </c>
      <c r="I83" s="2">
        <f t="shared" si="18"/>
        <v>7.2</v>
      </c>
      <c r="J83" s="2">
        <f t="shared" si="16"/>
        <v>-7.6439692599908682E-2</v>
      </c>
    </row>
    <row r="84" spans="2:10">
      <c r="B84" s="14">
        <f t="shared" si="17"/>
        <v>15000</v>
      </c>
      <c r="C84" s="3">
        <v>0.81</v>
      </c>
      <c r="D84" s="3">
        <f t="shared" si="11"/>
        <v>856.42482892023327</v>
      </c>
      <c r="E84" s="3">
        <f t="shared" si="15"/>
        <v>548.49173739829962</v>
      </c>
      <c r="F84" s="2">
        <f t="shared" ref="F84:F98" si="19">$C$6/(E84*_xlfn.SINGLE(S))</f>
        <v>0.10724597181862136</v>
      </c>
      <c r="G84" s="132">
        <f t="shared" si="13"/>
        <v>0.8</v>
      </c>
      <c r="H84" s="2">
        <f t="shared" si="14"/>
        <v>7.4594876286168761</v>
      </c>
      <c r="I84" s="2">
        <f t="shared" si="18"/>
        <v>7.2</v>
      </c>
      <c r="J84" s="2">
        <f t="shared" si="16"/>
        <v>-0.25948762861687591</v>
      </c>
    </row>
    <row r="85" spans="2:10">
      <c r="B85" s="14">
        <f t="shared" si="17"/>
        <v>15000</v>
      </c>
      <c r="C85" s="3">
        <v>0.82</v>
      </c>
      <c r="D85" s="3">
        <f t="shared" si="11"/>
        <v>866.99797495628547</v>
      </c>
      <c r="E85" s="3">
        <f t="shared" si="15"/>
        <v>562.11834206160108</v>
      </c>
      <c r="F85" s="2">
        <f t="shared" si="19"/>
        <v>0.10464616613652217</v>
      </c>
      <c r="G85" s="132">
        <f t="shared" si="13"/>
        <v>0.8</v>
      </c>
      <c r="H85" s="2">
        <f t="shared" si="14"/>
        <v>7.6448094520377756</v>
      </c>
      <c r="I85" s="2">
        <f t="shared" si="18"/>
        <v>7.2</v>
      </c>
      <c r="J85" s="2">
        <f t="shared" si="16"/>
        <v>-0.44480945203777544</v>
      </c>
    </row>
    <row r="86" spans="2:10">
      <c r="B86" s="14">
        <f t="shared" si="17"/>
        <v>15000</v>
      </c>
      <c r="C86" s="3">
        <v>0.83</v>
      </c>
      <c r="D86" s="3">
        <f t="shared" si="11"/>
        <v>877.57112099233768</v>
      </c>
      <c r="E86" s="3">
        <f t="shared" si="15"/>
        <v>575.91214432813365</v>
      </c>
      <c r="F86" s="2">
        <f t="shared" si="19"/>
        <v>0.10213976209928509</v>
      </c>
      <c r="G86" s="132">
        <f t="shared" si="13"/>
        <v>0.8</v>
      </c>
      <c r="H86" s="2">
        <f t="shared" si="14"/>
        <v>7.8324051628626181</v>
      </c>
      <c r="I86" s="2">
        <f t="shared" si="18"/>
        <v>7.2</v>
      </c>
      <c r="J86" s="2">
        <f t="shared" si="16"/>
        <v>-0.63240516286261794</v>
      </c>
    </row>
    <row r="87" spans="2:10">
      <c r="B87" s="14">
        <f t="shared" si="17"/>
        <v>15000</v>
      </c>
      <c r="C87" s="3">
        <v>0.84</v>
      </c>
      <c r="D87" s="3">
        <f t="shared" si="11"/>
        <v>888.14426702839</v>
      </c>
      <c r="E87" s="3">
        <f t="shared" si="15"/>
        <v>589.87314419789686</v>
      </c>
      <c r="F87" s="2">
        <f t="shared" si="19"/>
        <v>9.972233859154972E-2</v>
      </c>
      <c r="G87" s="132">
        <f t="shared" si="13"/>
        <v>0.8</v>
      </c>
      <c r="H87" s="2">
        <f t="shared" si="14"/>
        <v>8.0222747610913974</v>
      </c>
      <c r="I87" s="2">
        <f t="shared" si="18"/>
        <v>7.2</v>
      </c>
      <c r="J87" s="2">
        <f t="shared" si="16"/>
        <v>-0.82227476109139719</v>
      </c>
    </row>
    <row r="88" spans="2:10">
      <c r="B88" s="14">
        <f t="shared" si="17"/>
        <v>15000</v>
      </c>
      <c r="C88" s="3">
        <v>0.85</v>
      </c>
      <c r="D88" s="3">
        <f t="shared" si="11"/>
        <v>898.71741306444233</v>
      </c>
      <c r="E88" s="3">
        <f t="shared" si="15"/>
        <v>604.00134167089061</v>
      </c>
      <c r="F88" s="2">
        <f t="shared" si="19"/>
        <v>9.7389733024494815E-2</v>
      </c>
      <c r="G88" s="132">
        <f t="shared" si="13"/>
        <v>0.8</v>
      </c>
      <c r="H88" s="2">
        <f t="shared" si="14"/>
        <v>8.2144182467241134</v>
      </c>
      <c r="I88" s="2">
        <f t="shared" si="18"/>
        <v>7.2</v>
      </c>
      <c r="J88" s="2">
        <f t="shared" si="16"/>
        <v>-1.0144182467241132</v>
      </c>
    </row>
    <row r="89" spans="2:10">
      <c r="B89" s="14">
        <f t="shared" si="17"/>
        <v>15000</v>
      </c>
      <c r="C89" s="3">
        <v>0.86</v>
      </c>
      <c r="D89" s="3">
        <f t="shared" si="11"/>
        <v>909.29055910049453</v>
      </c>
      <c r="E89" s="3">
        <f t="shared" si="15"/>
        <v>618.29673674711523</v>
      </c>
      <c r="F89" s="2">
        <f t="shared" si="19"/>
        <v>9.5138023404810021E-2</v>
      </c>
      <c r="G89" s="132">
        <f t="shared" si="13"/>
        <v>0.8</v>
      </c>
      <c r="H89" s="2">
        <f t="shared" si="14"/>
        <v>8.408835619760767</v>
      </c>
      <c r="I89" s="2">
        <f t="shared" si="18"/>
        <v>7.2</v>
      </c>
      <c r="J89" s="2">
        <f t="shared" si="16"/>
        <v>-1.2088356197607668</v>
      </c>
    </row>
    <row r="90" spans="2:10">
      <c r="B90" s="14">
        <f t="shared" si="17"/>
        <v>15000</v>
      </c>
      <c r="C90" s="3">
        <v>0.87</v>
      </c>
      <c r="D90" s="3">
        <f t="shared" si="11"/>
        <v>919.86370513654686</v>
      </c>
      <c r="E90" s="3">
        <f t="shared" si="15"/>
        <v>632.75932942657039</v>
      </c>
      <c r="F90" s="2">
        <f t="shared" si="19"/>
        <v>9.2963511838020207E-2</v>
      </c>
      <c r="G90" s="132">
        <f t="shared" si="13"/>
        <v>0.8</v>
      </c>
      <c r="H90" s="2">
        <f t="shared" si="14"/>
        <v>8.6055268802013583</v>
      </c>
      <c r="I90" s="2">
        <f t="shared" si="18"/>
        <v>7.2</v>
      </c>
      <c r="J90" s="2">
        <f t="shared" si="16"/>
        <v>-1.4055268802013581</v>
      </c>
    </row>
    <row r="91" spans="2:10">
      <c r="B91" s="14">
        <f t="shared" si="17"/>
        <v>15000</v>
      </c>
      <c r="C91" s="3">
        <v>0.88</v>
      </c>
      <c r="D91" s="3">
        <f t="shared" si="11"/>
        <v>930.43685117259906</v>
      </c>
      <c r="E91" s="3">
        <f t="shared" si="15"/>
        <v>647.38911970925642</v>
      </c>
      <c r="F91" s="2">
        <f t="shared" si="19"/>
        <v>9.0862709336515357E-2</v>
      </c>
      <c r="G91" s="132">
        <f t="shared" si="13"/>
        <v>0.8</v>
      </c>
      <c r="H91" s="2">
        <f t="shared" si="14"/>
        <v>8.8044920280458872</v>
      </c>
      <c r="I91" s="2">
        <f t="shared" si="18"/>
        <v>7.2</v>
      </c>
      <c r="J91" s="2">
        <f t="shared" si="16"/>
        <v>-1.604492028045887</v>
      </c>
    </row>
    <row r="92" spans="2:10">
      <c r="B92" s="14">
        <f t="shared" si="17"/>
        <v>15000</v>
      </c>
      <c r="C92" s="3">
        <v>0.89</v>
      </c>
      <c r="D92" s="3">
        <f t="shared" si="11"/>
        <v>941.00999720865138</v>
      </c>
      <c r="E92" s="3">
        <f t="shared" si="15"/>
        <v>662.18610759517298</v>
      </c>
      <c r="F92" s="2">
        <f t="shared" si="19"/>
        <v>8.8832321815676671E-2</v>
      </c>
      <c r="G92" s="132">
        <f t="shared" si="13"/>
        <v>0.8</v>
      </c>
      <c r="H92" s="2">
        <f t="shared" si="14"/>
        <v>9.0057310632943537</v>
      </c>
      <c r="I92" s="2">
        <f t="shared" si="18"/>
        <v>7.2</v>
      </c>
      <c r="J92" s="2">
        <f t="shared" si="16"/>
        <v>-1.8057310632943535</v>
      </c>
    </row>
    <row r="93" spans="2:10">
      <c r="B93" s="14">
        <f t="shared" si="17"/>
        <v>15000</v>
      </c>
      <c r="C93" s="3">
        <v>0.9</v>
      </c>
      <c r="D93" s="3">
        <f t="shared" si="11"/>
        <v>951.58314324470359</v>
      </c>
      <c r="E93" s="3">
        <f t="shared" si="15"/>
        <v>677.15029308432042</v>
      </c>
      <c r="F93" s="2">
        <f t="shared" si="19"/>
        <v>8.68692371730833E-2</v>
      </c>
      <c r="G93" s="132">
        <f t="shared" si="13"/>
        <v>0.8</v>
      </c>
      <c r="H93" s="2">
        <f t="shared" si="14"/>
        <v>9.2092439859467596</v>
      </c>
      <c r="I93" s="2">
        <f t="shared" si="18"/>
        <v>7.2</v>
      </c>
      <c r="J93" s="2">
        <f t="shared" si="16"/>
        <v>-2.0092439859467595</v>
      </c>
    </row>
    <row r="94" spans="2:10">
      <c r="B94" s="14">
        <f t="shared" si="17"/>
        <v>15000</v>
      </c>
      <c r="C94" s="3">
        <v>0.91</v>
      </c>
      <c r="D94" s="3">
        <f t="shared" si="11"/>
        <v>962.15628928075591</v>
      </c>
      <c r="E94" s="3">
        <f t="shared" si="15"/>
        <v>692.2816761766984</v>
      </c>
      <c r="F94" s="2">
        <f t="shared" si="19"/>
        <v>8.4970513356113372E-2</v>
      </c>
      <c r="G94" s="132">
        <f t="shared" si="13"/>
        <v>0.8</v>
      </c>
      <c r="H94" s="2">
        <f t="shared" si="14"/>
        <v>9.4150307960030979</v>
      </c>
      <c r="I94" s="2">
        <f t="shared" si="18"/>
        <v>7.2</v>
      </c>
      <c r="J94" s="2">
        <f t="shared" si="16"/>
        <v>-2.2150307960030977</v>
      </c>
    </row>
    <row r="95" spans="2:10">
      <c r="B95" s="14">
        <f t="shared" si="17"/>
        <v>15000</v>
      </c>
      <c r="C95" s="3">
        <v>0.92</v>
      </c>
      <c r="D95" s="3">
        <f t="shared" si="11"/>
        <v>972.72943531680824</v>
      </c>
      <c r="E95" s="3">
        <f t="shared" si="15"/>
        <v>707.58025687230713</v>
      </c>
      <c r="F95" s="2">
        <f t="shared" si="19"/>
        <v>8.3133367332463945E-2</v>
      </c>
      <c r="G95" s="132">
        <f t="shared" si="13"/>
        <v>0.8</v>
      </c>
      <c r="H95" s="2">
        <f t="shared" si="14"/>
        <v>9.6230914934633773</v>
      </c>
      <c r="I95" s="2">
        <f t="shared" si="18"/>
        <v>7.2</v>
      </c>
      <c r="J95" s="2">
        <f t="shared" si="16"/>
        <v>-2.4230914934633772</v>
      </c>
    </row>
    <row r="96" spans="2:10">
      <c r="B96" s="14">
        <f t="shared" si="17"/>
        <v>15000</v>
      </c>
      <c r="C96" s="3">
        <v>0.93</v>
      </c>
      <c r="D96" s="3">
        <f t="shared" si="11"/>
        <v>983.30258135286044</v>
      </c>
      <c r="E96" s="3">
        <f t="shared" si="15"/>
        <v>723.04603517114663</v>
      </c>
      <c r="F96" s="2">
        <f t="shared" si="19"/>
        <v>8.1355164886342327E-2</v>
      </c>
      <c r="G96" s="132">
        <f t="shared" si="13"/>
        <v>0.8</v>
      </c>
      <c r="H96" s="2">
        <f t="shared" si="14"/>
        <v>9.8334260783275962</v>
      </c>
      <c r="I96" s="2">
        <f t="shared" si="18"/>
        <v>7.2</v>
      </c>
      <c r="J96" s="2">
        <f t="shared" si="16"/>
        <v>-2.633426078327596</v>
      </c>
    </row>
    <row r="97" spans="2:11">
      <c r="B97" s="14">
        <f t="shared" si="17"/>
        <v>15000</v>
      </c>
      <c r="C97" s="3">
        <v>0.94</v>
      </c>
      <c r="D97" s="3">
        <f t="shared" si="11"/>
        <v>993.87572738891265</v>
      </c>
      <c r="E97" s="3">
        <f t="shared" si="15"/>
        <v>738.67901107321654</v>
      </c>
      <c r="F97" s="2">
        <f t="shared" si="19"/>
        <v>7.9633411170436277E-2</v>
      </c>
      <c r="G97" s="132">
        <f t="shared" si="13"/>
        <v>0.8</v>
      </c>
      <c r="H97" s="2">
        <f t="shared" si="14"/>
        <v>10.046034550595746</v>
      </c>
      <c r="I97" s="2">
        <f t="shared" si="18"/>
        <v>7.2</v>
      </c>
      <c r="J97" s="2">
        <f t="shared" si="16"/>
        <v>-2.8460345505957454</v>
      </c>
    </row>
    <row r="98" spans="2:11">
      <c r="B98" s="14">
        <f t="shared" si="17"/>
        <v>15000</v>
      </c>
      <c r="C98" s="3">
        <v>0.95</v>
      </c>
      <c r="D98" s="3">
        <f t="shared" si="11"/>
        <v>1004.4488734249649</v>
      </c>
      <c r="E98" s="3">
        <f t="shared" si="15"/>
        <v>754.47918457851733</v>
      </c>
      <c r="F98" s="2">
        <f t="shared" si="19"/>
        <v>7.796574195035734E-2</v>
      </c>
      <c r="G98" s="132">
        <f t="shared" si="13"/>
        <v>0.8</v>
      </c>
      <c r="H98" s="2">
        <f t="shared" si="14"/>
        <v>10.260916910267836</v>
      </c>
      <c r="I98" s="2">
        <f t="shared" si="18"/>
        <v>7.2</v>
      </c>
      <c r="J98" s="2">
        <f t="shared" si="16"/>
        <v>-3.060916910267836</v>
      </c>
    </row>
    <row r="99" spans="2:11">
      <c r="B99" s="14"/>
      <c r="C99" s="3"/>
      <c r="D99" s="3"/>
      <c r="E99" s="3"/>
      <c r="F99" s="2"/>
      <c r="G99" s="132"/>
      <c r="H99" s="2"/>
      <c r="I99" s="2"/>
      <c r="J99" s="2"/>
      <c r="K99" s="2"/>
    </row>
    <row r="100" spans="2:11">
      <c r="B100" s="14"/>
      <c r="K100" s="2"/>
    </row>
    <row r="101" spans="2:11">
      <c r="B101" s="14"/>
      <c r="K101" s="2"/>
    </row>
    <row r="102" spans="2:11">
      <c r="B102" s="14"/>
      <c r="K102" s="2"/>
    </row>
    <row r="103" spans="2:11">
      <c r="B103" s="14"/>
      <c r="K103" s="2"/>
    </row>
    <row r="104" spans="2:11">
      <c r="B104" s="14"/>
      <c r="I104" s="3"/>
      <c r="J104" s="2"/>
      <c r="K104" s="2"/>
    </row>
    <row r="105" spans="2:11">
      <c r="B105" s="14"/>
      <c r="I105" s="4"/>
      <c r="J105" s="4"/>
      <c r="K105" s="4"/>
    </row>
    <row r="106" spans="2:11">
      <c r="B106" s="14"/>
      <c r="I106" s="2"/>
      <c r="J106" s="2"/>
      <c r="K106" s="2"/>
    </row>
    <row r="107" spans="2:11">
      <c r="B107" s="14"/>
      <c r="I107" s="4"/>
      <c r="J107" s="2"/>
      <c r="K107" s="2"/>
    </row>
    <row r="108" spans="2:11">
      <c r="B108" s="14"/>
      <c r="I108" s="4"/>
      <c r="J108" s="2"/>
      <c r="K108" s="2"/>
    </row>
    <row r="109" spans="2:11">
      <c r="B109" s="14"/>
      <c r="I109" s="4"/>
      <c r="J109" s="2"/>
      <c r="K109" s="148"/>
    </row>
    <row r="110" spans="2:11">
      <c r="B110" s="14"/>
      <c r="I110" s="4"/>
      <c r="J110" s="2"/>
      <c r="K110" s="2"/>
    </row>
    <row r="111" spans="2:11">
      <c r="B111" s="55"/>
    </row>
  </sheetData>
  <mergeCells count="3">
    <mergeCell ref="B2:C2"/>
    <mergeCell ref="B3:C3"/>
    <mergeCell ref="L5:Q5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95040-848F-49B4-A571-1C17F136ECC0}">
  <sheetPr codeName="Sheet19">
    <tabColor rgb="FFCCFFCC"/>
  </sheetPr>
  <dimension ref="B1:P102"/>
  <sheetViews>
    <sheetView topLeftCell="I71" workbookViewId="0">
      <selection activeCell="N106" sqref="N106"/>
    </sheetView>
  </sheetViews>
  <sheetFormatPr defaultRowHeight="14.5"/>
  <cols>
    <col min="1" max="1" width="2.7265625" customWidth="1"/>
    <col min="2" max="9" width="10.7265625" customWidth="1"/>
    <col min="10" max="10" width="16.7265625" customWidth="1"/>
    <col min="11" max="11" width="15.7265625" customWidth="1"/>
    <col min="12" max="15" width="12.7265625" customWidth="1"/>
  </cols>
  <sheetData>
    <row r="1" spans="2:16" ht="15" thickBot="1"/>
    <row r="2" spans="2:16">
      <c r="B2" s="589" t="s">
        <v>334</v>
      </c>
      <c r="C2" s="590"/>
    </row>
    <row r="3" spans="2:16" ht="15" thickBot="1">
      <c r="B3" s="591" t="s">
        <v>264</v>
      </c>
      <c r="C3" s="592"/>
    </row>
    <row r="4" spans="2:16">
      <c r="J4" s="6"/>
      <c r="K4" s="6"/>
    </row>
    <row r="5" spans="2:16" ht="15" thickBot="1"/>
    <row r="6" spans="2:16" ht="16" thickBot="1">
      <c r="B6" t="s">
        <v>6</v>
      </c>
      <c r="C6" s="117">
        <v>10000</v>
      </c>
      <c r="D6" t="s">
        <v>5</v>
      </c>
      <c r="F6" t="s">
        <v>0</v>
      </c>
      <c r="G6" s="1">
        <f>Linterp(C7,atmos_h,atmos_qms)</f>
        <v>835.98801615348191</v>
      </c>
      <c r="H6" t="s">
        <v>19</v>
      </c>
      <c r="J6" s="596" t="s">
        <v>366</v>
      </c>
      <c r="K6" s="597"/>
      <c r="L6" s="597"/>
      <c r="M6" s="597"/>
      <c r="N6" s="597"/>
      <c r="O6" s="598"/>
    </row>
    <row r="7" spans="2:16" ht="16" thickBot="1">
      <c r="B7" t="s">
        <v>1</v>
      </c>
      <c r="C7" s="117">
        <v>15000</v>
      </c>
      <c r="D7" t="s">
        <v>2</v>
      </c>
      <c r="F7" t="s">
        <v>153</v>
      </c>
      <c r="G7" s="3">
        <f>Linterp(C7,atmos_h,atmos_aspeed)</f>
        <v>1057.3146036052262</v>
      </c>
      <c r="H7" t="s">
        <v>20</v>
      </c>
      <c r="J7" s="213" t="s">
        <v>367</v>
      </c>
      <c r="K7" s="238" t="s">
        <v>73</v>
      </c>
      <c r="L7" s="238" t="s">
        <v>267</v>
      </c>
      <c r="M7" s="238" t="s">
        <v>259</v>
      </c>
      <c r="N7" s="238" t="s">
        <v>261</v>
      </c>
      <c r="O7" s="238" t="s">
        <v>262</v>
      </c>
    </row>
    <row r="8" spans="2:16" ht="16" thickBot="1">
      <c r="B8" t="s">
        <v>251</v>
      </c>
      <c r="C8" s="114">
        <v>7.2</v>
      </c>
      <c r="F8" t="s">
        <v>155</v>
      </c>
      <c r="G8">
        <f>Linterp(C7,atmos_h,atmos_rho)</f>
        <v>1.4956106477433447E-3</v>
      </c>
      <c r="H8" t="s">
        <v>156</v>
      </c>
      <c r="J8" s="239" t="s">
        <v>361</v>
      </c>
      <c r="K8" s="203" t="s">
        <v>362</v>
      </c>
      <c r="L8" s="203" t="s">
        <v>69</v>
      </c>
      <c r="M8" s="203" t="s">
        <v>363</v>
      </c>
      <c r="N8" s="203" t="s">
        <v>30</v>
      </c>
      <c r="O8" s="203" t="s">
        <v>199</v>
      </c>
    </row>
    <row r="9" spans="2:16" ht="16" thickBot="1">
      <c r="B9" t="s">
        <v>72</v>
      </c>
      <c r="C9" s="116">
        <v>0.85</v>
      </c>
      <c r="J9" s="239" t="s">
        <v>80</v>
      </c>
      <c r="K9" s="203" t="s">
        <v>81</v>
      </c>
      <c r="L9" s="203" t="s">
        <v>125</v>
      </c>
      <c r="M9" s="203" t="s">
        <v>81</v>
      </c>
      <c r="N9" s="203" t="s">
        <v>93</v>
      </c>
      <c r="O9" s="203" t="s">
        <v>125</v>
      </c>
    </row>
    <row r="10" spans="2:16" ht="16" thickBot="1">
      <c r="I10" s="9"/>
      <c r="J10" s="251">
        <v>0.85</v>
      </c>
      <c r="K10" s="255">
        <f>N12</f>
        <v>5.1420544790794676</v>
      </c>
      <c r="L10" s="256">
        <f>N14</f>
        <v>0.82839892715005103</v>
      </c>
      <c r="M10" s="255">
        <f>N21</f>
        <v>10.345923646096583</v>
      </c>
      <c r="N10" s="257">
        <f>N23</f>
        <v>4977.1017557176465</v>
      </c>
      <c r="O10" s="254">
        <f>N25</f>
        <v>78.78595567610931</v>
      </c>
    </row>
    <row r="11" spans="2:16" ht="15" thickBot="1">
      <c r="B11" s="6" t="s">
        <v>56</v>
      </c>
      <c r="C11" s="6" t="s">
        <v>74</v>
      </c>
      <c r="D11" s="6" t="s">
        <v>75</v>
      </c>
      <c r="E11" s="6" t="s">
        <v>186</v>
      </c>
      <c r="F11" s="6" t="s">
        <v>266</v>
      </c>
      <c r="G11" s="147" t="s">
        <v>265</v>
      </c>
      <c r="H11" s="6" t="s">
        <v>267</v>
      </c>
      <c r="I11" s="6"/>
    </row>
    <row r="12" spans="2:16" ht="15" thickBot="1">
      <c r="B12" s="55" t="s">
        <v>46</v>
      </c>
      <c r="C12" s="55"/>
      <c r="D12" s="55"/>
      <c r="E12" s="55" t="s">
        <v>78</v>
      </c>
      <c r="F12" s="55" t="s">
        <v>78</v>
      </c>
      <c r="G12" s="55" t="s">
        <v>78</v>
      </c>
      <c r="H12" s="55" t="s">
        <v>69</v>
      </c>
      <c r="K12" s="5" t="s">
        <v>264</v>
      </c>
      <c r="M12" s="55" t="s">
        <v>358</v>
      </c>
      <c r="N12" s="262" cm="1">
        <f t="array" ref="N12">x_at_y0(B53:B55,H53:H55)</f>
        <v>5.1420544790794676</v>
      </c>
      <c r="O12" t="s">
        <v>37</v>
      </c>
    </row>
    <row r="13" spans="2:16" ht="15" thickBot="1">
      <c r="B13" s="16">
        <v>1</v>
      </c>
      <c r="C13" s="11">
        <f t="shared" ref="C13:C44" si="0">$C$6*B13/($G$6*$C$9*$C$9*_xlfn.SINGLE(S))</f>
        <v>9.7389733024494815E-2</v>
      </c>
      <c r="D13" s="11">
        <f t="shared" ref="D13:D44" si="1">InterpolateXY(C13,$C$9,CD_CL,CD_M,CD_table)</f>
        <v>1.6217371662806186E-2</v>
      </c>
      <c r="E13" s="16">
        <f t="shared" ref="E13:E44" si="2">D13*$G$6*$C$9*$C$9*_xlfn.SINGLE(S)</f>
        <v>1665.2034212607712</v>
      </c>
      <c r="F13" s="16" cm="1">
        <f t="array" ref="F13">InterpolateXY($C$7,$C$9,Tmax_h,Tmax_M,Tmax_table)*numeng</f>
        <v>5600.1699983195622</v>
      </c>
      <c r="G13" s="16">
        <f>F13-E13</f>
        <v>3934.9665770587908</v>
      </c>
      <c r="H13" s="258">
        <f>G13*$C$9*$G$7/$C$6</f>
        <v>353.64229826293194</v>
      </c>
      <c r="I13" s="11"/>
    </row>
    <row r="14" spans="2:16" ht="15" thickBot="1">
      <c r="B14" s="16">
        <v>1.1000000000000001</v>
      </c>
      <c r="C14" s="11">
        <f t="shared" si="0"/>
        <v>0.1071287063269443</v>
      </c>
      <c r="D14" s="11">
        <f t="shared" si="1"/>
        <v>1.6517326487260411E-2</v>
      </c>
      <c r="E14" s="16">
        <f t="shared" si="2"/>
        <v>1696.0028510506429</v>
      </c>
      <c r="F14" s="16" cm="1">
        <f t="array" ref="F14">InterpolateXY($C$7,$C$9,Tmax_h,Tmax_M,Tmax_table)*numeng</f>
        <v>5600.1699983195622</v>
      </c>
      <c r="G14" s="16">
        <f t="shared" ref="G14:G63" si="3">F14-E14</f>
        <v>3904.1671472689195</v>
      </c>
      <c r="H14" s="16">
        <f t="shared" ref="H14:H75" si="4">G14*$C$9*$G$7/$C$6</f>
        <v>350.87429987647067</v>
      </c>
      <c r="I14" s="11"/>
      <c r="K14" s="5" t="s">
        <v>258</v>
      </c>
      <c r="M14" s="55" t="s">
        <v>188</v>
      </c>
      <c r="N14" s="194">
        <f>(N16-N19)*(C9*G7)/C6</f>
        <v>0.82839892715005103</v>
      </c>
      <c r="O14" t="s">
        <v>20</v>
      </c>
      <c r="P14" t="s">
        <v>365</v>
      </c>
    </row>
    <row r="15" spans="2:16" ht="15" thickBot="1">
      <c r="B15" s="16">
        <v>1.2</v>
      </c>
      <c r="C15" s="11">
        <f t="shared" si="0"/>
        <v>0.11686767962939378</v>
      </c>
      <c r="D15" s="11">
        <f t="shared" si="1"/>
        <v>1.6882537986102265E-2</v>
      </c>
      <c r="E15" s="16">
        <f t="shared" si="2"/>
        <v>1733.5028510506424</v>
      </c>
      <c r="F15" s="16" cm="1">
        <f t="array" ref="F15">InterpolateXY($C$7,$C$9,Tmax_h,Tmax_M,Tmax_table)*numeng</f>
        <v>5600.1699983195622</v>
      </c>
      <c r="G15" s="16">
        <f t="shared" si="3"/>
        <v>3866.6671472689195</v>
      </c>
      <c r="H15" s="16">
        <f t="shared" si="4"/>
        <v>347.50410957747903</v>
      </c>
      <c r="I15" s="11"/>
    </row>
    <row r="16" spans="2:16" ht="15" thickBot="1">
      <c r="B16" s="16">
        <v>1.3</v>
      </c>
      <c r="C16" s="11">
        <f t="shared" si="0"/>
        <v>0.12660665293184326</v>
      </c>
      <c r="D16" s="11">
        <f t="shared" si="1"/>
        <v>1.7247749484944123E-2</v>
      </c>
      <c r="E16" s="16">
        <f t="shared" si="2"/>
        <v>1771.0028510506429</v>
      </c>
      <c r="F16" s="16" cm="1">
        <f t="array" ref="F16">InterpolateXY($C$7,$C$9,Tmax_h,Tmax_M,Tmax_table)*numeng</f>
        <v>5600.1699983195622</v>
      </c>
      <c r="G16" s="16">
        <f t="shared" si="3"/>
        <v>3829.1671472689195</v>
      </c>
      <c r="H16" s="16">
        <f t="shared" si="4"/>
        <v>344.13391927848733</v>
      </c>
      <c r="I16" s="11"/>
      <c r="M16" t="s">
        <v>84</v>
      </c>
      <c r="N16" s="194" cm="1">
        <f t="array" ref="N16">numeng*InterpolateXY(C7,C9,Tmax_h,Tmax_M,Tmax_table)</f>
        <v>5600.1699983195622</v>
      </c>
      <c r="O16" t="s">
        <v>5</v>
      </c>
    </row>
    <row r="17" spans="2:15" ht="15" thickBot="1">
      <c r="B17" s="16">
        <v>1.4</v>
      </c>
      <c r="C17" s="11">
        <f t="shared" si="0"/>
        <v>0.13634562623429272</v>
      </c>
      <c r="D17" s="11">
        <f t="shared" si="1"/>
        <v>1.7612960983785977E-2</v>
      </c>
      <c r="E17" s="16">
        <f t="shared" si="2"/>
        <v>1808.5028510506424</v>
      </c>
      <c r="F17" s="16" cm="1">
        <f t="array" ref="F17">InterpolateXY($C$7,$C$9,Tmax_h,Tmax_M,Tmax_table)*numeng</f>
        <v>5600.1699983195622</v>
      </c>
      <c r="G17" s="16">
        <f t="shared" si="3"/>
        <v>3791.6671472689195</v>
      </c>
      <c r="H17" s="16">
        <f t="shared" si="4"/>
        <v>340.76372897949568</v>
      </c>
      <c r="I17" s="11"/>
      <c r="M17" t="s">
        <v>74</v>
      </c>
      <c r="N17" s="237" cm="1">
        <f t="array" ref="N17">N12*C6/(S*(C9^2)*Linterp(C7,atmos_h,atmos_qms))</f>
        <v>0.50078331291495704</v>
      </c>
    </row>
    <row r="18" spans="2:15" ht="15" thickBot="1">
      <c r="B18" s="16">
        <v>1.5</v>
      </c>
      <c r="C18" s="11">
        <f t="shared" si="0"/>
        <v>0.14608459953674222</v>
      </c>
      <c r="D18" s="11">
        <f t="shared" si="1"/>
        <v>1.7978172482627834E-2</v>
      </c>
      <c r="E18" s="16">
        <f t="shared" si="2"/>
        <v>1846.0028510506429</v>
      </c>
      <c r="F18" s="16" cm="1">
        <f t="array" ref="F18">InterpolateXY($C$7,$C$9,Tmax_h,Tmax_M,Tmax_table)*numeng</f>
        <v>5600.1699983195622</v>
      </c>
      <c r="G18" s="16">
        <f t="shared" si="3"/>
        <v>3754.1671472689195</v>
      </c>
      <c r="H18" s="16">
        <f t="shared" si="4"/>
        <v>337.39353868050404</v>
      </c>
      <c r="I18" s="11"/>
      <c r="M18" t="s">
        <v>75</v>
      </c>
      <c r="N18" s="237" cm="1">
        <f t="array" ref="N18">InterpolateXY(N17,C9,CD_CL,CD_M,CD_table)</f>
        <v>5.4450136449771522E-2</v>
      </c>
    </row>
    <row r="19" spans="2:15" ht="15" thickBot="1">
      <c r="B19" s="16">
        <v>1.6</v>
      </c>
      <c r="C19" s="11">
        <f t="shared" si="0"/>
        <v>0.15582357283919168</v>
      </c>
      <c r="D19" s="11">
        <f t="shared" si="1"/>
        <v>1.8343383981469688E-2</v>
      </c>
      <c r="E19" s="16">
        <f t="shared" si="2"/>
        <v>1883.5028510506427</v>
      </c>
      <c r="F19" s="16" cm="1">
        <f t="array" ref="F19">InterpolateXY($C$7,$C$9,Tmax_h,Tmax_M,Tmax_table)*numeng</f>
        <v>5600.1699983195622</v>
      </c>
      <c r="G19" s="16">
        <f t="shared" si="3"/>
        <v>3716.6671472689195</v>
      </c>
      <c r="H19" s="16">
        <f t="shared" si="4"/>
        <v>334.02334838151239</v>
      </c>
      <c r="I19" s="11"/>
      <c r="M19" t="s">
        <v>186</v>
      </c>
      <c r="N19" s="194" cm="1">
        <f t="array" ref="N19">N18*S*(C9^2)*Linterp(C7,atmos_h,atmos_qms)</f>
        <v>5590.9524298702609</v>
      </c>
    </row>
    <row r="20" spans="2:15" ht="15" thickBot="1">
      <c r="B20" s="16">
        <v>1.7</v>
      </c>
      <c r="C20" s="11">
        <f t="shared" si="0"/>
        <v>0.16556254614164118</v>
      </c>
      <c r="D20" s="11">
        <f t="shared" si="1"/>
        <v>1.8708595480311545E-2</v>
      </c>
      <c r="E20" s="16">
        <f t="shared" si="2"/>
        <v>1921.0028510506429</v>
      </c>
      <c r="F20" s="16" cm="1">
        <f t="array" ref="F20">InterpolateXY($C$7,$C$9,Tmax_h,Tmax_M,Tmax_table)*numeng</f>
        <v>5600.1699983195622</v>
      </c>
      <c r="G20" s="16">
        <f t="shared" si="3"/>
        <v>3679.1671472689195</v>
      </c>
      <c r="H20" s="16">
        <f t="shared" si="4"/>
        <v>330.65315808252075</v>
      </c>
      <c r="I20" s="11"/>
      <c r="K20" s="55"/>
      <c r="L20" s="55"/>
      <c r="M20" s="55"/>
      <c r="N20" s="55"/>
    </row>
    <row r="21" spans="2:15" ht="15" thickBot="1">
      <c r="B21" s="16">
        <v>1.8</v>
      </c>
      <c r="C21" s="11">
        <f t="shared" si="0"/>
        <v>0.17530151944409067</v>
      </c>
      <c r="D21" s="11">
        <f t="shared" si="1"/>
        <v>1.9073806979153399E-2</v>
      </c>
      <c r="E21" s="16">
        <f t="shared" si="2"/>
        <v>1958.5028510506427</v>
      </c>
      <c r="F21" s="16" cm="1">
        <f t="array" ref="F21">InterpolateXY($C$7,$C$9,Tmax_h,Tmax_M,Tmax_table)*numeng</f>
        <v>5600.1699983195622</v>
      </c>
      <c r="G21" s="16">
        <f t="shared" si="3"/>
        <v>3641.6671472689195</v>
      </c>
      <c r="H21" s="16">
        <f t="shared" si="4"/>
        <v>327.2829677835291</v>
      </c>
      <c r="I21" s="11"/>
      <c r="K21" s="5" t="s">
        <v>259</v>
      </c>
      <c r="N21" s="262" cm="1">
        <f t="array" ref="N21">DEGREES(32.174*SQRT(N12^2-1)/(C9*Linterp(C7,atmos_h,atmos_aspeed)))</f>
        <v>10.345923646096583</v>
      </c>
      <c r="O21" t="s">
        <v>260</v>
      </c>
    </row>
    <row r="22" spans="2:15" ht="15" thickBot="1">
      <c r="B22" s="16">
        <v>1.9</v>
      </c>
      <c r="C22" s="11">
        <f t="shared" si="0"/>
        <v>0.18504049274654014</v>
      </c>
      <c r="D22" s="11">
        <f t="shared" si="1"/>
        <v>1.9439018477995257E-2</v>
      </c>
      <c r="E22" s="16">
        <f t="shared" si="2"/>
        <v>1996.0028510506429</v>
      </c>
      <c r="F22" s="16" cm="1">
        <f t="array" ref="F22">InterpolateXY($C$7,$C$9,Tmax_h,Tmax_M,Tmax_table)*numeng</f>
        <v>5600.1699983195622</v>
      </c>
      <c r="G22" s="16">
        <f t="shared" si="3"/>
        <v>3604.1671472689195</v>
      </c>
      <c r="H22" s="16">
        <f t="shared" si="4"/>
        <v>323.9127774845374</v>
      </c>
      <c r="I22" s="11"/>
    </row>
    <row r="23" spans="2:15" ht="15" thickBot="1">
      <c r="B23" s="16">
        <v>2</v>
      </c>
      <c r="C23" s="11">
        <f t="shared" si="0"/>
        <v>0.19477946604898963</v>
      </c>
      <c r="D23" s="11">
        <f t="shared" si="1"/>
        <v>1.9804229976837111E-2</v>
      </c>
      <c r="E23" s="16">
        <f t="shared" si="2"/>
        <v>2033.5028510506427</v>
      </c>
      <c r="F23" s="16" cm="1">
        <f t="array" ref="F23">InterpolateXY($C$7,$C$9,Tmax_h,Tmax_M,Tmax_table)*numeng</f>
        <v>5600.1699983195622</v>
      </c>
      <c r="G23" s="16">
        <f t="shared" si="3"/>
        <v>3566.6671472689195</v>
      </c>
      <c r="H23" s="16">
        <f t="shared" si="4"/>
        <v>320.54258718554576</v>
      </c>
      <c r="I23" s="11"/>
      <c r="K23" s="5" t="s">
        <v>261</v>
      </c>
      <c r="N23" s="182" cm="1">
        <f t="array" ref="N23">C9*Linterp(C7,atmos_h,atmos_aspeed)/RADIANS(N21)</f>
        <v>4977.1017557176465</v>
      </c>
      <c r="O23" t="s">
        <v>2</v>
      </c>
    </row>
    <row r="24" spans="2:15" ht="15" thickBot="1">
      <c r="B24" s="16">
        <v>2.1</v>
      </c>
      <c r="C24" s="11">
        <f t="shared" si="0"/>
        <v>0.2045184393514391</v>
      </c>
      <c r="D24" s="11">
        <f t="shared" si="1"/>
        <v>2.0282402459464943E-2</v>
      </c>
      <c r="E24" s="16">
        <f t="shared" si="2"/>
        <v>2082.6017106303857</v>
      </c>
      <c r="F24" s="16" cm="1">
        <f t="array" ref="F24">InterpolateXY($C$7,$C$9,Tmax_h,Tmax_M,Tmax_table)*numeng</f>
        <v>5600.1699983195622</v>
      </c>
      <c r="G24" s="16">
        <f t="shared" si="3"/>
        <v>3517.5682876891765</v>
      </c>
      <c r="H24" s="16">
        <f t="shared" si="4"/>
        <v>316.12998717895363</v>
      </c>
      <c r="I24" s="11"/>
    </row>
    <row r="25" spans="2:15" ht="15" thickBot="1">
      <c r="B25" s="16">
        <v>2.2000000000000002</v>
      </c>
      <c r="C25" s="11">
        <f t="shared" si="0"/>
        <v>0.21425741265388859</v>
      </c>
      <c r="D25" s="11">
        <f t="shared" si="1"/>
        <v>2.0891088290868037E-2</v>
      </c>
      <c r="E25" s="16">
        <f t="shared" si="2"/>
        <v>2145.1017106303857</v>
      </c>
      <c r="F25" s="16" cm="1">
        <f t="array" ref="F25">InterpolateXY($C$7,$C$9,Tmax_h,Tmax_M,Tmax_table)*numeng</f>
        <v>5600.1699983195622</v>
      </c>
      <c r="G25" s="16">
        <f t="shared" si="3"/>
        <v>3455.0682876891765</v>
      </c>
      <c r="H25" s="16">
        <f t="shared" si="4"/>
        <v>310.51300334730092</v>
      </c>
      <c r="I25" s="11"/>
      <c r="K25" s="5" t="s">
        <v>262</v>
      </c>
      <c r="N25" s="169">
        <f>DEGREES(ACOS(1/N12))</f>
        <v>78.78595567610931</v>
      </c>
      <c r="O25" t="s">
        <v>263</v>
      </c>
    </row>
    <row r="26" spans="2:15">
      <c r="B26" s="16">
        <v>2.2999999999999998</v>
      </c>
      <c r="C26" s="11">
        <f t="shared" si="0"/>
        <v>0.22399638595633806</v>
      </c>
      <c r="D26" s="11">
        <f t="shared" si="1"/>
        <v>2.149977412227113E-2</v>
      </c>
      <c r="E26" s="16">
        <f t="shared" si="2"/>
        <v>2207.6017106303857</v>
      </c>
      <c r="F26" s="16" cm="1">
        <f t="array" ref="F26">InterpolateXY($C$7,$C$9,Tmax_h,Tmax_M,Tmax_table)*numeng</f>
        <v>5600.1699983195622</v>
      </c>
      <c r="G26" s="16">
        <f t="shared" si="3"/>
        <v>3392.5682876891765</v>
      </c>
      <c r="H26" s="16">
        <f t="shared" si="4"/>
        <v>304.89601951564816</v>
      </c>
      <c r="I26" s="11"/>
    </row>
    <row r="27" spans="2:15" ht="15" thickBot="1">
      <c r="B27" s="16">
        <v>2.4</v>
      </c>
      <c r="C27" s="11">
        <f t="shared" si="0"/>
        <v>0.23373535925878755</v>
      </c>
      <c r="D27" s="11">
        <f t="shared" si="1"/>
        <v>2.210845995367422E-2</v>
      </c>
      <c r="E27" s="16">
        <f t="shared" si="2"/>
        <v>2270.1017106303852</v>
      </c>
      <c r="F27" s="16" cm="1">
        <f t="array" ref="F27">InterpolateXY($C$7,$C$9,Tmax_h,Tmax_M,Tmax_table)*numeng</f>
        <v>5600.1699983195622</v>
      </c>
      <c r="G27" s="16">
        <f t="shared" si="3"/>
        <v>3330.0682876891769</v>
      </c>
      <c r="H27" s="16">
        <f t="shared" si="4"/>
        <v>299.27903568399546</v>
      </c>
      <c r="I27" s="11"/>
    </row>
    <row r="28" spans="2:15" ht="16" thickBot="1">
      <c r="B28" s="16">
        <v>2.5</v>
      </c>
      <c r="C28" s="11">
        <f t="shared" si="0"/>
        <v>0.24347433256123702</v>
      </c>
      <c r="D28" s="11">
        <f t="shared" si="1"/>
        <v>2.2717145785077313E-2</v>
      </c>
      <c r="E28" s="16">
        <f t="shared" si="2"/>
        <v>2332.6017106303857</v>
      </c>
      <c r="F28" s="16" cm="1">
        <f t="array" ref="F28">InterpolateXY($C$7,$C$9,Tmax_h,Tmax_M,Tmax_table)*numeng</f>
        <v>5600.1699983195622</v>
      </c>
      <c r="G28" s="16">
        <f t="shared" si="3"/>
        <v>3267.5682876891765</v>
      </c>
      <c r="H28" s="16">
        <f t="shared" si="4"/>
        <v>293.66205185234264</v>
      </c>
      <c r="I28" s="11"/>
      <c r="J28" s="596" t="s">
        <v>373</v>
      </c>
      <c r="K28" s="597"/>
      <c r="L28" s="597"/>
      <c r="M28" s="597"/>
      <c r="N28" s="597"/>
      <c r="O28" s="598"/>
    </row>
    <row r="29" spans="2:15" ht="18" thickBot="1">
      <c r="B29" s="16">
        <v>2.6</v>
      </c>
      <c r="C29" s="11">
        <f t="shared" si="0"/>
        <v>0.25321330586368651</v>
      </c>
      <c r="D29" s="11">
        <f t="shared" si="1"/>
        <v>2.3325831616480407E-2</v>
      </c>
      <c r="E29" s="16">
        <f t="shared" si="2"/>
        <v>2395.1017106303857</v>
      </c>
      <c r="F29" s="16" cm="1">
        <f t="array" ref="F29">InterpolateXY($C$7,$C$9,Tmax_h,Tmax_M,Tmax_table)*numeng</f>
        <v>5600.1699983195622</v>
      </c>
      <c r="G29" s="16">
        <f t="shared" si="3"/>
        <v>3205.0682876891765</v>
      </c>
      <c r="H29" s="16">
        <f t="shared" si="4"/>
        <v>288.04506802068988</v>
      </c>
      <c r="I29" s="11"/>
      <c r="J29" s="213" t="s">
        <v>367</v>
      </c>
      <c r="K29" s="238" t="s">
        <v>73</v>
      </c>
      <c r="L29" s="238" t="s">
        <v>360</v>
      </c>
      <c r="M29" s="238" t="s">
        <v>259</v>
      </c>
      <c r="N29" s="238" t="s">
        <v>261</v>
      </c>
      <c r="O29" s="238" t="s">
        <v>262</v>
      </c>
    </row>
    <row r="30" spans="2:15" ht="16" thickBot="1">
      <c r="B30" s="16">
        <v>2.7</v>
      </c>
      <c r="C30" s="11">
        <f t="shared" si="0"/>
        <v>0.262952279166136</v>
      </c>
      <c r="D30" s="11">
        <f t="shared" si="1"/>
        <v>2.39345174478835E-2</v>
      </c>
      <c r="E30" s="16">
        <f t="shared" si="2"/>
        <v>2457.6017106303862</v>
      </c>
      <c r="F30" s="16" cm="1">
        <f t="array" ref="F30">InterpolateXY($C$7,$C$9,Tmax_h,Tmax_M,Tmax_table)*numeng</f>
        <v>5600.1699983195622</v>
      </c>
      <c r="G30" s="16">
        <f t="shared" si="3"/>
        <v>3142.568287689176</v>
      </c>
      <c r="H30" s="16">
        <f t="shared" si="4"/>
        <v>282.42808418903707</v>
      </c>
      <c r="I30" s="11"/>
      <c r="J30" s="239" t="s">
        <v>361</v>
      </c>
      <c r="K30" s="203" t="s">
        <v>362</v>
      </c>
      <c r="L30" s="203" t="s">
        <v>69</v>
      </c>
      <c r="M30" s="203" t="s">
        <v>363</v>
      </c>
      <c r="N30" s="203" t="s">
        <v>30</v>
      </c>
      <c r="O30" s="203" t="s">
        <v>199</v>
      </c>
    </row>
    <row r="31" spans="2:15" ht="16" thickBot="1">
      <c r="B31" s="16">
        <v>2.8</v>
      </c>
      <c r="C31" s="11">
        <f t="shared" si="0"/>
        <v>0.27269125246858544</v>
      </c>
      <c r="D31" s="11">
        <f t="shared" si="1"/>
        <v>2.454320327928659E-2</v>
      </c>
      <c r="E31" s="16">
        <f t="shared" si="2"/>
        <v>2520.1017106303857</v>
      </c>
      <c r="F31" s="16" cm="1">
        <f t="array" ref="F31">InterpolateXY($C$7,$C$9,Tmax_h,Tmax_M,Tmax_table)*numeng</f>
        <v>5600.1699983195622</v>
      </c>
      <c r="G31" s="16">
        <f t="shared" si="3"/>
        <v>3080.0682876891765</v>
      </c>
      <c r="H31" s="16">
        <f t="shared" si="4"/>
        <v>276.8111003573843</v>
      </c>
      <c r="I31" s="11"/>
      <c r="J31" s="239" t="s">
        <v>81</v>
      </c>
      <c r="K31" s="203" t="s">
        <v>81</v>
      </c>
      <c r="L31" s="203" t="s">
        <v>125</v>
      </c>
      <c r="M31" s="203" t="s">
        <v>81</v>
      </c>
      <c r="N31" s="203" t="s">
        <v>93</v>
      </c>
      <c r="O31" s="203" t="s">
        <v>125</v>
      </c>
    </row>
    <row r="32" spans="2:15" ht="16" thickBot="1">
      <c r="B32" s="16">
        <v>2.9</v>
      </c>
      <c r="C32" s="11">
        <f t="shared" si="0"/>
        <v>0.28243022577103494</v>
      </c>
      <c r="D32" s="11">
        <f t="shared" si="1"/>
        <v>2.5151889110689683E-2</v>
      </c>
      <c r="E32" s="16">
        <f t="shared" si="2"/>
        <v>2582.6017106303857</v>
      </c>
      <c r="F32" s="16" cm="1">
        <f t="array" ref="F32">InterpolateXY($C$7,$C$9,Tmax_h,Tmax_M,Tmax_table)*numeng</f>
        <v>5600.1699983195622</v>
      </c>
      <c r="G32" s="16">
        <f t="shared" si="3"/>
        <v>3017.5682876891765</v>
      </c>
      <c r="H32" s="16">
        <f t="shared" si="4"/>
        <v>271.19411652573154</v>
      </c>
      <c r="I32" s="11"/>
      <c r="J32" s="252">
        <v>0.6</v>
      </c>
      <c r="K32" s="208">
        <v>2</v>
      </c>
      <c r="L32" s="256">
        <f>N35</f>
        <v>198.14327435499871</v>
      </c>
      <c r="M32" s="255">
        <f>N42</f>
        <v>5.0330684417342484</v>
      </c>
      <c r="N32" s="257">
        <f>N44</f>
        <v>7221.7970137421489</v>
      </c>
      <c r="O32" s="254">
        <f>N46</f>
        <v>59.999999999999993</v>
      </c>
    </row>
    <row r="33" spans="2:15" ht="16" thickBot="1">
      <c r="B33" s="16">
        <v>3</v>
      </c>
      <c r="C33" s="11">
        <f t="shared" si="0"/>
        <v>0.29216919907348443</v>
      </c>
      <c r="D33" s="11">
        <f t="shared" si="1"/>
        <v>2.5760574942092777E-2</v>
      </c>
      <c r="E33" s="16">
        <f t="shared" si="2"/>
        <v>2645.1017106303857</v>
      </c>
      <c r="F33" s="16" cm="1">
        <f t="array" ref="F33">InterpolateXY($C$7,$C$9,Tmax_h,Tmax_M,Tmax_table)*numeng</f>
        <v>5600.1699983195622</v>
      </c>
      <c r="G33" s="16">
        <f t="shared" si="3"/>
        <v>2955.0682876891765</v>
      </c>
      <c r="H33" s="16">
        <f t="shared" si="4"/>
        <v>265.57713269407878</v>
      </c>
      <c r="I33" s="11"/>
      <c r="J33" s="252">
        <v>0.8</v>
      </c>
      <c r="K33" s="208">
        <v>5</v>
      </c>
      <c r="L33" s="256">
        <f>N49</f>
        <v>-70.487559222907905</v>
      </c>
      <c r="M33" s="255">
        <f>N56</f>
        <v>10.676750475978888</v>
      </c>
      <c r="N33" s="257">
        <f>N58</f>
        <v>4539.1836806842966</v>
      </c>
      <c r="O33" s="254">
        <f>N60</f>
        <v>78.463040967184511</v>
      </c>
    </row>
    <row r="34" spans="2:15" ht="15" thickBot="1">
      <c r="B34" s="16">
        <v>3.1</v>
      </c>
      <c r="C34" s="11">
        <f t="shared" si="0"/>
        <v>0.30190817237593393</v>
      </c>
      <c r="D34" s="11">
        <f t="shared" si="1"/>
        <v>2.6405039005544632E-2</v>
      </c>
      <c r="E34" s="16">
        <f t="shared" si="2"/>
        <v>2711.275427657597</v>
      </c>
      <c r="F34" s="16" cm="1">
        <f t="array" ref="F34">InterpolateXY($C$7,$C$9,Tmax_h,Tmax_M,Tmax_table)*numeng</f>
        <v>5600.1699983195622</v>
      </c>
      <c r="G34" s="16">
        <f t="shared" si="3"/>
        <v>2888.8945706619652</v>
      </c>
      <c r="H34" s="16">
        <f t="shared" si="4"/>
        <v>259.62998551612338</v>
      </c>
      <c r="I34" s="11"/>
    </row>
    <row r="35" spans="2:15" ht="15" thickBot="1">
      <c r="B35" s="16">
        <v>3.2</v>
      </c>
      <c r="C35" s="11">
        <f t="shared" si="0"/>
        <v>0.31164714567838336</v>
      </c>
      <c r="D35" s="11">
        <f t="shared" si="1"/>
        <v>2.7196330586368649E-2</v>
      </c>
      <c r="E35" s="16">
        <f t="shared" si="2"/>
        <v>2792.5254276575965</v>
      </c>
      <c r="F35" s="16" cm="1">
        <f t="array" ref="F35">InterpolateXY($C$7,$C$9,Tmax_h,Tmax_M,Tmax_table)*numeng</f>
        <v>5600.1699983195622</v>
      </c>
      <c r="G35" s="16">
        <f t="shared" si="3"/>
        <v>2807.6445706619656</v>
      </c>
      <c r="H35" s="16">
        <f t="shared" si="4"/>
        <v>252.32790653497483</v>
      </c>
      <c r="I35" s="11"/>
      <c r="J35" s="151" t="s">
        <v>368</v>
      </c>
      <c r="K35" s="5" t="s">
        <v>258</v>
      </c>
      <c r="M35" s="55" t="s">
        <v>188</v>
      </c>
      <c r="N35" s="194">
        <f>(N37-N40)*(J32*G7)/C6</f>
        <v>198.14327435499871</v>
      </c>
      <c r="O35" t="s">
        <v>20</v>
      </c>
    </row>
    <row r="36" spans="2:15" ht="15" thickBot="1">
      <c r="B36" s="16">
        <v>3.3</v>
      </c>
      <c r="C36" s="11">
        <f t="shared" si="0"/>
        <v>0.32138611898083286</v>
      </c>
      <c r="D36" s="11">
        <f t="shared" si="1"/>
        <v>2.798762216719267E-2</v>
      </c>
      <c r="E36" s="16">
        <f t="shared" si="2"/>
        <v>2873.7754276575965</v>
      </c>
      <c r="F36" s="16" cm="1">
        <f t="array" ref="F36">InterpolateXY($C$7,$C$9,Tmax_h,Tmax_M,Tmax_table)*numeng</f>
        <v>5600.1699983195622</v>
      </c>
      <c r="G36" s="16">
        <f t="shared" si="3"/>
        <v>2726.3945706619656</v>
      </c>
      <c r="H36" s="16">
        <f t="shared" si="4"/>
        <v>245.02582755382625</v>
      </c>
      <c r="I36" s="11"/>
    </row>
    <row r="37" spans="2:15" ht="15" thickBot="1">
      <c r="B37" s="16">
        <v>3.4</v>
      </c>
      <c r="C37" s="11">
        <f t="shared" si="0"/>
        <v>0.33112509228328235</v>
      </c>
      <c r="D37" s="11">
        <f t="shared" si="1"/>
        <v>2.877891374801669E-2</v>
      </c>
      <c r="E37" s="16">
        <f t="shared" si="2"/>
        <v>2955.0254276575965</v>
      </c>
      <c r="F37" s="16" cm="1">
        <f t="array" ref="F37">InterpolateXY($C$7,$C$9,Tmax_h,Tmax_M,Tmax_table)*numeng</f>
        <v>5600.1699983195622</v>
      </c>
      <c r="G37" s="16">
        <f t="shared" si="3"/>
        <v>2645.1445706619656</v>
      </c>
      <c r="H37" s="16">
        <f t="shared" si="4"/>
        <v>237.72374857267766</v>
      </c>
      <c r="I37" s="11"/>
      <c r="M37" t="s">
        <v>84</v>
      </c>
      <c r="N37" s="194" cm="1">
        <f t="array" ref="N37">numeng*InterpolateXY(C7,J32,Tmax_h,Tmax_M,Tmax_table)</f>
        <v>4970.9374142387123</v>
      </c>
      <c r="O37" t="s">
        <v>5</v>
      </c>
    </row>
    <row r="38" spans="2:15" ht="15" thickBot="1">
      <c r="B38" s="16">
        <v>3.5</v>
      </c>
      <c r="C38" s="11">
        <f t="shared" si="0"/>
        <v>0.34086406558573185</v>
      </c>
      <c r="D38" s="11">
        <f t="shared" si="1"/>
        <v>2.9570205328840714E-2</v>
      </c>
      <c r="E38" s="16">
        <f t="shared" si="2"/>
        <v>3036.2754276575965</v>
      </c>
      <c r="F38" s="16" cm="1">
        <f t="array" ref="F38">InterpolateXY($C$7,$C$9,Tmax_h,Tmax_M,Tmax_table)*numeng</f>
        <v>5600.1699983195622</v>
      </c>
      <c r="G38" s="16">
        <f t="shared" si="3"/>
        <v>2563.8945706619656</v>
      </c>
      <c r="H38" s="16">
        <f t="shared" si="4"/>
        <v>230.42166959152905</v>
      </c>
      <c r="I38" s="11"/>
      <c r="M38" t="s">
        <v>74</v>
      </c>
      <c r="N38" s="237">
        <f>K32*C6/(S*G6*J32^2)</f>
        <v>0.39091156727887499</v>
      </c>
    </row>
    <row r="39" spans="2:15" ht="15" thickBot="1">
      <c r="B39" s="16">
        <v>3.6</v>
      </c>
      <c r="C39" s="11">
        <f t="shared" si="0"/>
        <v>0.35060303888818134</v>
      </c>
      <c r="D39" s="11">
        <f t="shared" si="1"/>
        <v>3.0388332140188806E-2</v>
      </c>
      <c r="E39" s="16">
        <f t="shared" si="2"/>
        <v>3120.2808752484962</v>
      </c>
      <c r="F39" s="16" cm="1">
        <f t="array" ref="F39">InterpolateXY($C$7,$C$9,Tmax_h,Tmax_M,Tmax_table)*numeng</f>
        <v>5600.1699983195622</v>
      </c>
      <c r="G39" s="16">
        <f t="shared" si="3"/>
        <v>2479.889123071066</v>
      </c>
      <c r="H39" s="16">
        <f t="shared" si="4"/>
        <v>222.87195373730768</v>
      </c>
      <c r="I39" s="11"/>
      <c r="M39" t="s">
        <v>75</v>
      </c>
      <c r="N39" s="237" cm="1">
        <f t="array" ref="N39">InterpolateXY(N38,J32,CD_CL,CD_M,CD_table)</f>
        <v>3.6111714661780529E-2</v>
      </c>
    </row>
    <row r="40" spans="2:15" ht="15" thickBot="1">
      <c r="B40" s="16">
        <v>3.7</v>
      </c>
      <c r="C40" s="11">
        <f t="shared" si="0"/>
        <v>0.36034201219063078</v>
      </c>
      <c r="D40" s="11">
        <f t="shared" si="1"/>
        <v>3.1613008032971825E-2</v>
      </c>
      <c r="E40" s="16">
        <f t="shared" si="2"/>
        <v>3246.0308752484966</v>
      </c>
      <c r="F40" s="16" cm="1">
        <f t="array" ref="F40">InterpolateXY($C$7,$C$9,Tmax_h,Tmax_M,Tmax_table)*numeng</f>
        <v>5600.1699983195622</v>
      </c>
      <c r="G40" s="16">
        <f t="shared" si="3"/>
        <v>2354.1391230710656</v>
      </c>
      <c r="H40" s="16">
        <f t="shared" si="4"/>
        <v>211.57058226802229</v>
      </c>
      <c r="I40" s="11"/>
      <c r="M40" t="s">
        <v>186</v>
      </c>
      <c r="N40" s="194">
        <f>N39*S*(J32^2)*G6</f>
        <v>1847.5643948401537</v>
      </c>
    </row>
    <row r="41" spans="2:15" ht="15" thickBot="1">
      <c r="B41" s="16">
        <v>3.8</v>
      </c>
      <c r="C41" s="11">
        <f t="shared" si="0"/>
        <v>0.37008098549308027</v>
      </c>
      <c r="D41" s="11">
        <f t="shared" si="1"/>
        <v>3.2837683925754847E-2</v>
      </c>
      <c r="E41" s="16">
        <f t="shared" si="2"/>
        <v>3371.7808752484966</v>
      </c>
      <c r="F41" s="16" cm="1">
        <f t="array" ref="F41">InterpolateXY($C$7,$C$9,Tmax_h,Tmax_M,Tmax_table)*numeng</f>
        <v>5600.1699983195622</v>
      </c>
      <c r="G41" s="16">
        <f t="shared" si="3"/>
        <v>2228.3891230710656</v>
      </c>
      <c r="H41" s="16">
        <f t="shared" si="4"/>
        <v>200.26921079873691</v>
      </c>
      <c r="I41" s="11"/>
      <c r="K41" s="55"/>
      <c r="L41" s="55"/>
      <c r="M41" s="55"/>
      <c r="N41" s="55"/>
    </row>
    <row r="42" spans="2:15" ht="15" thickBot="1">
      <c r="B42" s="16">
        <v>3.9</v>
      </c>
      <c r="C42" s="11">
        <f t="shared" si="0"/>
        <v>0.37981995879552977</v>
      </c>
      <c r="D42" s="11">
        <f t="shared" si="1"/>
        <v>3.406235981853787E-2</v>
      </c>
      <c r="E42" s="16">
        <f t="shared" si="2"/>
        <v>3497.5308752484971</v>
      </c>
      <c r="F42" s="16" cm="1">
        <f t="array" ref="F42">InterpolateXY($C$7,$C$9,Tmax_h,Tmax_M,Tmax_table)*numeng</f>
        <v>5600.1699983195622</v>
      </c>
      <c r="G42" s="16">
        <f t="shared" si="3"/>
        <v>2102.6391230710651</v>
      </c>
      <c r="H42" s="16">
        <f t="shared" si="4"/>
        <v>188.96783932945152</v>
      </c>
      <c r="I42" s="11"/>
      <c r="K42" s="5" t="s">
        <v>259</v>
      </c>
      <c r="N42" s="262">
        <f>DEGREES(32.174*SQRT(K32^2-1)/(J32*G7))</f>
        <v>5.0330684417342484</v>
      </c>
      <c r="O42" t="s">
        <v>260</v>
      </c>
    </row>
    <row r="43" spans="2:15" ht="15" thickBot="1">
      <c r="B43" s="16">
        <v>4</v>
      </c>
      <c r="C43" s="11">
        <f t="shared" si="0"/>
        <v>0.38955893209797926</v>
      </c>
      <c r="D43" s="11">
        <f t="shared" si="1"/>
        <v>3.5287035711320899E-2</v>
      </c>
      <c r="E43" s="16">
        <f t="shared" si="2"/>
        <v>3623.2808752484971</v>
      </c>
      <c r="F43" s="16" cm="1">
        <f t="array" ref="F43">InterpolateXY($C$7,$C$9,Tmax_h,Tmax_M,Tmax_table)*numeng</f>
        <v>5600.1699983195622</v>
      </c>
      <c r="G43" s="16">
        <f t="shared" si="3"/>
        <v>1976.8891230710651</v>
      </c>
      <c r="H43" s="16">
        <f t="shared" si="4"/>
        <v>177.66646786016614</v>
      </c>
      <c r="I43" s="11"/>
    </row>
    <row r="44" spans="2:15" ht="15" thickBot="1">
      <c r="B44" s="16">
        <v>4.0999999999999996</v>
      </c>
      <c r="C44" s="11">
        <f t="shared" si="0"/>
        <v>0.3992979054004287</v>
      </c>
      <c r="D44" s="11">
        <f t="shared" si="1"/>
        <v>3.6511711604103915E-2</v>
      </c>
      <c r="E44" s="16">
        <f t="shared" si="2"/>
        <v>3749.0308752484971</v>
      </c>
      <c r="F44" s="16" cm="1">
        <f t="array" ref="F44">InterpolateXY($C$7,$C$9,Tmax_h,Tmax_M,Tmax_table)*numeng</f>
        <v>5600.1699983195622</v>
      </c>
      <c r="G44" s="16">
        <f t="shared" si="3"/>
        <v>1851.1391230710651</v>
      </c>
      <c r="H44" s="16">
        <f t="shared" si="4"/>
        <v>166.36509639088078</v>
      </c>
      <c r="I44" s="11"/>
      <c r="K44" s="5" t="s">
        <v>261</v>
      </c>
      <c r="N44" s="182">
        <f>J32*G7/RADIANS(N42)</f>
        <v>7221.7970137421489</v>
      </c>
      <c r="O44" t="s">
        <v>2</v>
      </c>
    </row>
    <row r="45" spans="2:15" ht="15" thickBot="1">
      <c r="B45" s="16">
        <v>4.2</v>
      </c>
      <c r="C45" s="11">
        <f t="shared" ref="C45:C75" si="5">$C$6*B45/($G$6*$C$9*$C$9*_xlfn.SINGLE(S))</f>
        <v>0.40903687870287819</v>
      </c>
      <c r="D45" s="11">
        <f t="shared" ref="D45:D75" si="6">InterpolateXY(C45,$C$9,CD_CL,CD_M,CD_table)</f>
        <v>3.8195009091058003E-2</v>
      </c>
      <c r="E45" s="16">
        <f t="shared" ref="E45:E75" si="7">D45*$G$6*$C$9*$C$9*_xlfn.SINGLE(S)</f>
        <v>3921.8722451422527</v>
      </c>
      <c r="F45" s="16" cm="1">
        <f t="array" ref="F45">InterpolateXY($C$7,$C$9,Tmax_h,Tmax_M,Tmax_table)*numeng</f>
        <v>5600.1699983195622</v>
      </c>
      <c r="G45" s="16">
        <f t="shared" si="3"/>
        <v>1678.2977531773095</v>
      </c>
      <c r="H45" s="16">
        <f t="shared" si="4"/>
        <v>150.83154150873773</v>
      </c>
      <c r="I45" s="11"/>
    </row>
    <row r="46" spans="2:15" ht="15" thickBot="1">
      <c r="B46" s="16">
        <v>4.3</v>
      </c>
      <c r="C46" s="11">
        <f t="shared" si="5"/>
        <v>0.41877585200532769</v>
      </c>
      <c r="D46" s="11">
        <f t="shared" si="6"/>
        <v>3.9913937878940341E-2</v>
      </c>
      <c r="E46" s="16">
        <f t="shared" si="7"/>
        <v>4098.3722451422527</v>
      </c>
      <c r="F46" s="16" cm="1">
        <f t="array" ref="F46">InterpolateXY($C$7,$C$9,Tmax_h,Tmax_M,Tmax_table)*numeng</f>
        <v>5600.1699983195622</v>
      </c>
      <c r="G46" s="16">
        <f t="shared" si="3"/>
        <v>1501.7977531773095</v>
      </c>
      <c r="H46" s="16">
        <f t="shared" si="4"/>
        <v>134.96917916815033</v>
      </c>
      <c r="I46" s="11"/>
      <c r="K46" s="5" t="s">
        <v>262</v>
      </c>
      <c r="N46" s="169">
        <f>DEGREES(ACOS(1/K32))</f>
        <v>59.999999999999993</v>
      </c>
      <c r="O46" t="s">
        <v>263</v>
      </c>
    </row>
    <row r="47" spans="2:15">
      <c r="B47" s="16">
        <v>4.4000000000000004</v>
      </c>
      <c r="C47" s="11">
        <f t="shared" si="5"/>
        <v>0.42851482530777718</v>
      </c>
      <c r="D47" s="11">
        <f t="shared" si="6"/>
        <v>4.1632866666822678E-2</v>
      </c>
      <c r="E47" s="16">
        <f t="shared" si="7"/>
        <v>4274.8722451422536</v>
      </c>
      <c r="F47" s="16" cm="1">
        <f t="array" ref="F47">InterpolateXY($C$7,$C$9,Tmax_h,Tmax_M,Tmax_table)*numeng</f>
        <v>5600.1699983195622</v>
      </c>
      <c r="G47" s="16">
        <f t="shared" si="3"/>
        <v>1325.2977531773086</v>
      </c>
      <c r="H47" s="16">
        <f t="shared" si="4"/>
        <v>119.10681682756285</v>
      </c>
      <c r="I47" s="11"/>
    </row>
    <row r="48" spans="2:15" ht="15" thickBot="1">
      <c r="B48" s="16">
        <v>4.5</v>
      </c>
      <c r="C48" s="11">
        <f t="shared" si="5"/>
        <v>0.43825379861022662</v>
      </c>
      <c r="D48" s="11">
        <f t="shared" si="6"/>
        <v>4.3351795454705001E-2</v>
      </c>
      <c r="E48" s="16">
        <f t="shared" si="7"/>
        <v>4451.3722451422527</v>
      </c>
      <c r="F48" s="16" cm="1">
        <f t="array" ref="F48">InterpolateXY($C$7,$C$9,Tmax_h,Tmax_M,Tmax_table)*numeng</f>
        <v>5600.1699983195622</v>
      </c>
      <c r="G48" s="16">
        <f t="shared" si="3"/>
        <v>1148.7977531773095</v>
      </c>
      <c r="H48" s="16">
        <f t="shared" si="4"/>
        <v>103.24445448697553</v>
      </c>
      <c r="I48" s="11"/>
    </row>
    <row r="49" spans="2:15" ht="15" thickBot="1">
      <c r="B49" s="16">
        <v>4.5999999999999996</v>
      </c>
      <c r="C49" s="11">
        <f t="shared" si="5"/>
        <v>0.44799277191267611</v>
      </c>
      <c r="D49" s="11">
        <f t="shared" si="6"/>
        <v>4.5070724242587339E-2</v>
      </c>
      <c r="E49" s="16">
        <f t="shared" si="7"/>
        <v>4627.8722451422536</v>
      </c>
      <c r="F49" s="16" cm="1">
        <f t="array" ref="F49">InterpolateXY($C$7,$C$9,Tmax_h,Tmax_M,Tmax_table)*numeng</f>
        <v>5600.1699983195622</v>
      </c>
      <c r="G49" s="16">
        <f t="shared" si="3"/>
        <v>972.29775317730855</v>
      </c>
      <c r="H49" s="16">
        <f t="shared" si="4"/>
        <v>87.382092146388032</v>
      </c>
      <c r="I49" s="11"/>
      <c r="J49" s="151" t="s">
        <v>369</v>
      </c>
      <c r="K49" s="5" t="s">
        <v>258</v>
      </c>
      <c r="N49" s="194">
        <f>(N51-N54)*(J33*G7)/C6</f>
        <v>-70.487559222907905</v>
      </c>
      <c r="O49" t="s">
        <v>20</v>
      </c>
    </row>
    <row r="50" spans="2:15" ht="15" thickBot="1">
      <c r="B50" s="16">
        <v>4.7</v>
      </c>
      <c r="C50" s="11">
        <f t="shared" si="5"/>
        <v>0.45773174521512561</v>
      </c>
      <c r="D50" s="11">
        <f t="shared" si="6"/>
        <v>4.6789653030469669E-2</v>
      </c>
      <c r="E50" s="16">
        <f t="shared" si="7"/>
        <v>4804.3722451422527</v>
      </c>
      <c r="F50" s="16" cm="1">
        <f t="array" ref="F50">InterpolateXY($C$7,$C$9,Tmax_h,Tmax_M,Tmax_table)*numeng</f>
        <v>5600.1699983195622</v>
      </c>
      <c r="G50" s="16">
        <f t="shared" si="3"/>
        <v>795.79775317730946</v>
      </c>
      <c r="H50" s="16">
        <f t="shared" si="4"/>
        <v>71.519729805800708</v>
      </c>
      <c r="I50" s="11"/>
    </row>
    <row r="51" spans="2:15" ht="15" thickBot="1">
      <c r="B51" s="16">
        <v>4.8</v>
      </c>
      <c r="C51" s="11">
        <f t="shared" si="5"/>
        <v>0.4674707185175751</v>
      </c>
      <c r="D51" s="11">
        <f t="shared" si="6"/>
        <v>4.8508581818352006E-2</v>
      </c>
      <c r="E51" s="16">
        <f t="shared" si="7"/>
        <v>4980.8722451422536</v>
      </c>
      <c r="F51" s="16" cm="1">
        <f t="array" ref="F51">InterpolateXY($C$7,$C$9,Tmax_h,Tmax_M,Tmax_table)*numeng</f>
        <v>5600.1699983195622</v>
      </c>
      <c r="G51" s="16">
        <f t="shared" si="3"/>
        <v>619.29775317730855</v>
      </c>
      <c r="H51" s="16">
        <f t="shared" si="4"/>
        <v>55.65736746521322</v>
      </c>
      <c r="I51" s="11"/>
      <c r="M51" t="s">
        <v>84</v>
      </c>
      <c r="N51" s="194" cm="1">
        <f t="array" ref="N51">numeng*InterpolateXY(C7,J33,Tmax_h,Tmax_M,Tmax_table)</f>
        <v>5474.323481503392</v>
      </c>
      <c r="O51" t="s">
        <v>5</v>
      </c>
    </row>
    <row r="52" spans="2:15" ht="15" thickBot="1">
      <c r="B52" s="16">
        <v>4.9000000000000004</v>
      </c>
      <c r="C52" s="11">
        <f t="shared" si="5"/>
        <v>0.4772096918200246</v>
      </c>
      <c r="D52" s="11">
        <f t="shared" si="6"/>
        <v>5.0227510606234343E-2</v>
      </c>
      <c r="E52" s="16">
        <f t="shared" si="7"/>
        <v>5157.3722451422536</v>
      </c>
      <c r="F52" s="16" cm="1">
        <f t="array" ref="F52">InterpolateXY($C$7,$C$9,Tmax_h,Tmax_M,Tmax_table)*numeng</f>
        <v>5600.1699983195622</v>
      </c>
      <c r="G52" s="16">
        <f t="shared" si="3"/>
        <v>442.79775317730855</v>
      </c>
      <c r="H52" s="16">
        <f t="shared" si="4"/>
        <v>39.795005124625817</v>
      </c>
      <c r="I52" s="11"/>
      <c r="M52" t="s">
        <v>74</v>
      </c>
      <c r="N52" s="237">
        <f>K33*C6/(S*G6*J33^2)</f>
        <v>0.54971939148591786</v>
      </c>
    </row>
    <row r="53" spans="2:15" ht="15" thickBot="1">
      <c r="B53" s="16">
        <v>5</v>
      </c>
      <c r="C53" s="11">
        <f t="shared" si="5"/>
        <v>0.48694866512247403</v>
      </c>
      <c r="D53" s="11">
        <f t="shared" si="6"/>
        <v>5.1946439394116667E-2</v>
      </c>
      <c r="E53" s="16">
        <f t="shared" si="7"/>
        <v>5333.8722451422536</v>
      </c>
      <c r="F53" s="16" cm="1">
        <f t="array" ref="F53">InterpolateXY($C$7,$C$9,Tmax_h,Tmax_M,Tmax_table)*numeng</f>
        <v>5600.1699983195622</v>
      </c>
      <c r="G53" s="16">
        <f t="shared" si="3"/>
        <v>266.29775317730855</v>
      </c>
      <c r="H53" s="16">
        <f t="shared" si="4"/>
        <v>23.932642784038414</v>
      </c>
      <c r="I53" s="11"/>
      <c r="M53" t="s">
        <v>75</v>
      </c>
      <c r="N53" s="237" cm="1">
        <f t="array" ref="N53">InterpolateXY(N52,J33,CD_CL,CD_M,CD_table)</f>
        <v>6.9348814788426694E-2</v>
      </c>
    </row>
    <row r="54" spans="2:15" ht="15" thickBot="1">
      <c r="B54" s="16">
        <v>5.0999999999999996</v>
      </c>
      <c r="C54" s="11">
        <f t="shared" si="5"/>
        <v>0.49668763842492353</v>
      </c>
      <c r="D54" s="11">
        <f t="shared" si="6"/>
        <v>5.3665368181999004E-2</v>
      </c>
      <c r="E54" s="16">
        <f t="shared" si="7"/>
        <v>5510.3722451422518</v>
      </c>
      <c r="F54" s="16" cm="1">
        <f t="array" ref="F54">InterpolateXY($C$7,$C$9,Tmax_h,Tmax_M,Tmax_table)*numeng</f>
        <v>5600.1699983195622</v>
      </c>
      <c r="G54" s="16">
        <f t="shared" si="3"/>
        <v>89.797753177310369</v>
      </c>
      <c r="H54" s="16">
        <f t="shared" si="4"/>
        <v>8.0702804434511677</v>
      </c>
      <c r="I54" s="11"/>
      <c r="M54" t="s">
        <v>186</v>
      </c>
      <c r="N54" s="194">
        <f>N53*S*(J33^2)*G6</f>
        <v>6307.6558570158431</v>
      </c>
    </row>
    <row r="55" spans="2:15" ht="15" thickBot="1">
      <c r="B55" s="16">
        <v>5.2</v>
      </c>
      <c r="C55" s="11">
        <f t="shared" si="5"/>
        <v>0.50642661172737302</v>
      </c>
      <c r="D55" s="11">
        <f t="shared" si="6"/>
        <v>5.5891999296343808E-2</v>
      </c>
      <c r="E55" s="16">
        <f t="shared" si="7"/>
        <v>5739.0032358222234</v>
      </c>
      <c r="F55" s="16" cm="1">
        <f t="array" ref="F55">InterpolateXY($C$7,$C$9,Tmax_h,Tmax_M,Tmax_table)*numeng</f>
        <v>5600.1699983195622</v>
      </c>
      <c r="G55" s="16">
        <f t="shared" si="3"/>
        <v>-138.83323750266118</v>
      </c>
      <c r="H55" s="16">
        <f t="shared" si="4"/>
        <v>-12.477184805575297</v>
      </c>
      <c r="I55" s="11"/>
      <c r="K55" s="55"/>
      <c r="L55" s="55"/>
      <c r="M55" s="55"/>
      <c r="N55" s="55"/>
    </row>
    <row r="56" spans="2:15" ht="15" thickBot="1">
      <c r="B56" s="16">
        <v>5.3</v>
      </c>
      <c r="C56" s="11">
        <f t="shared" si="5"/>
        <v>0.51616558502982246</v>
      </c>
      <c r="D56" s="11">
        <f t="shared" si="6"/>
        <v>5.8380306975119638E-2</v>
      </c>
      <c r="E56" s="16">
        <f t="shared" si="7"/>
        <v>5994.5032358222215</v>
      </c>
      <c r="F56" s="16" cm="1">
        <f t="array" ref="F56">InterpolateXY($C$7,$C$9,Tmax_h,Tmax_M,Tmax_table)*numeng</f>
        <v>5600.1699983195622</v>
      </c>
      <c r="G56" s="16">
        <f t="shared" si="3"/>
        <v>-394.33323750265936</v>
      </c>
      <c r="H56" s="16">
        <f t="shared" si="4"/>
        <v>-35.439414709371633</v>
      </c>
      <c r="I56" s="11"/>
      <c r="K56" s="5" t="s">
        <v>259</v>
      </c>
      <c r="N56" s="262">
        <f>DEGREES(32.174*SQRT(K33^2-1)/(J33*G7))</f>
        <v>10.676750475978888</v>
      </c>
      <c r="O56" t="s">
        <v>260</v>
      </c>
    </row>
    <row r="57" spans="2:15" ht="15" thickBot="1">
      <c r="B57" s="16">
        <v>5.4</v>
      </c>
      <c r="C57" s="11">
        <f t="shared" si="5"/>
        <v>0.52590455833227201</v>
      </c>
      <c r="D57" s="11">
        <f t="shared" si="6"/>
        <v>6.0868614653895502E-2</v>
      </c>
      <c r="E57" s="16">
        <f t="shared" si="7"/>
        <v>6250.0032358222243</v>
      </c>
      <c r="F57" s="16" cm="1">
        <f t="array" ref="F57">InterpolateXY($C$7,$C$9,Tmax_h,Tmax_M,Tmax_table)*numeng</f>
        <v>5600.1699983195622</v>
      </c>
      <c r="G57" s="16">
        <f t="shared" si="3"/>
        <v>-649.83323750266209</v>
      </c>
      <c r="H57" s="16">
        <f t="shared" si="4"/>
        <v>-58.401644613168379</v>
      </c>
      <c r="I57" s="11"/>
    </row>
    <row r="58" spans="2:15" ht="15" thickBot="1">
      <c r="B58" s="16">
        <v>5.5</v>
      </c>
      <c r="C58" s="11">
        <f t="shared" si="5"/>
        <v>0.53564353163472145</v>
      </c>
      <c r="D58" s="11">
        <f t="shared" si="6"/>
        <v>6.3356922332671331E-2</v>
      </c>
      <c r="E58" s="16">
        <f t="shared" si="7"/>
        <v>6505.5032358222225</v>
      </c>
      <c r="F58" s="16" cm="1">
        <f t="array" ref="F58">InterpolateXY($C$7,$C$9,Tmax_h,Tmax_M,Tmax_table)*numeng</f>
        <v>5600.1699983195622</v>
      </c>
      <c r="G58" s="16">
        <f t="shared" si="3"/>
        <v>-905.33323750266027</v>
      </c>
      <c r="H58" s="16">
        <f t="shared" si="4"/>
        <v>-81.363874516964714</v>
      </c>
      <c r="I58" s="11"/>
      <c r="K58" s="5" t="s">
        <v>261</v>
      </c>
      <c r="N58" s="182">
        <f>J33*G7/RADIANS(N56)</f>
        <v>4539.1836806842966</v>
      </c>
      <c r="O58" t="s">
        <v>2</v>
      </c>
    </row>
    <row r="59" spans="2:15" ht="15" thickBot="1">
      <c r="B59" s="16">
        <v>5.6</v>
      </c>
      <c r="C59" s="11">
        <f t="shared" si="5"/>
        <v>0.54538250493717089</v>
      </c>
      <c r="D59" s="11">
        <f t="shared" si="6"/>
        <v>6.5845230011447167E-2</v>
      </c>
      <c r="E59" s="16">
        <f t="shared" si="7"/>
        <v>6761.0032358222215</v>
      </c>
      <c r="F59" s="16" cm="1">
        <f t="array" ref="F59">InterpolateXY($C$7,$C$9,Tmax_h,Tmax_M,Tmax_table)*numeng</f>
        <v>5600.1699983195622</v>
      </c>
      <c r="G59" s="16">
        <f t="shared" si="3"/>
        <v>-1160.8332375026594</v>
      </c>
      <c r="H59" s="16">
        <f t="shared" si="4"/>
        <v>-104.32610442076114</v>
      </c>
      <c r="I59" s="11"/>
    </row>
    <row r="60" spans="2:15" ht="15" thickBot="1">
      <c r="B60" s="16">
        <v>5.7</v>
      </c>
      <c r="C60" s="11">
        <f t="shared" si="5"/>
        <v>0.55512147823962044</v>
      </c>
      <c r="D60" s="11">
        <f t="shared" si="6"/>
        <v>6.8333537690223017E-2</v>
      </c>
      <c r="E60" s="16">
        <f t="shared" si="7"/>
        <v>7016.5032358222234</v>
      </c>
      <c r="F60" s="16" cm="1">
        <f t="array" ref="F60">InterpolateXY($C$7,$C$9,Tmax_h,Tmax_M,Tmax_table)*numeng</f>
        <v>5600.1699983195622</v>
      </c>
      <c r="G60" s="16">
        <f t="shared" si="3"/>
        <v>-1416.3332375026612</v>
      </c>
      <c r="H60" s="16">
        <f t="shared" si="4"/>
        <v>-127.28833432455779</v>
      </c>
      <c r="I60" s="11"/>
      <c r="K60" s="5" t="s">
        <v>262</v>
      </c>
      <c r="N60" s="169">
        <f>DEGREES(ACOS(1/K33))</f>
        <v>78.463040967184511</v>
      </c>
      <c r="O60" t="s">
        <v>263</v>
      </c>
    </row>
    <row r="61" spans="2:15">
      <c r="B61" s="16">
        <v>5.8</v>
      </c>
      <c r="C61" s="11">
        <f t="shared" si="5"/>
        <v>0.56486045154206987</v>
      </c>
      <c r="D61" s="11">
        <f t="shared" si="6"/>
        <v>7.0821845368998854E-2</v>
      </c>
      <c r="E61" s="16">
        <f t="shared" si="7"/>
        <v>7272.0032358222225</v>
      </c>
      <c r="F61" s="16" cm="1">
        <f t="array" ref="F61">InterpolateXY($C$7,$C$9,Tmax_h,Tmax_M,Tmax_table)*numeng</f>
        <v>5600.1699983195622</v>
      </c>
      <c r="G61" s="16">
        <f t="shared" si="3"/>
        <v>-1671.8332375026603</v>
      </c>
      <c r="H61" s="16">
        <f t="shared" si="4"/>
        <v>-150.25056422835422</v>
      </c>
      <c r="I61" s="11"/>
    </row>
    <row r="62" spans="2:15" ht="15" thickBot="1">
      <c r="B62" s="16">
        <v>5.9</v>
      </c>
      <c r="C62" s="11">
        <f t="shared" si="5"/>
        <v>0.57459942484451942</v>
      </c>
      <c r="D62" s="11">
        <f t="shared" si="6"/>
        <v>7.3310153047774718E-2</v>
      </c>
      <c r="E62" s="16">
        <f t="shared" si="7"/>
        <v>7527.5032358222243</v>
      </c>
      <c r="F62" s="16" cm="1">
        <f t="array" ref="F62">InterpolateXY($C$7,$C$9,Tmax_h,Tmax_M,Tmax_table)*numeng</f>
        <v>5600.1699983195622</v>
      </c>
      <c r="G62" s="16">
        <f t="shared" si="3"/>
        <v>-1927.3332375026621</v>
      </c>
      <c r="H62" s="16">
        <f t="shared" si="4"/>
        <v>-173.21279413215089</v>
      </c>
      <c r="I62" s="11"/>
    </row>
    <row r="63" spans="2:15">
      <c r="B63" s="16">
        <v>6</v>
      </c>
      <c r="C63" s="11">
        <f t="shared" si="5"/>
        <v>0.58433839814696886</v>
      </c>
      <c r="D63" s="11">
        <f t="shared" si="6"/>
        <v>7.579846072655054E-2</v>
      </c>
      <c r="E63" s="16">
        <f t="shared" si="7"/>
        <v>7783.0032358222234</v>
      </c>
      <c r="F63" s="16" cm="1">
        <f t="array" ref="F63">InterpolateXY($C$7,$C$9,Tmax_h,Tmax_M,Tmax_table)*numeng</f>
        <v>5600.1699983195622</v>
      </c>
      <c r="G63" s="16">
        <f t="shared" si="3"/>
        <v>-2182.8332375026612</v>
      </c>
      <c r="H63" s="16">
        <f t="shared" si="4"/>
        <v>-196.1750240359473</v>
      </c>
      <c r="I63" s="11"/>
      <c r="J63" s="589" t="s">
        <v>334</v>
      </c>
      <c r="K63" s="590"/>
    </row>
    <row r="64" spans="2:15" ht="15" thickBot="1">
      <c r="B64" s="16">
        <v>6.1</v>
      </c>
      <c r="C64" s="11">
        <f t="shared" si="5"/>
        <v>0.5940773714494183</v>
      </c>
      <c r="D64" s="11">
        <f t="shared" si="6"/>
        <v>7.8286768405326376E-2</v>
      </c>
      <c r="E64" s="16">
        <f t="shared" si="7"/>
        <v>8038.5032358222206</v>
      </c>
      <c r="F64" s="16" cm="1">
        <f t="array" ref="F64">InterpolateXY($C$7,$C$9,Tmax_h,Tmax_M,Tmax_table)*numeng</f>
        <v>5600.1699983195622</v>
      </c>
      <c r="G64" s="16">
        <f t="shared" ref="G64:G75" si="8">F64-E64</f>
        <v>-2438.3332375026584</v>
      </c>
      <c r="H64" s="16">
        <f t="shared" si="4"/>
        <v>-219.13725393974352</v>
      </c>
      <c r="J64" s="591" t="s">
        <v>268</v>
      </c>
      <c r="K64" s="592"/>
    </row>
    <row r="65" spans="2:16">
      <c r="B65" s="16">
        <v>6.2</v>
      </c>
      <c r="C65" s="11">
        <f t="shared" si="5"/>
        <v>0.60381634475186785</v>
      </c>
      <c r="D65" s="11">
        <f t="shared" si="6"/>
        <v>8.1123126725472589E-2</v>
      </c>
      <c r="E65" s="16">
        <f t="shared" si="7"/>
        <v>8329.7411550629313</v>
      </c>
      <c r="F65" s="16" cm="1">
        <f t="array" ref="F65">InterpolateXY($C$7,$C$9,Tmax_h,Tmax_M,Tmax_table)*numeng</f>
        <v>5600.1699983195622</v>
      </c>
      <c r="G65" s="16">
        <f t="shared" si="8"/>
        <v>-2729.5711567433691</v>
      </c>
      <c r="H65" s="16">
        <f t="shared" si="4"/>
        <v>-245.3113128763718</v>
      </c>
    </row>
    <row r="66" spans="2:16">
      <c r="B66" s="16">
        <v>6.3</v>
      </c>
      <c r="C66" s="11">
        <f t="shared" si="5"/>
        <v>0.61355531805431729</v>
      </c>
      <c r="D66" s="11">
        <f t="shared" si="6"/>
        <v>8.4499628769431803E-2</v>
      </c>
      <c r="E66" s="16">
        <f t="shared" si="7"/>
        <v>8676.4411550629302</v>
      </c>
      <c r="F66" s="16" cm="1">
        <f t="array" ref="F66">InterpolateXY($C$7,$C$9,Tmax_h,Tmax_M,Tmax_table)*numeng</f>
        <v>5600.1699983195622</v>
      </c>
      <c r="G66" s="16">
        <f t="shared" si="8"/>
        <v>-3076.271156743368</v>
      </c>
      <c r="H66" s="16">
        <f t="shared" si="4"/>
        <v>-276.46984558731594</v>
      </c>
      <c r="J66" s="151" t="s">
        <v>273</v>
      </c>
      <c r="K66" s="151"/>
      <c r="L66" s="151"/>
      <c r="M66" s="151"/>
      <c r="N66" s="151"/>
      <c r="O66" s="151"/>
      <c r="P66" s="5"/>
    </row>
    <row r="67" spans="2:16" ht="15" thickBot="1">
      <c r="B67" s="16">
        <v>6.4</v>
      </c>
      <c r="C67" s="11">
        <f t="shared" si="5"/>
        <v>0.62329429135676673</v>
      </c>
      <c r="D67" s="11">
        <f t="shared" si="6"/>
        <v>8.7876130813391032E-2</v>
      </c>
      <c r="E67" s="16">
        <f t="shared" si="7"/>
        <v>9023.1411550629291</v>
      </c>
      <c r="F67" s="16" cm="1">
        <f t="array" ref="F67">InterpolateXY($C$7,$C$9,Tmax_h,Tmax_M,Tmax_table)*numeng</f>
        <v>5600.1699983195622</v>
      </c>
      <c r="G67" s="16">
        <f t="shared" si="8"/>
        <v>-3422.9711567433669</v>
      </c>
      <c r="H67" s="16">
        <f t="shared" si="4"/>
        <v>-307.62837829826003</v>
      </c>
    </row>
    <row r="68" spans="2:16" ht="16" thickBot="1">
      <c r="B68" s="16">
        <v>6.5</v>
      </c>
      <c r="C68" s="11">
        <f t="shared" si="5"/>
        <v>0.63303326465921628</v>
      </c>
      <c r="D68" s="11">
        <f t="shared" si="6"/>
        <v>9.1252632857350288E-2</v>
      </c>
      <c r="E68" s="16">
        <f t="shared" si="7"/>
        <v>9369.8411550629316</v>
      </c>
      <c r="F68" s="16" cm="1">
        <f t="array" ref="F68">InterpolateXY($C$7,$C$9,Tmax_h,Tmax_M,Tmax_table)*numeng</f>
        <v>5600.1699983195622</v>
      </c>
      <c r="G68" s="16">
        <f t="shared" si="8"/>
        <v>-3769.6711567433695</v>
      </c>
      <c r="H68" s="16">
        <f t="shared" si="4"/>
        <v>-338.78691100920446</v>
      </c>
      <c r="K68" s="596" t="s">
        <v>370</v>
      </c>
      <c r="L68" s="597"/>
      <c r="M68" s="597"/>
      <c r="N68" s="597"/>
      <c r="O68" s="597"/>
    </row>
    <row r="69" spans="2:16" ht="18" thickBot="1">
      <c r="B69" s="16">
        <v>6.6</v>
      </c>
      <c r="C69" s="11">
        <f t="shared" si="5"/>
        <v>0.64277223796166572</v>
      </c>
      <c r="D69" s="11">
        <f t="shared" si="6"/>
        <v>9.4629134901309517E-2</v>
      </c>
      <c r="E69" s="16">
        <f t="shared" si="7"/>
        <v>9716.5411550629287</v>
      </c>
      <c r="F69" s="16" cm="1">
        <f t="array" ref="F69">InterpolateXY($C$7,$C$9,Tmax_h,Tmax_M,Tmax_table)*numeng</f>
        <v>5600.1699983195622</v>
      </c>
      <c r="G69" s="16">
        <f t="shared" si="8"/>
        <v>-4116.3711567433666</v>
      </c>
      <c r="H69" s="16">
        <f t="shared" si="4"/>
        <v>-369.94544372014843</v>
      </c>
      <c r="K69" s="213" t="s">
        <v>73</v>
      </c>
      <c r="L69" s="238" t="s">
        <v>360</v>
      </c>
      <c r="M69" s="238" t="s">
        <v>259</v>
      </c>
      <c r="N69" s="238" t="s">
        <v>108</v>
      </c>
      <c r="O69" s="238" t="s">
        <v>111</v>
      </c>
    </row>
    <row r="70" spans="2:16" ht="16" thickBot="1">
      <c r="B70" s="16">
        <v>6.7</v>
      </c>
      <c r="C70" s="11">
        <f t="shared" si="5"/>
        <v>0.65251121126411527</v>
      </c>
      <c r="D70" s="11">
        <f t="shared" si="6"/>
        <v>9.8005636945268773E-2</v>
      </c>
      <c r="E70" s="16">
        <f t="shared" si="7"/>
        <v>10063.241155062931</v>
      </c>
      <c r="F70" s="16" cm="1">
        <f t="array" ref="F70">InterpolateXY($C$7,$C$9,Tmax_h,Tmax_M,Tmax_table)*numeng</f>
        <v>5600.1699983195622</v>
      </c>
      <c r="G70" s="16">
        <f t="shared" si="8"/>
        <v>-4463.0711567433691</v>
      </c>
      <c r="H70" s="16">
        <f t="shared" si="4"/>
        <v>-401.10397643109292</v>
      </c>
      <c r="K70" s="239" t="s">
        <v>362</v>
      </c>
      <c r="L70" s="203" t="s">
        <v>69</v>
      </c>
      <c r="M70" s="203" t="s">
        <v>363</v>
      </c>
      <c r="N70" s="203" t="s">
        <v>112</v>
      </c>
      <c r="O70" s="203" t="s">
        <v>78</v>
      </c>
    </row>
    <row r="71" spans="2:16" ht="16" thickBot="1">
      <c r="B71" s="16">
        <v>6.8</v>
      </c>
      <c r="C71" s="11">
        <f t="shared" si="5"/>
        <v>0.6622501845665647</v>
      </c>
      <c r="D71" s="11">
        <f t="shared" si="6"/>
        <v>0.10138213898922799</v>
      </c>
      <c r="E71" s="16">
        <f t="shared" si="7"/>
        <v>10409.941155062932</v>
      </c>
      <c r="F71" s="16" cm="1">
        <f t="array" ref="F71">InterpolateXY($C$7,$C$9,Tmax_h,Tmax_M,Tmax_table)*numeng</f>
        <v>5600.1699983195622</v>
      </c>
      <c r="G71" s="16">
        <f t="shared" si="8"/>
        <v>-4809.7711567433698</v>
      </c>
      <c r="H71" s="16">
        <f t="shared" si="4"/>
        <v>-432.26250914203717</v>
      </c>
      <c r="K71" s="239" t="s">
        <v>81</v>
      </c>
      <c r="L71" s="203" t="s">
        <v>125</v>
      </c>
      <c r="M71" s="203" t="s">
        <v>81</v>
      </c>
      <c r="N71" s="203" t="s">
        <v>125</v>
      </c>
      <c r="O71" s="203" t="s">
        <v>125</v>
      </c>
    </row>
    <row r="72" spans="2:16" ht="16" thickBot="1">
      <c r="B72" s="16">
        <v>6.9</v>
      </c>
      <c r="C72" s="11">
        <f t="shared" si="5"/>
        <v>0.67198915786901414</v>
      </c>
      <c r="D72" s="11">
        <f t="shared" si="6"/>
        <v>0.10475864103318722</v>
      </c>
      <c r="E72" s="16">
        <f t="shared" si="7"/>
        <v>10756.641155062931</v>
      </c>
      <c r="F72" s="16" cm="1">
        <f t="array" ref="F72">InterpolateXY($C$7,$C$9,Tmax_h,Tmax_M,Tmax_table)*numeng</f>
        <v>5600.1699983195622</v>
      </c>
      <c r="G72" s="16">
        <f t="shared" si="8"/>
        <v>-5156.4711567433687</v>
      </c>
      <c r="H72" s="16">
        <f t="shared" si="4"/>
        <v>-463.42104185298132</v>
      </c>
      <c r="K72" s="263">
        <f>M74</f>
        <v>5.1420544790794676</v>
      </c>
      <c r="L72" s="207">
        <v>0</v>
      </c>
      <c r="M72" s="264">
        <f>M75</f>
        <v>10.345923646096583</v>
      </c>
      <c r="N72" s="254">
        <f>M76</f>
        <v>52.19446986772774</v>
      </c>
      <c r="O72" s="254">
        <f>M78</f>
        <v>202.99814526581881</v>
      </c>
    </row>
    <row r="73" spans="2:16">
      <c r="B73" s="16">
        <v>7</v>
      </c>
      <c r="C73" s="11">
        <f t="shared" si="5"/>
        <v>0.68172813117146369</v>
      </c>
      <c r="D73" s="11">
        <f t="shared" si="6"/>
        <v>0.10813514307714647</v>
      </c>
      <c r="E73" s="16">
        <f t="shared" si="7"/>
        <v>11103.341155062933</v>
      </c>
      <c r="F73" s="16" cm="1">
        <f t="array" ref="F73">InterpolateXY($C$7,$C$9,Tmax_h,Tmax_M,Tmax_table)*numeng</f>
        <v>5600.1699983195622</v>
      </c>
      <c r="G73" s="16">
        <f t="shared" si="8"/>
        <v>-5503.1711567433713</v>
      </c>
      <c r="H73" s="16">
        <f t="shared" si="4"/>
        <v>-494.57957456392569</v>
      </c>
    </row>
    <row r="74" spans="2:16">
      <c r="B74" s="16">
        <v>7.1</v>
      </c>
      <c r="C74" s="11">
        <f t="shared" si="5"/>
        <v>0.69146710447391313</v>
      </c>
      <c r="D74" s="11">
        <f t="shared" si="6"/>
        <v>0.1115116451211057</v>
      </c>
      <c r="E74" s="16">
        <f t="shared" si="7"/>
        <v>11450.041155062932</v>
      </c>
      <c r="F74" s="16" cm="1">
        <f t="array" ref="F74">InterpolateXY($C$7,$C$9,Tmax_h,Tmax_M,Tmax_table)*numeng</f>
        <v>5600.1699983195622</v>
      </c>
      <c r="G74" s="16">
        <f t="shared" si="8"/>
        <v>-5849.8711567433702</v>
      </c>
      <c r="H74" s="16">
        <f t="shared" si="4"/>
        <v>-525.73810727486978</v>
      </c>
      <c r="K74" t="s">
        <v>269</v>
      </c>
      <c r="M74" s="3">
        <f>N12</f>
        <v>5.1420544790794676</v>
      </c>
      <c r="N74" t="s">
        <v>37</v>
      </c>
    </row>
    <row r="75" spans="2:16" ht="15" thickBot="1">
      <c r="B75" s="16">
        <v>7.2</v>
      </c>
      <c r="C75" s="11">
        <f t="shared" si="5"/>
        <v>0.70120607777636268</v>
      </c>
      <c r="D75" s="11">
        <f t="shared" si="6"/>
        <v>0.1150147308584972</v>
      </c>
      <c r="E75" s="16">
        <f t="shared" si="7"/>
        <v>11809.738797576279</v>
      </c>
      <c r="F75" s="16" cm="1">
        <f t="array" ref="F75">InterpolateXY($C$7,$C$9,Tmax_h,Tmax_M,Tmax_table)*numeng</f>
        <v>5600.1699983195622</v>
      </c>
      <c r="G75" s="16">
        <f t="shared" si="8"/>
        <v>-6209.5687992567173</v>
      </c>
      <c r="H75" s="16">
        <f t="shared" si="4"/>
        <v>-558.06476075136732</v>
      </c>
      <c r="K75" t="s">
        <v>259</v>
      </c>
      <c r="M75" s="3">
        <f>N21</f>
        <v>10.345923646096583</v>
      </c>
      <c r="N75" t="s">
        <v>260</v>
      </c>
    </row>
    <row r="76" spans="2:16" ht="15" thickBot="1">
      <c r="B76" s="14"/>
      <c r="C76" s="3"/>
      <c r="D76" s="3"/>
      <c r="E76" s="3"/>
      <c r="F76" s="2"/>
      <c r="G76" s="132"/>
      <c r="H76" s="2"/>
      <c r="I76" s="2"/>
      <c r="K76" s="149" t="s">
        <v>270</v>
      </c>
      <c r="M76" s="169">
        <f>540/M75</f>
        <v>52.19446986772774</v>
      </c>
      <c r="N76" t="s">
        <v>223</v>
      </c>
    </row>
    <row r="77" spans="2:16" ht="15" thickBot="1">
      <c r="K77" t="s">
        <v>85</v>
      </c>
      <c r="M77" s="182" cm="1">
        <f t="array" ref="M77">numeng*InterpolateXY($C$7,$C$9,FFmax_h,FFmax_M,FFmax_table)</f>
        <v>14001.355408129226</v>
      </c>
      <c r="N77" t="s">
        <v>271</v>
      </c>
    </row>
    <row r="78" spans="2:16" ht="15" thickBot="1">
      <c r="E78" s="3"/>
      <c r="K78" t="s">
        <v>272</v>
      </c>
      <c r="M78" s="169">
        <f>M77*(1/3600)*M76</f>
        <v>202.99814526581881</v>
      </c>
      <c r="N78" t="s">
        <v>5</v>
      </c>
    </row>
    <row r="80" spans="2:16">
      <c r="J80" s="151" t="s">
        <v>274</v>
      </c>
      <c r="K80" s="150"/>
      <c r="L80" s="150"/>
      <c r="M80" s="150"/>
      <c r="N80" s="150"/>
    </row>
    <row r="81" spans="8:14" ht="15" thickBot="1">
      <c r="H81" s="3"/>
      <c r="I81" s="2"/>
    </row>
    <row r="82" spans="8:14" ht="16" thickBot="1">
      <c r="H82" s="4"/>
      <c r="I82" s="4"/>
      <c r="K82" s="596" t="s">
        <v>371</v>
      </c>
      <c r="L82" s="597"/>
      <c r="M82" s="597"/>
      <c r="N82" s="598"/>
    </row>
    <row r="83" spans="8:14" ht="18" thickBot="1">
      <c r="H83" s="2"/>
      <c r="I83" s="2"/>
      <c r="K83" s="213" t="s">
        <v>73</v>
      </c>
      <c r="L83" s="238" t="s">
        <v>360</v>
      </c>
      <c r="M83" s="238" t="s">
        <v>108</v>
      </c>
      <c r="N83" s="238" t="s">
        <v>111</v>
      </c>
    </row>
    <row r="84" spans="8:14" ht="16" thickBot="1">
      <c r="H84" s="4"/>
      <c r="I84" s="2"/>
      <c r="K84" s="239" t="s">
        <v>362</v>
      </c>
      <c r="L84" s="203" t="s">
        <v>69</v>
      </c>
      <c r="M84" s="203" t="s">
        <v>112</v>
      </c>
      <c r="N84" s="203" t="s">
        <v>78</v>
      </c>
    </row>
    <row r="85" spans="8:14" ht="16" thickBot="1">
      <c r="H85" s="4"/>
      <c r="I85" s="2"/>
      <c r="K85" s="253"/>
      <c r="L85" s="203" t="s">
        <v>125</v>
      </c>
      <c r="M85" s="203" t="s">
        <v>125</v>
      </c>
      <c r="N85" s="203" t="s">
        <v>125</v>
      </c>
    </row>
    <row r="86" spans="8:14" ht="16" thickBot="1">
      <c r="H86" s="4"/>
      <c r="I86" s="2"/>
      <c r="K86" s="252">
        <v>1</v>
      </c>
      <c r="L86" s="259">
        <f>M88</f>
        <v>353.64229826293194</v>
      </c>
      <c r="M86" s="254">
        <f>M89</f>
        <v>113.10864168816177</v>
      </c>
      <c r="N86" s="254">
        <f>M91</f>
        <v>439.90952555741518</v>
      </c>
    </row>
    <row r="87" spans="8:14">
      <c r="H87" s="4"/>
      <c r="I87" s="2"/>
    </row>
    <row r="88" spans="8:14" ht="15" thickBot="1">
      <c r="K88" t="s">
        <v>258</v>
      </c>
      <c r="M88" s="1">
        <f>H13</f>
        <v>353.64229826293194</v>
      </c>
      <c r="N88" t="s">
        <v>20</v>
      </c>
    </row>
    <row r="89" spans="8:14" ht="15" thickBot="1">
      <c r="K89" t="s">
        <v>275</v>
      </c>
      <c r="M89" s="169">
        <f>40000/M88</f>
        <v>113.10864168816177</v>
      </c>
      <c r="N89" t="s">
        <v>223</v>
      </c>
    </row>
    <row r="90" spans="8:14" ht="15" thickBot="1">
      <c r="K90" t="s">
        <v>85</v>
      </c>
      <c r="M90" s="18">
        <f>M77</f>
        <v>14001.355408129226</v>
      </c>
      <c r="N90" t="s">
        <v>271</v>
      </c>
    </row>
    <row r="91" spans="8:14" ht="15" thickBot="1">
      <c r="K91" t="s">
        <v>276</v>
      </c>
      <c r="M91" s="169">
        <f>M90*(1/3600)*M89</f>
        <v>439.90952555741518</v>
      </c>
      <c r="N91" t="s">
        <v>5</v>
      </c>
    </row>
    <row r="93" spans="8:14">
      <c r="J93" s="151" t="s">
        <v>277</v>
      </c>
      <c r="K93" s="150"/>
      <c r="L93" s="150"/>
    </row>
    <row r="94" spans="8:14" ht="15" thickBot="1"/>
    <row r="95" spans="8:14" ht="16" thickBot="1">
      <c r="K95" s="596" t="s">
        <v>372</v>
      </c>
      <c r="L95" s="597"/>
      <c r="M95" s="598"/>
    </row>
    <row r="96" spans="8:14" ht="16" thickBot="1">
      <c r="K96" s="213" t="s">
        <v>108</v>
      </c>
      <c r="L96" s="238" t="s">
        <v>85</v>
      </c>
      <c r="M96" s="238" t="s">
        <v>111</v>
      </c>
    </row>
    <row r="97" spans="11:14" ht="16" thickBot="1">
      <c r="K97" s="239" t="s">
        <v>200</v>
      </c>
      <c r="L97" s="203" t="s">
        <v>86</v>
      </c>
      <c r="M97" s="203" t="s">
        <v>78</v>
      </c>
    </row>
    <row r="98" spans="11:14" ht="16" thickBot="1">
      <c r="K98" s="253"/>
      <c r="L98" s="203" t="s">
        <v>93</v>
      </c>
      <c r="M98" s="203" t="s">
        <v>125</v>
      </c>
    </row>
    <row r="99" spans="11:14" ht="16" thickBot="1">
      <c r="K99" s="250">
        <v>5</v>
      </c>
      <c r="L99" s="257">
        <f>M101</f>
        <v>14001.355408129226</v>
      </c>
      <c r="M99" s="256">
        <f>M102</f>
        <v>1166.779617344102</v>
      </c>
    </row>
    <row r="101" spans="11:14" ht="15" thickBot="1">
      <c r="K101" t="s">
        <v>85</v>
      </c>
      <c r="M101" s="18">
        <f>M77</f>
        <v>14001.355408129226</v>
      </c>
      <c r="N101" t="s">
        <v>271</v>
      </c>
    </row>
    <row r="102" spans="11:14" ht="15" thickBot="1">
      <c r="K102" t="s">
        <v>278</v>
      </c>
      <c r="M102" s="194">
        <f>M101*(1/3600)*5*60</f>
        <v>1166.779617344102</v>
      </c>
      <c r="N102" t="s">
        <v>5</v>
      </c>
    </row>
  </sheetData>
  <mergeCells count="9">
    <mergeCell ref="J64:K64"/>
    <mergeCell ref="K68:O68"/>
    <mergeCell ref="K82:N82"/>
    <mergeCell ref="K95:M95"/>
    <mergeCell ref="B2:C2"/>
    <mergeCell ref="B3:C3"/>
    <mergeCell ref="J6:O6"/>
    <mergeCell ref="J28:O28"/>
    <mergeCell ref="J63:K63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84D6B-7BE1-4893-A3B8-05270C9427AA}">
  <sheetPr codeName="Sheet35">
    <tabColor rgb="FFCCFFCC"/>
  </sheetPr>
  <dimension ref="A1:Q162"/>
  <sheetViews>
    <sheetView workbookViewId="0">
      <selection activeCell="T17" sqref="T17"/>
    </sheetView>
  </sheetViews>
  <sheetFormatPr defaultRowHeight="14.5"/>
  <cols>
    <col min="1" max="1" width="11.81640625" customWidth="1"/>
  </cols>
  <sheetData>
    <row r="1" spans="1:17">
      <c r="A1" t="s">
        <v>6</v>
      </c>
      <c r="B1" s="8">
        <v>10000</v>
      </c>
      <c r="C1" t="s">
        <v>5</v>
      </c>
      <c r="E1" t="s">
        <v>0</v>
      </c>
      <c r="F1" s="1">
        <f>Linterp(B2,atmos_h,atmos_qms)</f>
        <v>835.98801615348191</v>
      </c>
      <c r="G1" t="s">
        <v>19</v>
      </c>
    </row>
    <row r="2" spans="1:17">
      <c r="A2" t="s">
        <v>1</v>
      </c>
      <c r="B2" s="8">
        <v>15000</v>
      </c>
      <c r="C2" t="s">
        <v>2</v>
      </c>
      <c r="E2" t="s">
        <v>153</v>
      </c>
      <c r="F2" s="3">
        <f>Linterp(B2,atmos_h,atmos_aspeed)</f>
        <v>1057.3146036052262</v>
      </c>
      <c r="G2" t="s">
        <v>20</v>
      </c>
    </row>
    <row r="3" spans="1:17">
      <c r="A3" t="s">
        <v>251</v>
      </c>
      <c r="B3" s="384">
        <f>_xlfn.SINGLE(IF(B1&gt;_xlfn.SINGLE(BFDGW),_xlfn.SINGLE(NZW)/B1,glimit))</f>
        <v>7.2</v>
      </c>
      <c r="E3" t="s">
        <v>155</v>
      </c>
      <c r="F3">
        <f>Linterp(B2,atmos_h,atmos_rho)</f>
        <v>1.4956106477433447E-3</v>
      </c>
      <c r="G3" t="s">
        <v>156</v>
      </c>
    </row>
    <row r="4" spans="1:17">
      <c r="A4" t="s">
        <v>252</v>
      </c>
      <c r="B4" s="384">
        <f>MIN(amlim,SQRT(_xlfn.SINGLE(maxq)/F1))</f>
        <v>1.4095063185246761</v>
      </c>
    </row>
    <row r="5" spans="1:17">
      <c r="H5" s="9"/>
      <c r="L5" s="599" t="s">
        <v>490</v>
      </c>
      <c r="M5" s="599"/>
      <c r="N5" s="599"/>
      <c r="O5" s="599"/>
      <c r="P5" s="599"/>
      <c r="Q5" s="599"/>
    </row>
    <row r="6" spans="1:17">
      <c r="A6" s="6" t="s">
        <v>1</v>
      </c>
      <c r="B6" s="6" t="s">
        <v>72</v>
      </c>
      <c r="C6" s="6" t="s">
        <v>24</v>
      </c>
      <c r="D6" s="6" t="s">
        <v>82</v>
      </c>
      <c r="E6" s="6" t="s">
        <v>253</v>
      </c>
      <c r="F6" s="6" t="s">
        <v>4</v>
      </c>
      <c r="G6" s="6" t="s">
        <v>254</v>
      </c>
      <c r="H6" s="147" t="s">
        <v>255</v>
      </c>
      <c r="I6" s="6" t="s">
        <v>57</v>
      </c>
      <c r="J6" s="6" t="s">
        <v>254</v>
      </c>
      <c r="L6" s="6" t="s">
        <v>72</v>
      </c>
      <c r="M6" s="6" t="s">
        <v>82</v>
      </c>
      <c r="N6" s="6" t="s">
        <v>253</v>
      </c>
      <c r="O6" s="6" t="s">
        <v>4</v>
      </c>
      <c r="P6" s="6" t="s">
        <v>255</v>
      </c>
      <c r="Q6" s="6" t="s">
        <v>10</v>
      </c>
    </row>
    <row r="7" spans="1:17">
      <c r="A7" s="6" t="s">
        <v>30</v>
      </c>
      <c r="B7" s="6"/>
      <c r="C7" s="6" t="s">
        <v>69</v>
      </c>
      <c r="D7" s="6" t="s">
        <v>256</v>
      </c>
      <c r="E7" s="6"/>
      <c r="F7" s="6"/>
      <c r="G7" s="6"/>
      <c r="H7" s="6"/>
      <c r="I7" s="6"/>
      <c r="J7" s="6"/>
      <c r="L7" s="6"/>
      <c r="P7" s="6"/>
      <c r="Q7" s="6"/>
    </row>
    <row r="8" spans="1:17">
      <c r="A8" s="14">
        <f>B2</f>
        <v>15000</v>
      </c>
      <c r="B8" s="3">
        <v>0.1</v>
      </c>
      <c r="C8" s="3">
        <f t="shared" ref="C8:C71" si="0">B8*$F$2</f>
        <v>105.73146036052263</v>
      </c>
      <c r="D8" s="3">
        <f>$F$1*B8*B8</f>
        <v>8.3598801615348197</v>
      </c>
      <c r="E8" s="2">
        <f t="shared" ref="E8:E39" si="1">$B$1/(D8*_xlfn.SINGLE(S))</f>
        <v>7.0364082110197481</v>
      </c>
      <c r="F8" s="132">
        <f t="shared" ref="F8:F39" si="2">_xlfn.SINGLE(CLmax)</f>
        <v>0.8</v>
      </c>
      <c r="G8" s="2">
        <f>E8-F8</f>
        <v>6.2364082110197483</v>
      </c>
      <c r="H8" s="2">
        <f t="shared" ref="H8:H39" si="3">IF(E8&gt;F8,1,F8*D8*_xlfn.SINGLE(S)/$B$1)</f>
        <v>1</v>
      </c>
      <c r="I8" s="2">
        <f>B3</f>
        <v>7.2</v>
      </c>
      <c r="J8" s="2">
        <f>I8-H8</f>
        <v>6.2</v>
      </c>
      <c r="L8" s="2">
        <f>E103</f>
        <v>0.29656299812402642</v>
      </c>
      <c r="M8" s="3">
        <f>L8*L8*$F$1</f>
        <v>73.52482153722643</v>
      </c>
      <c r="N8" s="2">
        <f t="shared" ref="N8:N28" si="4">$B$1/(M8*_xlfn.SINGLE(S))</f>
        <v>0.80004994479288472</v>
      </c>
      <c r="O8" s="132">
        <f t="shared" ref="O8:O28" si="5">_xlfn.SINGLE(CLmax)</f>
        <v>0.8</v>
      </c>
      <c r="P8" s="385">
        <f t="shared" ref="P8:P28" si="6">O8*M8*_xlfn.SINGLE(S)/$B$1</f>
        <v>0.99993757290627949</v>
      </c>
      <c r="Q8" s="2">
        <f>IF(P8&lt;1,0,32.174*SQRT(P8*P8-1)/($F$2*L8)*180/PI())</f>
        <v>0</v>
      </c>
    </row>
    <row r="9" spans="1:17">
      <c r="A9" s="14">
        <f>A8</f>
        <v>15000</v>
      </c>
      <c r="B9" s="3">
        <v>0.11</v>
      </c>
      <c r="C9" s="3">
        <f t="shared" si="0"/>
        <v>116.30460639657488</v>
      </c>
      <c r="D9" s="3">
        <f t="shared" ref="D9:D72" si="7">$F$1*B9*B9</f>
        <v>10.115454995457132</v>
      </c>
      <c r="E9" s="2">
        <f t="shared" si="1"/>
        <v>5.8152133975369829</v>
      </c>
      <c r="F9" s="132">
        <f t="shared" si="2"/>
        <v>0.8</v>
      </c>
      <c r="G9" s="2">
        <f t="shared" ref="G9:G72" si="8">E9-F9</f>
        <v>5.015213397536983</v>
      </c>
      <c r="H9" s="2">
        <f t="shared" si="3"/>
        <v>1</v>
      </c>
      <c r="I9" s="2">
        <f>I8</f>
        <v>7.2</v>
      </c>
      <c r="J9" s="2">
        <f t="shared" ref="J9:J72" si="9">I9-H9</f>
        <v>6.2</v>
      </c>
      <c r="L9" s="2">
        <f>(L$28-L$8)/20+L8</f>
        <v>0.32152419160873119</v>
      </c>
      <c r="M9" s="3">
        <f t="shared" ref="M9:M28" si="10">L9*L9*$F$1</f>
        <v>86.422606776387838</v>
      </c>
      <c r="N9" s="2">
        <f t="shared" si="4"/>
        <v>0.68064979298722472</v>
      </c>
      <c r="O9" s="132">
        <f t="shared" si="5"/>
        <v>0.8</v>
      </c>
      <c r="P9" s="385">
        <f t="shared" si="6"/>
        <v>1.1753474521588747</v>
      </c>
      <c r="Q9" s="2">
        <f t="shared" ref="Q9:Q16" si="11">IF(P9&lt;1,0,32.174*SQRT(P9*P9-1)/($F$2*L9)*180/PI())</f>
        <v>3.3490671151132507</v>
      </c>
    </row>
    <row r="10" spans="1:17">
      <c r="A10" s="14">
        <f t="shared" ref="A10:A73" si="12">A9</f>
        <v>15000</v>
      </c>
      <c r="B10" s="3">
        <v>0.12</v>
      </c>
      <c r="C10" s="3">
        <f t="shared" si="0"/>
        <v>126.87775243262715</v>
      </c>
      <c r="D10" s="3">
        <f t="shared" si="7"/>
        <v>12.038227432610139</v>
      </c>
      <c r="E10" s="2">
        <f t="shared" si="1"/>
        <v>4.8863945909859368</v>
      </c>
      <c r="F10" s="132">
        <f t="shared" si="2"/>
        <v>0.8</v>
      </c>
      <c r="G10" s="2">
        <f t="shared" si="8"/>
        <v>4.0863945909859369</v>
      </c>
      <c r="H10" s="2">
        <f t="shared" si="3"/>
        <v>1</v>
      </c>
      <c r="I10" s="2">
        <f t="shared" ref="I10:I73" si="13">I9</f>
        <v>7.2</v>
      </c>
      <c r="J10" s="2">
        <f t="shared" si="9"/>
        <v>6.2</v>
      </c>
      <c r="L10" s="2">
        <f t="shared" ref="L10:L27" si="14">(L$28-L$8)/20+L9</f>
        <v>0.34648538509343596</v>
      </c>
      <c r="M10" s="3">
        <f t="shared" si="10"/>
        <v>100.36213537547256</v>
      </c>
      <c r="N10" s="2">
        <f t="shared" si="4"/>
        <v>0.58611277242852045</v>
      </c>
      <c r="O10" s="132">
        <f t="shared" si="5"/>
        <v>0.8</v>
      </c>
      <c r="P10" s="385">
        <f t="shared" si="6"/>
        <v>1.3649250411064269</v>
      </c>
      <c r="Q10" s="2">
        <f t="shared" si="11"/>
        <v>4.6746495838991162</v>
      </c>
    </row>
    <row r="11" spans="1:17">
      <c r="A11" s="14">
        <f t="shared" si="12"/>
        <v>15000</v>
      </c>
      <c r="B11" s="3">
        <v>0.13</v>
      </c>
      <c r="C11" s="3">
        <f t="shared" si="0"/>
        <v>137.45089846867941</v>
      </c>
      <c r="D11" s="3">
        <f t="shared" si="7"/>
        <v>14.128197472993845</v>
      </c>
      <c r="E11" s="2">
        <f t="shared" si="1"/>
        <v>4.163555154449555</v>
      </c>
      <c r="F11" s="132">
        <f t="shared" si="2"/>
        <v>0.8</v>
      </c>
      <c r="G11" s="2">
        <f t="shared" si="8"/>
        <v>3.3635551544495552</v>
      </c>
      <c r="H11" s="2">
        <f t="shared" si="3"/>
        <v>1</v>
      </c>
      <c r="I11" s="2">
        <f t="shared" si="13"/>
        <v>7.2</v>
      </c>
      <c r="J11" s="2">
        <f t="shared" si="9"/>
        <v>6.2</v>
      </c>
      <c r="L11" s="2">
        <f t="shared" si="14"/>
        <v>0.37144657857814073</v>
      </c>
      <c r="M11" s="3">
        <f t="shared" si="10"/>
        <v>115.34340733448056</v>
      </c>
      <c r="N11" s="2">
        <f t="shared" si="4"/>
        <v>0.50998605617037374</v>
      </c>
      <c r="O11" s="132">
        <f t="shared" si="5"/>
        <v>0.8</v>
      </c>
      <c r="P11" s="385">
        <f t="shared" si="6"/>
        <v>1.5686703397489357</v>
      </c>
      <c r="Q11" s="2">
        <f t="shared" si="11"/>
        <v>5.672984159654229</v>
      </c>
    </row>
    <row r="12" spans="1:17">
      <c r="A12" s="14">
        <f t="shared" si="12"/>
        <v>15000</v>
      </c>
      <c r="B12" s="3">
        <v>0.14000000000000001</v>
      </c>
      <c r="C12" s="3">
        <f t="shared" si="0"/>
        <v>148.02404450473168</v>
      </c>
      <c r="D12" s="3">
        <f t="shared" si="7"/>
        <v>16.385365116608249</v>
      </c>
      <c r="E12" s="2">
        <f t="shared" si="1"/>
        <v>3.5900041892957897</v>
      </c>
      <c r="F12" s="132">
        <f t="shared" si="2"/>
        <v>0.8</v>
      </c>
      <c r="G12" s="2">
        <f t="shared" si="8"/>
        <v>2.7900041892957894</v>
      </c>
      <c r="H12" s="2">
        <f t="shared" si="3"/>
        <v>1</v>
      </c>
      <c r="I12" s="2">
        <f t="shared" si="13"/>
        <v>7.2</v>
      </c>
      <c r="J12" s="2">
        <f t="shared" si="9"/>
        <v>6.2</v>
      </c>
      <c r="L12" s="2">
        <f t="shared" si="14"/>
        <v>0.3964077720628455</v>
      </c>
      <c r="M12" s="3">
        <f t="shared" si="10"/>
        <v>131.36642265341186</v>
      </c>
      <c r="N12" s="2">
        <f t="shared" si="4"/>
        <v>0.44778207569038142</v>
      </c>
      <c r="O12" s="132">
        <f t="shared" si="5"/>
        <v>0.8</v>
      </c>
      <c r="P12" s="385">
        <f t="shared" si="6"/>
        <v>1.7865833480864013</v>
      </c>
      <c r="Q12" s="2">
        <f t="shared" si="11"/>
        <v>6.5116296388360322</v>
      </c>
    </row>
    <row r="13" spans="1:17">
      <c r="A13" s="14">
        <f t="shared" si="12"/>
        <v>15000</v>
      </c>
      <c r="B13" s="3">
        <v>0.15</v>
      </c>
      <c r="C13" s="3">
        <f t="shared" si="0"/>
        <v>158.59719054078394</v>
      </c>
      <c r="D13" s="3">
        <f t="shared" si="7"/>
        <v>18.80973036345334</v>
      </c>
      <c r="E13" s="2">
        <f t="shared" si="1"/>
        <v>3.127292538231</v>
      </c>
      <c r="F13" s="132">
        <f t="shared" si="2"/>
        <v>0.8</v>
      </c>
      <c r="G13" s="2">
        <f t="shared" si="8"/>
        <v>2.3272925382310001</v>
      </c>
      <c r="H13" s="2">
        <f t="shared" si="3"/>
        <v>1</v>
      </c>
      <c r="I13" s="2">
        <f t="shared" si="13"/>
        <v>7.2</v>
      </c>
      <c r="J13" s="2">
        <f t="shared" si="9"/>
        <v>6.2</v>
      </c>
      <c r="L13" s="2">
        <f t="shared" si="14"/>
        <v>0.42136896554755027</v>
      </c>
      <c r="M13" s="3">
        <f t="shared" si="10"/>
        <v>148.4311813322665</v>
      </c>
      <c r="N13" s="2">
        <f t="shared" si="4"/>
        <v>0.39630169943933091</v>
      </c>
      <c r="O13" s="132">
        <f t="shared" si="5"/>
        <v>0.8</v>
      </c>
      <c r="P13" s="385">
        <f t="shared" si="6"/>
        <v>2.0186640661188244</v>
      </c>
      <c r="Q13" s="2">
        <f t="shared" si="11"/>
        <v>7.2557748664788297</v>
      </c>
    </row>
    <row r="14" spans="1:17">
      <c r="A14" s="14">
        <f t="shared" si="12"/>
        <v>15000</v>
      </c>
      <c r="B14" s="3">
        <v>0.16</v>
      </c>
      <c r="C14" s="3">
        <f t="shared" si="0"/>
        <v>169.17033657683621</v>
      </c>
      <c r="D14" s="3">
        <f t="shared" si="7"/>
        <v>21.40129321352914</v>
      </c>
      <c r="E14" s="2">
        <f t="shared" si="1"/>
        <v>2.748596957429589</v>
      </c>
      <c r="F14" s="132">
        <f t="shared" si="2"/>
        <v>0.8</v>
      </c>
      <c r="G14" s="2">
        <f t="shared" si="8"/>
        <v>1.9485969574295889</v>
      </c>
      <c r="H14" s="2">
        <f t="shared" si="3"/>
        <v>1</v>
      </c>
      <c r="I14" s="2">
        <f t="shared" si="13"/>
        <v>7.2</v>
      </c>
      <c r="J14" s="2">
        <f t="shared" si="9"/>
        <v>6.2</v>
      </c>
      <c r="L14" s="2">
        <f t="shared" si="14"/>
        <v>0.44633015903225504</v>
      </c>
      <c r="M14" s="3">
        <f t="shared" si="10"/>
        <v>166.53768337104441</v>
      </c>
      <c r="N14" s="2">
        <f t="shared" si="4"/>
        <v>0.35321452911474954</v>
      </c>
      <c r="O14" s="132">
        <f t="shared" si="5"/>
        <v>0.8</v>
      </c>
      <c r="P14" s="385">
        <f t="shared" si="6"/>
        <v>2.2649124938462042</v>
      </c>
      <c r="Q14" s="2">
        <f t="shared" si="11"/>
        <v>7.9384047753084195</v>
      </c>
    </row>
    <row r="15" spans="1:17">
      <c r="A15" s="14">
        <f t="shared" si="12"/>
        <v>15000</v>
      </c>
      <c r="B15" s="3">
        <v>0.17</v>
      </c>
      <c r="C15" s="3">
        <f t="shared" si="0"/>
        <v>179.74348261288847</v>
      </c>
      <c r="D15" s="3">
        <f t="shared" si="7"/>
        <v>24.16005366683563</v>
      </c>
      <c r="E15" s="2">
        <f t="shared" si="1"/>
        <v>2.4347433256123696</v>
      </c>
      <c r="F15" s="132">
        <f t="shared" si="2"/>
        <v>0.8</v>
      </c>
      <c r="G15" s="2">
        <f t="shared" si="8"/>
        <v>1.6347433256123696</v>
      </c>
      <c r="H15" s="2">
        <f t="shared" si="3"/>
        <v>1</v>
      </c>
      <c r="I15" s="2">
        <f t="shared" si="13"/>
        <v>7.2</v>
      </c>
      <c r="J15" s="2">
        <f t="shared" si="9"/>
        <v>6.2</v>
      </c>
      <c r="L15" s="2">
        <f t="shared" si="14"/>
        <v>0.47129135251695981</v>
      </c>
      <c r="M15" s="3">
        <f t="shared" si="10"/>
        <v>185.68592876974563</v>
      </c>
      <c r="N15" s="2">
        <f t="shared" si="4"/>
        <v>0.31679045257493416</v>
      </c>
      <c r="O15" s="132">
        <f t="shared" si="5"/>
        <v>0.8</v>
      </c>
      <c r="P15" s="385">
        <f t="shared" si="6"/>
        <v>2.5253286312685406</v>
      </c>
      <c r="Q15" s="2">
        <f t="shared" si="11"/>
        <v>8.578581927034719</v>
      </c>
    </row>
    <row r="16" spans="1:17">
      <c r="A16" s="14">
        <f t="shared" si="12"/>
        <v>15000</v>
      </c>
      <c r="B16" s="3">
        <v>0.18</v>
      </c>
      <c r="C16" s="3">
        <f t="shared" si="0"/>
        <v>190.31662864894071</v>
      </c>
      <c r="D16" s="3">
        <f t="shared" si="7"/>
        <v>27.086011723372813</v>
      </c>
      <c r="E16" s="2">
        <f t="shared" si="1"/>
        <v>2.171730929327083</v>
      </c>
      <c r="F16" s="132">
        <f t="shared" si="2"/>
        <v>0.8</v>
      </c>
      <c r="G16" s="2">
        <f t="shared" si="8"/>
        <v>1.371730929327083</v>
      </c>
      <c r="H16" s="2">
        <f t="shared" si="3"/>
        <v>1</v>
      </c>
      <c r="I16" s="2">
        <f t="shared" si="13"/>
        <v>7.2</v>
      </c>
      <c r="J16" s="2">
        <f t="shared" si="9"/>
        <v>6.2</v>
      </c>
      <c r="L16" s="2">
        <f t="shared" si="14"/>
        <v>0.49625254600166457</v>
      </c>
      <c r="M16" s="3">
        <f t="shared" si="10"/>
        <v>205.87591752837014</v>
      </c>
      <c r="N16" s="2">
        <f t="shared" si="4"/>
        <v>0.28572321677040591</v>
      </c>
      <c r="O16" s="132">
        <f t="shared" si="5"/>
        <v>0.8</v>
      </c>
      <c r="P16" s="385">
        <f t="shared" si="6"/>
        <v>2.799912478385834</v>
      </c>
      <c r="Q16" s="2">
        <f t="shared" si="11"/>
        <v>9.188258438324695</v>
      </c>
    </row>
    <row r="17" spans="1:17">
      <c r="A17" s="14">
        <f t="shared" si="12"/>
        <v>15000</v>
      </c>
      <c r="B17" s="3">
        <v>0.19</v>
      </c>
      <c r="C17" s="3">
        <f t="shared" si="0"/>
        <v>200.889774684993</v>
      </c>
      <c r="D17" s="3">
        <f t="shared" si="7"/>
        <v>30.179167383140697</v>
      </c>
      <c r="E17" s="2">
        <f t="shared" si="1"/>
        <v>1.9491435487589333</v>
      </c>
      <c r="F17" s="132">
        <f t="shared" si="2"/>
        <v>0.8</v>
      </c>
      <c r="G17" s="2">
        <f t="shared" si="8"/>
        <v>1.1491435487589332</v>
      </c>
      <c r="H17" s="2">
        <f t="shared" si="3"/>
        <v>1</v>
      </c>
      <c r="I17" s="2">
        <f t="shared" si="13"/>
        <v>7.2</v>
      </c>
      <c r="J17" s="2">
        <f t="shared" si="9"/>
        <v>6.2</v>
      </c>
      <c r="L17" s="2">
        <f t="shared" si="14"/>
        <v>0.5212137394863694</v>
      </c>
      <c r="M17" s="3">
        <f t="shared" si="10"/>
        <v>227.10764964691802</v>
      </c>
      <c r="N17" s="2">
        <f t="shared" si="4"/>
        <v>0.25901166034352896</v>
      </c>
      <c r="O17" s="132">
        <f t="shared" si="5"/>
        <v>0.8</v>
      </c>
      <c r="P17" s="385">
        <f t="shared" si="6"/>
        <v>3.0886640351980854</v>
      </c>
      <c r="Q17" s="2">
        <f t="shared" ref="Q17:Q28" si="15">32.174*SQRT(P17*P17-1)/($F$2*L17)*180/PI()</f>
        <v>9.7753566435485446</v>
      </c>
    </row>
    <row r="18" spans="1:17">
      <c r="A18" s="14">
        <f t="shared" si="12"/>
        <v>15000</v>
      </c>
      <c r="B18" s="3">
        <v>0.2</v>
      </c>
      <c r="C18" s="3">
        <f t="shared" si="0"/>
        <v>211.46292072104526</v>
      </c>
      <c r="D18" s="3">
        <f t="shared" si="7"/>
        <v>33.439520646139279</v>
      </c>
      <c r="E18" s="2">
        <f t="shared" si="1"/>
        <v>1.759102052754937</v>
      </c>
      <c r="F18" s="132">
        <f t="shared" si="2"/>
        <v>0.8</v>
      </c>
      <c r="G18" s="2">
        <f t="shared" si="8"/>
        <v>0.95910205275493698</v>
      </c>
      <c r="H18" s="2">
        <f t="shared" si="3"/>
        <v>1</v>
      </c>
      <c r="I18" s="2">
        <f t="shared" si="13"/>
        <v>7.2</v>
      </c>
      <c r="J18" s="2">
        <f t="shared" si="9"/>
        <v>6.2</v>
      </c>
      <c r="L18" s="2">
        <f t="shared" si="14"/>
        <v>0.54617493297107422</v>
      </c>
      <c r="M18" s="3">
        <f t="shared" si="10"/>
        <v>249.38112512538919</v>
      </c>
      <c r="N18" s="2">
        <f t="shared" si="4"/>
        <v>0.23587803360093171</v>
      </c>
      <c r="O18" s="132">
        <f t="shared" si="5"/>
        <v>0.8</v>
      </c>
      <c r="P18" s="385">
        <f t="shared" si="6"/>
        <v>3.3915833017052939</v>
      </c>
      <c r="Q18" s="2">
        <f t="shared" si="15"/>
        <v>10.345345849344838</v>
      </c>
    </row>
    <row r="19" spans="1:17">
      <c r="A19" s="14">
        <f t="shared" si="12"/>
        <v>15000</v>
      </c>
      <c r="B19" s="3">
        <v>0.21</v>
      </c>
      <c r="C19" s="3">
        <f t="shared" si="0"/>
        <v>222.0360667570975</v>
      </c>
      <c r="D19" s="3">
        <f t="shared" si="7"/>
        <v>36.867071512368554</v>
      </c>
      <c r="E19" s="2">
        <f t="shared" si="1"/>
        <v>1.5955574174647955</v>
      </c>
      <c r="F19" s="132">
        <f t="shared" si="2"/>
        <v>0.8</v>
      </c>
      <c r="G19" s="2">
        <f t="shared" si="8"/>
        <v>0.79555741746479547</v>
      </c>
      <c r="H19" s="2">
        <f t="shared" si="3"/>
        <v>1</v>
      </c>
      <c r="I19" s="2">
        <f t="shared" si="13"/>
        <v>7.2</v>
      </c>
      <c r="J19" s="2">
        <f t="shared" si="9"/>
        <v>6.2</v>
      </c>
      <c r="L19" s="2">
        <f t="shared" si="14"/>
        <v>0.57113612645577905</v>
      </c>
      <c r="M19" s="3">
        <f t="shared" si="10"/>
        <v>272.6963439637837</v>
      </c>
      <c r="N19" s="2">
        <f t="shared" si="4"/>
        <v>0.21571073728651438</v>
      </c>
      <c r="O19" s="132">
        <f t="shared" si="5"/>
        <v>0.8</v>
      </c>
      <c r="P19" s="385">
        <f t="shared" si="6"/>
        <v>3.7086702779074585</v>
      </c>
      <c r="Q19" s="2">
        <f t="shared" si="15"/>
        <v>10.902122025465202</v>
      </c>
    </row>
    <row r="20" spans="1:17">
      <c r="A20" s="14">
        <f t="shared" si="12"/>
        <v>15000</v>
      </c>
      <c r="B20" s="3">
        <v>0.22</v>
      </c>
      <c r="C20" s="3">
        <f t="shared" si="0"/>
        <v>232.60921279314977</v>
      </c>
      <c r="D20" s="3">
        <f t="shared" si="7"/>
        <v>40.461819981828526</v>
      </c>
      <c r="E20" s="2">
        <f t="shared" si="1"/>
        <v>1.4538033493842457</v>
      </c>
      <c r="F20" s="132">
        <f t="shared" si="2"/>
        <v>0.8</v>
      </c>
      <c r="G20" s="2">
        <f t="shared" si="8"/>
        <v>0.65380334938424567</v>
      </c>
      <c r="H20" s="2">
        <f t="shared" si="3"/>
        <v>1</v>
      </c>
      <c r="I20" s="2">
        <f t="shared" si="13"/>
        <v>7.2</v>
      </c>
      <c r="J20" s="2">
        <f t="shared" si="9"/>
        <v>6.2</v>
      </c>
      <c r="L20" s="2">
        <f t="shared" si="14"/>
        <v>0.59609731994048387</v>
      </c>
      <c r="M20" s="3">
        <f t="shared" si="10"/>
        <v>297.05330616210148</v>
      </c>
      <c r="N20" s="2">
        <f t="shared" si="4"/>
        <v>0.19802347993280642</v>
      </c>
      <c r="O20" s="132">
        <f t="shared" si="5"/>
        <v>0.8</v>
      </c>
      <c r="P20" s="385">
        <f t="shared" si="6"/>
        <v>4.0399249638045802</v>
      </c>
      <c r="Q20" s="2">
        <f t="shared" si="15"/>
        <v>11.448530806796747</v>
      </c>
    </row>
    <row r="21" spans="1:17">
      <c r="A21" s="14">
        <f t="shared" si="12"/>
        <v>15000</v>
      </c>
      <c r="B21" s="3">
        <v>0.23</v>
      </c>
      <c r="C21" s="3">
        <f t="shared" si="0"/>
        <v>243.18235882920206</v>
      </c>
      <c r="D21" s="3">
        <f t="shared" si="7"/>
        <v>44.223766054519196</v>
      </c>
      <c r="E21" s="2">
        <f t="shared" si="1"/>
        <v>1.3301338773194231</v>
      </c>
      <c r="F21" s="132">
        <f t="shared" si="2"/>
        <v>0.8</v>
      </c>
      <c r="G21" s="2">
        <f t="shared" si="8"/>
        <v>0.53013387731942307</v>
      </c>
      <c r="H21" s="2">
        <f t="shared" si="3"/>
        <v>1</v>
      </c>
      <c r="I21" s="2">
        <f t="shared" si="13"/>
        <v>7.2</v>
      </c>
      <c r="J21" s="2">
        <f t="shared" si="9"/>
        <v>6.2</v>
      </c>
      <c r="L21" s="2">
        <f t="shared" si="14"/>
        <v>0.6210585134251887</v>
      </c>
      <c r="M21" s="3">
        <f t="shared" si="10"/>
        <v>322.45201172034251</v>
      </c>
      <c r="N21" s="2">
        <f t="shared" si="4"/>
        <v>0.18242568591192854</v>
      </c>
      <c r="O21" s="132">
        <f t="shared" si="5"/>
        <v>0.8</v>
      </c>
      <c r="P21" s="385">
        <f t="shared" si="6"/>
        <v>4.3853473593966577</v>
      </c>
      <c r="Q21" s="2">
        <f t="shared" si="15"/>
        <v>11.986693998332065</v>
      </c>
    </row>
    <row r="22" spans="1:17">
      <c r="A22" s="14">
        <f t="shared" si="12"/>
        <v>15000</v>
      </c>
      <c r="B22" s="3">
        <v>0.24</v>
      </c>
      <c r="C22" s="3">
        <f t="shared" si="0"/>
        <v>253.7555048652543</v>
      </c>
      <c r="D22" s="3">
        <f t="shared" si="7"/>
        <v>48.152909730440555</v>
      </c>
      <c r="E22" s="2">
        <f t="shared" si="1"/>
        <v>1.2215986477464842</v>
      </c>
      <c r="F22" s="132">
        <f t="shared" si="2"/>
        <v>0.8</v>
      </c>
      <c r="G22" s="2">
        <f t="shared" si="8"/>
        <v>0.42159864774648415</v>
      </c>
      <c r="H22" s="2">
        <f t="shared" si="3"/>
        <v>1</v>
      </c>
      <c r="I22" s="2">
        <f t="shared" si="13"/>
        <v>7.2</v>
      </c>
      <c r="J22" s="2">
        <f t="shared" si="9"/>
        <v>6.2</v>
      </c>
      <c r="L22" s="2">
        <f t="shared" si="14"/>
        <v>0.64601970690989352</v>
      </c>
      <c r="M22" s="3">
        <f t="shared" si="10"/>
        <v>348.89246063850692</v>
      </c>
      <c r="N22" s="2">
        <f t="shared" si="4"/>
        <v>0.16860074678630763</v>
      </c>
      <c r="O22" s="132">
        <f t="shared" si="5"/>
        <v>0.8</v>
      </c>
      <c r="P22" s="385">
        <f t="shared" si="6"/>
        <v>4.7449374646836944</v>
      </c>
      <c r="Q22" s="2">
        <f t="shared" si="15"/>
        <v>12.518221465190377</v>
      </c>
    </row>
    <row r="23" spans="1:17">
      <c r="A23" s="14">
        <f t="shared" si="12"/>
        <v>15000</v>
      </c>
      <c r="B23" s="3">
        <v>0.25</v>
      </c>
      <c r="C23" s="3">
        <f t="shared" si="0"/>
        <v>264.32865090130656</v>
      </c>
      <c r="D23" s="3">
        <f t="shared" si="7"/>
        <v>52.249251009592619</v>
      </c>
      <c r="E23" s="2">
        <f t="shared" si="1"/>
        <v>1.12582531376316</v>
      </c>
      <c r="F23" s="132">
        <f t="shared" si="2"/>
        <v>0.8</v>
      </c>
      <c r="G23" s="2">
        <f t="shared" si="8"/>
        <v>0.32582531376315993</v>
      </c>
      <c r="H23" s="2">
        <f t="shared" si="3"/>
        <v>1</v>
      </c>
      <c r="I23" s="2">
        <f t="shared" si="13"/>
        <v>7.2</v>
      </c>
      <c r="J23" s="2">
        <f t="shared" si="9"/>
        <v>6.2</v>
      </c>
      <c r="L23" s="2">
        <f t="shared" si="14"/>
        <v>0.67098090039459835</v>
      </c>
      <c r="M23" s="3">
        <f t="shared" si="10"/>
        <v>376.37465291659464</v>
      </c>
      <c r="N23" s="2">
        <f t="shared" si="4"/>
        <v>0.15628982705378971</v>
      </c>
      <c r="O23" s="132">
        <f t="shared" si="5"/>
        <v>0.8</v>
      </c>
      <c r="P23" s="385">
        <f t="shared" si="6"/>
        <v>5.1186952796656877</v>
      </c>
      <c r="Q23" s="2">
        <f t="shared" si="15"/>
        <v>13.044353052806832</v>
      </c>
    </row>
    <row r="24" spans="1:17">
      <c r="A24" s="14">
        <f t="shared" si="12"/>
        <v>15000</v>
      </c>
      <c r="B24" s="3">
        <v>0.26</v>
      </c>
      <c r="C24" s="3">
        <f t="shared" si="0"/>
        <v>274.90179693735882</v>
      </c>
      <c r="D24" s="3">
        <f t="shared" si="7"/>
        <v>56.51278989197538</v>
      </c>
      <c r="E24" s="2">
        <f t="shared" si="1"/>
        <v>1.0408887886123888</v>
      </c>
      <c r="F24" s="132">
        <f t="shared" si="2"/>
        <v>0.8</v>
      </c>
      <c r="G24" s="2">
        <f t="shared" si="8"/>
        <v>0.24088878861238872</v>
      </c>
      <c r="H24" s="2">
        <f t="shared" si="3"/>
        <v>1</v>
      </c>
      <c r="I24" s="2">
        <f t="shared" si="13"/>
        <v>7.2</v>
      </c>
      <c r="J24" s="2">
        <f t="shared" si="9"/>
        <v>6.2</v>
      </c>
      <c r="L24" s="2">
        <f t="shared" si="14"/>
        <v>0.69594209387930317</v>
      </c>
      <c r="M24" s="3">
        <f t="shared" si="10"/>
        <v>404.89858855460568</v>
      </c>
      <c r="N24" s="2">
        <f t="shared" si="4"/>
        <v>0.14527966032618464</v>
      </c>
      <c r="O24" s="132">
        <f t="shared" si="5"/>
        <v>0.8</v>
      </c>
      <c r="P24" s="385">
        <f t="shared" si="6"/>
        <v>5.5066208043426368</v>
      </c>
      <c r="Q24" s="2">
        <f t="shared" si="15"/>
        <v>13.566056174121355</v>
      </c>
    </row>
    <row r="25" spans="1:17">
      <c r="A25" s="14">
        <f t="shared" si="12"/>
        <v>15000</v>
      </c>
      <c r="B25" s="3">
        <v>0.27</v>
      </c>
      <c r="C25" s="3">
        <f t="shared" si="0"/>
        <v>285.47494297341109</v>
      </c>
      <c r="D25" s="3">
        <f t="shared" si="7"/>
        <v>60.943526377588839</v>
      </c>
      <c r="E25" s="2">
        <f t="shared" si="1"/>
        <v>0.96521374636759238</v>
      </c>
      <c r="F25" s="132">
        <f t="shared" si="2"/>
        <v>0.8</v>
      </c>
      <c r="G25" s="2">
        <f t="shared" si="8"/>
        <v>0.16521374636759234</v>
      </c>
      <c r="H25" s="2">
        <f t="shared" si="3"/>
        <v>1</v>
      </c>
      <c r="I25" s="2">
        <f t="shared" si="13"/>
        <v>7.2</v>
      </c>
      <c r="J25" s="2">
        <f t="shared" si="9"/>
        <v>6.2</v>
      </c>
      <c r="L25" s="2">
        <f t="shared" si="14"/>
        <v>0.72090328736400799</v>
      </c>
      <c r="M25" s="3">
        <f t="shared" si="10"/>
        <v>434.46426755253998</v>
      </c>
      <c r="N25" s="2">
        <f t="shared" si="4"/>
        <v>0.13539325050396955</v>
      </c>
      <c r="O25" s="132">
        <f t="shared" si="5"/>
        <v>0.8</v>
      </c>
      <c r="P25" s="385">
        <f t="shared" si="6"/>
        <v>5.9087140387145443</v>
      </c>
      <c r="Q25" s="2">
        <f t="shared" si="15"/>
        <v>14.084094424431909</v>
      </c>
    </row>
    <row r="26" spans="1:17">
      <c r="A26" s="14">
        <f t="shared" si="12"/>
        <v>15000</v>
      </c>
      <c r="B26" s="3">
        <v>0.28000000000000003</v>
      </c>
      <c r="C26" s="3">
        <f t="shared" si="0"/>
        <v>296.04808900946335</v>
      </c>
      <c r="D26" s="3">
        <f t="shared" si="7"/>
        <v>65.541460466432994</v>
      </c>
      <c r="E26" s="2">
        <f t="shared" si="1"/>
        <v>0.89750104732394742</v>
      </c>
      <c r="F26" s="132">
        <f t="shared" si="2"/>
        <v>0.8</v>
      </c>
      <c r="G26" s="2">
        <f t="shared" si="8"/>
        <v>9.7501047323947376E-2</v>
      </c>
      <c r="H26" s="2">
        <f t="shared" si="3"/>
        <v>1</v>
      </c>
      <c r="I26" s="2">
        <f t="shared" si="13"/>
        <v>7.2</v>
      </c>
      <c r="J26" s="2">
        <f t="shared" si="9"/>
        <v>6.2</v>
      </c>
      <c r="L26" s="2">
        <f t="shared" si="14"/>
        <v>0.74586448084871282</v>
      </c>
      <c r="M26" s="3">
        <f t="shared" si="10"/>
        <v>465.07168991039759</v>
      </c>
      <c r="N26" s="2">
        <f t="shared" si="4"/>
        <v>0.12648271371473474</v>
      </c>
      <c r="O26" s="132">
        <f t="shared" si="5"/>
        <v>0.8</v>
      </c>
      <c r="P26" s="385">
        <f t="shared" si="6"/>
        <v>6.3249749827814075</v>
      </c>
      <c r="Q26" s="2">
        <f t="shared" si="15"/>
        <v>14.599076759812871</v>
      </c>
    </row>
    <row r="27" spans="1:17">
      <c r="A27" s="14">
        <f t="shared" si="12"/>
        <v>15000</v>
      </c>
      <c r="B27" s="3">
        <v>0.28999999999999998</v>
      </c>
      <c r="C27" s="3">
        <f t="shared" si="0"/>
        <v>306.62123504551556</v>
      </c>
      <c r="D27" s="3">
        <f t="shared" si="7"/>
        <v>70.306592158507826</v>
      </c>
      <c r="E27" s="2">
        <f t="shared" si="1"/>
        <v>0.83667160654218187</v>
      </c>
      <c r="F27" s="132">
        <f t="shared" si="2"/>
        <v>0.8</v>
      </c>
      <c r="G27" s="2">
        <f t="shared" si="8"/>
        <v>3.6671606542181823E-2</v>
      </c>
      <c r="H27" s="2">
        <f t="shared" si="3"/>
        <v>1</v>
      </c>
      <c r="I27" s="2">
        <f t="shared" si="13"/>
        <v>7.2</v>
      </c>
      <c r="J27" s="2">
        <f t="shared" si="9"/>
        <v>6.2</v>
      </c>
      <c r="L27" s="2">
        <f t="shared" si="14"/>
        <v>0.77082567433341764</v>
      </c>
      <c r="M27" s="3">
        <f t="shared" si="10"/>
        <v>496.72085562817853</v>
      </c>
      <c r="N27" s="2">
        <f t="shared" si="4"/>
        <v>0.11842371574548338</v>
      </c>
      <c r="O27" s="132">
        <f t="shared" si="5"/>
        <v>0.8</v>
      </c>
      <c r="P27" s="385">
        <f t="shared" si="6"/>
        <v>6.7554036365432291</v>
      </c>
      <c r="Q27" s="2">
        <f t="shared" si="15"/>
        <v>15.111493339687069</v>
      </c>
    </row>
    <row r="28" spans="1:17">
      <c r="A28" s="14">
        <f t="shared" si="12"/>
        <v>15000</v>
      </c>
      <c r="B28" s="3">
        <v>0.3</v>
      </c>
      <c r="C28" s="3">
        <f t="shared" si="0"/>
        <v>317.19438108156788</v>
      </c>
      <c r="D28" s="3">
        <f t="shared" si="7"/>
        <v>75.238921453813361</v>
      </c>
      <c r="E28" s="2">
        <f t="shared" si="1"/>
        <v>0.78182313455774999</v>
      </c>
      <c r="F28" s="132">
        <f t="shared" si="2"/>
        <v>0.8</v>
      </c>
      <c r="G28" s="2">
        <f t="shared" si="8"/>
        <v>-1.8176865442250056E-2</v>
      </c>
      <c r="H28" s="2">
        <f t="shared" si="3"/>
        <v>1.0232493317718618</v>
      </c>
      <c r="I28" s="2">
        <f t="shared" si="13"/>
        <v>7.2</v>
      </c>
      <c r="J28" s="2">
        <f t="shared" si="9"/>
        <v>6.1767506682281379</v>
      </c>
      <c r="L28" s="2">
        <f>I103</f>
        <v>0.79578686781812202</v>
      </c>
      <c r="M28" s="3">
        <f t="shared" si="10"/>
        <v>529.41176470588221</v>
      </c>
      <c r="N28" s="2">
        <f t="shared" si="4"/>
        <v>0.11111111111111115</v>
      </c>
      <c r="O28" s="132">
        <f t="shared" si="5"/>
        <v>0.8</v>
      </c>
      <c r="P28" s="385">
        <f t="shared" si="6"/>
        <v>7.1999999999999984</v>
      </c>
      <c r="Q28" s="2">
        <f t="shared" si="15"/>
        <v>15.621742038511231</v>
      </c>
    </row>
    <row r="29" spans="1:17">
      <c r="A29" s="14">
        <f t="shared" si="12"/>
        <v>15000</v>
      </c>
      <c r="B29" s="3">
        <v>0.31</v>
      </c>
      <c r="C29" s="3">
        <f t="shared" si="0"/>
        <v>327.76752711762015</v>
      </c>
      <c r="D29" s="3">
        <f t="shared" si="7"/>
        <v>80.338448352349616</v>
      </c>
      <c r="E29" s="2">
        <f t="shared" si="1"/>
        <v>0.73219648397708093</v>
      </c>
      <c r="F29" s="132">
        <f t="shared" si="2"/>
        <v>0.8</v>
      </c>
      <c r="G29" s="2">
        <f t="shared" si="8"/>
        <v>-6.7803516022919119E-2</v>
      </c>
      <c r="H29" s="2">
        <f t="shared" si="3"/>
        <v>1.0926028975919548</v>
      </c>
      <c r="I29" s="2">
        <f t="shared" si="13"/>
        <v>7.2</v>
      </c>
      <c r="J29" s="2">
        <f t="shared" si="9"/>
        <v>6.1073971024080453</v>
      </c>
      <c r="L29" s="2"/>
      <c r="P29" s="2"/>
      <c r="Q29" s="3"/>
    </row>
    <row r="30" spans="1:17">
      <c r="A30" s="14">
        <f t="shared" si="12"/>
        <v>15000</v>
      </c>
      <c r="B30" s="3">
        <v>0.32</v>
      </c>
      <c r="C30" s="3">
        <f t="shared" si="0"/>
        <v>338.34067315367241</v>
      </c>
      <c r="D30" s="3">
        <f t="shared" si="7"/>
        <v>85.60517285411656</v>
      </c>
      <c r="E30" s="2">
        <f t="shared" si="1"/>
        <v>0.68714923935739725</v>
      </c>
      <c r="F30" s="132">
        <f t="shared" si="2"/>
        <v>0.8</v>
      </c>
      <c r="G30" s="2">
        <f t="shared" si="8"/>
        <v>-0.1128507606426028</v>
      </c>
      <c r="H30" s="2">
        <f t="shared" si="3"/>
        <v>1.1642303508159852</v>
      </c>
      <c r="I30" s="2">
        <f t="shared" si="13"/>
        <v>7.2</v>
      </c>
      <c r="J30" s="2">
        <f t="shared" si="9"/>
        <v>6.0357696491840152</v>
      </c>
      <c r="L30" s="600" t="s">
        <v>491</v>
      </c>
      <c r="M30" s="600"/>
      <c r="N30" s="600"/>
      <c r="O30" s="600"/>
      <c r="P30" s="600"/>
      <c r="Q30" s="600"/>
    </row>
    <row r="31" spans="1:17">
      <c r="A31" s="14">
        <f t="shared" si="12"/>
        <v>15000</v>
      </c>
      <c r="B31" s="3">
        <v>0.33</v>
      </c>
      <c r="C31" s="3">
        <f t="shared" si="0"/>
        <v>348.91381918972468</v>
      </c>
      <c r="D31" s="3">
        <f t="shared" si="7"/>
        <v>91.039094959114195</v>
      </c>
      <c r="E31" s="2">
        <f t="shared" si="1"/>
        <v>0.64613482194855354</v>
      </c>
      <c r="F31" s="132">
        <f t="shared" si="2"/>
        <v>0.8</v>
      </c>
      <c r="G31" s="2">
        <f t="shared" si="8"/>
        <v>-0.15386517805144651</v>
      </c>
      <c r="H31" s="2">
        <f t="shared" si="3"/>
        <v>1.2381316914439531</v>
      </c>
      <c r="I31" s="2">
        <f t="shared" si="13"/>
        <v>7.2</v>
      </c>
      <c r="J31" s="2">
        <f t="shared" si="9"/>
        <v>5.9618683085560473</v>
      </c>
      <c r="L31" s="386">
        <f>B4</f>
        <v>1.4095063185246761</v>
      </c>
      <c r="P31" s="2"/>
      <c r="Q31" s="386">
        <v>1E-3</v>
      </c>
    </row>
    <row r="32" spans="1:17">
      <c r="A32" s="14">
        <f t="shared" si="12"/>
        <v>15000</v>
      </c>
      <c r="B32" s="3">
        <v>0.34</v>
      </c>
      <c r="C32" s="3">
        <f t="shared" si="0"/>
        <v>359.48696522577694</v>
      </c>
      <c r="D32" s="3">
        <f t="shared" si="7"/>
        <v>96.640214667342519</v>
      </c>
      <c r="E32" s="2">
        <f t="shared" si="1"/>
        <v>0.6086858314030924</v>
      </c>
      <c r="F32" s="132">
        <f t="shared" si="2"/>
        <v>0.8</v>
      </c>
      <c r="G32" s="2">
        <f t="shared" si="8"/>
        <v>-0.19131416859690764</v>
      </c>
      <c r="H32" s="2">
        <f t="shared" si="3"/>
        <v>1.3143069194758583</v>
      </c>
      <c r="I32" s="2">
        <f t="shared" si="13"/>
        <v>7.2</v>
      </c>
      <c r="J32" s="2">
        <f t="shared" si="9"/>
        <v>5.8856930805241419</v>
      </c>
      <c r="L32" s="386">
        <f>L31</f>
        <v>1.4095063185246761</v>
      </c>
      <c r="P32" s="2"/>
      <c r="Q32" s="386">
        <f>32.174*SQRT(B3*B3-1)/(L31*F2)*180/PI()</f>
        <v>8.8198094632889745</v>
      </c>
    </row>
    <row r="33" spans="1:17">
      <c r="A33" s="14">
        <f t="shared" si="12"/>
        <v>15000</v>
      </c>
      <c r="B33" s="3">
        <v>0.35</v>
      </c>
      <c r="C33" s="3">
        <f t="shared" si="0"/>
        <v>370.06011126182915</v>
      </c>
      <c r="D33" s="3">
        <f t="shared" si="7"/>
        <v>102.40853197880152</v>
      </c>
      <c r="E33" s="2">
        <f t="shared" si="1"/>
        <v>0.57440067028732655</v>
      </c>
      <c r="F33" s="132">
        <f t="shared" si="2"/>
        <v>0.8</v>
      </c>
      <c r="G33" s="2">
        <f t="shared" si="8"/>
        <v>-0.22559932971267349</v>
      </c>
      <c r="H33" s="2">
        <f t="shared" si="3"/>
        <v>1.3927560349117007</v>
      </c>
      <c r="I33" s="2">
        <f t="shared" si="13"/>
        <v>7.2</v>
      </c>
      <c r="J33" s="2">
        <f t="shared" si="9"/>
        <v>5.8072439650882997</v>
      </c>
      <c r="L33" s="2"/>
      <c r="P33" s="2"/>
      <c r="Q33" s="3"/>
    </row>
    <row r="34" spans="1:17">
      <c r="A34" s="14">
        <f t="shared" si="12"/>
        <v>15000</v>
      </c>
      <c r="B34" s="3">
        <v>0.36</v>
      </c>
      <c r="C34" s="3">
        <f t="shared" si="0"/>
        <v>380.63325729788141</v>
      </c>
      <c r="D34" s="3">
        <f t="shared" si="7"/>
        <v>108.34404689349125</v>
      </c>
      <c r="E34" s="2">
        <f t="shared" si="1"/>
        <v>0.54293273233177075</v>
      </c>
      <c r="F34" s="132">
        <f t="shared" si="2"/>
        <v>0.8</v>
      </c>
      <c r="G34" s="2">
        <f t="shared" si="8"/>
        <v>-0.25706726766822929</v>
      </c>
      <c r="H34" s="2">
        <f t="shared" si="3"/>
        <v>1.4734790377514813</v>
      </c>
      <c r="I34" s="2">
        <f t="shared" si="13"/>
        <v>7.2</v>
      </c>
      <c r="J34" s="2">
        <f t="shared" si="9"/>
        <v>5.7265209622485189</v>
      </c>
      <c r="L34" s="600" t="s">
        <v>492</v>
      </c>
      <c r="M34" s="600"/>
      <c r="N34" s="600"/>
      <c r="O34" s="600"/>
      <c r="P34" s="600"/>
      <c r="Q34" s="600"/>
    </row>
    <row r="35" spans="1:17">
      <c r="A35" s="14">
        <f t="shared" si="12"/>
        <v>15000</v>
      </c>
      <c r="B35" s="3">
        <v>0.37</v>
      </c>
      <c r="C35" s="3">
        <f t="shared" si="0"/>
        <v>391.20640333393368</v>
      </c>
      <c r="D35" s="3">
        <f t="shared" si="7"/>
        <v>114.44675941141168</v>
      </c>
      <c r="E35" s="2">
        <f t="shared" si="1"/>
        <v>0.51398160781736657</v>
      </c>
      <c r="F35" s="132">
        <f t="shared" si="2"/>
        <v>0.8</v>
      </c>
      <c r="G35" s="2">
        <f t="shared" si="8"/>
        <v>-0.28601839218263347</v>
      </c>
      <c r="H35" s="2">
        <f t="shared" si="3"/>
        <v>1.556475927995199</v>
      </c>
      <c r="I35" s="2">
        <f t="shared" si="13"/>
        <v>7.2</v>
      </c>
      <c r="J35" s="2">
        <f t="shared" si="9"/>
        <v>5.6435240720048014</v>
      </c>
      <c r="L35" s="2">
        <f>L28</f>
        <v>0.79578686781812202</v>
      </c>
      <c r="P35" s="2"/>
      <c r="Q35" s="2">
        <f>32.174*SQRT($B$3*$B$3-1)/(L35*$F$2)*180/PI()</f>
        <v>15.621742038511238</v>
      </c>
    </row>
    <row r="36" spans="1:17">
      <c r="A36" s="14">
        <f t="shared" si="12"/>
        <v>15000</v>
      </c>
      <c r="B36" s="3">
        <v>0.38</v>
      </c>
      <c r="C36" s="3">
        <f t="shared" si="0"/>
        <v>401.779549369986</v>
      </c>
      <c r="D36" s="3">
        <f t="shared" si="7"/>
        <v>120.71666953256279</v>
      </c>
      <c r="E36" s="2">
        <f t="shared" si="1"/>
        <v>0.48728588718973331</v>
      </c>
      <c r="F36" s="132">
        <f t="shared" si="2"/>
        <v>0.8</v>
      </c>
      <c r="G36" s="2">
        <f t="shared" si="8"/>
        <v>-0.31271411281026673</v>
      </c>
      <c r="H36" s="2">
        <f t="shared" si="3"/>
        <v>1.6417467056428541</v>
      </c>
      <c r="I36" s="2">
        <f t="shared" si="13"/>
        <v>7.2</v>
      </c>
      <c r="J36" s="2">
        <f t="shared" si="9"/>
        <v>5.5582532943571463</v>
      </c>
      <c r="L36" s="2">
        <f>(L$55-L$35)/20+L35</f>
        <v>0.8264728403534497</v>
      </c>
      <c r="P36" s="2"/>
      <c r="Q36" s="2">
        <f t="shared" ref="Q36:Q55" si="16">32.174*SQRT($B$3*$B$3-1)/(L36*$F$2)*180/PI()</f>
        <v>15.041724978370794</v>
      </c>
    </row>
    <row r="37" spans="1:17">
      <c r="A37" s="14">
        <f t="shared" si="12"/>
        <v>15000</v>
      </c>
      <c r="B37" s="3">
        <v>0.39</v>
      </c>
      <c r="C37" s="3">
        <f t="shared" si="0"/>
        <v>412.35269540603826</v>
      </c>
      <c r="D37" s="3">
        <f t="shared" si="7"/>
        <v>127.15377725694461</v>
      </c>
      <c r="E37" s="2">
        <f t="shared" si="1"/>
        <v>0.46261723938328392</v>
      </c>
      <c r="F37" s="132">
        <f t="shared" si="2"/>
        <v>0.8</v>
      </c>
      <c r="G37" s="2">
        <f t="shared" si="8"/>
        <v>-0.33738276061671613</v>
      </c>
      <c r="H37" s="2">
        <f t="shared" si="3"/>
        <v>1.7292913706944466</v>
      </c>
      <c r="I37" s="2">
        <f t="shared" si="13"/>
        <v>7.2</v>
      </c>
      <c r="J37" s="2">
        <f t="shared" si="9"/>
        <v>5.4707086293055536</v>
      </c>
      <c r="L37" s="2">
        <f t="shared" ref="L37:L54" si="17">(L$55-L$35)/20+L36</f>
        <v>0.85715881288877738</v>
      </c>
      <c r="P37" s="2"/>
      <c r="Q37" s="2">
        <f t="shared" si="16"/>
        <v>14.503236716184393</v>
      </c>
    </row>
    <row r="38" spans="1:17">
      <c r="A38" s="14">
        <f t="shared" si="12"/>
        <v>15000</v>
      </c>
      <c r="B38" s="3">
        <v>0.4</v>
      </c>
      <c r="C38" s="3">
        <f t="shared" si="0"/>
        <v>422.92584144209053</v>
      </c>
      <c r="D38" s="3">
        <f t="shared" si="7"/>
        <v>133.75808258455712</v>
      </c>
      <c r="E38" s="2">
        <f t="shared" si="1"/>
        <v>0.43977551318873426</v>
      </c>
      <c r="F38" s="132">
        <f t="shared" si="2"/>
        <v>0.8</v>
      </c>
      <c r="G38" s="2">
        <f t="shared" si="8"/>
        <v>-0.36022448681126579</v>
      </c>
      <c r="H38" s="2">
        <f t="shared" si="3"/>
        <v>1.8191099231499772</v>
      </c>
      <c r="I38" s="2">
        <f t="shared" si="13"/>
        <v>7.2</v>
      </c>
      <c r="J38" s="2">
        <f t="shared" si="9"/>
        <v>5.3808900768500232</v>
      </c>
      <c r="L38" s="2">
        <f t="shared" si="17"/>
        <v>0.88784478542410505</v>
      </c>
      <c r="P38" s="2"/>
      <c r="Q38" s="2">
        <f t="shared" si="16"/>
        <v>14.001971257567545</v>
      </c>
    </row>
    <row r="39" spans="1:17">
      <c r="A39" s="14">
        <f t="shared" si="12"/>
        <v>15000</v>
      </c>
      <c r="B39" s="3">
        <v>0.41</v>
      </c>
      <c r="C39" s="3">
        <f t="shared" si="0"/>
        <v>433.49898747814274</v>
      </c>
      <c r="D39" s="3">
        <f t="shared" si="7"/>
        <v>140.52958551540027</v>
      </c>
      <c r="E39" s="2">
        <f t="shared" si="1"/>
        <v>0.41858466454608867</v>
      </c>
      <c r="F39" s="132">
        <f t="shared" si="2"/>
        <v>0.8</v>
      </c>
      <c r="G39" s="2">
        <f t="shared" si="8"/>
        <v>-0.38141533545391137</v>
      </c>
      <c r="H39" s="2">
        <f t="shared" si="3"/>
        <v>1.9112023630094439</v>
      </c>
      <c r="I39" s="2">
        <f t="shared" si="13"/>
        <v>7.2</v>
      </c>
      <c r="J39" s="2">
        <f t="shared" si="9"/>
        <v>5.2887976369905561</v>
      </c>
      <c r="L39" s="2">
        <f t="shared" si="17"/>
        <v>0.91853075795943273</v>
      </c>
      <c r="P39" s="2"/>
      <c r="Q39" s="2">
        <f t="shared" si="16"/>
        <v>13.534198021095106</v>
      </c>
    </row>
    <row r="40" spans="1:17">
      <c r="A40" s="14">
        <f t="shared" si="12"/>
        <v>15000</v>
      </c>
      <c r="B40" s="3">
        <v>0.42</v>
      </c>
      <c r="C40" s="3">
        <f t="shared" si="0"/>
        <v>444.072133514195</v>
      </c>
      <c r="D40" s="3">
        <f t="shared" si="7"/>
        <v>147.46828604947422</v>
      </c>
      <c r="E40" s="2">
        <f t="shared" ref="E40:E71" si="18">$B$1/(D40*_xlfn.SINGLE(S))</f>
        <v>0.39888935436619888</v>
      </c>
      <c r="F40" s="132">
        <f t="shared" ref="F40:F71" si="19">_xlfn.SINGLE(CLmax)</f>
        <v>0.8</v>
      </c>
      <c r="G40" s="2">
        <f t="shared" si="8"/>
        <v>-0.40111064563380117</v>
      </c>
      <c r="H40" s="2">
        <f t="shared" ref="H40:H71" si="20">IF(E40&gt;F40,1,F40*D40*_xlfn.SINGLE(S)/$B$1)</f>
        <v>2.0055686902728493</v>
      </c>
      <c r="I40" s="2">
        <f t="shared" si="13"/>
        <v>7.2</v>
      </c>
      <c r="J40" s="2">
        <f t="shared" si="9"/>
        <v>5.1944313097271504</v>
      </c>
      <c r="L40" s="2">
        <f t="shared" si="17"/>
        <v>0.94921673049476041</v>
      </c>
      <c r="P40" s="2"/>
      <c r="Q40" s="2">
        <f t="shared" si="16"/>
        <v>13.096668829477785</v>
      </c>
    </row>
    <row r="41" spans="1:17">
      <c r="A41" s="14">
        <f t="shared" si="12"/>
        <v>15000</v>
      </c>
      <c r="B41" s="3">
        <v>0.43</v>
      </c>
      <c r="C41" s="3">
        <f t="shared" si="0"/>
        <v>454.64527955024727</v>
      </c>
      <c r="D41" s="3">
        <f t="shared" si="7"/>
        <v>154.57418418677881</v>
      </c>
      <c r="E41" s="2">
        <f t="shared" si="18"/>
        <v>0.38055209361924008</v>
      </c>
      <c r="F41" s="132">
        <f t="shared" si="19"/>
        <v>0.8</v>
      </c>
      <c r="G41" s="2">
        <f t="shared" si="8"/>
        <v>-0.41944790638075996</v>
      </c>
      <c r="H41" s="2">
        <f t="shared" si="20"/>
        <v>2.1022089049401917</v>
      </c>
      <c r="I41" s="2">
        <f t="shared" si="13"/>
        <v>7.2</v>
      </c>
      <c r="J41" s="2">
        <f t="shared" si="9"/>
        <v>5.097791095059808</v>
      </c>
      <c r="L41" s="2">
        <f t="shared" si="17"/>
        <v>0.97990270303008808</v>
      </c>
      <c r="P41" s="2"/>
      <c r="Q41" s="2">
        <f t="shared" si="16"/>
        <v>12.686542376348388</v>
      </c>
    </row>
    <row r="42" spans="1:17">
      <c r="A42" s="14">
        <f t="shared" si="12"/>
        <v>15000</v>
      </c>
      <c r="B42" s="3">
        <v>0.44</v>
      </c>
      <c r="C42" s="3">
        <f t="shared" si="0"/>
        <v>465.21842558629953</v>
      </c>
      <c r="D42" s="3">
        <f t="shared" si="7"/>
        <v>161.8472799273141</v>
      </c>
      <c r="E42" s="2">
        <f t="shared" si="18"/>
        <v>0.36345083734606143</v>
      </c>
      <c r="F42" s="132">
        <f t="shared" si="19"/>
        <v>0.8</v>
      </c>
      <c r="G42" s="2">
        <f t="shared" si="8"/>
        <v>-0.43654916265393862</v>
      </c>
      <c r="H42" s="2">
        <f t="shared" si="20"/>
        <v>2.2011230070114718</v>
      </c>
      <c r="I42" s="2">
        <f t="shared" si="13"/>
        <v>7.2</v>
      </c>
      <c r="J42" s="2">
        <f t="shared" si="9"/>
        <v>4.9988769929885279</v>
      </c>
      <c r="L42" s="2">
        <f t="shared" si="17"/>
        <v>1.0105886755654159</v>
      </c>
      <c r="P42" s="2"/>
      <c r="Q42" s="2">
        <f t="shared" si="16"/>
        <v>12.301322454196493</v>
      </c>
    </row>
    <row r="43" spans="1:17">
      <c r="A43" s="14">
        <f t="shared" si="12"/>
        <v>15000</v>
      </c>
      <c r="B43" s="3">
        <v>0.45</v>
      </c>
      <c r="C43" s="3">
        <f t="shared" si="0"/>
        <v>475.7915716223518</v>
      </c>
      <c r="D43" s="3">
        <f t="shared" si="7"/>
        <v>169.28757327108011</v>
      </c>
      <c r="E43" s="2">
        <f t="shared" si="18"/>
        <v>0.3474769486923332</v>
      </c>
      <c r="F43" s="132">
        <f t="shared" si="19"/>
        <v>0.8</v>
      </c>
      <c r="G43" s="2">
        <f t="shared" si="8"/>
        <v>-0.45252305130766685</v>
      </c>
      <c r="H43" s="2">
        <f t="shared" si="20"/>
        <v>2.3023109964866899</v>
      </c>
      <c r="I43" s="2">
        <f t="shared" si="13"/>
        <v>7.2</v>
      </c>
      <c r="J43" s="2">
        <f t="shared" si="9"/>
        <v>4.8976890035133103</v>
      </c>
      <c r="L43" s="2">
        <f t="shared" si="17"/>
        <v>1.0412746481007435</v>
      </c>
      <c r="P43" s="2"/>
      <c r="Q43" s="2">
        <f t="shared" si="16"/>
        <v>11.938807104700377</v>
      </c>
    </row>
    <row r="44" spans="1:17">
      <c r="A44" s="14">
        <f t="shared" si="12"/>
        <v>15000</v>
      </c>
      <c r="B44" s="3">
        <v>0.46</v>
      </c>
      <c r="C44" s="3">
        <f t="shared" si="0"/>
        <v>486.36471765840412</v>
      </c>
      <c r="D44" s="3">
        <f t="shared" si="7"/>
        <v>176.89506421807678</v>
      </c>
      <c r="E44" s="2">
        <f t="shared" si="18"/>
        <v>0.33253346932985578</v>
      </c>
      <c r="F44" s="132">
        <f t="shared" si="19"/>
        <v>0.8</v>
      </c>
      <c r="G44" s="2">
        <f t="shared" si="8"/>
        <v>-0.46746653067014426</v>
      </c>
      <c r="H44" s="2">
        <f t="shared" si="20"/>
        <v>2.4057728733658443</v>
      </c>
      <c r="I44" s="2">
        <f t="shared" si="13"/>
        <v>7.2</v>
      </c>
      <c r="J44" s="2">
        <f t="shared" si="9"/>
        <v>4.7942271266341558</v>
      </c>
      <c r="L44" s="2">
        <f t="shared" si="17"/>
        <v>1.0719606206360712</v>
      </c>
      <c r="P44" s="2"/>
      <c r="Q44" s="2">
        <f t="shared" si="16"/>
        <v>11.597046502802497</v>
      </c>
    </row>
    <row r="45" spans="1:17">
      <c r="A45" s="14">
        <f t="shared" si="12"/>
        <v>15000</v>
      </c>
      <c r="B45" s="3">
        <v>0.47</v>
      </c>
      <c r="C45" s="3">
        <f t="shared" si="0"/>
        <v>496.93786369445633</v>
      </c>
      <c r="D45" s="3">
        <f t="shared" si="7"/>
        <v>184.66975276830414</v>
      </c>
      <c r="E45" s="2">
        <f t="shared" si="18"/>
        <v>0.31853364468174511</v>
      </c>
      <c r="F45" s="132">
        <f t="shared" si="19"/>
        <v>0.8</v>
      </c>
      <c r="G45" s="2">
        <f t="shared" si="8"/>
        <v>-0.48146635531825493</v>
      </c>
      <c r="H45" s="2">
        <f t="shared" si="20"/>
        <v>2.5115086376489364</v>
      </c>
      <c r="I45" s="2">
        <f t="shared" si="13"/>
        <v>7.2</v>
      </c>
      <c r="J45" s="2">
        <f t="shared" si="9"/>
        <v>4.6884913623510638</v>
      </c>
      <c r="L45" s="2">
        <f t="shared" si="17"/>
        <v>1.1026465931713989</v>
      </c>
      <c r="P45" s="2"/>
      <c r="Q45" s="2">
        <f t="shared" si="16"/>
        <v>11.274307873145659</v>
      </c>
    </row>
    <row r="46" spans="1:17">
      <c r="A46" s="14">
        <f t="shared" si="12"/>
        <v>15000</v>
      </c>
      <c r="B46" s="3">
        <v>0.48</v>
      </c>
      <c r="C46" s="3">
        <f t="shared" si="0"/>
        <v>507.51100973050859</v>
      </c>
      <c r="D46" s="3">
        <f t="shared" si="7"/>
        <v>192.61163892176222</v>
      </c>
      <c r="E46" s="2">
        <f t="shared" si="18"/>
        <v>0.30539966193662105</v>
      </c>
      <c r="F46" s="132">
        <f t="shared" si="19"/>
        <v>0.8</v>
      </c>
      <c r="G46" s="2">
        <f t="shared" si="8"/>
        <v>-0.494600338063379</v>
      </c>
      <c r="H46" s="2">
        <f t="shared" si="20"/>
        <v>2.6195182893359665</v>
      </c>
      <c r="I46" s="2">
        <f t="shared" si="13"/>
        <v>7.2</v>
      </c>
      <c r="J46" s="2">
        <f t="shared" si="9"/>
        <v>4.5804817106640332</v>
      </c>
      <c r="L46" s="2">
        <f t="shared" si="17"/>
        <v>1.1333325657067266</v>
      </c>
      <c r="P46" s="2"/>
      <c r="Q46" s="2">
        <f t="shared" si="16"/>
        <v>10.969046106018695</v>
      </c>
    </row>
    <row r="47" spans="1:17">
      <c r="A47" s="14">
        <f t="shared" si="12"/>
        <v>15000</v>
      </c>
      <c r="B47" s="3">
        <v>0.49</v>
      </c>
      <c r="C47" s="3">
        <f t="shared" si="0"/>
        <v>518.0841557665608</v>
      </c>
      <c r="D47" s="3">
        <f t="shared" si="7"/>
        <v>200.72072267845101</v>
      </c>
      <c r="E47" s="2">
        <f t="shared" si="18"/>
        <v>0.29306156647312576</v>
      </c>
      <c r="F47" s="132">
        <f t="shared" si="19"/>
        <v>0.8</v>
      </c>
      <c r="G47" s="2">
        <f t="shared" si="8"/>
        <v>-0.50693843352687429</v>
      </c>
      <c r="H47" s="2">
        <f t="shared" si="20"/>
        <v>2.7298018284269339</v>
      </c>
      <c r="I47" s="2">
        <f t="shared" si="13"/>
        <v>7.2</v>
      </c>
      <c r="J47" s="2">
        <f t="shared" si="9"/>
        <v>4.4701981715730668</v>
      </c>
      <c r="L47" s="2">
        <f t="shared" si="17"/>
        <v>1.1640185382420543</v>
      </c>
      <c r="P47" s="2"/>
      <c r="Q47" s="2">
        <f t="shared" si="16"/>
        <v>10.679879021054242</v>
      </c>
    </row>
    <row r="48" spans="1:17">
      <c r="A48" s="14">
        <f t="shared" si="12"/>
        <v>15000</v>
      </c>
      <c r="B48" s="3">
        <v>0.5</v>
      </c>
      <c r="C48" s="3">
        <f t="shared" si="0"/>
        <v>528.65730180261312</v>
      </c>
      <c r="D48" s="3">
        <f t="shared" si="7"/>
        <v>208.99700403837048</v>
      </c>
      <c r="E48" s="2">
        <f t="shared" si="18"/>
        <v>0.28145632844078999</v>
      </c>
      <c r="F48" s="132">
        <f t="shared" si="19"/>
        <v>0.8</v>
      </c>
      <c r="G48" s="2">
        <f t="shared" si="8"/>
        <v>-0.51854367155921</v>
      </c>
      <c r="H48" s="2">
        <f t="shared" si="20"/>
        <v>2.8423592549218384</v>
      </c>
      <c r="I48" s="2">
        <f t="shared" si="13"/>
        <v>7.2</v>
      </c>
      <c r="J48" s="2">
        <f t="shared" si="9"/>
        <v>4.3576407450781618</v>
      </c>
      <c r="L48" s="2">
        <f t="shared" si="17"/>
        <v>1.1947045107773819</v>
      </c>
      <c r="P48" s="2"/>
      <c r="Q48" s="2">
        <f t="shared" si="16"/>
        <v>10.405566443036566</v>
      </c>
    </row>
    <row r="49" spans="1:17">
      <c r="A49" s="14">
        <f t="shared" si="12"/>
        <v>15000</v>
      </c>
      <c r="B49" s="3">
        <v>0.51</v>
      </c>
      <c r="C49" s="3">
        <f t="shared" si="0"/>
        <v>539.23044783866544</v>
      </c>
      <c r="D49" s="3">
        <f t="shared" si="7"/>
        <v>217.44048300152065</v>
      </c>
      <c r="E49" s="2">
        <f t="shared" si="18"/>
        <v>0.27052703617915219</v>
      </c>
      <c r="F49" s="132">
        <f t="shared" si="19"/>
        <v>0.8</v>
      </c>
      <c r="G49" s="2">
        <f t="shared" si="8"/>
        <v>-0.52947296382084785</v>
      </c>
      <c r="H49" s="2">
        <f t="shared" si="20"/>
        <v>2.957190568820681</v>
      </c>
      <c r="I49" s="2">
        <f t="shared" si="13"/>
        <v>7.2</v>
      </c>
      <c r="J49" s="2">
        <f t="shared" si="9"/>
        <v>4.2428094311793192</v>
      </c>
      <c r="L49" s="2">
        <f t="shared" si="17"/>
        <v>1.2253904833127096</v>
      </c>
      <c r="P49" s="2"/>
      <c r="Q49" s="2">
        <f t="shared" si="16"/>
        <v>10.144992421584774</v>
      </c>
    </row>
    <row r="50" spans="1:17">
      <c r="A50" s="14">
        <f t="shared" si="12"/>
        <v>15000</v>
      </c>
      <c r="B50" s="3">
        <v>0.52</v>
      </c>
      <c r="C50" s="3">
        <f t="shared" si="0"/>
        <v>549.80359387471765</v>
      </c>
      <c r="D50" s="3">
        <f t="shared" si="7"/>
        <v>226.05115956790152</v>
      </c>
      <c r="E50" s="2">
        <f t="shared" si="18"/>
        <v>0.26022219715309719</v>
      </c>
      <c r="F50" s="132">
        <f t="shared" si="19"/>
        <v>0.8</v>
      </c>
      <c r="G50" s="2">
        <f t="shared" si="8"/>
        <v>-0.53977780284690291</v>
      </c>
      <c r="H50" s="2">
        <f t="shared" si="20"/>
        <v>3.0742957701234608</v>
      </c>
      <c r="I50" s="2">
        <f t="shared" si="13"/>
        <v>7.2</v>
      </c>
      <c r="J50" s="2">
        <f t="shared" si="9"/>
        <v>4.1257042298765398</v>
      </c>
      <c r="L50" s="2">
        <f t="shared" si="17"/>
        <v>1.2560764558480373</v>
      </c>
      <c r="P50" s="2"/>
      <c r="Q50" s="2">
        <f t="shared" si="16"/>
        <v>9.8971500570770523</v>
      </c>
    </row>
    <row r="51" spans="1:17">
      <c r="A51" s="14">
        <f t="shared" si="12"/>
        <v>15000</v>
      </c>
      <c r="B51" s="3">
        <v>0.53</v>
      </c>
      <c r="C51" s="3">
        <f t="shared" si="0"/>
        <v>560.37673991076997</v>
      </c>
      <c r="D51" s="3">
        <f t="shared" si="7"/>
        <v>234.82903373751307</v>
      </c>
      <c r="E51" s="2">
        <f t="shared" si="18"/>
        <v>0.25049513033178172</v>
      </c>
      <c r="F51" s="132">
        <f t="shared" si="19"/>
        <v>0.8</v>
      </c>
      <c r="G51" s="2">
        <f t="shared" si="8"/>
        <v>-0.54950486966821832</v>
      </c>
      <c r="H51" s="2">
        <f t="shared" si="20"/>
        <v>3.1936748588301778</v>
      </c>
      <c r="I51" s="2">
        <f t="shared" si="13"/>
        <v>7.2</v>
      </c>
      <c r="J51" s="2">
        <f t="shared" si="9"/>
        <v>4.0063251411698229</v>
      </c>
      <c r="L51" s="2">
        <f t="shared" si="17"/>
        <v>1.286762428383365</v>
      </c>
      <c r="P51" s="2"/>
      <c r="Q51" s="2">
        <f t="shared" si="16"/>
        <v>9.661128497750795</v>
      </c>
    </row>
    <row r="52" spans="1:17">
      <c r="A52" s="14">
        <f t="shared" si="12"/>
        <v>15000</v>
      </c>
      <c r="B52" s="3">
        <v>0.54</v>
      </c>
      <c r="C52" s="3">
        <f t="shared" si="0"/>
        <v>570.94988594682218</v>
      </c>
      <c r="D52" s="3">
        <f t="shared" si="7"/>
        <v>243.77410551035535</v>
      </c>
      <c r="E52" s="2">
        <f t="shared" si="18"/>
        <v>0.2413034365918981</v>
      </c>
      <c r="F52" s="132">
        <f t="shared" si="19"/>
        <v>0.8</v>
      </c>
      <c r="G52" s="2">
        <f t="shared" si="8"/>
        <v>-0.55869656340810192</v>
      </c>
      <c r="H52" s="2">
        <f t="shared" si="20"/>
        <v>3.3153278349408333</v>
      </c>
      <c r="I52" s="2">
        <f t="shared" si="13"/>
        <v>7.2</v>
      </c>
      <c r="J52" s="2">
        <f t="shared" si="9"/>
        <v>3.8846721650591669</v>
      </c>
      <c r="L52" s="2">
        <f t="shared" si="17"/>
        <v>1.3174484009186926</v>
      </c>
      <c r="P52" s="2"/>
      <c r="Q52" s="2">
        <f t="shared" si="16"/>
        <v>9.4361017539819141</v>
      </c>
    </row>
    <row r="53" spans="1:17">
      <c r="A53" s="14">
        <f t="shared" si="12"/>
        <v>15000</v>
      </c>
      <c r="B53" s="3">
        <v>0.55000000000000004</v>
      </c>
      <c r="C53" s="3">
        <f t="shared" si="0"/>
        <v>581.5230319828745</v>
      </c>
      <c r="D53" s="3">
        <f t="shared" si="7"/>
        <v>252.88637488642831</v>
      </c>
      <c r="E53" s="2">
        <f t="shared" si="18"/>
        <v>0.23260853590147926</v>
      </c>
      <c r="F53" s="132">
        <f t="shared" si="19"/>
        <v>0.8</v>
      </c>
      <c r="G53" s="2">
        <f t="shared" si="8"/>
        <v>-0.56739146409852081</v>
      </c>
      <c r="H53" s="2">
        <f t="shared" si="20"/>
        <v>3.4392546984554255</v>
      </c>
      <c r="I53" s="2">
        <f t="shared" si="13"/>
        <v>7.2</v>
      </c>
      <c r="J53" s="2">
        <f t="shared" si="9"/>
        <v>3.7607453015445746</v>
      </c>
      <c r="L53" s="2">
        <f t="shared" si="17"/>
        <v>1.3481343734540203</v>
      </c>
      <c r="P53" s="2"/>
      <c r="Q53" s="2">
        <f t="shared" si="16"/>
        <v>9.2213190402073355</v>
      </c>
    </row>
    <row r="54" spans="1:17">
      <c r="A54" s="14">
        <f t="shared" si="12"/>
        <v>15000</v>
      </c>
      <c r="B54" s="3">
        <v>0.56000000000000005</v>
      </c>
      <c r="C54" s="3">
        <f t="shared" si="0"/>
        <v>592.09617801892671</v>
      </c>
      <c r="D54" s="3">
        <f t="shared" si="7"/>
        <v>262.16584186573198</v>
      </c>
      <c r="E54" s="2">
        <f t="shared" si="18"/>
        <v>0.22437526183098686</v>
      </c>
      <c r="F54" s="132">
        <f t="shared" si="19"/>
        <v>0.8</v>
      </c>
      <c r="G54" s="2">
        <f t="shared" si="8"/>
        <v>-0.57562473816901316</v>
      </c>
      <c r="H54" s="2">
        <f t="shared" si="20"/>
        <v>3.5654554493739554</v>
      </c>
      <c r="I54" s="2">
        <f t="shared" si="13"/>
        <v>7.2</v>
      </c>
      <c r="J54" s="2">
        <f t="shared" si="9"/>
        <v>3.6345445506260448</v>
      </c>
      <c r="L54" s="2">
        <f t="shared" si="17"/>
        <v>1.378820345989348</v>
      </c>
      <c r="P54" s="2"/>
      <c r="Q54" s="2">
        <f t="shared" si="16"/>
        <v>9.0160964065042766</v>
      </c>
    </row>
    <row r="55" spans="1:17">
      <c r="A55" s="14">
        <f t="shared" si="12"/>
        <v>15000</v>
      </c>
      <c r="B55" s="3">
        <v>0.56999999999999995</v>
      </c>
      <c r="C55" s="3">
        <f t="shared" si="0"/>
        <v>602.66932405497892</v>
      </c>
      <c r="D55" s="3">
        <f t="shared" si="7"/>
        <v>271.61250644826623</v>
      </c>
      <c r="E55" s="2">
        <f t="shared" si="18"/>
        <v>0.21657150541765927</v>
      </c>
      <c r="F55" s="132">
        <f t="shared" si="19"/>
        <v>0.8</v>
      </c>
      <c r="G55" s="2">
        <f t="shared" si="8"/>
        <v>-0.58342849458234081</v>
      </c>
      <c r="H55" s="2">
        <f t="shared" si="20"/>
        <v>3.6939300876964203</v>
      </c>
      <c r="I55" s="2">
        <f t="shared" si="13"/>
        <v>7.2</v>
      </c>
      <c r="J55" s="2">
        <f t="shared" si="9"/>
        <v>3.5060699123035799</v>
      </c>
      <c r="L55" s="2">
        <f>L32</f>
        <v>1.4095063185246761</v>
      </c>
      <c r="P55" s="2"/>
      <c r="Q55" s="2">
        <f t="shared" si="16"/>
        <v>8.8198094632889745</v>
      </c>
    </row>
    <row r="56" spans="1:17">
      <c r="A56" s="14">
        <f t="shared" si="12"/>
        <v>15000</v>
      </c>
      <c r="B56" s="3">
        <v>0.57999999999999996</v>
      </c>
      <c r="C56" s="3">
        <f t="shared" si="0"/>
        <v>613.24247009103112</v>
      </c>
      <c r="D56" s="3">
        <f t="shared" si="7"/>
        <v>281.2263686340313</v>
      </c>
      <c r="E56" s="2">
        <f t="shared" si="18"/>
        <v>0.20916790163554547</v>
      </c>
      <c r="F56" s="132">
        <f t="shared" si="19"/>
        <v>0.8</v>
      </c>
      <c r="G56" s="2">
        <f t="shared" si="8"/>
        <v>-0.59083209836445461</v>
      </c>
      <c r="H56" s="2">
        <f t="shared" si="20"/>
        <v>3.8246786134228254</v>
      </c>
      <c r="I56" s="2">
        <f t="shared" si="13"/>
        <v>7.2</v>
      </c>
      <c r="J56" s="2">
        <f t="shared" si="9"/>
        <v>3.3753213865771747</v>
      </c>
      <c r="L56" s="2"/>
      <c r="P56" s="2"/>
      <c r="Q56" s="3"/>
    </row>
    <row r="57" spans="1:17">
      <c r="A57" s="14">
        <f t="shared" si="12"/>
        <v>15000</v>
      </c>
      <c r="B57" s="3">
        <v>0.59</v>
      </c>
      <c r="C57" s="3">
        <f t="shared" si="0"/>
        <v>623.81561612708344</v>
      </c>
      <c r="D57" s="3">
        <f t="shared" si="7"/>
        <v>291.00742842302702</v>
      </c>
      <c r="E57" s="2">
        <f t="shared" si="18"/>
        <v>0.20213755274403186</v>
      </c>
      <c r="F57" s="132">
        <f t="shared" si="19"/>
        <v>0.8</v>
      </c>
      <c r="G57" s="2">
        <f t="shared" si="8"/>
        <v>-0.59786244725596815</v>
      </c>
      <c r="H57" s="2">
        <f t="shared" si="20"/>
        <v>3.9577010265531682</v>
      </c>
      <c r="I57" s="2">
        <f t="shared" si="13"/>
        <v>7.2</v>
      </c>
      <c r="J57" s="2">
        <f t="shared" si="9"/>
        <v>3.2422989734468319</v>
      </c>
      <c r="L57" s="2"/>
      <c r="P57" s="2"/>
      <c r="Q57" s="3"/>
    </row>
    <row r="58" spans="1:17">
      <c r="A58" s="14">
        <f t="shared" si="12"/>
        <v>15000</v>
      </c>
      <c r="B58" s="3">
        <v>0.6</v>
      </c>
      <c r="C58" s="3">
        <f t="shared" si="0"/>
        <v>634.38876216313577</v>
      </c>
      <c r="D58" s="3">
        <f t="shared" si="7"/>
        <v>300.95568581525345</v>
      </c>
      <c r="E58" s="2">
        <f t="shared" si="18"/>
        <v>0.1954557836394375</v>
      </c>
      <c r="F58" s="132">
        <f t="shared" si="19"/>
        <v>0.8</v>
      </c>
      <c r="G58" s="2">
        <f t="shared" si="8"/>
        <v>-0.60454421636056255</v>
      </c>
      <c r="H58" s="2">
        <f t="shared" si="20"/>
        <v>4.0929973270874473</v>
      </c>
      <c r="I58" s="2">
        <f t="shared" si="13"/>
        <v>7.2</v>
      </c>
      <c r="J58" s="2">
        <f t="shared" si="9"/>
        <v>3.1070026729125528</v>
      </c>
      <c r="L58" s="2"/>
      <c r="P58" s="2"/>
      <c r="Q58" s="3"/>
    </row>
    <row r="59" spans="1:17">
      <c r="A59" s="14">
        <f t="shared" si="12"/>
        <v>15000</v>
      </c>
      <c r="B59" s="3">
        <v>0.61</v>
      </c>
      <c r="C59" s="3">
        <f t="shared" si="0"/>
        <v>644.96190819918797</v>
      </c>
      <c r="D59" s="3">
        <f t="shared" si="7"/>
        <v>311.07114081071063</v>
      </c>
      <c r="E59" s="2">
        <f t="shared" si="18"/>
        <v>0.1890999250475611</v>
      </c>
      <c r="F59" s="132">
        <f t="shared" si="19"/>
        <v>0.8</v>
      </c>
      <c r="G59" s="2">
        <f t="shared" si="8"/>
        <v>-0.61090007495243892</v>
      </c>
      <c r="H59" s="2">
        <f t="shared" si="20"/>
        <v>4.2305675150256645</v>
      </c>
      <c r="I59" s="2">
        <f t="shared" si="13"/>
        <v>7.2</v>
      </c>
      <c r="J59" s="2">
        <f t="shared" si="9"/>
        <v>2.9694324849743357</v>
      </c>
      <c r="L59" s="2"/>
      <c r="P59" s="2"/>
      <c r="Q59" s="3"/>
    </row>
    <row r="60" spans="1:17">
      <c r="A60" s="14">
        <f t="shared" si="12"/>
        <v>15000</v>
      </c>
      <c r="B60" s="3">
        <v>0.62</v>
      </c>
      <c r="C60" s="3">
        <f t="shared" si="0"/>
        <v>655.5350542352403</v>
      </c>
      <c r="D60" s="3">
        <f t="shared" si="7"/>
        <v>321.35379340939846</v>
      </c>
      <c r="E60" s="2">
        <f t="shared" si="18"/>
        <v>0.18304912099427023</v>
      </c>
      <c r="F60" s="132">
        <f t="shared" si="19"/>
        <v>0.8</v>
      </c>
      <c r="G60" s="2">
        <f t="shared" si="8"/>
        <v>-0.61695087900572987</v>
      </c>
      <c r="H60" s="2">
        <f t="shared" si="20"/>
        <v>4.3704115903678193</v>
      </c>
      <c r="I60" s="2">
        <f t="shared" si="13"/>
        <v>7.2</v>
      </c>
      <c r="J60" s="2">
        <f t="shared" si="9"/>
        <v>2.8295884096321808</v>
      </c>
      <c r="L60" s="2"/>
      <c r="P60" s="2"/>
      <c r="Q60" s="3"/>
    </row>
    <row r="61" spans="1:17">
      <c r="A61" s="14">
        <f t="shared" si="12"/>
        <v>15000</v>
      </c>
      <c r="B61" s="3">
        <v>0.63</v>
      </c>
      <c r="C61" s="3">
        <f t="shared" si="0"/>
        <v>666.1082002712925</v>
      </c>
      <c r="D61" s="3">
        <f t="shared" si="7"/>
        <v>331.80364361131694</v>
      </c>
      <c r="E61" s="2">
        <f t="shared" si="18"/>
        <v>0.17728415749608842</v>
      </c>
      <c r="F61" s="132">
        <f t="shared" si="19"/>
        <v>0.8</v>
      </c>
      <c r="G61" s="2">
        <f t="shared" si="8"/>
        <v>-0.62271584250391165</v>
      </c>
      <c r="H61" s="2">
        <f t="shared" si="20"/>
        <v>4.5125295531139109</v>
      </c>
      <c r="I61" s="2">
        <f t="shared" si="13"/>
        <v>7.2</v>
      </c>
      <c r="J61" s="2">
        <f t="shared" si="9"/>
        <v>2.6874704468860893</v>
      </c>
      <c r="L61" s="2"/>
      <c r="P61" s="2"/>
      <c r="Q61" s="3"/>
    </row>
    <row r="62" spans="1:17">
      <c r="A62" s="14">
        <f t="shared" si="12"/>
        <v>15000</v>
      </c>
      <c r="B62" s="3">
        <v>0.64</v>
      </c>
      <c r="C62" s="3">
        <f t="shared" si="0"/>
        <v>676.68134630734482</v>
      </c>
      <c r="D62" s="3">
        <f t="shared" si="7"/>
        <v>342.42069141646624</v>
      </c>
      <c r="E62" s="2">
        <f t="shared" si="18"/>
        <v>0.17178730983934931</v>
      </c>
      <c r="F62" s="132">
        <f t="shared" si="19"/>
        <v>0.8</v>
      </c>
      <c r="G62" s="2">
        <f t="shared" si="8"/>
        <v>-0.62821269016065073</v>
      </c>
      <c r="H62" s="2">
        <f t="shared" si="20"/>
        <v>4.656921403263941</v>
      </c>
      <c r="I62" s="2">
        <f t="shared" si="13"/>
        <v>7.2</v>
      </c>
      <c r="J62" s="2">
        <f t="shared" si="9"/>
        <v>2.5430785967360592</v>
      </c>
      <c r="L62" s="2"/>
      <c r="P62" s="2"/>
      <c r="Q62" s="3"/>
    </row>
    <row r="63" spans="1:17">
      <c r="A63" s="14">
        <f t="shared" si="12"/>
        <v>15000</v>
      </c>
      <c r="B63" s="3">
        <v>0.65</v>
      </c>
      <c r="C63" s="3">
        <f t="shared" si="0"/>
        <v>687.25449234339703</v>
      </c>
      <c r="D63" s="3">
        <f t="shared" si="7"/>
        <v>353.20493682484613</v>
      </c>
      <c r="E63" s="2">
        <f t="shared" si="18"/>
        <v>0.16654220617798221</v>
      </c>
      <c r="F63" s="132">
        <f t="shared" si="19"/>
        <v>0.8</v>
      </c>
      <c r="G63" s="2">
        <f t="shared" si="8"/>
        <v>-0.63345779382201783</v>
      </c>
      <c r="H63" s="2">
        <f t="shared" si="20"/>
        <v>4.8035871408179078</v>
      </c>
      <c r="I63" s="2">
        <f t="shared" si="13"/>
        <v>7.2</v>
      </c>
      <c r="J63" s="2">
        <f t="shared" si="9"/>
        <v>2.3964128591820923</v>
      </c>
      <c r="L63" s="2"/>
      <c r="P63" s="2"/>
      <c r="Q63" s="3"/>
    </row>
    <row r="64" spans="1:17">
      <c r="A64" s="14">
        <f t="shared" si="12"/>
        <v>15000</v>
      </c>
      <c r="B64" s="3">
        <v>0.66</v>
      </c>
      <c r="C64" s="3">
        <f t="shared" si="0"/>
        <v>697.82763837944935</v>
      </c>
      <c r="D64" s="3">
        <f t="shared" si="7"/>
        <v>364.15637983645678</v>
      </c>
      <c r="E64" s="2">
        <f t="shared" si="18"/>
        <v>0.16153370548713838</v>
      </c>
      <c r="F64" s="132">
        <f t="shared" si="19"/>
        <v>0.8</v>
      </c>
      <c r="G64" s="2">
        <f t="shared" si="8"/>
        <v>-0.63846629451286163</v>
      </c>
      <c r="H64" s="2">
        <f t="shared" si="20"/>
        <v>4.9525267657758123</v>
      </c>
      <c r="I64" s="2">
        <f t="shared" si="13"/>
        <v>7.2</v>
      </c>
      <c r="J64" s="2">
        <f t="shared" si="9"/>
        <v>2.2474732342241879</v>
      </c>
      <c r="L64" s="2"/>
      <c r="P64" s="2"/>
      <c r="Q64" s="3"/>
    </row>
    <row r="65" spans="1:17">
      <c r="A65" s="14">
        <f t="shared" si="12"/>
        <v>15000</v>
      </c>
      <c r="B65" s="3">
        <v>0.67</v>
      </c>
      <c r="C65" s="3">
        <f t="shared" si="0"/>
        <v>708.40078441550168</v>
      </c>
      <c r="D65" s="3">
        <f t="shared" si="7"/>
        <v>375.27502045129802</v>
      </c>
      <c r="E65" s="2">
        <f t="shared" si="18"/>
        <v>0.15674778817152482</v>
      </c>
      <c r="F65" s="132">
        <f t="shared" si="19"/>
        <v>0.8</v>
      </c>
      <c r="G65" s="2">
        <f t="shared" si="8"/>
        <v>-0.64325221182847525</v>
      </c>
      <c r="H65" s="2">
        <f t="shared" si="20"/>
        <v>5.1037402781376526</v>
      </c>
      <c r="I65" s="2">
        <f t="shared" si="13"/>
        <v>7.2</v>
      </c>
      <c r="J65" s="2">
        <f t="shared" si="9"/>
        <v>2.0962597218623475</v>
      </c>
      <c r="L65" s="2"/>
      <c r="P65" s="2"/>
      <c r="Q65" s="3"/>
    </row>
    <row r="66" spans="1:17">
      <c r="A66" s="14">
        <f t="shared" si="12"/>
        <v>15000</v>
      </c>
      <c r="B66" s="3">
        <v>0.68</v>
      </c>
      <c r="C66" s="3">
        <f t="shared" si="0"/>
        <v>718.97393045155388</v>
      </c>
      <c r="D66" s="3">
        <f t="shared" si="7"/>
        <v>386.56085866937008</v>
      </c>
      <c r="E66" s="2">
        <f t="shared" si="18"/>
        <v>0.1521714578507731</v>
      </c>
      <c r="F66" s="132">
        <f t="shared" si="19"/>
        <v>0.8</v>
      </c>
      <c r="G66" s="2">
        <f t="shared" si="8"/>
        <v>-0.64782854214922692</v>
      </c>
      <c r="H66" s="2">
        <f t="shared" si="20"/>
        <v>5.2572276779034333</v>
      </c>
      <c r="I66" s="2">
        <f t="shared" si="13"/>
        <v>7.2</v>
      </c>
      <c r="J66" s="2">
        <f t="shared" si="9"/>
        <v>1.9427723220965669</v>
      </c>
      <c r="L66" s="2"/>
      <c r="P66" s="2"/>
      <c r="Q66" s="3"/>
    </row>
    <row r="67" spans="1:17">
      <c r="A67" s="14">
        <f t="shared" si="12"/>
        <v>15000</v>
      </c>
      <c r="B67" s="3">
        <v>0.69</v>
      </c>
      <c r="C67" s="3">
        <f t="shared" si="0"/>
        <v>729.54707648760609</v>
      </c>
      <c r="D67" s="3">
        <f t="shared" si="7"/>
        <v>398.01389449067267</v>
      </c>
      <c r="E67" s="2">
        <f t="shared" si="18"/>
        <v>0.14779265303549149</v>
      </c>
      <c r="F67" s="132">
        <f t="shared" si="19"/>
        <v>0.8</v>
      </c>
      <c r="G67" s="2">
        <f t="shared" si="8"/>
        <v>-0.65220734696450855</v>
      </c>
      <c r="H67" s="2">
        <f t="shared" si="20"/>
        <v>5.4129889650731489</v>
      </c>
      <c r="I67" s="2">
        <f t="shared" si="13"/>
        <v>7.2</v>
      </c>
      <c r="J67" s="2">
        <f t="shared" si="9"/>
        <v>1.7870110349268513</v>
      </c>
      <c r="L67" s="2"/>
      <c r="P67" s="2"/>
      <c r="Q67" s="3"/>
    </row>
    <row r="68" spans="1:17">
      <c r="A68" s="14">
        <f t="shared" si="12"/>
        <v>15000</v>
      </c>
      <c r="B68" s="3">
        <v>0.7</v>
      </c>
      <c r="C68" s="3">
        <f t="shared" si="0"/>
        <v>740.1202225236583</v>
      </c>
      <c r="D68" s="3">
        <f t="shared" si="7"/>
        <v>409.63412791520608</v>
      </c>
      <c r="E68" s="2">
        <f t="shared" si="18"/>
        <v>0.14360016757183164</v>
      </c>
      <c r="F68" s="132">
        <f t="shared" si="19"/>
        <v>0.8</v>
      </c>
      <c r="G68" s="2">
        <f t="shared" si="8"/>
        <v>-0.65639983242816835</v>
      </c>
      <c r="H68" s="2">
        <f t="shared" si="20"/>
        <v>5.571024139646803</v>
      </c>
      <c r="I68" s="2">
        <f t="shared" si="13"/>
        <v>7.2</v>
      </c>
      <c r="J68" s="2">
        <f t="shared" si="9"/>
        <v>1.6289758603531972</v>
      </c>
      <c r="L68" s="2"/>
      <c r="P68" s="2"/>
      <c r="Q68" s="3"/>
    </row>
    <row r="69" spans="1:17">
      <c r="A69" s="14">
        <f t="shared" si="12"/>
        <v>15000</v>
      </c>
      <c r="B69" s="3">
        <v>0.71</v>
      </c>
      <c r="C69" s="3">
        <f t="shared" si="0"/>
        <v>750.69336855971062</v>
      </c>
      <c r="D69" s="3">
        <f t="shared" si="7"/>
        <v>421.42155894297019</v>
      </c>
      <c r="E69" s="2">
        <f t="shared" si="18"/>
        <v>0.13958357887363121</v>
      </c>
      <c r="F69" s="132">
        <f t="shared" si="19"/>
        <v>0.8</v>
      </c>
      <c r="G69" s="2">
        <f t="shared" si="8"/>
        <v>-0.66041642112636878</v>
      </c>
      <c r="H69" s="2">
        <f t="shared" si="20"/>
        <v>5.7313332016243947</v>
      </c>
      <c r="I69" s="2">
        <f t="shared" si="13"/>
        <v>7.2</v>
      </c>
      <c r="J69" s="2">
        <f t="shared" si="9"/>
        <v>1.4686667983756054</v>
      </c>
      <c r="L69" s="2"/>
    </row>
    <row r="70" spans="1:17">
      <c r="A70" s="14">
        <f t="shared" si="12"/>
        <v>15000</v>
      </c>
      <c r="B70" s="3">
        <v>0.72</v>
      </c>
      <c r="C70" s="3">
        <f t="shared" si="0"/>
        <v>761.26651459576283</v>
      </c>
      <c r="D70" s="3">
        <f t="shared" si="7"/>
        <v>433.37618757396501</v>
      </c>
      <c r="E70" s="2">
        <f t="shared" si="18"/>
        <v>0.13573318308294269</v>
      </c>
      <c r="F70" s="132">
        <f t="shared" si="19"/>
        <v>0.8</v>
      </c>
      <c r="G70" s="2">
        <f t="shared" si="8"/>
        <v>-0.66426681691705736</v>
      </c>
      <c r="H70" s="2">
        <f t="shared" si="20"/>
        <v>5.893916151005925</v>
      </c>
      <c r="I70" s="2">
        <f t="shared" si="13"/>
        <v>7.2</v>
      </c>
      <c r="J70" s="2">
        <f t="shared" si="9"/>
        <v>1.3060838489940751</v>
      </c>
      <c r="L70" s="2"/>
    </row>
    <row r="71" spans="1:17">
      <c r="A71" s="14">
        <f t="shared" si="12"/>
        <v>15000</v>
      </c>
      <c r="B71" s="3">
        <v>0.73</v>
      </c>
      <c r="C71" s="3">
        <f t="shared" si="0"/>
        <v>771.83966063181515</v>
      </c>
      <c r="D71" s="3">
        <f t="shared" si="7"/>
        <v>445.49801380819048</v>
      </c>
      <c r="E71" s="2">
        <f t="shared" si="18"/>
        <v>0.13203993640494932</v>
      </c>
      <c r="F71" s="132">
        <f t="shared" si="19"/>
        <v>0.8</v>
      </c>
      <c r="G71" s="2">
        <f t="shared" si="8"/>
        <v>-0.66796006359505067</v>
      </c>
      <c r="H71" s="2">
        <f t="shared" si="20"/>
        <v>6.0587729877913903</v>
      </c>
      <c r="I71" s="2">
        <f t="shared" si="13"/>
        <v>7.2</v>
      </c>
      <c r="J71" s="2">
        <f t="shared" si="9"/>
        <v>1.1412270122086099</v>
      </c>
      <c r="L71" s="2"/>
    </row>
    <row r="72" spans="1:17">
      <c r="A72" s="14">
        <f t="shared" si="12"/>
        <v>15000</v>
      </c>
      <c r="B72" s="3">
        <v>0.74</v>
      </c>
      <c r="C72" s="3">
        <f t="shared" ref="C72:C93" si="21">B72*$F$2</f>
        <v>782.41280666786736</v>
      </c>
      <c r="D72" s="3">
        <f t="shared" si="7"/>
        <v>457.78703764564671</v>
      </c>
      <c r="E72" s="2">
        <f t="shared" ref="E72:E78" si="22">$B$1/(D72*_xlfn.SINGLE(S))</f>
        <v>0.12849540195434164</v>
      </c>
      <c r="F72" s="132">
        <f t="shared" ref="F72:F93" si="23">_xlfn.SINGLE(CLmax)</f>
        <v>0.8</v>
      </c>
      <c r="G72" s="2">
        <f t="shared" si="8"/>
        <v>-0.67150459804565843</v>
      </c>
      <c r="H72" s="2">
        <f t="shared" ref="H72:H78" si="24">IF(E72&gt;F72,1,F72*D72*_xlfn.SINGLE(S)/$B$1)</f>
        <v>6.2259037119807958</v>
      </c>
      <c r="I72" s="2">
        <f t="shared" si="13"/>
        <v>7.2</v>
      </c>
      <c r="J72" s="2">
        <f t="shared" si="9"/>
        <v>0.97409628801920434</v>
      </c>
      <c r="L72" s="2"/>
      <c r="P72" s="2"/>
      <c r="Q72" s="3"/>
    </row>
    <row r="73" spans="1:17">
      <c r="A73" s="14">
        <f t="shared" si="12"/>
        <v>15000</v>
      </c>
      <c r="B73" s="3">
        <v>0.75</v>
      </c>
      <c r="C73" s="3">
        <f t="shared" si="21"/>
        <v>792.98595270391968</v>
      </c>
      <c r="D73" s="3">
        <f t="shared" ref="D73:D93" si="25">$F$1*B73*B73</f>
        <v>470.24325908633352</v>
      </c>
      <c r="E73" s="2">
        <f t="shared" si="22"/>
        <v>0.12509170152923998</v>
      </c>
      <c r="F73" s="132">
        <f t="shared" si="23"/>
        <v>0.8</v>
      </c>
      <c r="G73" s="2">
        <f t="shared" ref="G73:G93" si="26">E73-F73</f>
        <v>-0.67490829847076006</v>
      </c>
      <c r="H73" s="2">
        <f t="shared" si="24"/>
        <v>6.3953083235741364</v>
      </c>
      <c r="I73" s="2">
        <f t="shared" si="13"/>
        <v>7.2</v>
      </c>
      <c r="J73" s="2">
        <f t="shared" ref="J73:J93" si="27">I73-H73</f>
        <v>0.80469167642586381</v>
      </c>
      <c r="L73" s="2"/>
      <c r="P73" s="2"/>
      <c r="Q73" s="3"/>
    </row>
    <row r="74" spans="1:17">
      <c r="A74" s="14">
        <f t="shared" ref="A74:A93" si="28">A73</f>
        <v>15000</v>
      </c>
      <c r="B74" s="3">
        <v>0.76</v>
      </c>
      <c r="C74" s="3">
        <f t="shared" si="21"/>
        <v>803.559098739972</v>
      </c>
      <c r="D74" s="3">
        <f t="shared" si="25"/>
        <v>482.86667813025116</v>
      </c>
      <c r="E74" s="2">
        <f t="shared" si="22"/>
        <v>0.12182147179743333</v>
      </c>
      <c r="F74" s="132">
        <f t="shared" si="23"/>
        <v>0.8</v>
      </c>
      <c r="G74" s="2">
        <f t="shared" si="26"/>
        <v>-0.67817852820256674</v>
      </c>
      <c r="H74" s="2">
        <f t="shared" si="24"/>
        <v>6.5669868225714163</v>
      </c>
      <c r="I74" s="2">
        <f t="shared" ref="I74:I93" si="29">I73</f>
        <v>7.2</v>
      </c>
      <c r="J74" s="2">
        <f t="shared" si="27"/>
        <v>0.63301317742858387</v>
      </c>
      <c r="L74" s="2"/>
      <c r="P74" s="2"/>
      <c r="Q74" s="3"/>
    </row>
    <row r="75" spans="1:17">
      <c r="A75" s="14">
        <f t="shared" si="28"/>
        <v>15000</v>
      </c>
      <c r="B75" s="3">
        <v>0.77</v>
      </c>
      <c r="C75" s="3">
        <f t="shared" si="21"/>
        <v>814.13224477602421</v>
      </c>
      <c r="D75" s="3">
        <f t="shared" si="25"/>
        <v>495.65729477739939</v>
      </c>
      <c r="E75" s="2">
        <f t="shared" si="22"/>
        <v>0.11867782443953026</v>
      </c>
      <c r="F75" s="132">
        <f t="shared" si="23"/>
        <v>0.8</v>
      </c>
      <c r="G75" s="2">
        <f t="shared" si="26"/>
        <v>-0.68132217556046981</v>
      </c>
      <c r="H75" s="2">
        <f t="shared" si="24"/>
        <v>6.7409392089726312</v>
      </c>
      <c r="I75" s="2">
        <f t="shared" si="29"/>
        <v>7.2</v>
      </c>
      <c r="J75" s="2">
        <f t="shared" si="27"/>
        <v>0.45906079102736896</v>
      </c>
      <c r="L75" s="2"/>
      <c r="P75" s="2"/>
      <c r="Q75" s="3"/>
    </row>
    <row r="76" spans="1:17">
      <c r="A76" s="14">
        <f t="shared" si="28"/>
        <v>15000</v>
      </c>
      <c r="B76" s="3">
        <v>0.78</v>
      </c>
      <c r="C76" s="3">
        <f t="shared" si="21"/>
        <v>824.70539081207653</v>
      </c>
      <c r="D76" s="3">
        <f t="shared" si="25"/>
        <v>508.61510902777843</v>
      </c>
      <c r="E76" s="2">
        <f t="shared" si="22"/>
        <v>0.11565430984582098</v>
      </c>
      <c r="F76" s="132">
        <f t="shared" si="23"/>
        <v>0.8</v>
      </c>
      <c r="G76" s="2">
        <f t="shared" si="26"/>
        <v>-0.68434569015417912</v>
      </c>
      <c r="H76" s="2">
        <f t="shared" si="24"/>
        <v>6.9171654827777864</v>
      </c>
      <c r="I76" s="2">
        <f t="shared" si="29"/>
        <v>7.2</v>
      </c>
      <c r="J76" s="2">
        <f t="shared" si="27"/>
        <v>0.28283451722221375</v>
      </c>
      <c r="L76" s="2"/>
      <c r="P76" s="2"/>
      <c r="Q76" s="3"/>
    </row>
    <row r="77" spans="1:17">
      <c r="A77" s="14">
        <f t="shared" si="28"/>
        <v>15000</v>
      </c>
      <c r="B77" s="3">
        <v>0.79</v>
      </c>
      <c r="C77" s="3">
        <f t="shared" si="21"/>
        <v>835.27853684812874</v>
      </c>
      <c r="D77" s="3">
        <f t="shared" si="25"/>
        <v>521.74012088138818</v>
      </c>
      <c r="E77" s="2">
        <f t="shared" si="22"/>
        <v>0.11274488400928934</v>
      </c>
      <c r="F77" s="132">
        <f t="shared" si="23"/>
        <v>0.8</v>
      </c>
      <c r="G77" s="2">
        <f t="shared" si="26"/>
        <v>-0.68725511599071076</v>
      </c>
      <c r="H77" s="2">
        <f t="shared" si="24"/>
        <v>7.095665643986881</v>
      </c>
      <c r="I77" s="2">
        <f t="shared" si="29"/>
        <v>7.2</v>
      </c>
      <c r="J77" s="2">
        <f t="shared" si="27"/>
        <v>0.10433435601311913</v>
      </c>
      <c r="L77" s="2"/>
      <c r="P77" s="2"/>
      <c r="Q77" s="3"/>
    </row>
    <row r="78" spans="1:17">
      <c r="A78" s="14">
        <f t="shared" si="28"/>
        <v>15000</v>
      </c>
      <c r="B78" s="3">
        <v>0.8</v>
      </c>
      <c r="C78" s="3">
        <f t="shared" si="21"/>
        <v>845.85168288418106</v>
      </c>
      <c r="D78" s="3">
        <f t="shared" si="25"/>
        <v>535.03233033822846</v>
      </c>
      <c r="E78" s="2">
        <f t="shared" si="22"/>
        <v>0.10994387829718356</v>
      </c>
      <c r="F78" s="132">
        <f t="shared" si="23"/>
        <v>0.8</v>
      </c>
      <c r="G78" s="2">
        <f t="shared" si="26"/>
        <v>-0.69005612170281649</v>
      </c>
      <c r="H78" s="2">
        <f t="shared" si="24"/>
        <v>7.2764396925999089</v>
      </c>
      <c r="I78" s="2">
        <f t="shared" si="29"/>
        <v>7.2</v>
      </c>
      <c r="J78" s="2">
        <f t="shared" si="27"/>
        <v>-7.6439692599908682E-2</v>
      </c>
      <c r="L78" s="2"/>
      <c r="P78" s="2"/>
      <c r="Q78" s="3"/>
    </row>
    <row r="79" spans="1:17">
      <c r="A79" s="14">
        <f t="shared" si="28"/>
        <v>15000</v>
      </c>
      <c r="B79" s="3">
        <v>0.81</v>
      </c>
      <c r="C79" s="3">
        <f t="shared" si="21"/>
        <v>856.42482892023327</v>
      </c>
      <c r="D79" s="3">
        <f t="shared" si="25"/>
        <v>548.49173739829962</v>
      </c>
      <c r="E79" s="2">
        <f t="shared" ref="E79:E93" si="30">$B$1/(D79*_xlfn.SINGLE(S))</f>
        <v>0.10724597181862136</v>
      </c>
      <c r="F79" s="132">
        <f t="shared" si="23"/>
        <v>0.8</v>
      </c>
      <c r="G79" s="2">
        <f t="shared" si="26"/>
        <v>-0.69275402818137866</v>
      </c>
      <c r="H79" s="2">
        <f t="shared" ref="H79:H93" si="31">IF(E79&gt;F79,1,F79*D79*_xlfn.SINGLE(S)/$B$1)</f>
        <v>7.4594876286168761</v>
      </c>
      <c r="I79" s="2">
        <f t="shared" si="29"/>
        <v>7.2</v>
      </c>
      <c r="J79" s="2">
        <f t="shared" si="27"/>
        <v>-0.25948762861687591</v>
      </c>
      <c r="L79" s="2"/>
      <c r="P79" s="2"/>
      <c r="Q79" s="3"/>
    </row>
    <row r="80" spans="1:17">
      <c r="A80" s="14">
        <f t="shared" si="28"/>
        <v>15000</v>
      </c>
      <c r="B80" s="3">
        <v>0.82</v>
      </c>
      <c r="C80" s="3">
        <f t="shared" si="21"/>
        <v>866.99797495628547</v>
      </c>
      <c r="D80" s="3">
        <f t="shared" si="25"/>
        <v>562.11834206160108</v>
      </c>
      <c r="E80" s="2">
        <f t="shared" si="30"/>
        <v>0.10464616613652217</v>
      </c>
      <c r="F80" s="132">
        <f t="shared" si="23"/>
        <v>0.8</v>
      </c>
      <c r="G80" s="2">
        <f t="shared" si="26"/>
        <v>-0.69535383386347793</v>
      </c>
      <c r="H80" s="2">
        <f t="shared" si="31"/>
        <v>7.6448094520377756</v>
      </c>
      <c r="I80" s="2">
        <f t="shared" si="29"/>
        <v>7.2</v>
      </c>
      <c r="J80" s="2">
        <f t="shared" si="27"/>
        <v>-0.44480945203777544</v>
      </c>
      <c r="L80" s="2"/>
      <c r="P80" s="2"/>
      <c r="Q80" s="3"/>
    </row>
    <row r="81" spans="1:17">
      <c r="A81" s="14">
        <f t="shared" si="28"/>
        <v>15000</v>
      </c>
      <c r="B81" s="3">
        <v>0.83</v>
      </c>
      <c r="C81" s="3">
        <f t="shared" si="21"/>
        <v>877.57112099233768</v>
      </c>
      <c r="D81" s="3">
        <f t="shared" si="25"/>
        <v>575.91214432813365</v>
      </c>
      <c r="E81" s="2">
        <f t="shared" si="30"/>
        <v>0.10213976209928509</v>
      </c>
      <c r="F81" s="132">
        <f t="shared" si="23"/>
        <v>0.8</v>
      </c>
      <c r="G81" s="2">
        <f t="shared" si="26"/>
        <v>-0.69786023790071494</v>
      </c>
      <c r="H81" s="2">
        <f t="shared" si="31"/>
        <v>7.8324051628626181</v>
      </c>
      <c r="I81" s="2">
        <f t="shared" si="29"/>
        <v>7.2</v>
      </c>
      <c r="J81" s="2">
        <f t="shared" si="27"/>
        <v>-0.63240516286261794</v>
      </c>
      <c r="L81" s="2"/>
      <c r="P81" s="2"/>
      <c r="Q81" s="3"/>
    </row>
    <row r="82" spans="1:17">
      <c r="A82" s="14">
        <f t="shared" si="28"/>
        <v>15000</v>
      </c>
      <c r="B82" s="3">
        <v>0.84</v>
      </c>
      <c r="C82" s="3">
        <f t="shared" si="21"/>
        <v>888.14426702839</v>
      </c>
      <c r="D82" s="3">
        <f t="shared" si="25"/>
        <v>589.87314419789686</v>
      </c>
      <c r="E82" s="2">
        <f t="shared" si="30"/>
        <v>9.972233859154972E-2</v>
      </c>
      <c r="F82" s="132">
        <f t="shared" si="23"/>
        <v>0.8</v>
      </c>
      <c r="G82" s="2">
        <f t="shared" si="26"/>
        <v>-0.70027766140845027</v>
      </c>
      <c r="H82" s="2">
        <f t="shared" si="31"/>
        <v>8.0222747610913974</v>
      </c>
      <c r="I82" s="2">
        <f t="shared" si="29"/>
        <v>7.2</v>
      </c>
      <c r="J82" s="2">
        <f t="shared" si="27"/>
        <v>-0.82227476109139719</v>
      </c>
      <c r="L82" s="2"/>
      <c r="P82" s="2"/>
      <c r="Q82" s="3"/>
    </row>
    <row r="83" spans="1:17">
      <c r="A83" s="14">
        <f t="shared" si="28"/>
        <v>15000</v>
      </c>
      <c r="B83" s="3">
        <v>0.85</v>
      </c>
      <c r="C83" s="3">
        <f t="shared" si="21"/>
        <v>898.71741306444233</v>
      </c>
      <c r="D83" s="3">
        <f t="shared" si="25"/>
        <v>604.00134167089061</v>
      </c>
      <c r="E83" s="2">
        <f t="shared" si="30"/>
        <v>9.7389733024494815E-2</v>
      </c>
      <c r="F83" s="132">
        <f t="shared" si="23"/>
        <v>0.8</v>
      </c>
      <c r="G83" s="2">
        <f t="shared" si="26"/>
        <v>-0.70261026697550522</v>
      </c>
      <c r="H83" s="2">
        <f t="shared" si="31"/>
        <v>8.2144182467241134</v>
      </c>
      <c r="I83" s="2">
        <f t="shared" si="29"/>
        <v>7.2</v>
      </c>
      <c r="J83" s="2">
        <f t="shared" si="27"/>
        <v>-1.0144182467241132</v>
      </c>
      <c r="L83" s="2"/>
      <c r="P83" s="2"/>
      <c r="Q83" s="3"/>
    </row>
    <row r="84" spans="1:17">
      <c r="A84" s="14">
        <f t="shared" si="28"/>
        <v>15000</v>
      </c>
      <c r="B84" s="3">
        <v>0.86</v>
      </c>
      <c r="C84" s="3">
        <f t="shared" si="21"/>
        <v>909.29055910049453</v>
      </c>
      <c r="D84" s="3">
        <f t="shared" si="25"/>
        <v>618.29673674711523</v>
      </c>
      <c r="E84" s="2">
        <f t="shared" si="30"/>
        <v>9.5138023404810021E-2</v>
      </c>
      <c r="F84" s="132">
        <f t="shared" si="23"/>
        <v>0.8</v>
      </c>
      <c r="G84" s="2">
        <f t="shared" si="26"/>
        <v>-0.70486197659519001</v>
      </c>
      <c r="H84" s="2">
        <f t="shared" si="31"/>
        <v>8.408835619760767</v>
      </c>
      <c r="I84" s="2">
        <f t="shared" si="29"/>
        <v>7.2</v>
      </c>
      <c r="J84" s="2">
        <f t="shared" si="27"/>
        <v>-1.2088356197607668</v>
      </c>
      <c r="L84" s="2"/>
      <c r="P84" s="2"/>
      <c r="Q84" s="3"/>
    </row>
    <row r="85" spans="1:17">
      <c r="A85" s="14">
        <f t="shared" si="28"/>
        <v>15000</v>
      </c>
      <c r="B85" s="3">
        <v>0.87</v>
      </c>
      <c r="C85" s="3">
        <f t="shared" si="21"/>
        <v>919.86370513654686</v>
      </c>
      <c r="D85" s="3">
        <f t="shared" si="25"/>
        <v>632.75932942657039</v>
      </c>
      <c r="E85" s="2">
        <f t="shared" si="30"/>
        <v>9.2963511838020207E-2</v>
      </c>
      <c r="F85" s="132">
        <f t="shared" si="23"/>
        <v>0.8</v>
      </c>
      <c r="G85" s="2">
        <f t="shared" si="26"/>
        <v>-0.70703648816197984</v>
      </c>
      <c r="H85" s="2">
        <f t="shared" si="31"/>
        <v>8.6055268802013583</v>
      </c>
      <c r="I85" s="2">
        <f t="shared" si="29"/>
        <v>7.2</v>
      </c>
      <c r="J85" s="2">
        <f t="shared" si="27"/>
        <v>-1.4055268802013581</v>
      </c>
      <c r="L85" s="2"/>
      <c r="P85" s="2"/>
      <c r="Q85" s="3"/>
    </row>
    <row r="86" spans="1:17">
      <c r="A86" s="14">
        <f t="shared" si="28"/>
        <v>15000</v>
      </c>
      <c r="B86" s="3">
        <v>0.88</v>
      </c>
      <c r="C86" s="3">
        <f t="shared" si="21"/>
        <v>930.43685117259906</v>
      </c>
      <c r="D86" s="3">
        <f t="shared" si="25"/>
        <v>647.38911970925642</v>
      </c>
      <c r="E86" s="2">
        <f t="shared" si="30"/>
        <v>9.0862709336515357E-2</v>
      </c>
      <c r="F86" s="132">
        <f t="shared" si="23"/>
        <v>0.8</v>
      </c>
      <c r="G86" s="2">
        <f t="shared" si="26"/>
        <v>-0.70913729066348474</v>
      </c>
      <c r="H86" s="2">
        <f t="shared" si="31"/>
        <v>8.8044920280458872</v>
      </c>
      <c r="I86" s="2">
        <f t="shared" si="29"/>
        <v>7.2</v>
      </c>
      <c r="J86" s="2">
        <f t="shared" si="27"/>
        <v>-1.604492028045887</v>
      </c>
      <c r="L86" s="2"/>
      <c r="P86" s="2"/>
      <c r="Q86" s="3"/>
    </row>
    <row r="87" spans="1:17">
      <c r="A87" s="14">
        <f t="shared" si="28"/>
        <v>15000</v>
      </c>
      <c r="B87" s="3">
        <v>0.89</v>
      </c>
      <c r="C87" s="3">
        <f t="shared" si="21"/>
        <v>941.00999720865138</v>
      </c>
      <c r="D87" s="3">
        <f t="shared" si="25"/>
        <v>662.18610759517298</v>
      </c>
      <c r="E87" s="2">
        <f t="shared" si="30"/>
        <v>8.8832321815676671E-2</v>
      </c>
      <c r="F87" s="132">
        <f t="shared" si="23"/>
        <v>0.8</v>
      </c>
      <c r="G87" s="2">
        <f t="shared" si="26"/>
        <v>-0.71116767818432336</v>
      </c>
      <c r="H87" s="2">
        <f t="shared" si="31"/>
        <v>9.0057310632943537</v>
      </c>
      <c r="I87" s="2">
        <f t="shared" si="29"/>
        <v>7.2</v>
      </c>
      <c r="J87" s="2">
        <f t="shared" si="27"/>
        <v>-1.8057310632943535</v>
      </c>
      <c r="L87" s="2"/>
      <c r="P87" s="2"/>
      <c r="Q87" s="3"/>
    </row>
    <row r="88" spans="1:17">
      <c r="A88" s="14">
        <f t="shared" si="28"/>
        <v>15000</v>
      </c>
      <c r="B88" s="3">
        <v>0.9</v>
      </c>
      <c r="C88" s="3">
        <f t="shared" si="21"/>
        <v>951.58314324470359</v>
      </c>
      <c r="D88" s="3">
        <f t="shared" si="25"/>
        <v>677.15029308432042</v>
      </c>
      <c r="E88" s="2">
        <f t="shared" si="30"/>
        <v>8.68692371730833E-2</v>
      </c>
      <c r="F88" s="132">
        <f t="shared" si="23"/>
        <v>0.8</v>
      </c>
      <c r="G88" s="2">
        <f t="shared" si="26"/>
        <v>-0.71313076282691679</v>
      </c>
      <c r="H88" s="2">
        <f t="shared" si="31"/>
        <v>9.2092439859467596</v>
      </c>
      <c r="I88" s="2">
        <f t="shared" si="29"/>
        <v>7.2</v>
      </c>
      <c r="J88" s="2">
        <f t="shared" si="27"/>
        <v>-2.0092439859467595</v>
      </c>
      <c r="L88" s="2"/>
      <c r="P88" s="2"/>
      <c r="Q88" s="3"/>
    </row>
    <row r="89" spans="1:17">
      <c r="A89" s="14">
        <f t="shared" si="28"/>
        <v>15000</v>
      </c>
      <c r="B89" s="3">
        <v>0.91</v>
      </c>
      <c r="C89" s="3">
        <f t="shared" si="21"/>
        <v>962.15628928075591</v>
      </c>
      <c r="D89" s="3">
        <f t="shared" si="25"/>
        <v>692.2816761766984</v>
      </c>
      <c r="E89" s="2">
        <f t="shared" si="30"/>
        <v>8.4970513356113372E-2</v>
      </c>
      <c r="F89" s="132">
        <f t="shared" si="23"/>
        <v>0.8</v>
      </c>
      <c r="G89" s="2">
        <f t="shared" si="26"/>
        <v>-0.71502948664388666</v>
      </c>
      <c r="H89" s="2">
        <f t="shared" si="31"/>
        <v>9.4150307960030979</v>
      </c>
      <c r="I89" s="2">
        <f t="shared" si="29"/>
        <v>7.2</v>
      </c>
      <c r="J89" s="2">
        <f t="shared" si="27"/>
        <v>-2.2150307960030977</v>
      </c>
      <c r="L89" s="2"/>
      <c r="P89" s="2"/>
      <c r="Q89" s="3"/>
    </row>
    <row r="90" spans="1:17">
      <c r="A90" s="14">
        <f t="shared" si="28"/>
        <v>15000</v>
      </c>
      <c r="B90" s="3">
        <v>0.92</v>
      </c>
      <c r="C90" s="3">
        <f t="shared" si="21"/>
        <v>972.72943531680824</v>
      </c>
      <c r="D90" s="3">
        <f t="shared" si="25"/>
        <v>707.58025687230713</v>
      </c>
      <c r="E90" s="2">
        <f t="shared" si="30"/>
        <v>8.3133367332463945E-2</v>
      </c>
      <c r="F90" s="132">
        <f t="shared" si="23"/>
        <v>0.8</v>
      </c>
      <c r="G90" s="2">
        <f t="shared" si="26"/>
        <v>-0.71686663266753614</v>
      </c>
      <c r="H90" s="2">
        <f t="shared" si="31"/>
        <v>9.6230914934633773</v>
      </c>
      <c r="I90" s="2">
        <f t="shared" si="29"/>
        <v>7.2</v>
      </c>
      <c r="J90" s="2">
        <f t="shared" si="27"/>
        <v>-2.4230914934633772</v>
      </c>
      <c r="L90" s="2"/>
      <c r="P90" s="2"/>
      <c r="Q90" s="3"/>
    </row>
    <row r="91" spans="1:17">
      <c r="A91" s="14">
        <f t="shared" si="28"/>
        <v>15000</v>
      </c>
      <c r="B91" s="3">
        <v>0.93</v>
      </c>
      <c r="C91" s="3">
        <f t="shared" si="21"/>
        <v>983.30258135286044</v>
      </c>
      <c r="D91" s="3">
        <f t="shared" si="25"/>
        <v>723.04603517114663</v>
      </c>
      <c r="E91" s="2">
        <f t="shared" si="30"/>
        <v>8.1355164886342327E-2</v>
      </c>
      <c r="F91" s="132">
        <f t="shared" si="23"/>
        <v>0.8</v>
      </c>
      <c r="G91" s="2">
        <f t="shared" si="26"/>
        <v>-0.71864483511365773</v>
      </c>
      <c r="H91" s="2">
        <f t="shared" si="31"/>
        <v>9.8334260783275962</v>
      </c>
      <c r="I91" s="2">
        <f t="shared" si="29"/>
        <v>7.2</v>
      </c>
      <c r="J91" s="2">
        <f t="shared" si="27"/>
        <v>-2.633426078327596</v>
      </c>
      <c r="L91" s="2"/>
      <c r="P91" s="2"/>
      <c r="Q91" s="3"/>
    </row>
    <row r="92" spans="1:17">
      <c r="A92" s="14">
        <f t="shared" si="28"/>
        <v>15000</v>
      </c>
      <c r="B92" s="3">
        <v>0.94</v>
      </c>
      <c r="C92" s="3">
        <f t="shared" si="21"/>
        <v>993.87572738891265</v>
      </c>
      <c r="D92" s="3">
        <f t="shared" si="25"/>
        <v>738.67901107321654</v>
      </c>
      <c r="E92" s="2">
        <f t="shared" si="30"/>
        <v>7.9633411170436277E-2</v>
      </c>
      <c r="F92" s="132">
        <f t="shared" si="23"/>
        <v>0.8</v>
      </c>
      <c r="G92" s="2">
        <f t="shared" si="26"/>
        <v>-0.72036658882956373</v>
      </c>
      <c r="H92" s="2">
        <f t="shared" si="31"/>
        <v>10.046034550595746</v>
      </c>
      <c r="I92" s="2">
        <f t="shared" si="29"/>
        <v>7.2</v>
      </c>
      <c r="J92" s="2">
        <f t="shared" si="27"/>
        <v>-2.8460345505957454</v>
      </c>
      <c r="L92" s="2"/>
      <c r="P92" s="2"/>
      <c r="Q92" s="3"/>
    </row>
    <row r="93" spans="1:17">
      <c r="A93" s="14">
        <f t="shared" si="28"/>
        <v>15000</v>
      </c>
      <c r="B93" s="3">
        <v>0.95</v>
      </c>
      <c r="C93" s="3">
        <f t="shared" si="21"/>
        <v>1004.4488734249649</v>
      </c>
      <c r="D93" s="3">
        <f t="shared" si="25"/>
        <v>754.47918457851733</v>
      </c>
      <c r="E93" s="2">
        <f t="shared" si="30"/>
        <v>7.796574195035734E-2</v>
      </c>
      <c r="F93" s="132">
        <f t="shared" si="23"/>
        <v>0.8</v>
      </c>
      <c r="G93" s="2">
        <f t="shared" si="26"/>
        <v>-0.72203425804964272</v>
      </c>
      <c r="H93" s="2">
        <f t="shared" si="31"/>
        <v>10.260916910267836</v>
      </c>
      <c r="I93" s="2">
        <f t="shared" si="29"/>
        <v>7.2</v>
      </c>
      <c r="J93" s="2">
        <f t="shared" si="27"/>
        <v>-3.060916910267836</v>
      </c>
      <c r="L93" s="2"/>
      <c r="P93" s="2"/>
      <c r="Q93" s="3"/>
    </row>
    <row r="94" spans="1:17" ht="15" thickBot="1">
      <c r="A94" s="14"/>
      <c r="B94" s="3"/>
      <c r="C94" s="3"/>
      <c r="D94" s="3"/>
      <c r="E94" s="2"/>
      <c r="F94" s="132"/>
      <c r="G94" s="2"/>
      <c r="H94" s="2"/>
      <c r="I94" s="2"/>
      <c r="J94" s="2"/>
      <c r="K94" s="14"/>
      <c r="L94" s="14"/>
      <c r="M94" s="14"/>
      <c r="N94" s="14"/>
      <c r="O94" s="113"/>
      <c r="P94" s="2"/>
      <c r="Q94" s="3"/>
    </row>
    <row r="95" spans="1:17">
      <c r="A95" s="14"/>
      <c r="D95" s="387" t="s">
        <v>93</v>
      </c>
      <c r="E95" s="388" t="s">
        <v>94</v>
      </c>
      <c r="F95" s="2"/>
      <c r="H95" s="387" t="s">
        <v>93</v>
      </c>
      <c r="I95" s="388" t="s">
        <v>94</v>
      </c>
      <c r="J95" s="2"/>
      <c r="K95" s="14"/>
      <c r="L95" s="14"/>
      <c r="M95" s="14"/>
      <c r="N95" s="14"/>
      <c r="O95" s="113"/>
      <c r="P95" s="2"/>
      <c r="Q95" s="3"/>
    </row>
    <row r="96" spans="1:17">
      <c r="A96" s="14"/>
      <c r="D96" s="389">
        <v>0.28000000000000003</v>
      </c>
      <c r="E96" s="390">
        <v>9.7501047323947376E-2</v>
      </c>
      <c r="F96" s="2"/>
      <c r="H96" s="389">
        <v>0.78</v>
      </c>
      <c r="I96" s="390">
        <v>0.28283451722221375</v>
      </c>
      <c r="J96" s="2"/>
      <c r="K96" s="14"/>
      <c r="L96" s="14"/>
      <c r="M96" s="14"/>
      <c r="N96" s="14"/>
      <c r="O96" s="113"/>
      <c r="P96" s="2"/>
      <c r="Q96" s="3"/>
    </row>
    <row r="97" spans="1:17">
      <c r="A97" s="14"/>
      <c r="D97" s="389">
        <v>0.28999999999999998</v>
      </c>
      <c r="E97" s="390">
        <v>3.6671606542181823E-2</v>
      </c>
      <c r="F97" s="2"/>
      <c r="H97" s="389">
        <v>0.79</v>
      </c>
      <c r="I97" s="390">
        <v>0.10433435601311913</v>
      </c>
      <c r="J97" s="2"/>
      <c r="K97" s="14"/>
      <c r="L97" s="14"/>
      <c r="M97" s="14"/>
      <c r="N97" s="14"/>
      <c r="O97" s="113"/>
      <c r="P97" s="2"/>
      <c r="Q97" s="3"/>
    </row>
    <row r="98" spans="1:17" ht="15" thickBot="1">
      <c r="A98" s="14"/>
      <c r="D98" s="391">
        <v>0.3</v>
      </c>
      <c r="E98" s="392">
        <v>-1.8176865442250056E-2</v>
      </c>
      <c r="F98" s="2"/>
      <c r="H98" s="391">
        <v>0.8</v>
      </c>
      <c r="I98" s="392">
        <v>-7.6439692599908682E-2</v>
      </c>
      <c r="J98" s="2"/>
      <c r="K98" s="14"/>
      <c r="L98" s="14"/>
      <c r="M98" s="14"/>
      <c r="N98" s="14"/>
      <c r="O98" s="113"/>
      <c r="P98" s="2"/>
      <c r="Q98" s="3"/>
    </row>
    <row r="99" spans="1:17">
      <c r="A99" s="14"/>
      <c r="D99" s="4" t="s">
        <v>90</v>
      </c>
      <c r="E99" s="4" t="s">
        <v>91</v>
      </c>
      <c r="F99" s="4" t="s">
        <v>92</v>
      </c>
      <c r="H99" s="4" t="s">
        <v>90</v>
      </c>
      <c r="I99" s="4" t="s">
        <v>91</v>
      </c>
      <c r="J99" s="4" t="s">
        <v>92</v>
      </c>
      <c r="K99" s="14"/>
      <c r="L99" s="14"/>
      <c r="M99" s="14"/>
      <c r="N99" s="14"/>
      <c r="O99" s="113"/>
      <c r="P99" s="2"/>
      <c r="Q99" s="3"/>
    </row>
    <row r="100" spans="1:17">
      <c r="A100" s="14"/>
      <c r="D100" s="2">
        <f>(1/(D97-D98)*((E97-E96)/(D97-D96)-(E98-E96)/(D98-D96)))</f>
        <v>29.904843986670102</v>
      </c>
      <c r="E100" s="2">
        <f>(E97-E96)/(D97-D96)-D100*(D97+D96)</f>
        <v>-23.128705150578543</v>
      </c>
      <c r="F100" s="2">
        <f>E96-E100*D96-D100*D96*D96</f>
        <v>4.2289987209310045</v>
      </c>
      <c r="H100" s="2">
        <f>(1/(H97-H98)*((I97-I96)/(H97-H96)-(I98-I96)/(H98-H96)))</f>
        <v>-11.369437019665787</v>
      </c>
      <c r="I100" s="2">
        <f>(I97-I96)/(H97-H96)-H100*(H97+H96)</f>
        <v>-3.4162894735345617E-11</v>
      </c>
      <c r="J100" s="2">
        <f>I96-I100*H96-H100*H96*H96</f>
        <v>7.2000000000135254</v>
      </c>
      <c r="K100" s="14"/>
      <c r="L100" s="14"/>
      <c r="M100" s="14"/>
      <c r="N100" s="14"/>
      <c r="O100" s="113"/>
      <c r="P100" s="2"/>
      <c r="Q100" s="3"/>
    </row>
    <row r="101" spans="1:17">
      <c r="A101" s="14"/>
      <c r="D101" s="4" t="s">
        <v>102</v>
      </c>
      <c r="E101" s="2">
        <f>(-E100+SQRT(E100*E100-4*D100*F100))/(2*D100)</f>
        <v>0.47684699394575397</v>
      </c>
      <c r="F101" s="2"/>
      <c r="H101" s="4" t="s">
        <v>102</v>
      </c>
      <c r="I101" s="2">
        <f>(-I100+SQRT(I100*I100-4*H100*J100))/(2*H100)</f>
        <v>-0.79578686782112684</v>
      </c>
      <c r="J101" s="2"/>
      <c r="K101" s="14"/>
      <c r="L101" s="14"/>
      <c r="M101" s="14"/>
      <c r="N101" s="14"/>
      <c r="O101" s="113"/>
      <c r="P101" s="2"/>
      <c r="Q101" s="3"/>
    </row>
    <row r="102" spans="1:17">
      <c r="A102" s="14"/>
      <c r="B102" s="3"/>
      <c r="C102" s="3"/>
      <c r="D102" s="4" t="s">
        <v>103</v>
      </c>
      <c r="E102" s="2">
        <f>(-E100-SQRT(E100*E100-4*D100*F100))/(2*D100)</f>
        <v>0.29656299812402642</v>
      </c>
      <c r="F102" s="2"/>
      <c r="H102" s="4" t="s">
        <v>103</v>
      </c>
      <c r="I102" s="2">
        <f>(-I100-SQRT(I100*I100-4*H100*J100))/(2*H100)</f>
        <v>0.79578686781812202</v>
      </c>
      <c r="J102" s="2"/>
      <c r="K102" s="14"/>
      <c r="L102" s="14"/>
      <c r="M102" s="14"/>
      <c r="N102" s="14"/>
      <c r="O102" s="113"/>
      <c r="P102" s="2"/>
      <c r="Q102" s="3"/>
    </row>
    <row r="103" spans="1:17">
      <c r="A103" s="14"/>
      <c r="B103" s="5" t="s">
        <v>493</v>
      </c>
      <c r="C103" s="3"/>
      <c r="D103" s="4" t="s">
        <v>494</v>
      </c>
      <c r="E103" s="2">
        <f>IF(ABS(E101)&lt;=ABS(D98),(IF(ABS(E101)&gt;=ABS(D97),E101,E102)),E102)</f>
        <v>0.29656299812402642</v>
      </c>
      <c r="F103" s="2"/>
      <c r="H103" s="4" t="s">
        <v>494</v>
      </c>
      <c r="I103" s="2">
        <f>IF(ABS(I101)&lt;=ABS(H96),(IF(ABS(I101)&gt;=ABS(H97),I101,I102)),I102)</f>
        <v>0.79578686781812202</v>
      </c>
      <c r="J103" s="148" t="s">
        <v>495</v>
      </c>
      <c r="K103" s="14"/>
      <c r="L103" s="14"/>
      <c r="M103" s="14"/>
      <c r="N103" s="14"/>
      <c r="O103" s="113"/>
      <c r="P103" s="2"/>
      <c r="Q103" s="3"/>
    </row>
    <row r="104" spans="1:17">
      <c r="A104" s="14"/>
      <c r="B104" s="3"/>
      <c r="C104" s="3"/>
      <c r="D104" s="4" t="s">
        <v>496</v>
      </c>
      <c r="E104" s="2">
        <f>D100*E103*E103+E100*E103+F100</f>
        <v>0</v>
      </c>
      <c r="F104" s="2"/>
      <c r="H104" s="4" t="s">
        <v>496</v>
      </c>
      <c r="I104" s="2">
        <f>H100*I103*I103+I100*I103+J100</f>
        <v>0</v>
      </c>
      <c r="J104" s="2"/>
      <c r="K104" s="14"/>
      <c r="L104" s="14"/>
      <c r="M104" s="14"/>
      <c r="N104" s="14"/>
      <c r="O104" s="113"/>
      <c r="P104" s="2"/>
      <c r="Q104" s="3"/>
    </row>
    <row r="105" spans="1:17">
      <c r="A105" s="55"/>
      <c r="B105" s="55"/>
      <c r="C105" s="55"/>
      <c r="D105" s="55"/>
      <c r="E105" s="55"/>
    </row>
    <row r="106" spans="1:17">
      <c r="A106" s="55"/>
      <c r="B106" s="55"/>
      <c r="C106" s="55"/>
      <c r="D106" s="55"/>
      <c r="E106" s="55"/>
    </row>
    <row r="107" spans="1:17">
      <c r="A107" t="s">
        <v>6</v>
      </c>
      <c r="B107" s="8">
        <v>10000</v>
      </c>
      <c r="C107" t="s">
        <v>5</v>
      </c>
      <c r="E107" t="s">
        <v>0</v>
      </c>
      <c r="F107" s="1">
        <f>Linterp(B108,atmos_h,atmos_qms)</f>
        <v>835.98801615348191</v>
      </c>
      <c r="G107" t="s">
        <v>19</v>
      </c>
    </row>
    <row r="108" spans="1:17">
      <c r="A108" t="s">
        <v>1</v>
      </c>
      <c r="B108" s="8">
        <v>15000</v>
      </c>
      <c r="C108" t="s">
        <v>2</v>
      </c>
      <c r="E108" t="s">
        <v>153</v>
      </c>
      <c r="F108" s="3">
        <f>Linterp(B108,atmos_h,atmos_aspeed)</f>
        <v>1057.3146036052262</v>
      </c>
      <c r="G108" t="s">
        <v>20</v>
      </c>
    </row>
    <row r="109" spans="1:17">
      <c r="A109" t="s">
        <v>251</v>
      </c>
      <c r="B109" s="384">
        <f>_xlfn.SINGLE(IF(B107&gt;_xlfn.SINGLE(BFDGW),_xlfn.SINGLE(NZW)/B107,glimit))</f>
        <v>7.2</v>
      </c>
      <c r="E109" t="s">
        <v>155</v>
      </c>
      <c r="F109">
        <f>Linterp(B108,atmos_h,atmos_rho)</f>
        <v>1.4956106477433447E-3</v>
      </c>
      <c r="G109" t="s">
        <v>156</v>
      </c>
    </row>
    <row r="110" spans="1:17">
      <c r="A110" t="s">
        <v>252</v>
      </c>
      <c r="B110" s="384">
        <f>MIN(amlim,SQRT(_xlfn.SINGLE(maxq)/F107))</f>
        <v>1.4095063185246761</v>
      </c>
      <c r="E110" t="s">
        <v>82</v>
      </c>
      <c r="F110" s="3">
        <f>F107*B111*B111</f>
        <v>529.41176470588221</v>
      </c>
      <c r="G110" t="s">
        <v>19</v>
      </c>
    </row>
    <row r="111" spans="1:17">
      <c r="A111" t="s">
        <v>497</v>
      </c>
      <c r="B111" s="384">
        <f>I103</f>
        <v>0.79578686781812202</v>
      </c>
      <c r="C111" t="s">
        <v>23</v>
      </c>
      <c r="H111" s="9"/>
    </row>
    <row r="112" spans="1:17">
      <c r="B112" s="106">
        <f>B111*F108</f>
        <v>841.39707670136227</v>
      </c>
      <c r="C112" t="s">
        <v>20</v>
      </c>
      <c r="H112" s="9"/>
    </row>
    <row r="113" spans="1:14">
      <c r="H113" s="9"/>
    </row>
    <row r="114" spans="1:14">
      <c r="A114" s="6" t="s">
        <v>74</v>
      </c>
      <c r="B114" s="6" t="s">
        <v>75</v>
      </c>
      <c r="C114" s="6" t="s">
        <v>186</v>
      </c>
      <c r="D114" s="147" t="s">
        <v>202</v>
      </c>
      <c r="E114" s="6" t="s">
        <v>254</v>
      </c>
      <c r="F114" s="6" t="s">
        <v>267</v>
      </c>
      <c r="G114" s="6" t="s">
        <v>56</v>
      </c>
      <c r="H114" s="6"/>
    </row>
    <row r="115" spans="1:14">
      <c r="A115" s="6"/>
      <c r="B115" s="6"/>
      <c r="C115" s="6"/>
      <c r="D115" s="6"/>
      <c r="E115" s="6"/>
      <c r="G115" s="6"/>
    </row>
    <row r="116" spans="1:14">
      <c r="A116" s="2">
        <f>$B$107/(F110*_xlfn.SINGLE(S))</f>
        <v>0.11111111111111115</v>
      </c>
      <c r="B116" s="132">
        <f t="shared" ref="B116:B136" si="32">InterpolateXY(A116,$B$111,CD_CL,CD_M,CD_table)</f>
        <v>1.6275092931030424E-2</v>
      </c>
      <c r="C116" s="1">
        <f t="shared" ref="C116:C136" si="33">B116*F$110*_xlfn.SINGLE(S)</f>
        <v>1464.7583637927378</v>
      </c>
      <c r="D116" s="1">
        <f t="shared" ref="D116:D136" si="34">_xlfn.SINGLE(InterpolateXY(B$108,B$111,Tmax_h,Tmax_M,Tmax_table))*_xlfn.SINGLE(numeng)</f>
        <v>5463.7193213038827</v>
      </c>
      <c r="E116" s="1">
        <f>D116-C116</f>
        <v>3998.9609575111449</v>
      </c>
      <c r="F116" s="3">
        <f>(D116-C116)*B$112/B$107</f>
        <v>336.47140594927578</v>
      </c>
      <c r="G116" s="2">
        <f t="shared" ref="G116:G136" si="35">A116*$F$110*_xlfn.SINGLE(S)/$B$107</f>
        <v>1</v>
      </c>
      <c r="H116" s="3"/>
    </row>
    <row r="117" spans="1:14">
      <c r="A117" s="2">
        <f>A116+(A$136-A$116)/20</f>
        <v>0.14555505555555559</v>
      </c>
      <c r="B117" s="132">
        <f t="shared" si="32"/>
        <v>1.756674084769709E-2</v>
      </c>
      <c r="C117" s="1">
        <f t="shared" si="33"/>
        <v>1581.0066762927379</v>
      </c>
      <c r="D117" s="1">
        <f t="shared" si="34"/>
        <v>5463.7193213038827</v>
      </c>
      <c r="E117" s="1">
        <f t="shared" ref="E117:E136" si="36">D117-C117</f>
        <v>3882.7126450111446</v>
      </c>
      <c r="F117" s="3">
        <f t="shared" ref="F117:F136" si="37">(D117-C117)*B$112/B$107</f>
        <v>326.69030691837912</v>
      </c>
      <c r="G117" s="2">
        <f t="shared" si="35"/>
        <v>1.3099955000000001</v>
      </c>
      <c r="H117" s="3"/>
    </row>
    <row r="118" spans="1:14">
      <c r="A118" s="2">
        <f t="shared" ref="A118:A135" si="38">A117+(A$136-A$116)/20</f>
        <v>0.17999900000000005</v>
      </c>
      <c r="B118" s="132">
        <f t="shared" si="32"/>
        <v>1.8858388764363757E-2</v>
      </c>
      <c r="C118" s="1">
        <f t="shared" si="33"/>
        <v>1697.2549887927375</v>
      </c>
      <c r="D118" s="1">
        <f t="shared" si="34"/>
        <v>5463.7193213038827</v>
      </c>
      <c r="E118" s="1">
        <f t="shared" si="36"/>
        <v>3766.4643325111451</v>
      </c>
      <c r="F118" s="3">
        <f t="shared" si="37"/>
        <v>316.90920788748252</v>
      </c>
      <c r="G118" s="2">
        <f t="shared" si="35"/>
        <v>1.6199910000000002</v>
      </c>
      <c r="H118" s="3"/>
    </row>
    <row r="119" spans="1:14">
      <c r="A119" s="2">
        <f t="shared" si="38"/>
        <v>0.21444294444444451</v>
      </c>
      <c r="B119" s="132">
        <f t="shared" si="32"/>
        <v>2.0511110292141536E-2</v>
      </c>
      <c r="C119" s="1">
        <f t="shared" si="33"/>
        <v>1845.9999262927379</v>
      </c>
      <c r="D119" s="1">
        <f t="shared" si="34"/>
        <v>5463.7193213038827</v>
      </c>
      <c r="E119" s="1">
        <f t="shared" si="36"/>
        <v>3617.719395011145</v>
      </c>
      <c r="F119" s="3">
        <f t="shared" si="37"/>
        <v>304.39385232881983</v>
      </c>
      <c r="G119" s="2">
        <f t="shared" si="35"/>
        <v>1.9299865</v>
      </c>
      <c r="H119" s="3"/>
    </row>
    <row r="120" spans="1:14">
      <c r="A120" s="2">
        <f t="shared" si="38"/>
        <v>0.24888688888888896</v>
      </c>
      <c r="B120" s="132">
        <f t="shared" si="32"/>
        <v>2.2663856819919316E-2</v>
      </c>
      <c r="C120" s="1">
        <f t="shared" si="33"/>
        <v>2039.747113792738</v>
      </c>
      <c r="D120" s="1">
        <f t="shared" si="34"/>
        <v>5463.7193213038827</v>
      </c>
      <c r="E120" s="1">
        <f t="shared" si="36"/>
        <v>3423.9722075111449</v>
      </c>
      <c r="F120" s="3">
        <f t="shared" si="37"/>
        <v>288.09202061065872</v>
      </c>
      <c r="G120" s="2">
        <f t="shared" si="35"/>
        <v>2.2399819999999999</v>
      </c>
      <c r="H120" s="3"/>
    </row>
    <row r="121" spans="1:14">
      <c r="A121" s="2">
        <f t="shared" si="38"/>
        <v>0.28333083333333342</v>
      </c>
      <c r="B121" s="132">
        <f t="shared" si="32"/>
        <v>2.4816603347697093E-2</v>
      </c>
      <c r="C121" s="1">
        <f t="shared" si="33"/>
        <v>2233.4943012927379</v>
      </c>
      <c r="D121" s="1">
        <f t="shared" si="34"/>
        <v>5463.7193213038827</v>
      </c>
      <c r="E121" s="1">
        <f t="shared" si="36"/>
        <v>3230.2250200111448</v>
      </c>
      <c r="F121" s="3">
        <f t="shared" si="37"/>
        <v>271.79018889249767</v>
      </c>
      <c r="G121" s="2">
        <f t="shared" si="35"/>
        <v>2.5499775000000002</v>
      </c>
      <c r="H121" s="3"/>
    </row>
    <row r="122" spans="1:14">
      <c r="A122" s="2">
        <f t="shared" si="38"/>
        <v>0.31777477777777785</v>
      </c>
      <c r="B122" s="132">
        <f t="shared" si="32"/>
        <v>2.7302626958808206E-2</v>
      </c>
      <c r="C122" s="1">
        <f t="shared" si="33"/>
        <v>2457.2364262927381</v>
      </c>
      <c r="D122" s="1">
        <f t="shared" si="34"/>
        <v>5463.7193213038827</v>
      </c>
      <c r="E122" s="1">
        <f t="shared" si="36"/>
        <v>3006.4828950111446</v>
      </c>
      <c r="F122" s="3">
        <f t="shared" si="37"/>
        <v>252.96459190150256</v>
      </c>
      <c r="G122" s="2">
        <f t="shared" si="35"/>
        <v>2.8599729999999997</v>
      </c>
      <c r="H122" s="3"/>
    </row>
    <row r="123" spans="1:14">
      <c r="A123" s="2">
        <f t="shared" si="38"/>
        <v>0.35221872222222228</v>
      </c>
      <c r="B123" s="132">
        <f t="shared" si="32"/>
        <v>3.0235430139363764E-2</v>
      </c>
      <c r="C123" s="1">
        <f t="shared" si="33"/>
        <v>2721.1887125427384</v>
      </c>
      <c r="D123" s="1">
        <f t="shared" si="34"/>
        <v>5463.7193213038827</v>
      </c>
      <c r="E123" s="1">
        <f t="shared" si="36"/>
        <v>2742.5306087611443</v>
      </c>
      <c r="F123" s="3">
        <f t="shared" si="37"/>
        <v>230.75572369756344</v>
      </c>
      <c r="G123" s="2">
        <f t="shared" si="35"/>
        <v>3.1699685</v>
      </c>
      <c r="H123" s="3"/>
    </row>
    <row r="124" spans="1:14">
      <c r="A124" s="2">
        <f t="shared" si="38"/>
        <v>0.38666266666666671</v>
      </c>
      <c r="B124" s="132">
        <f t="shared" si="32"/>
        <v>3.5117859264363768E-2</v>
      </c>
      <c r="C124" s="1">
        <f t="shared" si="33"/>
        <v>3160.6073337927382</v>
      </c>
      <c r="D124" s="1">
        <f t="shared" si="34"/>
        <v>5463.7193213038827</v>
      </c>
      <c r="E124" s="1">
        <f t="shared" si="36"/>
        <v>2303.1119875111444</v>
      </c>
      <c r="F124" s="3">
        <f t="shared" si="37"/>
        <v>193.78316936077414</v>
      </c>
      <c r="G124" s="2">
        <f t="shared" si="35"/>
        <v>3.4799639999999994</v>
      </c>
      <c r="H124" s="3"/>
    </row>
    <row r="125" spans="1:14">
      <c r="A125" s="2">
        <f t="shared" si="38"/>
        <v>0.42110661111111114</v>
      </c>
      <c r="B125" s="132">
        <f t="shared" si="32"/>
        <v>4.0998138076623537E-2</v>
      </c>
      <c r="C125" s="1">
        <f t="shared" si="33"/>
        <v>3689.8324268961173</v>
      </c>
      <c r="D125" s="1">
        <f t="shared" si="34"/>
        <v>5463.7193213038827</v>
      </c>
      <c r="E125" s="1">
        <f t="shared" si="36"/>
        <v>1773.8868944077653</v>
      </c>
      <c r="F125" s="3">
        <f t="shared" si="37"/>
        <v>149.2543247353552</v>
      </c>
      <c r="G125" s="2">
        <f t="shared" si="35"/>
        <v>3.7899594999999993</v>
      </c>
      <c r="H125" s="3"/>
      <c r="I125" s="4"/>
      <c r="L125" s="4"/>
      <c r="M125" s="4"/>
      <c r="N125" s="4"/>
    </row>
    <row r="126" spans="1:14">
      <c r="A126" s="2">
        <f t="shared" si="38"/>
        <v>0.45555055555555557</v>
      </c>
      <c r="B126" s="132">
        <f t="shared" si="32"/>
        <v>4.7508961215752522E-2</v>
      </c>
      <c r="C126" s="1">
        <f t="shared" si="33"/>
        <v>4275.8065094177255</v>
      </c>
      <c r="D126" s="1">
        <f t="shared" si="34"/>
        <v>5463.7193213038827</v>
      </c>
      <c r="E126" s="1">
        <f t="shared" si="36"/>
        <v>1187.9128118861572</v>
      </c>
      <c r="F126" s="3">
        <f t="shared" si="37"/>
        <v>99.950636729710794</v>
      </c>
      <c r="G126" s="2">
        <f t="shared" si="35"/>
        <v>4.0999549999999987</v>
      </c>
      <c r="H126" s="3"/>
      <c r="I126" s="1"/>
      <c r="K126" s="18"/>
      <c r="L126" s="1"/>
      <c r="M126" s="1"/>
      <c r="N126" s="1"/>
    </row>
    <row r="127" spans="1:14">
      <c r="A127" s="2">
        <f t="shared" si="38"/>
        <v>0.4899945</v>
      </c>
      <c r="B127" s="132">
        <f t="shared" si="32"/>
        <v>5.4019784354881514E-2</v>
      </c>
      <c r="C127" s="1">
        <f t="shared" si="33"/>
        <v>4861.780591939335</v>
      </c>
      <c r="D127" s="1">
        <f t="shared" si="34"/>
        <v>5463.7193213038827</v>
      </c>
      <c r="E127" s="1">
        <f t="shared" si="36"/>
        <v>601.93872936454773</v>
      </c>
      <c r="F127" s="3">
        <f t="shared" si="37"/>
        <v>50.646948724066291</v>
      </c>
      <c r="G127" s="2">
        <f t="shared" si="35"/>
        <v>4.409950499999999</v>
      </c>
      <c r="H127" s="3"/>
      <c r="I127" s="1"/>
      <c r="K127" s="18"/>
      <c r="L127" s="1"/>
      <c r="M127" s="1"/>
      <c r="N127" s="1"/>
    </row>
    <row r="128" spans="1:14">
      <c r="A128" s="2">
        <f t="shared" si="38"/>
        <v>0.52443844444444443</v>
      </c>
      <c r="B128" s="132">
        <f t="shared" si="32"/>
        <v>6.2588857477960932E-2</v>
      </c>
      <c r="C128" s="1">
        <f t="shared" si="33"/>
        <v>5632.9971730164825</v>
      </c>
      <c r="D128" s="1">
        <f t="shared" si="34"/>
        <v>5463.7193213038827</v>
      </c>
      <c r="E128" s="1">
        <f t="shared" si="36"/>
        <v>-169.27785171259984</v>
      </c>
      <c r="F128" s="3">
        <f t="shared" si="37"/>
        <v>-14.242988958126819</v>
      </c>
      <c r="G128" s="2">
        <f t="shared" si="35"/>
        <v>4.7199459999999984</v>
      </c>
      <c r="H128" s="3"/>
      <c r="I128" s="1"/>
      <c r="K128" s="18"/>
      <c r="L128" s="1"/>
      <c r="M128" s="1"/>
      <c r="N128" s="1"/>
    </row>
    <row r="129" spans="1:14">
      <c r="A129" s="2">
        <f t="shared" si="38"/>
        <v>0.55888238888888886</v>
      </c>
      <c r="B129" s="132">
        <f t="shared" si="32"/>
        <v>7.2000611904313616E-2</v>
      </c>
      <c r="C129" s="1">
        <f t="shared" si="33"/>
        <v>6480.055071388224</v>
      </c>
      <c r="D129" s="1">
        <f t="shared" si="34"/>
        <v>5463.7193213038827</v>
      </c>
      <c r="E129" s="1">
        <f t="shared" si="36"/>
        <v>-1016.3357500843413</v>
      </c>
      <c r="F129" s="3">
        <f t="shared" si="37"/>
        <v>-85.514192906805107</v>
      </c>
      <c r="G129" s="2">
        <f t="shared" si="35"/>
        <v>5.0299414999999978</v>
      </c>
      <c r="H129" s="3"/>
      <c r="I129" s="1"/>
      <c r="K129" s="18"/>
      <c r="L129" s="1"/>
      <c r="M129" s="1"/>
      <c r="N129" s="1"/>
    </row>
    <row r="130" spans="1:14">
      <c r="A130" s="2">
        <f t="shared" si="38"/>
        <v>0.59332633333333329</v>
      </c>
      <c r="B130" s="132">
        <f t="shared" si="32"/>
        <v>8.14123663306663E-2</v>
      </c>
      <c r="C130" s="1">
        <f t="shared" si="33"/>
        <v>7327.1129697599654</v>
      </c>
      <c r="D130" s="1">
        <f t="shared" si="34"/>
        <v>5463.7193213038827</v>
      </c>
      <c r="E130" s="1">
        <f t="shared" si="36"/>
        <v>-1863.3936484560827</v>
      </c>
      <c r="F130" s="3">
        <f t="shared" si="37"/>
        <v>-156.78539685548338</v>
      </c>
      <c r="G130" s="2">
        <f t="shared" si="35"/>
        <v>5.3399369999999982</v>
      </c>
      <c r="H130" s="3"/>
      <c r="I130" s="1"/>
      <c r="K130" s="18"/>
      <c r="L130" s="1"/>
      <c r="M130" s="1"/>
      <c r="N130" s="1"/>
    </row>
    <row r="131" spans="1:14">
      <c r="A131" s="2">
        <f t="shared" si="38"/>
        <v>0.62777027777777772</v>
      </c>
      <c r="B131" s="132">
        <f t="shared" si="32"/>
        <v>9.3837880675836344E-2</v>
      </c>
      <c r="C131" s="1">
        <f t="shared" si="33"/>
        <v>8445.4092608252686</v>
      </c>
      <c r="D131" s="1">
        <f t="shared" si="34"/>
        <v>5463.7193213038827</v>
      </c>
      <c r="E131" s="1">
        <f t="shared" si="36"/>
        <v>-2981.6899395213859</v>
      </c>
      <c r="F131" s="3">
        <f t="shared" si="37"/>
        <v>-250.87851987431557</v>
      </c>
      <c r="G131" s="2">
        <f t="shared" si="35"/>
        <v>5.6499324999999976</v>
      </c>
      <c r="H131" s="3"/>
      <c r="I131" s="1"/>
      <c r="K131" s="18"/>
      <c r="L131" s="1"/>
      <c r="M131" s="1"/>
      <c r="N131" s="1"/>
    </row>
    <row r="132" spans="1:14">
      <c r="A132" s="2">
        <f t="shared" si="38"/>
        <v>0.66221422222222215</v>
      </c>
      <c r="B132" s="132">
        <f t="shared" si="32"/>
        <v>0.1069876524185194</v>
      </c>
      <c r="C132" s="1">
        <f t="shared" si="33"/>
        <v>9628.8887176667431</v>
      </c>
      <c r="D132" s="1">
        <f t="shared" si="34"/>
        <v>5463.7193213038827</v>
      </c>
      <c r="E132" s="1">
        <f t="shared" si="36"/>
        <v>-4165.1693963628604</v>
      </c>
      <c r="F132" s="3">
        <f t="shared" si="37"/>
        <v>-350.45613540656882</v>
      </c>
      <c r="G132" s="2">
        <f t="shared" si="35"/>
        <v>5.9599279999999988</v>
      </c>
      <c r="H132" s="3"/>
    </row>
    <row r="133" spans="1:14">
      <c r="A133" s="2">
        <f t="shared" si="38"/>
        <v>0.69665816666666658</v>
      </c>
      <c r="B133" s="132">
        <f t="shared" si="32"/>
        <v>0.12013742416120247</v>
      </c>
      <c r="C133" s="1">
        <f t="shared" si="33"/>
        <v>10812.368174508219</v>
      </c>
      <c r="D133" s="1">
        <f t="shared" si="34"/>
        <v>5463.7193213038827</v>
      </c>
      <c r="E133" s="1">
        <f t="shared" si="36"/>
        <v>-5348.6488532043368</v>
      </c>
      <c r="F133" s="3">
        <f t="shared" si="37"/>
        <v>-450.03375093882221</v>
      </c>
      <c r="G133" s="2">
        <f t="shared" si="35"/>
        <v>6.2699234999999982</v>
      </c>
      <c r="H133" s="3"/>
    </row>
    <row r="134" spans="1:14">
      <c r="A134" s="2">
        <f t="shared" si="38"/>
        <v>0.73110211111111101</v>
      </c>
      <c r="B134" s="132">
        <f t="shared" si="32"/>
        <v>0.13702216630651981</v>
      </c>
      <c r="C134" s="1">
        <f t="shared" si="33"/>
        <v>12331.994967586779</v>
      </c>
      <c r="D134" s="1">
        <f t="shared" si="34"/>
        <v>5463.7193213038827</v>
      </c>
      <c r="E134" s="1">
        <f t="shared" si="36"/>
        <v>-6868.2756462828966</v>
      </c>
      <c r="F134" s="3">
        <f t="shared" si="37"/>
        <v>-577.89470507615886</v>
      </c>
      <c r="G134" s="2">
        <f t="shared" si="35"/>
        <v>6.5799189999999976</v>
      </c>
      <c r="H134" s="3"/>
      <c r="I134" s="4"/>
    </row>
    <row r="135" spans="1:14">
      <c r="A135" s="2">
        <f t="shared" si="38"/>
        <v>0.76554605555555544</v>
      </c>
      <c r="B135" s="132">
        <f t="shared" si="32"/>
        <v>0.15430822039320174</v>
      </c>
      <c r="C135" s="1">
        <f t="shared" si="33"/>
        <v>13887.739835388153</v>
      </c>
      <c r="D135" s="1">
        <f t="shared" si="34"/>
        <v>5463.7193213038827</v>
      </c>
      <c r="E135" s="1">
        <f t="shared" si="36"/>
        <v>-8424.02051408427</v>
      </c>
      <c r="F135" s="3">
        <f t="shared" si="37"/>
        <v>-708.79462346228115</v>
      </c>
      <c r="G135" s="2">
        <f t="shared" si="35"/>
        <v>6.8899144999999971</v>
      </c>
      <c r="H135" s="3"/>
      <c r="I135" s="1"/>
    </row>
    <row r="136" spans="1:14">
      <c r="A136" s="2">
        <f>$B$107*B109/(F110*_xlfn.SINGLE(S))-0.00001</f>
        <v>0.79999000000000031</v>
      </c>
      <c r="B136" s="132">
        <f t="shared" si="32"/>
        <v>0.17159427447988387</v>
      </c>
      <c r="C136" s="1">
        <f t="shared" si="33"/>
        <v>15443.484703189544</v>
      </c>
      <c r="D136" s="1">
        <f t="shared" si="34"/>
        <v>5463.7193213038827</v>
      </c>
      <c r="E136" s="1">
        <f t="shared" si="36"/>
        <v>-9979.7653818856616</v>
      </c>
      <c r="F136" s="3">
        <f t="shared" si="37"/>
        <v>-839.69454184840504</v>
      </c>
      <c r="G136" s="2">
        <f t="shared" si="35"/>
        <v>7.1999100000000009</v>
      </c>
      <c r="H136" s="3"/>
      <c r="I136" s="1"/>
    </row>
    <row r="137" spans="1:14">
      <c r="I137" s="1"/>
    </row>
    <row r="138" spans="1:14" ht="15" thickBot="1">
      <c r="A138" s="3"/>
      <c r="B138" s="3"/>
      <c r="C138" s="2"/>
      <c r="D138" s="132"/>
      <c r="E138" s="2"/>
      <c r="F138" s="2"/>
      <c r="G138" s="2"/>
      <c r="H138" s="2"/>
      <c r="I138" s="1"/>
    </row>
    <row r="139" spans="1:14">
      <c r="B139" s="387" t="s">
        <v>93</v>
      </c>
      <c r="C139" s="388" t="s">
        <v>94</v>
      </c>
      <c r="D139" s="2"/>
      <c r="F139" s="387" t="s">
        <v>93</v>
      </c>
      <c r="G139" s="388" t="s">
        <v>94</v>
      </c>
      <c r="H139" s="2"/>
      <c r="I139" s="1"/>
    </row>
    <row r="140" spans="1:14">
      <c r="B140" s="393">
        <v>0.45555055555555557</v>
      </c>
      <c r="C140" s="394">
        <v>1187.9128118861572</v>
      </c>
      <c r="D140" s="2"/>
      <c r="F140" s="393">
        <v>0.45555055555555557</v>
      </c>
      <c r="G140" s="394">
        <v>1187.9128118861572</v>
      </c>
      <c r="H140" s="2"/>
      <c r="I140" s="1"/>
    </row>
    <row r="141" spans="1:14">
      <c r="B141" s="393">
        <v>0.4899945</v>
      </c>
      <c r="C141" s="394">
        <v>601.93872936454773</v>
      </c>
      <c r="D141" s="2"/>
      <c r="F141" s="393">
        <v>0.4899945</v>
      </c>
      <c r="G141" s="394">
        <v>601.93872936454773</v>
      </c>
      <c r="H141" s="2"/>
      <c r="I141" s="1"/>
    </row>
    <row r="142" spans="1:14" ht="15" thickBot="1">
      <c r="B142" s="395">
        <v>0.52443844444444443</v>
      </c>
      <c r="C142" s="396">
        <v>-169.27785171259984</v>
      </c>
      <c r="D142" s="2"/>
      <c r="F142" s="395">
        <v>0.52443844444444443</v>
      </c>
      <c r="G142" s="396">
        <v>-169.27785171259984</v>
      </c>
      <c r="H142" s="2"/>
    </row>
    <row r="143" spans="1:14">
      <c r="B143" s="4" t="s">
        <v>90</v>
      </c>
      <c r="C143" s="4" t="s">
        <v>91</v>
      </c>
      <c r="D143" s="4" t="s">
        <v>92</v>
      </c>
      <c r="F143" s="4" t="s">
        <v>90</v>
      </c>
      <c r="G143" s="4" t="s">
        <v>91</v>
      </c>
      <c r="H143" s="4" t="s">
        <v>92</v>
      </c>
    </row>
    <row r="144" spans="1:14">
      <c r="B144" s="3">
        <f>(1/(B141-B142)*((C141-C140)/(B141-B140)-(C142-C140)/(B142-B140)))</f>
        <v>-78070.124927855664</v>
      </c>
      <c r="C144" s="3">
        <f>(C141-C140)/(B141-B140)-B144*(B141+B140)</f>
        <v>56806.422875092299</v>
      </c>
      <c r="D144" s="3">
        <f>C140-C144*B140-B144*B140*B140</f>
        <v>-8488.6798445384575</v>
      </c>
      <c r="F144" s="3">
        <f>(1/(F141-F142)*((G141-G140)/(F141-F140)-(G142-G140)/(F142-F140)))</f>
        <v>-78070.124927855664</v>
      </c>
      <c r="G144" s="3">
        <f>(G141-G140)/(F141-F140)-F144*(F141+F140)</f>
        <v>56806.422875092299</v>
      </c>
      <c r="H144" s="3">
        <f>G140-G144*F140-F144*F140*F140</f>
        <v>-8488.6798445384575</v>
      </c>
    </row>
    <row r="145" spans="1:14">
      <c r="B145" s="4" t="s">
        <v>102</v>
      </c>
      <c r="C145" s="2">
        <f>(-C144+SQRT(C144*C144-4*B144*D144))/(2*B144)</f>
        <v>0.21009261033477519</v>
      </c>
      <c r="D145" s="2"/>
      <c r="F145" s="4" t="s">
        <v>102</v>
      </c>
      <c r="G145" s="2">
        <f>(-G144+SQRT(G144*G144-4*F144*H144))/(2*F144)</f>
        <v>0.21009261033477519</v>
      </c>
      <c r="H145" s="2"/>
    </row>
    <row r="146" spans="1:14">
      <c r="A146" s="3"/>
      <c r="B146" s="4" t="s">
        <v>103</v>
      </c>
      <c r="C146" s="2">
        <f>(-C144-SQRT(C144*C144-4*B144*D144))/(2*B144)</f>
        <v>0.51754069277043846</v>
      </c>
      <c r="D146" s="2"/>
      <c r="F146" s="4" t="s">
        <v>103</v>
      </c>
      <c r="G146" s="2">
        <f>(-G144-SQRT(G144*G144-4*F144*H144))/(2*F144)</f>
        <v>0.51754069277043846</v>
      </c>
      <c r="H146" s="2"/>
    </row>
    <row r="147" spans="1:14">
      <c r="A147" s="397" t="s">
        <v>498</v>
      </c>
      <c r="B147" s="4" t="s">
        <v>494</v>
      </c>
      <c r="C147" s="2">
        <f>IF(ABS(C145)&lt;=ABS(B142),(IF(ABS(C145)&gt;=ABS(B141),C145,C146)),C146)</f>
        <v>0.51754069277043846</v>
      </c>
      <c r="D147" s="2"/>
      <c r="F147" s="4" t="s">
        <v>494</v>
      </c>
      <c r="G147" s="2">
        <f>IF(ABS(G145)&lt;=ABS(F142),(IF(ABS(G145)&gt;=ABS(F141),G145,G146)),G146)</f>
        <v>0.51754069277043846</v>
      </c>
      <c r="H147" s="2"/>
    </row>
    <row r="148" spans="1:14">
      <c r="A148" s="3"/>
      <c r="B148" s="4" t="s">
        <v>496</v>
      </c>
      <c r="C148" s="2">
        <f>B144*C147*C147+C144*C147+D144</f>
        <v>0</v>
      </c>
      <c r="D148" s="2"/>
      <c r="F148" s="4" t="s">
        <v>496</v>
      </c>
      <c r="G148" s="2">
        <f>F144*G147*G147+G144*G147+H144</f>
        <v>0</v>
      </c>
      <c r="H148" s="2"/>
    </row>
    <row r="149" spans="1:14">
      <c r="A149" s="3"/>
      <c r="B149" s="3"/>
      <c r="C149" s="2"/>
      <c r="D149" s="132"/>
      <c r="E149" s="2"/>
      <c r="F149" s="2"/>
      <c r="G149" s="2"/>
      <c r="H149" s="2"/>
    </row>
    <row r="150" spans="1:14">
      <c r="A150" t="s">
        <v>499</v>
      </c>
      <c r="B150" s="2">
        <f>B111</f>
        <v>0.79578686781812202</v>
      </c>
      <c r="C150" s="2" t="s">
        <v>23</v>
      </c>
      <c r="D150" s="132"/>
      <c r="E150" s="2"/>
      <c r="F150" s="2"/>
      <c r="G150" s="2"/>
      <c r="H150" s="2"/>
    </row>
    <row r="151" spans="1:14">
      <c r="A151" s="3" t="s">
        <v>498</v>
      </c>
      <c r="B151" s="2">
        <f>C147</f>
        <v>0.51754069277043846</v>
      </c>
      <c r="C151" s="2"/>
      <c r="D151" s="132"/>
      <c r="E151" s="2"/>
      <c r="F151" s="2"/>
      <c r="G151" s="2"/>
      <c r="H151" s="2"/>
    </row>
    <row r="152" spans="1:14">
      <c r="A152" s="3" t="s">
        <v>500</v>
      </c>
      <c r="B152" s="2">
        <f>B151/A116</f>
        <v>4.6578662349339446</v>
      </c>
      <c r="C152" s="2" t="s">
        <v>37</v>
      </c>
      <c r="D152" s="132"/>
      <c r="E152" s="2"/>
      <c r="F152" s="2"/>
      <c r="G152" s="2"/>
      <c r="H152" s="2"/>
    </row>
    <row r="153" spans="1:14">
      <c r="A153" s="3" t="s">
        <v>501</v>
      </c>
      <c r="B153" s="3">
        <f>32.174*SQRT(B152*B152-1)/B112*180/PI()</f>
        <v>9.9670569253256716</v>
      </c>
      <c r="C153" t="s">
        <v>260</v>
      </c>
    </row>
    <row r="154" spans="1:14">
      <c r="A154" s="3" t="s">
        <v>502</v>
      </c>
      <c r="B154" s="14">
        <f>B150*F108/(B153*PI()/180)</f>
        <v>4836.78399258847</v>
      </c>
      <c r="C154" s="2" t="s">
        <v>2</v>
      </c>
    </row>
    <row r="155" spans="1:14">
      <c r="A155" s="3" t="s">
        <v>503</v>
      </c>
      <c r="B155">
        <v>0</v>
      </c>
      <c r="C155" s="2" t="s">
        <v>20</v>
      </c>
    </row>
    <row r="156" spans="1:14">
      <c r="A156" s="55"/>
      <c r="B156" s="55"/>
      <c r="C156" s="55"/>
      <c r="D156" s="55"/>
      <c r="E156" s="55"/>
    </row>
    <row r="157" spans="1:14">
      <c r="A157" s="55"/>
      <c r="B157" s="55"/>
      <c r="C157" s="55"/>
      <c r="D157" s="55"/>
      <c r="E157" s="55"/>
    </row>
    <row r="158" spans="1:14">
      <c r="A158" s="6" t="s">
        <v>1</v>
      </c>
      <c r="B158" s="6" t="s">
        <v>72</v>
      </c>
      <c r="C158" s="6" t="s">
        <v>73</v>
      </c>
      <c r="D158" s="6" t="s">
        <v>24</v>
      </c>
      <c r="E158" s="6" t="s">
        <v>82</v>
      </c>
      <c r="F158" s="6" t="s">
        <v>74</v>
      </c>
      <c r="G158" s="6" t="s">
        <v>75</v>
      </c>
      <c r="H158" s="6" t="s">
        <v>186</v>
      </c>
      <c r="I158" s="147" t="s">
        <v>266</v>
      </c>
      <c r="J158" s="6" t="s">
        <v>267</v>
      </c>
      <c r="L158" s="6" t="s">
        <v>259</v>
      </c>
      <c r="M158" s="6" t="s">
        <v>504</v>
      </c>
      <c r="N158" s="6" t="s">
        <v>262</v>
      </c>
    </row>
    <row r="159" spans="1:14">
      <c r="A159" s="6" t="s">
        <v>30</v>
      </c>
      <c r="B159" s="6"/>
      <c r="C159" s="55"/>
      <c r="D159" s="6" t="s">
        <v>69</v>
      </c>
      <c r="E159" s="6" t="s">
        <v>256</v>
      </c>
      <c r="F159" s="6"/>
      <c r="G159" s="6"/>
      <c r="H159" s="6"/>
      <c r="I159" s="6"/>
    </row>
    <row r="160" spans="1:14">
      <c r="A160" s="398">
        <f>B108</f>
        <v>15000</v>
      </c>
      <c r="B160" s="7">
        <v>0.6</v>
      </c>
      <c r="C160" s="16">
        <v>2</v>
      </c>
      <c r="D160" s="7">
        <f>B160*F108</f>
        <v>634.38876216313577</v>
      </c>
      <c r="E160" s="7">
        <f>F107*B160*B160</f>
        <v>300.95568581525345</v>
      </c>
      <c r="F160" s="11">
        <f>B107*C160/(E160*_xlfn.SINGLE(S))</f>
        <v>0.39091156727887499</v>
      </c>
      <c r="G160" s="11">
        <f>InterpolateXY(F160,B160,CD_CL,CD_M,CD_table)</f>
        <v>3.6111714661780529E-2</v>
      </c>
      <c r="H160" s="16">
        <f>G160*E160*_xlfn.SINGLE(S)</f>
        <v>1847.5643948401535</v>
      </c>
      <c r="I160" s="12">
        <f>_xlfn.SINGLE(InterpolateXY(A160,B160,Tmax_h,Tmax_M,Tmax_table))*_xlfn.SINGLE(numeng)</f>
        <v>4970.9374142387123</v>
      </c>
      <c r="J160" s="7">
        <f>(I160-H160)*D160/B107</f>
        <v>198.14327435499877</v>
      </c>
      <c r="L160" s="7">
        <f>32.174*SQRT(C160*C160-1)/D160*180/PI()</f>
        <v>5.0330684417342493</v>
      </c>
      <c r="M160" s="12">
        <f>D160/(L160*PI()/180)</f>
        <v>7221.797013742148</v>
      </c>
      <c r="N160" s="7">
        <f>ACOS(1/C160)*180/PI()</f>
        <v>59.999999999999993</v>
      </c>
    </row>
    <row r="161" spans="1:14">
      <c r="A161" s="398">
        <f>A160</f>
        <v>15000</v>
      </c>
      <c r="B161" s="7">
        <v>0.8</v>
      </c>
      <c r="C161" s="16">
        <v>5</v>
      </c>
      <c r="D161" s="7">
        <f>B161*F108</f>
        <v>845.85168288418106</v>
      </c>
      <c r="E161" s="7">
        <f>F107*B161*B161</f>
        <v>535.03233033822846</v>
      </c>
      <c r="F161" s="11">
        <f>B107*C161/(E161*_xlfn.SINGLE(S))</f>
        <v>0.54971939148591786</v>
      </c>
      <c r="G161" s="11">
        <f>InterpolateXY(F161,B161,CD_CL,CD_M,CD_table)</f>
        <v>6.9348814788426694E-2</v>
      </c>
      <c r="H161" s="16">
        <f>G161*E161*_xlfn.SINGLE(S)</f>
        <v>6307.6558570158431</v>
      </c>
      <c r="I161" s="12">
        <f>_xlfn.SINGLE(InterpolateXY(A161,B161,Tmax_h,Tmax_M,Tmax_table))*_xlfn.SINGLE(numeng)</f>
        <v>5474.323481503392</v>
      </c>
      <c r="J161" s="7">
        <f>(I161-H161)*D161/B107</f>
        <v>-70.487559222907905</v>
      </c>
      <c r="L161" s="7">
        <f>32.174*SQRT(C161*C161-1)/D161*180/PI()</f>
        <v>10.676750475978888</v>
      </c>
      <c r="M161" s="12">
        <f>D161/(L161*PI()/180)</f>
        <v>4539.1836806842966</v>
      </c>
      <c r="N161" s="7">
        <f>ACOS(1/C161)*180/PI()</f>
        <v>78.463040967184497</v>
      </c>
    </row>
    <row r="162" spans="1:14">
      <c r="A162" s="55"/>
      <c r="B162" s="55"/>
      <c r="C162" s="55"/>
      <c r="D162" s="55"/>
      <c r="E162" s="55"/>
    </row>
  </sheetData>
  <mergeCells count="3">
    <mergeCell ref="L5:Q5"/>
    <mergeCell ref="L30:Q30"/>
    <mergeCell ref="L34:Q34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EB0B9-2F19-4786-9D55-665B777DC365}">
  <sheetPr codeName="Sheet37">
    <tabColor rgb="FFFFCCFF"/>
  </sheetPr>
  <dimension ref="B1:J18"/>
  <sheetViews>
    <sheetView zoomScale="80" zoomScaleNormal="80" workbookViewId="0">
      <selection activeCell="J11" sqref="J11"/>
    </sheetView>
  </sheetViews>
  <sheetFormatPr defaultRowHeight="14.5"/>
  <cols>
    <col min="1" max="1" width="2.7265625" customWidth="1"/>
    <col min="2" max="2" width="31.81640625" customWidth="1"/>
    <col min="3" max="9" width="12.7265625" customWidth="1"/>
  </cols>
  <sheetData>
    <row r="1" spans="2:10" ht="15" thickBot="1"/>
    <row r="2" spans="2:10">
      <c r="B2" s="601" t="s">
        <v>331</v>
      </c>
      <c r="C2" s="601"/>
    </row>
    <row r="3" spans="2:10" ht="15" thickBot="1">
      <c r="B3" s="602" t="s">
        <v>403</v>
      </c>
      <c r="C3" s="602"/>
    </row>
    <row r="4" spans="2:10" ht="15" thickBot="1"/>
    <row r="5" spans="2:10" ht="15" thickBot="1">
      <c r="B5" s="603" t="s">
        <v>682</v>
      </c>
      <c r="C5" s="603"/>
      <c r="D5" s="604"/>
      <c r="E5" s="603"/>
      <c r="F5" s="603"/>
      <c r="G5" s="603"/>
      <c r="H5" s="603"/>
      <c r="I5" s="603"/>
    </row>
    <row r="6" spans="2:10" ht="16" thickBot="1">
      <c r="B6" s="279"/>
      <c r="C6" s="280" t="s">
        <v>121</v>
      </c>
      <c r="D6" s="280" t="s">
        <v>683</v>
      </c>
      <c r="E6" s="280" t="s">
        <v>55</v>
      </c>
      <c r="F6" s="280" t="s">
        <v>385</v>
      </c>
      <c r="G6" s="280" t="s">
        <v>386</v>
      </c>
      <c r="H6" s="280" t="s">
        <v>387</v>
      </c>
      <c r="I6" s="280" t="s">
        <v>388</v>
      </c>
    </row>
    <row r="7" spans="2:10" ht="16" thickBot="1">
      <c r="B7" s="281" t="s">
        <v>389</v>
      </c>
      <c r="C7" s="282"/>
      <c r="D7" s="282"/>
      <c r="E7" s="282"/>
      <c r="F7" s="282"/>
      <c r="G7" s="282"/>
      <c r="H7" s="282"/>
      <c r="I7" s="282"/>
    </row>
    <row r="8" spans="2:10" ht="16" thickBot="1">
      <c r="B8" s="283" t="s">
        <v>390</v>
      </c>
      <c r="C8" s="202" t="s">
        <v>391</v>
      </c>
      <c r="D8" s="202" t="s">
        <v>80</v>
      </c>
      <c r="E8" s="531">
        <f>'10 - Cruise at SL'!U124</f>
        <v>0.94433918633187464</v>
      </c>
      <c r="F8" s="531">
        <f>'10 - Cruise at 10k'!U124</f>
        <v>0.96413835836240824</v>
      </c>
      <c r="G8" s="531">
        <f>'10 - Cruise at 20k'!U124</f>
        <v>0.97052055484635258</v>
      </c>
      <c r="H8" s="531">
        <f>'10 - Cruise at 30k'!U124</f>
        <v>0.97543238093538831</v>
      </c>
      <c r="I8" s="531">
        <f>'10 - Cruise at 40k'!U124</f>
        <v>0.97511998312581238</v>
      </c>
    </row>
    <row r="9" spans="2:10" ht="16" thickBot="1">
      <c r="B9" s="283" t="s">
        <v>392</v>
      </c>
      <c r="C9" s="202" t="s">
        <v>391</v>
      </c>
      <c r="D9" s="202" t="s">
        <v>80</v>
      </c>
      <c r="E9" s="531">
        <f>'10 - Cruise at SL'!V126</f>
        <v>0.99146839734771031</v>
      </c>
      <c r="F9" s="531">
        <f>'10 - Cruise at 10k'!V126</f>
        <v>1.0337518940662411</v>
      </c>
      <c r="G9" s="531">
        <f>'10 - Cruise at 20k'!V126</f>
        <v>1.0881429727982983</v>
      </c>
      <c r="H9" s="531">
        <f>'10 - Cruise at 30k'!V126</f>
        <v>1.1595605898737826</v>
      </c>
      <c r="I9" s="531">
        <f>'10 - Cruise at 40k'!V126</f>
        <v>1.1950329243985875</v>
      </c>
    </row>
    <row r="10" spans="2:10" ht="16" thickBot="1">
      <c r="B10" s="281" t="s">
        <v>393</v>
      </c>
      <c r="C10" s="284"/>
      <c r="D10" s="284"/>
      <c r="E10" s="285"/>
      <c r="F10" s="282"/>
      <c r="G10" s="282"/>
      <c r="H10" s="282"/>
      <c r="I10" s="282"/>
    </row>
    <row r="11" spans="2:10" ht="16" thickBot="1">
      <c r="B11" s="283" t="s">
        <v>394</v>
      </c>
      <c r="C11" s="202" t="s">
        <v>395</v>
      </c>
      <c r="D11" s="202" t="s">
        <v>125</v>
      </c>
      <c r="E11" s="254">
        <f>'10 - Cruise at SL'!F125</f>
        <v>2656.194615841152</v>
      </c>
      <c r="F11" s="254">
        <f>'10 - Cruise at 10k'!F125</f>
        <v>3235.1444952265992</v>
      </c>
      <c r="G11" s="254">
        <f>'10 - Cruise at 20k'!F125</f>
        <v>4006.4021233736275</v>
      </c>
      <c r="H11" s="254">
        <f>'10 - Cruise at 30k'!F125</f>
        <v>5030.9910039881215</v>
      </c>
      <c r="I11" s="254">
        <f>'10 - Cruise at 40k'!F125</f>
        <v>5874.3762586530938</v>
      </c>
      <c r="J11" t="s">
        <v>550</v>
      </c>
    </row>
    <row r="12" spans="2:10" ht="16" thickBot="1">
      <c r="B12" s="283" t="s">
        <v>396</v>
      </c>
      <c r="C12" s="202" t="s">
        <v>391</v>
      </c>
      <c r="D12" s="202" t="s">
        <v>80</v>
      </c>
      <c r="E12" s="531">
        <f>'10 - Cruise at SL'!F124</f>
        <v>0.44707415911023535</v>
      </c>
      <c r="F12" s="531">
        <f>'10 - Cruise at 10k'!F124</f>
        <v>0.53943900626213936</v>
      </c>
      <c r="G12" s="531">
        <f>'10 - Cruise at 20k'!F124</f>
        <v>0.66007250865160338</v>
      </c>
      <c r="H12" s="531">
        <f>'10 - Cruise at 30k'!F124</f>
        <v>0.80418269709225143</v>
      </c>
      <c r="I12" s="531">
        <f>'10 - Cruise at 40k'!F124</f>
        <v>0.85083168518939922</v>
      </c>
    </row>
    <row r="13" spans="2:10" ht="3.75" customHeight="1" thickBot="1">
      <c r="B13" s="287"/>
      <c r="C13" s="288"/>
      <c r="D13" s="288"/>
      <c r="E13" s="298"/>
      <c r="F13" s="298"/>
      <c r="G13" s="298"/>
      <c r="H13" s="298"/>
      <c r="I13" s="298"/>
    </row>
    <row r="14" spans="2:10" ht="16" thickBot="1">
      <c r="B14" s="283" t="s">
        <v>397</v>
      </c>
      <c r="C14" s="202" t="s">
        <v>398</v>
      </c>
      <c r="D14" s="202" t="s">
        <v>80</v>
      </c>
      <c r="E14" s="531">
        <f>'10 - Cruise at SL'!F131</f>
        <v>10.416507113446983</v>
      </c>
      <c r="F14" s="531">
        <f>'10 - Cruise at 10k'!F131</f>
        <v>10.840044236721866</v>
      </c>
      <c r="G14" s="531">
        <f>'10 - Cruise at 20k'!F131</f>
        <v>11.337824786837757</v>
      </c>
      <c r="H14" s="531">
        <f>'10 - Cruise at 30k'!F131</f>
        <v>11.920754621909111</v>
      </c>
      <c r="I14" s="531">
        <f>'10 - Cruise at 40k'!F131</f>
        <v>12.365001354737586</v>
      </c>
    </row>
    <row r="15" spans="2:10" ht="16" thickBot="1">
      <c r="B15" s="283" t="s">
        <v>399</v>
      </c>
      <c r="C15" s="202" t="s">
        <v>391</v>
      </c>
      <c r="D15" s="202" t="s">
        <v>80</v>
      </c>
      <c r="E15" s="531">
        <f>'10 - Cruise at SL'!F130</f>
        <v>0.34351968064665794</v>
      </c>
      <c r="F15" s="531">
        <f>'10 - Cruise at 10k'!F130</f>
        <v>0.41354230143706833</v>
      </c>
      <c r="G15" s="531">
        <f>'10 - Cruise at 20k'!F130</f>
        <v>0.50388938697630759</v>
      </c>
      <c r="H15" s="531">
        <f>'10 - Cruise at 30k'!F130</f>
        <v>0.62427768439285647</v>
      </c>
      <c r="I15" s="531">
        <f>'10 - Cruise at 40k'!F130</f>
        <v>0.79386214348448059</v>
      </c>
    </row>
    <row r="16" spans="2:10" ht="16" thickBot="1">
      <c r="B16" s="281" t="s">
        <v>400</v>
      </c>
      <c r="C16" s="284"/>
      <c r="D16" s="284"/>
      <c r="E16" s="284"/>
      <c r="F16" s="284"/>
      <c r="G16" s="284"/>
      <c r="H16" s="284"/>
      <c r="I16" s="284"/>
    </row>
    <row r="17" spans="2:9" ht="16" thickBot="1">
      <c r="B17" s="283" t="s">
        <v>239</v>
      </c>
      <c r="C17" s="202" t="s">
        <v>395</v>
      </c>
      <c r="D17" s="202" t="s">
        <v>125</v>
      </c>
      <c r="E17" s="254">
        <f>'10 - Cruise at SL'!F136</f>
        <v>279.85803441256576</v>
      </c>
      <c r="F17" s="254">
        <f>'10 - Cruise at 10k'!F136</f>
        <v>340.85649224465283</v>
      </c>
      <c r="G17" s="254">
        <f>'10 - Cruise at 20k'!F136</f>
        <v>422.11659365125581</v>
      </c>
      <c r="H17" s="254">
        <f>'10 - Cruise at 30k'!F136</f>
        <v>530.06780645007404</v>
      </c>
      <c r="I17" s="254">
        <f>'10 - Cruise at 40k'!F136</f>
        <v>618.92731177978271</v>
      </c>
    </row>
    <row r="18" spans="2:9" ht="16" thickBot="1">
      <c r="B18" s="283" t="s">
        <v>240</v>
      </c>
      <c r="C18" s="202" t="s">
        <v>401</v>
      </c>
      <c r="D18" s="202" t="s">
        <v>125</v>
      </c>
      <c r="E18" s="254">
        <f>'10 - Cruise at SL'!F138</f>
        <v>65.849313649571428</v>
      </c>
      <c r="F18" s="254">
        <f>'10 - Cruise at 10k'!F138</f>
        <v>68.526759032079866</v>
      </c>
      <c r="G18" s="254">
        <f>'10 - Cruise at 20k'!F138</f>
        <v>71.673543958758671</v>
      </c>
      <c r="H18" s="254">
        <f>'10 - Cruise at 30k'!F138</f>
        <v>75.358611239685644</v>
      </c>
      <c r="I18" s="254">
        <f>'10 - Cruise at 40k'!F138</f>
        <v>78.166975130692407</v>
      </c>
    </row>
  </sheetData>
  <mergeCells count="3">
    <mergeCell ref="B2:C2"/>
    <mergeCell ref="B3:C3"/>
    <mergeCell ref="B5:I5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F5A0F-A1D0-41A4-9CB9-01AE4EAE711C}">
  <sheetPr codeName="Sheet15">
    <tabColor rgb="FFFFCCFF"/>
  </sheetPr>
  <dimension ref="B1:V141"/>
  <sheetViews>
    <sheetView workbookViewId="0">
      <selection activeCell="L24" sqref="L24"/>
    </sheetView>
  </sheetViews>
  <sheetFormatPr defaultRowHeight="14.5"/>
  <cols>
    <col min="1" max="1" width="2.7265625" customWidth="1"/>
    <col min="2" max="13" width="12.7265625" customWidth="1"/>
    <col min="14" max="16" width="10.7265625" customWidth="1"/>
    <col min="17" max="23" width="12.7265625" customWidth="1"/>
    <col min="24" max="67" width="10.7265625" customWidth="1"/>
  </cols>
  <sheetData>
    <row r="1" spans="2:22" ht="15" thickBot="1"/>
    <row r="2" spans="2:22">
      <c r="B2" s="601" t="s">
        <v>331</v>
      </c>
      <c r="C2" s="605"/>
      <c r="D2" s="606"/>
    </row>
    <row r="3" spans="2:22" ht="15" thickBot="1">
      <c r="B3" s="602" t="s">
        <v>241</v>
      </c>
      <c r="C3" s="607"/>
      <c r="D3" s="608"/>
    </row>
    <row r="5" spans="2:22">
      <c r="C5" t="s">
        <v>6</v>
      </c>
      <c r="D5" s="8">
        <v>10000</v>
      </c>
      <c r="E5" t="s">
        <v>5</v>
      </c>
      <c r="G5" t="s">
        <v>0</v>
      </c>
      <c r="H5" s="1" cm="1">
        <f t="array" ref="H5">Linterp(D6,atmos_h,atmos_qms)</f>
        <v>1481.3539946857729</v>
      </c>
      <c r="I5" t="s">
        <v>19</v>
      </c>
    </row>
    <row r="6" spans="2:22">
      <c r="C6" t="s">
        <v>1</v>
      </c>
      <c r="D6" s="8">
        <v>1E-4</v>
      </c>
      <c r="E6" t="s">
        <v>2</v>
      </c>
      <c r="G6" t="s">
        <v>153</v>
      </c>
      <c r="H6" s="3">
        <f>Linterp(D6,atmos_h,atmos_aspeed)</f>
        <v>1116.4499996158745</v>
      </c>
      <c r="I6" t="s">
        <v>20</v>
      </c>
    </row>
    <row r="7" spans="2:22">
      <c r="D7" s="8"/>
      <c r="G7" t="s">
        <v>155</v>
      </c>
      <c r="H7" s="9">
        <f>Linterp(D6,atmos_h,atmos_rho)</f>
        <v>2.376879993083547E-3</v>
      </c>
      <c r="I7" t="s">
        <v>156</v>
      </c>
    </row>
    <row r="8" spans="2:22" ht="15" thickBot="1">
      <c r="H8" s="2"/>
      <c r="I8" s="1">
        <v>1</v>
      </c>
      <c r="L8" s="4"/>
      <c r="M8" s="4"/>
      <c r="N8" s="4"/>
      <c r="O8" s="4"/>
    </row>
    <row r="9" spans="2:22">
      <c r="B9" s="6" t="s">
        <v>1</v>
      </c>
      <c r="C9" s="6" t="s">
        <v>72</v>
      </c>
      <c r="D9" s="6" t="s">
        <v>185</v>
      </c>
      <c r="E9" s="6" t="s">
        <v>74</v>
      </c>
      <c r="F9" s="6" t="s">
        <v>75</v>
      </c>
      <c r="G9" s="6" t="s">
        <v>186</v>
      </c>
      <c r="H9" s="6" t="s">
        <v>294</v>
      </c>
      <c r="I9" s="6" t="s">
        <v>295</v>
      </c>
      <c r="J9" s="6" t="s">
        <v>233</v>
      </c>
      <c r="K9" s="6" t="s">
        <v>85</v>
      </c>
      <c r="L9" s="6" t="s">
        <v>234</v>
      </c>
      <c r="M9" s="312" t="s">
        <v>235</v>
      </c>
      <c r="N9" s="301" t="s">
        <v>236</v>
      </c>
      <c r="O9" s="310" t="s">
        <v>402</v>
      </c>
      <c r="Q9" s="6" t="s">
        <v>72</v>
      </c>
      <c r="R9" s="312" t="s">
        <v>187</v>
      </c>
      <c r="S9" s="301" t="s">
        <v>202</v>
      </c>
      <c r="T9" s="301" t="s">
        <v>186</v>
      </c>
      <c r="U9" s="301" t="s">
        <v>381</v>
      </c>
      <c r="V9" s="310" t="s">
        <v>382</v>
      </c>
    </row>
    <row r="10" spans="2:22">
      <c r="B10" s="6" t="s">
        <v>30</v>
      </c>
      <c r="C10" s="6" t="s">
        <v>77</v>
      </c>
      <c r="D10" s="6" t="s">
        <v>69</v>
      </c>
      <c r="E10" s="6"/>
      <c r="F10" s="6"/>
      <c r="G10" s="6" t="s">
        <v>78</v>
      </c>
      <c r="H10" s="6" t="s">
        <v>78</v>
      </c>
      <c r="I10" s="6" t="s">
        <v>86</v>
      </c>
      <c r="J10" s="6" t="s">
        <v>87</v>
      </c>
      <c r="K10" s="6" t="s">
        <v>86</v>
      </c>
      <c r="L10" s="6" t="s">
        <v>414</v>
      </c>
      <c r="M10" s="317" t="s">
        <v>203</v>
      </c>
      <c r="N10" s="316" t="s">
        <v>415</v>
      </c>
      <c r="O10" s="318" t="s">
        <v>416</v>
      </c>
      <c r="Q10" s="319" t="s">
        <v>77</v>
      </c>
      <c r="R10" s="317" t="s">
        <v>78</v>
      </c>
      <c r="S10" s="316" t="s">
        <v>78</v>
      </c>
      <c r="T10" s="316" t="s">
        <v>78</v>
      </c>
      <c r="U10" s="316" t="s">
        <v>78</v>
      </c>
      <c r="V10" s="318" t="s">
        <v>78</v>
      </c>
    </row>
    <row r="11" spans="2:22">
      <c r="B11" s="120">
        <f>D6</f>
        <v>1E-4</v>
      </c>
      <c r="C11" s="7">
        <v>0.1</v>
      </c>
      <c r="D11" s="7">
        <f>C11*H$6</f>
        <v>111.64499996158746</v>
      </c>
      <c r="E11" s="11">
        <f t="shared" ref="E11:E74" si="0">D$5/(H$5*C11*C11*_xlfn.SINGLE(S))</f>
        <v>3.9709299480602835</v>
      </c>
      <c r="F11" s="19" t="e">
        <f>InterpolateXY(E11,C11,CD_CL,CD_M,CD_table)</f>
        <v>#VALUE!</v>
      </c>
      <c r="G11" t="e">
        <f>F11*$H$5*C11*C11*S</f>
        <v>#VALUE!</v>
      </c>
      <c r="H11" s="12">
        <f t="shared" ref="H11:H42" si="1">_xlfn.SINGLE(InterpolateXY(B11,C11,Tnorm_h,Tnorm_M,Tnorm_table))*_xlfn.SINGLE(numeng)</f>
        <v>3579.9999907847709</v>
      </c>
      <c r="I11" s="12">
        <f t="shared" ref="I11:I42" si="2">_xlfn.SINGLE(InterpolateXYZ($I$8,C11,B11,FFnorm_PS,FFnorm_M,FFnorm_h,FFnorm_table))*_xlfn.SINGLE(numeng)</f>
        <v>3902.1999887763927</v>
      </c>
      <c r="J11" s="141" t="e">
        <f>G11/H11</f>
        <v>#VALUE!</v>
      </c>
      <c r="K11" s="267" t="e" cm="1">
        <f t="array" ref="K11">InterpolateXYZ(J11,C11,B11,FFnorm_PS,FFnorm_M,FFnorm_h,FFnorm_table)*numeng</f>
        <v>#VALUE!</v>
      </c>
      <c r="L11" s="11" t="e">
        <f>K11/G11</f>
        <v>#VALUE!</v>
      </c>
      <c r="M11" s="425" t="e" cm="1">
        <f t="array" ref="M11">($D$5/G11)*(C11*Linterp($D$6,atmos_h,atmos_vela)/L11)</f>
        <v>#VALUE!</v>
      </c>
      <c r="N11" s="55" t="e">
        <f>($D$5/G11)*(1/L11)</f>
        <v>#VALUE!</v>
      </c>
      <c r="O11" s="426" t="e">
        <f>M11/$D$5</f>
        <v>#VALUE!</v>
      </c>
      <c r="P11" s="3"/>
      <c r="Q11" s="7">
        <f>C11</f>
        <v>0.1</v>
      </c>
      <c r="R11" s="314" cm="1">
        <f t="array" ref="R11">numeng*InterpolateXY($D$6,$Q11,Tmil_h,Tmil_M,Tmil_table)</f>
        <v>3839.9999900654411</v>
      </c>
      <c r="S11" s="12" cm="1">
        <f t="array" ref="S11">numeng*InterpolateXY($D$6,$Q11,Tmax_h,Tmax_M,Tmax_table)</f>
        <v>5739.999985153494</v>
      </c>
      <c r="T11" s="16" t="e">
        <f>G11</f>
        <v>#VALUE!</v>
      </c>
      <c r="U11" s="55" t="e">
        <f>R11-T11</f>
        <v>#VALUE!</v>
      </c>
      <c r="V11" s="426" t="e">
        <f>S11-T11</f>
        <v>#VALUE!</v>
      </c>
    </row>
    <row r="12" spans="2:22">
      <c r="B12" s="120">
        <f>B11</f>
        <v>1E-4</v>
      </c>
      <c r="C12" s="7">
        <v>0.11</v>
      </c>
      <c r="D12" s="7">
        <f t="shared" ref="D12:D19" si="3">C12*H$6</f>
        <v>122.8094999577462</v>
      </c>
      <c r="E12" s="11">
        <f t="shared" si="0"/>
        <v>3.2817602876531269</v>
      </c>
      <c r="F12" s="19" t="e">
        <f t="shared" ref="F12:F74" si="4">InterpolateXY(E12,C12,CD_CL,CD_M,CD_table)</f>
        <v>#VALUE!</v>
      </c>
      <c r="G12" t="e">
        <f t="shared" ref="G12:G74" si="5">F12*$H$5*C12*C12*_xlfn.SINGLE(S)</f>
        <v>#VALUE!</v>
      </c>
      <c r="H12" s="12">
        <f t="shared" si="1"/>
        <v>3583.999990842638</v>
      </c>
      <c r="I12" s="12">
        <f t="shared" si="2"/>
        <v>3906.5599888368624</v>
      </c>
      <c r="J12" s="141" t="e">
        <f t="shared" ref="J12:J75" si="6">G12/H12</f>
        <v>#VALUE!</v>
      </c>
      <c r="K12" s="267" t="e" cm="1">
        <f t="array" ref="K12">InterpolateXYZ(J12,C12,B12,FFnorm_PS,FFnorm_M,FFnorm_h,FFnorm_table)*numeng</f>
        <v>#VALUE!</v>
      </c>
      <c r="L12" s="11" t="e">
        <f t="shared" ref="L12:L75" si="7">K12/G12</f>
        <v>#VALUE!</v>
      </c>
      <c r="M12" s="425" t="e" cm="1">
        <f t="array" ref="M12">($D$5/G12)*(C12*Linterp($D$6,atmos_h,atmos_vela)/L12)</f>
        <v>#VALUE!</v>
      </c>
      <c r="N12" s="55" t="e">
        <f t="shared" ref="N12:N75" si="8">($D$5/G12)*(1/L12)</f>
        <v>#VALUE!</v>
      </c>
      <c r="O12" s="426" t="e">
        <f t="shared" ref="O12:O75" si="9">M12/$D$5</f>
        <v>#VALUE!</v>
      </c>
      <c r="P12" s="12"/>
      <c r="Q12" s="7">
        <f t="shared" ref="Q12:Q75" si="10">C12</f>
        <v>0.11</v>
      </c>
      <c r="R12" s="314" cm="1">
        <f t="array" ref="R12">numeng*InterpolateXY($D$6,$Q12,Tmil_h,Tmil_M,Tmil_table)</f>
        <v>3843.9999901233082</v>
      </c>
      <c r="S12" s="12" cm="1">
        <f t="array" ref="S12">numeng*InterpolateXY($D$6,$Q12,Tmax_h,Tmax_M,Tmax_table)</f>
        <v>5763.999985190495</v>
      </c>
      <c r="T12" s="16" t="e">
        <f t="shared" ref="T12:T75" si="11">G12</f>
        <v>#VALUE!</v>
      </c>
      <c r="U12" s="55" t="e">
        <f t="shared" ref="U12:U75" si="12">R12-T12</f>
        <v>#VALUE!</v>
      </c>
      <c r="V12" s="426" t="e">
        <f t="shared" ref="V12:V75" si="13">S12-T12</f>
        <v>#VALUE!</v>
      </c>
    </row>
    <row r="13" spans="2:22">
      <c r="B13" s="120">
        <f t="shared" ref="B13:B76" si="14">B12</f>
        <v>1E-4</v>
      </c>
      <c r="C13" s="7">
        <v>0.12</v>
      </c>
      <c r="D13" s="7">
        <f t="shared" si="3"/>
        <v>133.97399995390492</v>
      </c>
      <c r="E13" s="11">
        <f t="shared" si="0"/>
        <v>2.7575902417085305</v>
      </c>
      <c r="F13" s="19" t="e">
        <f t="shared" si="4"/>
        <v>#VALUE!</v>
      </c>
      <c r="G13" t="e">
        <f t="shared" si="5"/>
        <v>#VALUE!</v>
      </c>
      <c r="H13" s="12">
        <f t="shared" si="1"/>
        <v>3587.9999909005046</v>
      </c>
      <c r="I13" s="12">
        <f t="shared" si="2"/>
        <v>3910.9199888973312</v>
      </c>
      <c r="J13" s="141" t="e">
        <f t="shared" si="6"/>
        <v>#VALUE!</v>
      </c>
      <c r="K13" s="267" t="e" cm="1">
        <f t="array" ref="K13">InterpolateXYZ(J13,C13,B13,FFnorm_PS,FFnorm_M,FFnorm_h,FFnorm_table)*numeng</f>
        <v>#VALUE!</v>
      </c>
      <c r="L13" s="11" t="e">
        <f t="shared" si="7"/>
        <v>#VALUE!</v>
      </c>
      <c r="M13" s="425" t="e" cm="1">
        <f t="array" ref="M13">($D$5/G13)*(C13*Linterp($D$6,atmos_h,atmos_vela)/L13)</f>
        <v>#VALUE!</v>
      </c>
      <c r="N13" s="55" t="e">
        <f t="shared" si="8"/>
        <v>#VALUE!</v>
      </c>
      <c r="O13" s="426" t="e">
        <f t="shared" si="9"/>
        <v>#VALUE!</v>
      </c>
      <c r="P13" s="12"/>
      <c r="Q13" s="7">
        <f t="shared" si="10"/>
        <v>0.12</v>
      </c>
      <c r="R13" s="314" cm="1">
        <f t="array" ref="R13">numeng*InterpolateXY($D$6,$Q13,Tmil_h,Tmil_M,Tmil_table)</f>
        <v>3847.9999901811748</v>
      </c>
      <c r="S13" s="12" cm="1">
        <f t="array" ref="S13">numeng*InterpolateXY($D$6,$Q13,Tmax_h,Tmax_M,Tmax_table)</f>
        <v>5787.9999852274959</v>
      </c>
      <c r="T13" s="16" t="e">
        <f t="shared" si="11"/>
        <v>#VALUE!</v>
      </c>
      <c r="U13" s="55" t="e">
        <f t="shared" si="12"/>
        <v>#VALUE!</v>
      </c>
      <c r="V13" s="426" t="e">
        <f t="shared" si="13"/>
        <v>#VALUE!</v>
      </c>
    </row>
    <row r="14" spans="2:22">
      <c r="B14" s="120">
        <f t="shared" si="14"/>
        <v>1E-4</v>
      </c>
      <c r="C14" s="7">
        <v>0.13</v>
      </c>
      <c r="D14" s="7">
        <f t="shared" si="3"/>
        <v>145.1384999500637</v>
      </c>
      <c r="E14" s="11">
        <f t="shared" si="0"/>
        <v>2.349662691159931</v>
      </c>
      <c r="F14" s="19" t="e">
        <f t="shared" si="4"/>
        <v>#VALUE!</v>
      </c>
      <c r="G14" t="e">
        <f t="shared" si="5"/>
        <v>#VALUE!</v>
      </c>
      <c r="H14" s="12">
        <f t="shared" si="1"/>
        <v>3591.9999909583717</v>
      </c>
      <c r="I14" s="12">
        <f t="shared" si="2"/>
        <v>3915.2799889578009</v>
      </c>
      <c r="J14" s="141" t="e">
        <f t="shared" si="6"/>
        <v>#VALUE!</v>
      </c>
      <c r="K14" s="267" t="e" cm="1">
        <f t="array" ref="K14">InterpolateXYZ(J14,C14,B14,FFnorm_PS,FFnorm_M,FFnorm_h,FFnorm_table)*numeng</f>
        <v>#VALUE!</v>
      </c>
      <c r="L14" s="11" t="e">
        <f t="shared" si="7"/>
        <v>#VALUE!</v>
      </c>
      <c r="M14" s="425" t="e" cm="1">
        <f t="array" ref="M14">($D$5/G14)*(C14*Linterp($D$6,atmos_h,atmos_vela)/L14)</f>
        <v>#VALUE!</v>
      </c>
      <c r="N14" s="55" t="e">
        <f t="shared" si="8"/>
        <v>#VALUE!</v>
      </c>
      <c r="O14" s="426" t="e">
        <f t="shared" si="9"/>
        <v>#VALUE!</v>
      </c>
      <c r="P14" s="12"/>
      <c r="Q14" s="7">
        <f t="shared" si="10"/>
        <v>0.13</v>
      </c>
      <c r="R14" s="314" cm="1">
        <f t="array" ref="R14">numeng*InterpolateXY($D$6,$Q14,Tmil_h,Tmil_M,Tmil_table)</f>
        <v>3851.9999902390418</v>
      </c>
      <c r="S14" s="12" cm="1">
        <f t="array" ref="S14">numeng*InterpolateXY($D$6,$Q14,Tmax_h,Tmax_M,Tmax_table)</f>
        <v>5811.9999852644969</v>
      </c>
      <c r="T14" s="16" t="e">
        <f t="shared" si="11"/>
        <v>#VALUE!</v>
      </c>
      <c r="U14" s="55" t="e">
        <f t="shared" si="12"/>
        <v>#VALUE!</v>
      </c>
      <c r="V14" s="426" t="e">
        <f t="shared" si="13"/>
        <v>#VALUE!</v>
      </c>
    </row>
    <row r="15" spans="2:22">
      <c r="B15" s="120">
        <f t="shared" si="14"/>
        <v>1E-4</v>
      </c>
      <c r="C15" s="7">
        <v>0.14000000000000001</v>
      </c>
      <c r="D15" s="7">
        <f t="shared" si="3"/>
        <v>156.30299994622246</v>
      </c>
      <c r="E15" s="11">
        <f t="shared" si="0"/>
        <v>2.0259846673776956</v>
      </c>
      <c r="F15" s="19" t="e">
        <f t="shared" si="4"/>
        <v>#VALUE!</v>
      </c>
      <c r="G15" t="e">
        <f t="shared" si="5"/>
        <v>#VALUE!</v>
      </c>
      <c r="H15" s="12">
        <f t="shared" si="1"/>
        <v>3595.9999910162387</v>
      </c>
      <c r="I15" s="12">
        <f t="shared" si="2"/>
        <v>3919.6399890182702</v>
      </c>
      <c r="J15" s="141" t="e">
        <f t="shared" si="6"/>
        <v>#VALUE!</v>
      </c>
      <c r="K15" s="267" t="e" cm="1">
        <f t="array" ref="K15">InterpolateXYZ(J15,C15,B15,FFnorm_PS,FFnorm_M,FFnorm_h,FFnorm_table)*numeng</f>
        <v>#VALUE!</v>
      </c>
      <c r="L15" s="11" t="e">
        <f t="shared" si="7"/>
        <v>#VALUE!</v>
      </c>
      <c r="M15" s="425" t="e" cm="1">
        <f t="array" ref="M15">($D$5/G15)*(C15*Linterp($D$6,atmos_h,atmos_vela)/L15)</f>
        <v>#VALUE!</v>
      </c>
      <c r="N15" s="55" t="e">
        <f t="shared" si="8"/>
        <v>#VALUE!</v>
      </c>
      <c r="O15" s="426" t="e">
        <f t="shared" si="9"/>
        <v>#VALUE!</v>
      </c>
      <c r="P15" s="12"/>
      <c r="Q15" s="7">
        <f t="shared" si="10"/>
        <v>0.14000000000000001</v>
      </c>
      <c r="R15" s="314" cm="1">
        <f t="array" ref="R15">numeng*InterpolateXY($D$6,$Q15,Tmil_h,Tmil_M,Tmil_table)</f>
        <v>3855.9999902969084</v>
      </c>
      <c r="S15" s="12" cm="1">
        <f t="array" ref="S15">numeng*InterpolateXY($D$6,$Q15,Tmax_h,Tmax_M,Tmax_table)</f>
        <v>5835.9999853014979</v>
      </c>
      <c r="T15" s="16" t="e">
        <f t="shared" si="11"/>
        <v>#VALUE!</v>
      </c>
      <c r="U15" s="55" t="e">
        <f t="shared" si="12"/>
        <v>#VALUE!</v>
      </c>
      <c r="V15" s="426" t="e">
        <f t="shared" si="13"/>
        <v>#VALUE!</v>
      </c>
    </row>
    <row r="16" spans="2:22">
      <c r="B16" s="120">
        <f t="shared" si="14"/>
        <v>1E-4</v>
      </c>
      <c r="C16" s="7">
        <v>0.15</v>
      </c>
      <c r="D16" s="7">
        <f t="shared" si="3"/>
        <v>167.46749994238118</v>
      </c>
      <c r="E16" s="11">
        <f t="shared" si="0"/>
        <v>1.7648577546934598</v>
      </c>
      <c r="F16" s="19" t="e">
        <f t="shared" si="4"/>
        <v>#VALUE!</v>
      </c>
      <c r="G16" t="e">
        <f t="shared" si="5"/>
        <v>#VALUE!</v>
      </c>
      <c r="H16" s="12">
        <f t="shared" si="1"/>
        <v>3599.9999910741053</v>
      </c>
      <c r="I16" s="12">
        <f t="shared" si="2"/>
        <v>3923.9999890787394</v>
      </c>
      <c r="J16" s="141" t="e">
        <f t="shared" si="6"/>
        <v>#VALUE!</v>
      </c>
      <c r="K16" s="267" t="e" cm="1">
        <f t="array" ref="K16">InterpolateXYZ(J16,C16,B16,FFnorm_PS,FFnorm_M,FFnorm_h,FFnorm_table)*numeng</f>
        <v>#VALUE!</v>
      </c>
      <c r="L16" s="11" t="e">
        <f t="shared" si="7"/>
        <v>#VALUE!</v>
      </c>
      <c r="M16" s="425" t="e" cm="1">
        <f t="array" ref="M16">($D$5/G16)*(C16*Linterp($D$6,atmos_h,atmos_vela)/L16)</f>
        <v>#VALUE!</v>
      </c>
      <c r="N16" s="55" t="e">
        <f t="shared" si="8"/>
        <v>#VALUE!</v>
      </c>
      <c r="O16" s="426" t="e">
        <f t="shared" si="9"/>
        <v>#VALUE!</v>
      </c>
      <c r="P16" s="12"/>
      <c r="Q16" s="7">
        <f t="shared" si="10"/>
        <v>0.15</v>
      </c>
      <c r="R16" s="314" cm="1">
        <f t="array" ref="R16">numeng*InterpolateXY($D$6,$Q16,Tmil_h,Tmil_M,Tmil_table)</f>
        <v>3859.9999903547755</v>
      </c>
      <c r="S16" s="12" cm="1">
        <f t="array" ref="S16">numeng*InterpolateXY($D$6,$Q16,Tmax_h,Tmax_M,Tmax_table)</f>
        <v>5859.9999853384979</v>
      </c>
      <c r="T16" s="16" t="e">
        <f t="shared" si="11"/>
        <v>#VALUE!</v>
      </c>
      <c r="U16" s="55" t="e">
        <f t="shared" si="12"/>
        <v>#VALUE!</v>
      </c>
      <c r="V16" s="426" t="e">
        <f t="shared" si="13"/>
        <v>#VALUE!</v>
      </c>
    </row>
    <row r="17" spans="2:22">
      <c r="B17" s="120">
        <f t="shared" si="14"/>
        <v>1E-4</v>
      </c>
      <c r="C17" s="7">
        <v>0.16</v>
      </c>
      <c r="D17" s="7">
        <f t="shared" si="3"/>
        <v>178.63199993853993</v>
      </c>
      <c r="E17" s="11">
        <f t="shared" si="0"/>
        <v>1.5511445109610482</v>
      </c>
      <c r="F17" s="19" t="e">
        <f t="shared" si="4"/>
        <v>#VALUE!</v>
      </c>
      <c r="G17" t="e">
        <f t="shared" si="5"/>
        <v>#VALUE!</v>
      </c>
      <c r="H17" s="12">
        <f t="shared" si="1"/>
        <v>3603.9999911319724</v>
      </c>
      <c r="I17" s="12">
        <f t="shared" si="2"/>
        <v>3928.3599891392087</v>
      </c>
      <c r="J17" s="141" t="e">
        <f t="shared" si="6"/>
        <v>#VALUE!</v>
      </c>
      <c r="K17" s="267" t="e" cm="1">
        <f t="array" ref="K17">InterpolateXYZ(J17,C17,B17,FFnorm_PS,FFnorm_M,FFnorm_h,FFnorm_table)*numeng</f>
        <v>#VALUE!</v>
      </c>
      <c r="L17" s="11" t="e">
        <f t="shared" si="7"/>
        <v>#VALUE!</v>
      </c>
      <c r="M17" s="425" t="e" cm="1">
        <f t="array" ref="M17">($D$5/G17)*(C17*Linterp($D$6,atmos_h,atmos_vela)/L17)</f>
        <v>#VALUE!</v>
      </c>
      <c r="N17" s="55" t="e">
        <f t="shared" si="8"/>
        <v>#VALUE!</v>
      </c>
      <c r="O17" s="426" t="e">
        <f t="shared" si="9"/>
        <v>#VALUE!</v>
      </c>
      <c r="P17" s="12"/>
      <c r="Q17" s="7">
        <f t="shared" si="10"/>
        <v>0.16</v>
      </c>
      <c r="R17" s="314" cm="1">
        <f t="array" ref="R17">numeng*InterpolateXY($D$6,$Q17,Tmil_h,Tmil_M,Tmil_table)</f>
        <v>3863.9999904126425</v>
      </c>
      <c r="S17" s="12" cm="1">
        <f t="array" ref="S17">numeng*InterpolateXY($D$6,$Q17,Tmax_h,Tmax_M,Tmax_table)</f>
        <v>5883.9999853754989</v>
      </c>
      <c r="T17" s="16" t="e">
        <f t="shared" si="11"/>
        <v>#VALUE!</v>
      </c>
      <c r="U17" s="55" t="e">
        <f t="shared" si="12"/>
        <v>#VALUE!</v>
      </c>
      <c r="V17" s="426" t="e">
        <f t="shared" si="13"/>
        <v>#VALUE!</v>
      </c>
    </row>
    <row r="18" spans="2:22">
      <c r="B18" s="120">
        <f t="shared" si="14"/>
        <v>1E-4</v>
      </c>
      <c r="C18" s="7">
        <v>0.17</v>
      </c>
      <c r="D18" s="7">
        <f t="shared" si="3"/>
        <v>189.79649993469869</v>
      </c>
      <c r="E18" s="11">
        <f t="shared" si="0"/>
        <v>1.3740242034810668</v>
      </c>
      <c r="F18" s="19" t="e">
        <f t="shared" si="4"/>
        <v>#VALUE!</v>
      </c>
      <c r="G18" t="e">
        <f t="shared" si="5"/>
        <v>#VALUE!</v>
      </c>
      <c r="H18" s="12">
        <f t="shared" si="1"/>
        <v>3607.9999911898394</v>
      </c>
      <c r="I18" s="12">
        <f t="shared" si="2"/>
        <v>3932.7199891996784</v>
      </c>
      <c r="J18" s="141" t="e">
        <f t="shared" si="6"/>
        <v>#VALUE!</v>
      </c>
      <c r="K18" s="267" t="e" cm="1">
        <f t="array" ref="K18">InterpolateXYZ(J18,C18,B18,FFnorm_PS,FFnorm_M,FFnorm_h,FFnorm_table)*numeng</f>
        <v>#VALUE!</v>
      </c>
      <c r="L18" s="11" t="e">
        <f t="shared" si="7"/>
        <v>#VALUE!</v>
      </c>
      <c r="M18" s="425" t="e" cm="1">
        <f t="array" ref="M18">($D$5/G18)*(C18*Linterp($D$6,atmos_h,atmos_vela)/L18)</f>
        <v>#VALUE!</v>
      </c>
      <c r="N18" s="55" t="e">
        <f t="shared" si="8"/>
        <v>#VALUE!</v>
      </c>
      <c r="O18" s="426" t="e">
        <f t="shared" si="9"/>
        <v>#VALUE!</v>
      </c>
      <c r="P18" s="12"/>
      <c r="Q18" s="7">
        <f t="shared" si="10"/>
        <v>0.17</v>
      </c>
      <c r="R18" s="314" cm="1">
        <f t="array" ref="R18">numeng*InterpolateXY($D$6,$Q18,Tmil_h,Tmil_M,Tmil_table)</f>
        <v>3867.9999904705091</v>
      </c>
      <c r="S18" s="12" cm="1">
        <f t="array" ref="S18">numeng*InterpolateXY($D$6,$Q18,Tmax_h,Tmax_M,Tmax_table)</f>
        <v>5907.9999854124999</v>
      </c>
      <c r="T18" s="16" t="e">
        <f t="shared" si="11"/>
        <v>#VALUE!</v>
      </c>
      <c r="U18" s="55" t="e">
        <f t="shared" si="12"/>
        <v>#VALUE!</v>
      </c>
      <c r="V18" s="426" t="e">
        <f t="shared" si="13"/>
        <v>#VALUE!</v>
      </c>
    </row>
    <row r="19" spans="2:22">
      <c r="B19" s="120">
        <f t="shared" si="14"/>
        <v>1E-4</v>
      </c>
      <c r="C19" s="7">
        <v>0.18</v>
      </c>
      <c r="D19" s="7">
        <f t="shared" si="3"/>
        <v>200.96099993085741</v>
      </c>
      <c r="E19" s="11">
        <f t="shared" si="0"/>
        <v>1.2255956629815692</v>
      </c>
      <c r="F19" s="19" t="e">
        <f t="shared" si="4"/>
        <v>#VALUE!</v>
      </c>
      <c r="G19" t="e">
        <f t="shared" si="5"/>
        <v>#VALUE!</v>
      </c>
      <c r="H19" s="12">
        <f t="shared" si="1"/>
        <v>3611.9999912477065</v>
      </c>
      <c r="I19" s="12">
        <f t="shared" si="2"/>
        <v>3937.0799892601476</v>
      </c>
      <c r="J19" s="141" t="e">
        <f t="shared" si="6"/>
        <v>#VALUE!</v>
      </c>
      <c r="K19" s="267" t="e" cm="1">
        <f t="array" ref="K19">InterpolateXYZ(J19,C19,B19,FFnorm_PS,FFnorm_M,FFnorm_h,FFnorm_table)*numeng</f>
        <v>#VALUE!</v>
      </c>
      <c r="L19" s="11" t="e">
        <f t="shared" si="7"/>
        <v>#VALUE!</v>
      </c>
      <c r="M19" s="425" t="e" cm="1">
        <f t="array" ref="M19">($D$5/G19)*(C19*Linterp($D$6,atmos_h,atmos_vela)/L19)</f>
        <v>#VALUE!</v>
      </c>
      <c r="N19" s="55" t="e">
        <f t="shared" si="8"/>
        <v>#VALUE!</v>
      </c>
      <c r="O19" s="426" t="e">
        <f t="shared" si="9"/>
        <v>#VALUE!</v>
      </c>
      <c r="P19" s="12"/>
      <c r="Q19" s="7">
        <f t="shared" si="10"/>
        <v>0.18</v>
      </c>
      <c r="R19" s="314" cm="1">
        <f t="array" ref="R19">numeng*InterpolateXY($D$6,$Q19,Tmil_h,Tmil_M,Tmil_table)</f>
        <v>3871.9999905283762</v>
      </c>
      <c r="S19" s="12" cm="1">
        <f t="array" ref="S19">numeng*InterpolateXY($D$6,$Q19,Tmax_h,Tmax_M,Tmax_table)</f>
        <v>5931.9999854495009</v>
      </c>
      <c r="T19" s="16" t="e">
        <f t="shared" si="11"/>
        <v>#VALUE!</v>
      </c>
      <c r="U19" s="55" t="e">
        <f t="shared" si="12"/>
        <v>#VALUE!</v>
      </c>
      <c r="V19" s="426" t="e">
        <f t="shared" si="13"/>
        <v>#VALUE!</v>
      </c>
    </row>
    <row r="20" spans="2:22">
      <c r="B20" s="120">
        <f t="shared" si="14"/>
        <v>1E-4</v>
      </c>
      <c r="C20" s="7">
        <v>0.19</v>
      </c>
      <c r="D20" s="7">
        <f>C20*H$6</f>
        <v>212.12549992701616</v>
      </c>
      <c r="E20" s="11">
        <f t="shared" si="0"/>
        <v>1.0999805950305497</v>
      </c>
      <c r="F20" s="19" t="e">
        <f t="shared" si="4"/>
        <v>#VALUE!</v>
      </c>
      <c r="G20" t="e">
        <f t="shared" si="5"/>
        <v>#VALUE!</v>
      </c>
      <c r="H20" s="12">
        <f t="shared" si="1"/>
        <v>3615.9999913055731</v>
      </c>
      <c r="I20" s="12">
        <f t="shared" si="2"/>
        <v>3941.4399893206169</v>
      </c>
      <c r="J20" s="141" t="e">
        <f t="shared" si="6"/>
        <v>#VALUE!</v>
      </c>
      <c r="K20" s="267" t="e" cm="1">
        <f t="array" ref="K20">InterpolateXYZ(J20,C20,B20,FFnorm_PS,FFnorm_M,FFnorm_h,FFnorm_table)*numeng</f>
        <v>#VALUE!</v>
      </c>
      <c r="L20" s="11" t="e">
        <f t="shared" si="7"/>
        <v>#VALUE!</v>
      </c>
      <c r="M20" s="425" t="e" cm="1">
        <f t="array" ref="M20">($D$5/G20)*(C20*Linterp($D$6,atmos_h,atmos_vela)/L20)</f>
        <v>#VALUE!</v>
      </c>
      <c r="N20" s="55" t="e">
        <f t="shared" si="8"/>
        <v>#VALUE!</v>
      </c>
      <c r="O20" s="426" t="e">
        <f t="shared" si="9"/>
        <v>#VALUE!</v>
      </c>
      <c r="P20" s="12"/>
      <c r="Q20" s="7">
        <f t="shared" si="10"/>
        <v>0.19</v>
      </c>
      <c r="R20" s="314" cm="1">
        <f t="array" ref="R20">numeng*InterpolateXY($D$6,$Q20,Tmil_h,Tmil_M,Tmil_table)</f>
        <v>3875.9999905862428</v>
      </c>
      <c r="S20" s="12" cm="1">
        <f t="array" ref="S20">numeng*InterpolateXY($D$6,$Q20,Tmax_h,Tmax_M,Tmax_table)</f>
        <v>5955.9999854865018</v>
      </c>
      <c r="T20" s="16" t="e">
        <f t="shared" si="11"/>
        <v>#VALUE!</v>
      </c>
      <c r="U20" s="55" t="e">
        <f t="shared" si="12"/>
        <v>#VALUE!</v>
      </c>
      <c r="V20" s="426" t="e">
        <f t="shared" si="13"/>
        <v>#VALUE!</v>
      </c>
    </row>
    <row r="21" spans="2:22">
      <c r="B21" s="120">
        <f t="shared" si="14"/>
        <v>1E-4</v>
      </c>
      <c r="C21" s="7">
        <v>0.2</v>
      </c>
      <c r="D21" s="7">
        <f t="shared" ref="D21:D84" si="15">C21*H$6</f>
        <v>223.28999992317492</v>
      </c>
      <c r="E21" s="11">
        <f t="shared" si="0"/>
        <v>0.99273248701507089</v>
      </c>
      <c r="F21" s="19" t="e">
        <f t="shared" si="4"/>
        <v>#VALUE!</v>
      </c>
      <c r="G21" t="e">
        <f t="shared" si="5"/>
        <v>#VALUE!</v>
      </c>
      <c r="H21" s="12">
        <f t="shared" si="1"/>
        <v>3619.9999913634401</v>
      </c>
      <c r="I21" s="12">
        <f t="shared" si="2"/>
        <v>3945.7999893810866</v>
      </c>
      <c r="J21" s="141" t="e">
        <f t="shared" si="6"/>
        <v>#VALUE!</v>
      </c>
      <c r="K21" s="267" t="e" cm="1">
        <f t="array" ref="K21">InterpolateXYZ(J21,C21,B21,FFnorm_PS,FFnorm_M,FFnorm_h,FFnorm_table)*numeng</f>
        <v>#VALUE!</v>
      </c>
      <c r="L21" s="11" t="e">
        <f t="shared" si="7"/>
        <v>#VALUE!</v>
      </c>
      <c r="M21" s="425" t="e" cm="1">
        <f t="array" ref="M21">($D$5/G21)*(C21*Linterp($D$6,atmos_h,atmos_vela)/L21)</f>
        <v>#VALUE!</v>
      </c>
      <c r="N21" s="55" t="e">
        <f t="shared" si="8"/>
        <v>#VALUE!</v>
      </c>
      <c r="O21" s="426" t="e">
        <f t="shared" si="9"/>
        <v>#VALUE!</v>
      </c>
      <c r="P21" s="12"/>
      <c r="Q21" s="7">
        <f t="shared" si="10"/>
        <v>0.2</v>
      </c>
      <c r="R21" s="314" cm="1">
        <f t="array" ref="R21">numeng*InterpolateXY($D$6,$Q21,Tmil_h,Tmil_M,Tmil_table)</f>
        <v>3879.9999906441099</v>
      </c>
      <c r="S21" s="12" cm="1">
        <f t="array" ref="S21">numeng*InterpolateXY($D$6,$Q21,Tmax_h,Tmax_M,Tmax_table)</f>
        <v>5979.9999855235028</v>
      </c>
      <c r="T21" s="16" t="e">
        <f t="shared" si="11"/>
        <v>#VALUE!</v>
      </c>
      <c r="U21" s="55" t="e">
        <f t="shared" si="12"/>
        <v>#VALUE!</v>
      </c>
      <c r="V21" s="426" t="e">
        <f t="shared" si="13"/>
        <v>#VALUE!</v>
      </c>
    </row>
    <row r="22" spans="2:22">
      <c r="B22" s="120">
        <f t="shared" si="14"/>
        <v>1E-4</v>
      </c>
      <c r="C22" s="7">
        <v>0.21</v>
      </c>
      <c r="D22" s="7">
        <f t="shared" si="15"/>
        <v>234.45449991933364</v>
      </c>
      <c r="E22" s="11">
        <f t="shared" si="0"/>
        <v>0.90043762994564269</v>
      </c>
      <c r="F22" s="19" t="e">
        <f t="shared" si="4"/>
        <v>#VALUE!</v>
      </c>
      <c r="G22" t="e">
        <f t="shared" si="5"/>
        <v>#VALUE!</v>
      </c>
      <c r="H22" s="12">
        <f t="shared" si="1"/>
        <v>3623.9999914213072</v>
      </c>
      <c r="I22" s="12">
        <f t="shared" si="2"/>
        <v>3950.1599894415558</v>
      </c>
      <c r="J22" s="141" t="e">
        <f t="shared" si="6"/>
        <v>#VALUE!</v>
      </c>
      <c r="K22" s="267" t="e" cm="1">
        <f t="array" ref="K22">InterpolateXYZ(J22,C22,B22,FFnorm_PS,FFnorm_M,FFnorm_h,FFnorm_table)*numeng</f>
        <v>#VALUE!</v>
      </c>
      <c r="L22" s="11" t="e">
        <f t="shared" si="7"/>
        <v>#VALUE!</v>
      </c>
      <c r="M22" s="425" t="e" cm="1">
        <f t="array" ref="M22">($D$5/G22)*(C22*Linterp($D$6,atmos_h,atmos_vela)/L22)</f>
        <v>#VALUE!</v>
      </c>
      <c r="N22" s="55" t="e">
        <f t="shared" si="8"/>
        <v>#VALUE!</v>
      </c>
      <c r="O22" s="426" t="e">
        <f t="shared" si="9"/>
        <v>#VALUE!</v>
      </c>
      <c r="P22" s="12"/>
      <c r="Q22" s="7">
        <f t="shared" si="10"/>
        <v>0.21</v>
      </c>
      <c r="R22" s="314" cm="1">
        <f t="array" ref="R22">numeng*InterpolateXY($D$6,$Q22,Tmil_h,Tmil_M,Tmil_table)</f>
        <v>3883.9999907019769</v>
      </c>
      <c r="S22" s="12" cm="1">
        <f t="array" ref="S22">numeng*InterpolateXY($D$6,$Q22,Tmax_h,Tmax_M,Tmax_table)</f>
        <v>6003.9999855605038</v>
      </c>
      <c r="T22" s="16" t="e">
        <f t="shared" si="11"/>
        <v>#VALUE!</v>
      </c>
      <c r="U22" s="55" t="e">
        <f t="shared" si="12"/>
        <v>#VALUE!</v>
      </c>
      <c r="V22" s="426" t="e">
        <f t="shared" si="13"/>
        <v>#VALUE!</v>
      </c>
    </row>
    <row r="23" spans="2:22">
      <c r="B23" s="120">
        <f t="shared" si="14"/>
        <v>1E-4</v>
      </c>
      <c r="C23" s="7">
        <v>0.22</v>
      </c>
      <c r="D23" s="7">
        <f t="shared" si="15"/>
        <v>245.6189999154924</v>
      </c>
      <c r="E23" s="11">
        <f t="shared" si="0"/>
        <v>0.82044007191328172</v>
      </c>
      <c r="F23" s="19" t="e">
        <f t="shared" si="4"/>
        <v>#VALUE!</v>
      </c>
      <c r="G23" t="e">
        <f t="shared" si="5"/>
        <v>#VALUE!</v>
      </c>
      <c r="H23" s="12">
        <f t="shared" si="1"/>
        <v>3627.9999914791738</v>
      </c>
      <c r="I23" s="12">
        <f t="shared" si="2"/>
        <v>3954.5199895020251</v>
      </c>
      <c r="J23" s="141" t="e">
        <f t="shared" si="6"/>
        <v>#VALUE!</v>
      </c>
      <c r="K23" s="267" t="e" cm="1">
        <f t="array" ref="K23">InterpolateXYZ(J23,C23,B23,FFnorm_PS,FFnorm_M,FFnorm_h,FFnorm_table)*numeng</f>
        <v>#VALUE!</v>
      </c>
      <c r="L23" s="11" t="e">
        <f t="shared" si="7"/>
        <v>#VALUE!</v>
      </c>
      <c r="M23" s="425" t="e" cm="1">
        <f t="array" ref="M23">($D$5/G23)*(C23*Linterp($D$6,atmos_h,atmos_vela)/L23)</f>
        <v>#VALUE!</v>
      </c>
      <c r="N23" s="55" t="e">
        <f t="shared" si="8"/>
        <v>#VALUE!</v>
      </c>
      <c r="O23" s="426" t="e">
        <f t="shared" si="9"/>
        <v>#VALUE!</v>
      </c>
      <c r="P23" s="12"/>
      <c r="Q23" s="7">
        <f t="shared" si="10"/>
        <v>0.22</v>
      </c>
      <c r="R23" s="314" cm="1">
        <f t="array" ref="R23">numeng*InterpolateXY($D$6,$Q23,Tmil_h,Tmil_M,Tmil_table)</f>
        <v>3887.9999907598435</v>
      </c>
      <c r="S23" s="12" cm="1">
        <f t="array" ref="S23">numeng*InterpolateXY($D$6,$Q23,Tmax_h,Tmax_M,Tmax_table)</f>
        <v>6027.9999855975047</v>
      </c>
      <c r="T23" s="16" t="e">
        <f t="shared" si="11"/>
        <v>#VALUE!</v>
      </c>
      <c r="U23" s="55" t="e">
        <f t="shared" si="12"/>
        <v>#VALUE!</v>
      </c>
      <c r="V23" s="426" t="e">
        <f t="shared" si="13"/>
        <v>#VALUE!</v>
      </c>
    </row>
    <row r="24" spans="2:22">
      <c r="B24" s="120">
        <f t="shared" si="14"/>
        <v>1E-4</v>
      </c>
      <c r="C24" s="7">
        <v>0.23</v>
      </c>
      <c r="D24" s="7">
        <f t="shared" si="15"/>
        <v>256.78349991165112</v>
      </c>
      <c r="E24" s="11">
        <f t="shared" si="0"/>
        <v>0.75064838337623507</v>
      </c>
      <c r="F24" s="19">
        <f t="shared" si="4"/>
        <v>0.16291569832188912</v>
      </c>
      <c r="G24" s="16">
        <f t="shared" si="5"/>
        <v>2170.3330338118317</v>
      </c>
      <c r="H24" s="12">
        <f t="shared" si="1"/>
        <v>3631.9999915370408</v>
      </c>
      <c r="I24" s="12">
        <f t="shared" si="2"/>
        <v>3958.8799895624943</v>
      </c>
      <c r="J24" s="141">
        <f t="shared" si="6"/>
        <v>0.59755865607625169</v>
      </c>
      <c r="K24" s="267" cm="1">
        <f t="array" ref="K24">InterpolateXYZ(J24,C24,B24,FFnorm_PS,FFnorm_M,FFnorm_h,FFnorm_table)*numeng</f>
        <v>2365.6630061301294</v>
      </c>
      <c r="L24" s="11">
        <f>K24/G24</f>
        <v>1.0899999996660572</v>
      </c>
      <c r="M24" s="428" cm="1">
        <f t="array" ref="M24">($D$5/G24)*(C24*Linterp($D$6,atmos_h,atmos_vela)/L24)</f>
        <v>642.70718777698085</v>
      </c>
      <c r="N24" s="55">
        <f t="shared" si="8"/>
        <v>4.2271447683321988</v>
      </c>
      <c r="O24" s="426">
        <f t="shared" si="9"/>
        <v>6.4270718777698091E-2</v>
      </c>
      <c r="P24" s="12"/>
      <c r="Q24" s="7">
        <f t="shared" si="10"/>
        <v>0.23</v>
      </c>
      <c r="R24" s="314" cm="1">
        <f t="array" ref="R24">numeng*InterpolateXY($D$6,$Q24,Tmil_h,Tmil_M,Tmil_table)</f>
        <v>3891.9999908177106</v>
      </c>
      <c r="S24" s="12" cm="1">
        <f t="array" ref="S24">numeng*InterpolateXY($D$6,$Q24,Tmax_h,Tmax_M,Tmax_table)</f>
        <v>6051.9999856345048</v>
      </c>
      <c r="T24" s="16">
        <f t="shared" si="11"/>
        <v>2170.3330338118317</v>
      </c>
      <c r="U24" s="55">
        <f t="shared" si="12"/>
        <v>1721.6669570058789</v>
      </c>
      <c r="V24" s="426">
        <f t="shared" si="13"/>
        <v>3881.6669518226731</v>
      </c>
    </row>
    <row r="25" spans="2:22">
      <c r="B25" s="120">
        <f t="shared" si="14"/>
        <v>1E-4</v>
      </c>
      <c r="C25" s="7">
        <v>0.24</v>
      </c>
      <c r="D25" s="7">
        <f t="shared" si="15"/>
        <v>267.94799990780984</v>
      </c>
      <c r="E25" s="11">
        <f t="shared" si="0"/>
        <v>0.68939756042713263</v>
      </c>
      <c r="F25" s="19">
        <f t="shared" si="4"/>
        <v>0.12867613146708409</v>
      </c>
      <c r="G25" s="16">
        <f t="shared" si="5"/>
        <v>1866.5011142099161</v>
      </c>
      <c r="H25" s="12">
        <f t="shared" si="1"/>
        <v>3635.9999915949074</v>
      </c>
      <c r="I25" s="12">
        <f t="shared" si="2"/>
        <v>3963.2399896229635</v>
      </c>
      <c r="J25" s="141">
        <f t="shared" si="6"/>
        <v>0.51333914150841009</v>
      </c>
      <c r="K25" s="267" cm="1">
        <f t="array" ref="K25">InterpolateXYZ(J25,C25,B25,FFnorm_PS,FFnorm_M,FFnorm_h,FFnorm_table)*numeng</f>
        <v>2034.4862138648523</v>
      </c>
      <c r="L25" s="11">
        <f t="shared" si="7"/>
        <v>1.0899999996657082</v>
      </c>
      <c r="M25" s="425" cm="1">
        <f t="array" ref="M25">($D$5/G25)*(C25*Linterp($D$6,atmos_h,atmos_vela)/L25)</f>
        <v>779.8205754201507</v>
      </c>
      <c r="N25" s="55">
        <f t="shared" si="8"/>
        <v>4.9152458895277054</v>
      </c>
      <c r="O25" s="426">
        <f t="shared" si="9"/>
        <v>7.7982057542015065E-2</v>
      </c>
      <c r="P25" s="12"/>
      <c r="Q25" s="7">
        <f t="shared" si="10"/>
        <v>0.24</v>
      </c>
      <c r="R25" s="314" cm="1">
        <f t="array" ref="R25">numeng*InterpolateXY($D$6,$Q25,Tmil_h,Tmil_M,Tmil_table)</f>
        <v>3895.9999908755772</v>
      </c>
      <c r="S25" s="12" cm="1">
        <f t="array" ref="S25">numeng*InterpolateXY($D$6,$Q25,Tmax_h,Tmax_M,Tmax_table)</f>
        <v>6075.9999856715058</v>
      </c>
      <c r="T25" s="16">
        <f t="shared" si="11"/>
        <v>1866.5011142099161</v>
      </c>
      <c r="U25" s="55">
        <f t="shared" si="12"/>
        <v>2029.4988766656611</v>
      </c>
      <c r="V25" s="426">
        <f t="shared" si="13"/>
        <v>4209.4988714615902</v>
      </c>
    </row>
    <row r="26" spans="2:22">
      <c r="B26" s="120">
        <f t="shared" si="14"/>
        <v>1E-4</v>
      </c>
      <c r="C26" s="7">
        <v>0.25</v>
      </c>
      <c r="D26" s="7">
        <f t="shared" si="15"/>
        <v>279.11249990396863</v>
      </c>
      <c r="E26" s="11">
        <f t="shared" si="0"/>
        <v>0.63534879168964553</v>
      </c>
      <c r="F26" s="19">
        <f t="shared" si="4"/>
        <v>0.10498277076006474</v>
      </c>
      <c r="G26" s="16">
        <f t="shared" si="5"/>
        <v>1652.3643726601533</v>
      </c>
      <c r="H26" s="12">
        <f t="shared" si="1"/>
        <v>3639.9999916527745</v>
      </c>
      <c r="I26" s="12">
        <f t="shared" si="2"/>
        <v>3967.5999896834328</v>
      </c>
      <c r="J26" s="141">
        <f t="shared" si="6"/>
        <v>0.45394625726630361</v>
      </c>
      <c r="K26" s="267" cm="1">
        <f t="array" ref="K26">InterpolateXYZ(J26,C26,B26,FFnorm_PS,FFnorm_M,FFnorm_h,FFnorm_table)*numeng</f>
        <v>1801.0771656466193</v>
      </c>
      <c r="L26" s="11">
        <f t="shared" si="7"/>
        <v>1.0899999996653595</v>
      </c>
      <c r="M26" s="425" cm="1">
        <f t="array" ref="M26">($D$5/G26)*(C26*Linterp($D$6,atmos_h,atmos_vela)/L26)</f>
        <v>917.58411776301898</v>
      </c>
      <c r="N26" s="55">
        <f t="shared" si="8"/>
        <v>5.5522329585527892</v>
      </c>
      <c r="O26" s="426">
        <f t="shared" si="9"/>
        <v>9.1758411776301896E-2</v>
      </c>
      <c r="P26" s="12"/>
      <c r="Q26" s="7">
        <f t="shared" si="10"/>
        <v>0.25</v>
      </c>
      <c r="R26" s="314" cm="1">
        <f t="array" ref="R26">numeng*InterpolateXY($D$6,$Q26,Tmil_h,Tmil_M,Tmil_table)</f>
        <v>3899.9999909334442</v>
      </c>
      <c r="S26" s="12" cm="1">
        <f t="array" ref="S26">numeng*InterpolateXY($D$6,$Q26,Tmax_h,Tmax_M,Tmax_table)</f>
        <v>6099.9999857085068</v>
      </c>
      <c r="T26" s="16">
        <f t="shared" si="11"/>
        <v>1652.3643726601533</v>
      </c>
      <c r="U26" s="55">
        <f t="shared" si="12"/>
        <v>2247.6356182732907</v>
      </c>
      <c r="V26" s="426">
        <f t="shared" si="13"/>
        <v>4447.6356130483537</v>
      </c>
    </row>
    <row r="27" spans="2:22">
      <c r="B27" s="120">
        <f t="shared" si="14"/>
        <v>1E-4</v>
      </c>
      <c r="C27" s="7">
        <v>0.26</v>
      </c>
      <c r="D27" s="7">
        <f t="shared" si="15"/>
        <v>290.27699990012741</v>
      </c>
      <c r="E27" s="11">
        <f t="shared" si="0"/>
        <v>0.58741567278998275</v>
      </c>
      <c r="F27" s="19">
        <f t="shared" si="4"/>
        <v>8.5541105583264596E-2</v>
      </c>
      <c r="G27" s="16">
        <f t="shared" si="5"/>
        <v>1456.22783908675</v>
      </c>
      <c r="H27" s="12">
        <f t="shared" si="1"/>
        <v>3643.9999917106416</v>
      </c>
      <c r="I27" s="12">
        <f t="shared" si="2"/>
        <v>3971.9599897439025</v>
      </c>
      <c r="J27" s="141">
        <f t="shared" si="6"/>
        <v>0.3996234474202448</v>
      </c>
      <c r="K27" s="267" cm="1">
        <f t="array" ref="K27">InterpolateXYZ(J27,C27,B27,FFnorm_PS,FFnorm_M,FFnorm_h,FFnorm_table)*numeng</f>
        <v>1587.2883441167385</v>
      </c>
      <c r="L27" s="11">
        <f t="shared" si="7"/>
        <v>1.0899999996650118</v>
      </c>
      <c r="M27" s="425" cm="1">
        <f t="array" ref="M27">($D$5/G27)*(C27*Linterp($D$6,atmos_h,atmos_vela)/L27)</f>
        <v>1082.8186324910632</v>
      </c>
      <c r="N27" s="55">
        <f t="shared" si="8"/>
        <v>6.3000525626392063</v>
      </c>
      <c r="O27" s="426">
        <f t="shared" si="9"/>
        <v>0.10828186324910632</v>
      </c>
      <c r="P27" s="12"/>
      <c r="Q27" s="7">
        <f t="shared" si="10"/>
        <v>0.26</v>
      </c>
      <c r="R27" s="314" cm="1">
        <f t="array" ref="R27">numeng*InterpolateXY($D$6,$Q27,Tmil_h,Tmil_M,Tmil_table)</f>
        <v>3903.9999909913113</v>
      </c>
      <c r="S27" s="12" cm="1">
        <f t="array" ref="S27">numeng*InterpolateXY($D$6,$Q27,Tmax_h,Tmax_M,Tmax_table)</f>
        <v>6123.9999857455077</v>
      </c>
      <c r="T27" s="16">
        <f t="shared" si="11"/>
        <v>1456.22783908675</v>
      </c>
      <c r="U27" s="55">
        <f t="shared" si="12"/>
        <v>2447.7721519045613</v>
      </c>
      <c r="V27" s="426">
        <f t="shared" si="13"/>
        <v>4667.7721466587573</v>
      </c>
    </row>
    <row r="28" spans="2:22">
      <c r="B28" s="120">
        <f t="shared" si="14"/>
        <v>1E-4</v>
      </c>
      <c r="C28" s="7">
        <v>0.27</v>
      </c>
      <c r="D28" s="7">
        <f t="shared" si="15"/>
        <v>301.44149989628613</v>
      </c>
      <c r="E28" s="11">
        <f t="shared" si="0"/>
        <v>0.54470918354736408</v>
      </c>
      <c r="F28" s="19">
        <f t="shared" si="4"/>
        <v>7.2153974450324954E-2</v>
      </c>
      <c r="G28" s="16">
        <f t="shared" si="5"/>
        <v>1324.6329716791154</v>
      </c>
      <c r="H28" s="12">
        <f t="shared" si="1"/>
        <v>3647.9999917685082</v>
      </c>
      <c r="I28" s="12">
        <f t="shared" si="2"/>
        <v>3976.3199898043717</v>
      </c>
      <c r="J28" s="141">
        <f t="shared" si="6"/>
        <v>0.36311210928401033</v>
      </c>
      <c r="K28" s="267" cm="1">
        <f t="array" ref="K28">InterpolateXYZ(J28,C28,B28,FFnorm_PS,FFnorm_M,FFnorm_h,FFnorm_table)*numeng</f>
        <v>1443.8499386860401</v>
      </c>
      <c r="L28" s="11">
        <f t="shared" si="7"/>
        <v>1.0899999996646652</v>
      </c>
      <c r="M28" s="425" cm="1">
        <f t="array" ref="M28">($D$5/G28)*(C28*Linterp($D$6,atmos_h,atmos_vela)/L28)</f>
        <v>1236.1748533592724</v>
      </c>
      <c r="N28" s="55">
        <f t="shared" si="8"/>
        <v>6.9259275026187215</v>
      </c>
      <c r="O28" s="426">
        <f t="shared" si="9"/>
        <v>0.12361748533592724</v>
      </c>
      <c r="P28" s="12"/>
      <c r="Q28" s="7">
        <f t="shared" si="10"/>
        <v>0.27</v>
      </c>
      <c r="R28" s="314" cm="1">
        <f t="array" ref="R28">numeng*InterpolateXY($D$6,$Q28,Tmil_h,Tmil_M,Tmil_table)</f>
        <v>3907.9999910491779</v>
      </c>
      <c r="S28" s="12" cm="1">
        <f t="array" ref="S28">numeng*InterpolateXY($D$6,$Q28,Tmax_h,Tmax_M,Tmax_table)</f>
        <v>6147.9999857825087</v>
      </c>
      <c r="T28" s="16">
        <f t="shared" si="11"/>
        <v>1324.6329716791154</v>
      </c>
      <c r="U28" s="55">
        <f t="shared" si="12"/>
        <v>2583.3670193700627</v>
      </c>
      <c r="V28" s="426">
        <f t="shared" si="13"/>
        <v>4823.3670141033936</v>
      </c>
    </row>
    <row r="29" spans="2:22">
      <c r="B29" s="120">
        <f t="shared" si="14"/>
        <v>1E-4</v>
      </c>
      <c r="C29" s="7">
        <v>0.28000000000000003</v>
      </c>
      <c r="D29" s="7">
        <f t="shared" si="15"/>
        <v>312.60599989244491</v>
      </c>
      <c r="E29" s="11">
        <f t="shared" si="0"/>
        <v>0.50649616684442389</v>
      </c>
      <c r="F29" s="19">
        <f t="shared" si="4"/>
        <v>6.0173300222304674E-2</v>
      </c>
      <c r="G29" s="16">
        <f t="shared" si="5"/>
        <v>1188.0307129903235</v>
      </c>
      <c r="H29" s="12">
        <f t="shared" si="1"/>
        <v>3651.9999918263752</v>
      </c>
      <c r="I29" s="12">
        <f t="shared" si="2"/>
        <v>3980.679989864841</v>
      </c>
      <c r="J29" s="141">
        <f t="shared" si="6"/>
        <v>0.32530961545708714</v>
      </c>
      <c r="K29" s="267" cm="1">
        <f t="array" ref="K29">InterpolateXYZ(J29,C29,B29,FFnorm_PS,FFnorm_M,FFnorm_h,FFnorm_table)*numeng</f>
        <v>1294.9534767606531</v>
      </c>
      <c r="L29" s="11">
        <f t="shared" si="7"/>
        <v>1.0899999996643188</v>
      </c>
      <c r="M29" s="425" cm="1">
        <f t="array" ref="M29">($D$5/G29)*(C29*Linterp($D$6,atmos_h,atmos_vela)/L29)</f>
        <v>1429.3614492937045</v>
      </c>
      <c r="N29" s="55">
        <f t="shared" si="8"/>
        <v>7.7222851472742944</v>
      </c>
      <c r="O29" s="426">
        <f t="shared" si="9"/>
        <v>0.14293614492937046</v>
      </c>
      <c r="P29" s="12"/>
      <c r="Q29" s="7">
        <f t="shared" si="10"/>
        <v>0.28000000000000003</v>
      </c>
      <c r="R29" s="314" cm="1">
        <f t="array" ref="R29">numeng*InterpolateXY($D$6,$Q29,Tmil_h,Tmil_M,Tmil_table)</f>
        <v>3911.9999911070449</v>
      </c>
      <c r="S29" s="12" cm="1">
        <f t="array" ref="S29">numeng*InterpolateXY($D$6,$Q29,Tmax_h,Tmax_M,Tmax_table)</f>
        <v>6171.9999858195088</v>
      </c>
      <c r="T29" s="16">
        <f t="shared" si="11"/>
        <v>1188.0307129903235</v>
      </c>
      <c r="U29" s="55">
        <f t="shared" si="12"/>
        <v>2723.9692781167214</v>
      </c>
      <c r="V29" s="426">
        <f t="shared" si="13"/>
        <v>4983.9692728291848</v>
      </c>
    </row>
    <row r="30" spans="2:22">
      <c r="B30" s="120">
        <f t="shared" si="14"/>
        <v>1E-4</v>
      </c>
      <c r="C30" s="7">
        <v>0.28999999999999998</v>
      </c>
      <c r="D30" s="7">
        <f t="shared" si="15"/>
        <v>323.77049988860358</v>
      </c>
      <c r="E30" s="11">
        <f t="shared" si="0"/>
        <v>0.47216765137458799</v>
      </c>
      <c r="F30" s="19">
        <f t="shared" si="4"/>
        <v>5.2525697926292185E-2</v>
      </c>
      <c r="G30" s="16">
        <f t="shared" si="5"/>
        <v>1112.437452531487</v>
      </c>
      <c r="H30" s="12">
        <f t="shared" si="1"/>
        <v>3655.9999918842418</v>
      </c>
      <c r="I30" s="12">
        <f t="shared" si="2"/>
        <v>3985.0399899253102</v>
      </c>
      <c r="J30" s="141">
        <f t="shared" si="6"/>
        <v>0.3042772032278247</v>
      </c>
      <c r="K30" s="267" cm="1">
        <f t="array" ref="K30">InterpolateXYZ(J30,C30,B30,FFnorm_PS,FFnorm_M,FFnorm_h,FFnorm_table)*numeng</f>
        <v>1212.556822885512</v>
      </c>
      <c r="L30" s="11">
        <f t="shared" si="7"/>
        <v>1.0899999996639731</v>
      </c>
      <c r="M30" s="425" cm="1">
        <f t="array" ref="M30">($D$5/G30)*(C30*Linterp($D$6,atmos_h,atmos_vela)/L30)</f>
        <v>1581.008109649682</v>
      </c>
      <c r="N30" s="55">
        <f t="shared" si="8"/>
        <v>8.2470361893664332</v>
      </c>
      <c r="O30" s="426">
        <f t="shared" si="9"/>
        <v>0.1581008109649682</v>
      </c>
      <c r="P30" s="12"/>
      <c r="Q30" s="7">
        <f t="shared" si="10"/>
        <v>0.28999999999999998</v>
      </c>
      <c r="R30" s="314" cm="1">
        <f t="array" ref="R30">numeng*InterpolateXY($D$6,$Q30,Tmil_h,Tmil_M,Tmil_table)</f>
        <v>3915.9999911649115</v>
      </c>
      <c r="S30" s="12" cm="1">
        <f t="array" ref="S30">numeng*InterpolateXY($D$6,$Q30,Tmax_h,Tmax_M,Tmax_table)</f>
        <v>6195.9999858565097</v>
      </c>
      <c r="T30" s="16">
        <f t="shared" si="11"/>
        <v>1112.437452531487</v>
      </c>
      <c r="U30" s="55">
        <f t="shared" si="12"/>
        <v>2803.5625386334245</v>
      </c>
      <c r="V30" s="426">
        <f t="shared" si="13"/>
        <v>5083.5625333250227</v>
      </c>
    </row>
    <row r="31" spans="2:22">
      <c r="B31" s="120">
        <f t="shared" si="14"/>
        <v>1E-4</v>
      </c>
      <c r="C31" s="7">
        <v>0.3</v>
      </c>
      <c r="D31" s="7">
        <f t="shared" si="15"/>
        <v>334.93499988476236</v>
      </c>
      <c r="E31" s="11">
        <f t="shared" si="0"/>
        <v>0.44121443867336496</v>
      </c>
      <c r="F31" s="19">
        <f t="shared" si="4"/>
        <v>4.6284102173346359E-2</v>
      </c>
      <c r="G31" s="16">
        <f t="shared" si="5"/>
        <v>1049.0160365674458</v>
      </c>
      <c r="H31" s="12">
        <f t="shared" si="1"/>
        <v>3659.9999919421089</v>
      </c>
      <c r="I31" s="12">
        <f t="shared" si="2"/>
        <v>3989.3999899857795</v>
      </c>
      <c r="J31" s="141">
        <f t="shared" si="6"/>
        <v>0.28661640406474576</v>
      </c>
      <c r="K31" s="267" cm="1">
        <f t="array" ref="K31">InterpolateXYZ(J31,C31,B31,FFnorm_PS,FFnorm_M,FFnorm_h,FFnorm_table)*numeng</f>
        <v>1143.4274795056569</v>
      </c>
      <c r="L31" s="11">
        <f t="shared" si="7"/>
        <v>1.0899999996636287</v>
      </c>
      <c r="M31" s="425" cm="1">
        <f t="array" ref="M31">($D$5/G31)*(C31*Linterp($D$6,atmos_h,atmos_vela)/L31)</f>
        <v>1734.4062461512274</v>
      </c>
      <c r="N31" s="55">
        <f t="shared" si="8"/>
        <v>8.7456355380958168</v>
      </c>
      <c r="O31" s="426">
        <f t="shared" si="9"/>
        <v>0.17344062461512275</v>
      </c>
      <c r="P31" s="12"/>
      <c r="Q31" s="7">
        <f t="shared" si="10"/>
        <v>0.3</v>
      </c>
      <c r="R31" s="314" cm="1">
        <f t="array" ref="R31">numeng*InterpolateXY($D$6,$Q31,Tmil_h,Tmil_M,Tmil_table)</f>
        <v>3919.9999912227786</v>
      </c>
      <c r="S31" s="12" cm="1">
        <f t="array" ref="S31">numeng*InterpolateXY($D$6,$Q31,Tmax_h,Tmax_M,Tmax_table)</f>
        <v>6219.9999858935107</v>
      </c>
      <c r="T31" s="16">
        <f t="shared" si="11"/>
        <v>1049.0160365674458</v>
      </c>
      <c r="U31" s="55">
        <f t="shared" si="12"/>
        <v>2870.983954655333</v>
      </c>
      <c r="V31" s="426">
        <f t="shared" si="13"/>
        <v>5170.9839493260652</v>
      </c>
    </row>
    <row r="32" spans="2:22">
      <c r="B32" s="120">
        <f t="shared" si="14"/>
        <v>1E-4</v>
      </c>
      <c r="C32" s="7">
        <v>0.31</v>
      </c>
      <c r="D32" s="7">
        <f t="shared" si="15"/>
        <v>346.09949988092109</v>
      </c>
      <c r="E32" s="11">
        <f t="shared" si="0"/>
        <v>0.41320811114050821</v>
      </c>
      <c r="F32" s="19">
        <f t="shared" si="4"/>
        <v>4.0634830339242152E-2</v>
      </c>
      <c r="G32" s="16">
        <f t="shared" si="5"/>
        <v>983.39866144168172</v>
      </c>
      <c r="H32" s="12">
        <f t="shared" si="1"/>
        <v>3663.9999919999759</v>
      </c>
      <c r="I32" s="12">
        <f t="shared" si="2"/>
        <v>3993.7599900462492</v>
      </c>
      <c r="J32" s="141">
        <f t="shared" si="6"/>
        <v>0.26839483176551499</v>
      </c>
      <c r="K32" s="267" cm="1">
        <f t="array" ref="K32">InterpolateXYZ(J32,C32,B32,FFnorm_PS,FFnorm_M,FFnorm_h,FFnorm_table)*numeng</f>
        <v>1071.9045406403079</v>
      </c>
      <c r="L32" s="11">
        <f t="shared" si="7"/>
        <v>1.089999999663285</v>
      </c>
      <c r="M32" s="425" cm="1">
        <f t="array" ref="M32">($D$5/G32)*(C32*Linterp($D$6,atmos_h,atmos_vela)/L32)</f>
        <v>1911.8058342526849</v>
      </c>
      <c r="N32" s="55">
        <f t="shared" si="8"/>
        <v>9.3291889537350468</v>
      </c>
      <c r="O32" s="426">
        <f t="shared" si="9"/>
        <v>0.1911805834252685</v>
      </c>
      <c r="P32" s="12"/>
      <c r="Q32" s="7">
        <f t="shared" si="10"/>
        <v>0.31</v>
      </c>
      <c r="R32" s="314" cm="1">
        <f t="array" ref="R32">numeng*InterpolateXY($D$6,$Q32,Tmil_h,Tmil_M,Tmil_table)</f>
        <v>3923.9999912806456</v>
      </c>
      <c r="S32" s="12" cm="1">
        <f t="array" ref="S32">numeng*InterpolateXY($D$6,$Q32,Tmax_h,Tmax_M,Tmax_table)</f>
        <v>6243.9999859305117</v>
      </c>
      <c r="T32" s="16">
        <f t="shared" si="11"/>
        <v>983.39866144168172</v>
      </c>
      <c r="U32" s="55">
        <f t="shared" si="12"/>
        <v>2940.6013298389639</v>
      </c>
      <c r="V32" s="426">
        <f t="shared" si="13"/>
        <v>5260.60132448883</v>
      </c>
    </row>
    <row r="33" spans="2:22">
      <c r="B33" s="120">
        <f t="shared" si="14"/>
        <v>1E-4</v>
      </c>
      <c r="C33" s="7">
        <v>0.32</v>
      </c>
      <c r="D33" s="7">
        <f t="shared" si="15"/>
        <v>357.26399987707987</v>
      </c>
      <c r="E33" s="11">
        <f t="shared" si="0"/>
        <v>0.38778612774026205</v>
      </c>
      <c r="F33" s="19">
        <f t="shared" si="4"/>
        <v>3.6228683607182149E-2</v>
      </c>
      <c r="G33" s="16">
        <f t="shared" si="5"/>
        <v>934.24393023795858</v>
      </c>
      <c r="H33" s="12">
        <f t="shared" si="1"/>
        <v>3667.9999920578425</v>
      </c>
      <c r="I33" s="12">
        <f t="shared" si="2"/>
        <v>3998.1199901067184</v>
      </c>
      <c r="J33" s="141">
        <f t="shared" si="6"/>
        <v>0.25470118109619289</v>
      </c>
      <c r="K33" s="267" cm="1">
        <f t="array" ref="K33">InterpolateXYZ(J33,C33,B33,FFnorm_PS,FFnorm_M,FFnorm_h,FFnorm_table)*numeng</f>
        <v>1018.3258836444803</v>
      </c>
      <c r="L33" s="11">
        <f t="shared" si="7"/>
        <v>1.0899999996629419</v>
      </c>
      <c r="M33" s="425" cm="1">
        <f t="array" ref="M33">($D$5/G33)*(C33*Linterp($D$6,atmos_h,atmos_vela)/L33)</f>
        <v>2077.3103979935058</v>
      </c>
      <c r="N33" s="55">
        <f t="shared" si="8"/>
        <v>9.8200391059599319</v>
      </c>
      <c r="O33" s="426">
        <f t="shared" si="9"/>
        <v>0.20773103979935059</v>
      </c>
      <c r="P33" s="12"/>
      <c r="Q33" s="7">
        <f t="shared" si="10"/>
        <v>0.32</v>
      </c>
      <c r="R33" s="314" cm="1">
        <f t="array" ref="R33">numeng*InterpolateXY($D$6,$Q33,Tmil_h,Tmil_M,Tmil_table)</f>
        <v>3927.9999913385122</v>
      </c>
      <c r="S33" s="12" cm="1">
        <f t="array" ref="S33">numeng*InterpolateXY($D$6,$Q33,Tmax_h,Tmax_M,Tmax_table)</f>
        <v>6267.9999859675127</v>
      </c>
      <c r="T33" s="16">
        <f t="shared" si="11"/>
        <v>934.24393023795858</v>
      </c>
      <c r="U33" s="55">
        <f t="shared" si="12"/>
        <v>2993.7560611005538</v>
      </c>
      <c r="V33" s="426">
        <f t="shared" si="13"/>
        <v>5333.7560557295537</v>
      </c>
    </row>
    <row r="34" spans="2:22">
      <c r="B34" s="120">
        <f t="shared" si="14"/>
        <v>1E-4</v>
      </c>
      <c r="C34" s="7">
        <v>0.33</v>
      </c>
      <c r="D34" s="7">
        <f t="shared" si="15"/>
        <v>368.42849987323859</v>
      </c>
      <c r="E34" s="11">
        <f t="shared" si="0"/>
        <v>0.36464003196145856</v>
      </c>
      <c r="F34" s="19">
        <f t="shared" si="4"/>
        <v>3.2927724530536752E-2</v>
      </c>
      <c r="G34" s="16">
        <f t="shared" si="5"/>
        <v>903.02000999213169</v>
      </c>
      <c r="H34" s="12">
        <f t="shared" si="1"/>
        <v>3671.9999921157096</v>
      </c>
      <c r="I34" s="12">
        <f t="shared" si="2"/>
        <v>4002.4799901671881</v>
      </c>
      <c r="J34" s="141">
        <f t="shared" si="6"/>
        <v>0.2459204825520262</v>
      </c>
      <c r="K34" s="267" cm="1">
        <f t="array" ref="K34">InterpolateXYZ(J34,C34,B34,FFnorm_PS,FFnorm_M,FFnorm_h,FFnorm_table)*numeng</f>
        <v>984.29181058674408</v>
      </c>
      <c r="L34" s="11">
        <f t="shared" si="7"/>
        <v>1.0899999996625995</v>
      </c>
      <c r="M34" s="425" cm="1">
        <f t="array" ref="M34">($D$5/G34)*(C34*Linterp($D$6,atmos_h,atmos_vela)/L34)</f>
        <v>2216.2985765600574</v>
      </c>
      <c r="N34" s="55">
        <f t="shared" si="8"/>
        <v>10.159588744357142</v>
      </c>
      <c r="O34" s="426">
        <f t="shared" si="9"/>
        <v>0.22162985765600574</v>
      </c>
      <c r="P34" s="12"/>
      <c r="Q34" s="7">
        <f t="shared" si="10"/>
        <v>0.33</v>
      </c>
      <c r="R34" s="314" cm="1">
        <f t="array" ref="R34">numeng*InterpolateXY($D$6,$Q34,Tmil_h,Tmil_M,Tmil_table)</f>
        <v>3931.9999913963793</v>
      </c>
      <c r="S34" s="12" cm="1">
        <f t="array" ref="S34">numeng*InterpolateXY($D$6,$Q34,Tmax_h,Tmax_M,Tmax_table)</f>
        <v>6291.9999860045136</v>
      </c>
      <c r="T34" s="16">
        <f t="shared" si="11"/>
        <v>903.02000999213169</v>
      </c>
      <c r="U34" s="55">
        <f t="shared" si="12"/>
        <v>3028.9799814042476</v>
      </c>
      <c r="V34" s="426">
        <f t="shared" si="13"/>
        <v>5388.9799760123824</v>
      </c>
    </row>
    <row r="35" spans="2:22">
      <c r="B35" s="120">
        <f t="shared" si="14"/>
        <v>1E-4</v>
      </c>
      <c r="C35" s="7">
        <v>0.34</v>
      </c>
      <c r="D35" s="7">
        <f t="shared" si="15"/>
        <v>379.59299986939737</v>
      </c>
      <c r="E35" s="11">
        <f t="shared" si="0"/>
        <v>0.3435060508702667</v>
      </c>
      <c r="F35" s="19">
        <f t="shared" si="4"/>
        <v>3.0304866633209165E-2</v>
      </c>
      <c r="G35" s="16">
        <f t="shared" si="5"/>
        <v>882.22220704503741</v>
      </c>
      <c r="H35" s="12">
        <f t="shared" si="1"/>
        <v>3675.9999921735766</v>
      </c>
      <c r="I35" s="12">
        <f t="shared" si="2"/>
        <v>4006.8399902276578</v>
      </c>
      <c r="J35" s="141">
        <f t="shared" si="6"/>
        <v>0.23999516020765538</v>
      </c>
      <c r="K35" s="267" cm="1">
        <f t="array" ref="K35">InterpolateXYZ(J35,C35,B35,FFnorm_PS,FFnorm_M,FFnorm_h,FFnorm_table)*numeng</f>
        <v>961.62220538112695</v>
      </c>
      <c r="L35" s="11">
        <f t="shared" si="7"/>
        <v>1.0899999996622576</v>
      </c>
      <c r="M35" s="425" cm="1">
        <f t="array" ref="M35">($D$5/G35)*(C35*Linterp($D$6,atmos_h,atmos_vela)/L35)</f>
        <v>2337.2901730309336</v>
      </c>
      <c r="N35" s="55">
        <f t="shared" si="8"/>
        <v>10.399094305477925</v>
      </c>
      <c r="O35" s="426">
        <f t="shared" si="9"/>
        <v>0.23372901730309337</v>
      </c>
      <c r="P35" s="12"/>
      <c r="Q35" s="7">
        <f t="shared" si="10"/>
        <v>0.34</v>
      </c>
      <c r="R35" s="314" cm="1">
        <f t="array" ref="R35">numeng*InterpolateXY($D$6,$Q35,Tmil_h,Tmil_M,Tmil_table)</f>
        <v>3935.9999914542464</v>
      </c>
      <c r="S35" s="12" cm="1">
        <f t="array" ref="S35">numeng*InterpolateXY($D$6,$Q35,Tmax_h,Tmax_M,Tmax_table)</f>
        <v>6315.9999860415146</v>
      </c>
      <c r="T35" s="16">
        <f t="shared" si="11"/>
        <v>882.22220704503741</v>
      </c>
      <c r="U35" s="55">
        <f t="shared" si="12"/>
        <v>3053.7777844092088</v>
      </c>
      <c r="V35" s="426">
        <f t="shared" si="13"/>
        <v>5433.7777789964775</v>
      </c>
    </row>
    <row r="36" spans="2:22">
      <c r="B36" s="120">
        <f t="shared" si="14"/>
        <v>1E-4</v>
      </c>
      <c r="C36" s="7">
        <v>0.35</v>
      </c>
      <c r="D36" s="7">
        <f t="shared" si="15"/>
        <v>390.75749986555604</v>
      </c>
      <c r="E36" s="11">
        <f t="shared" si="0"/>
        <v>0.32415754678043135</v>
      </c>
      <c r="F36" s="19">
        <f t="shared" si="4"/>
        <v>2.8712800675910047E-2</v>
      </c>
      <c r="G36" s="16">
        <f t="shared" si="5"/>
        <v>885.76684273091155</v>
      </c>
      <c r="H36" s="12">
        <f t="shared" si="1"/>
        <v>3679.9999922314432</v>
      </c>
      <c r="I36" s="12">
        <f t="shared" si="2"/>
        <v>4011.1999902881266</v>
      </c>
      <c r="J36" s="141">
        <f t="shared" si="6"/>
        <v>0.24069751211977822</v>
      </c>
      <c r="K36" s="267" cm="1">
        <f t="array" ref="K36">InterpolateXYZ(J36,C36,B36,FFnorm_PS,FFnorm_M,FFnorm_h,FFnorm_table)*numeng</f>
        <v>965.48585827723059</v>
      </c>
      <c r="L36" s="11">
        <f t="shared" si="7"/>
        <v>1.0899999996619167</v>
      </c>
      <c r="M36" s="425" cm="1">
        <f t="array" ref="M36">($D$5/G36)*(C36*Linterp($D$6,atmos_h,atmos_vela)/L36)</f>
        <v>2396.4056055845444</v>
      </c>
      <c r="N36" s="55">
        <f t="shared" si="8"/>
        <v>10.357479515902542</v>
      </c>
      <c r="O36" s="426">
        <f t="shared" si="9"/>
        <v>0.23964056055845445</v>
      </c>
      <c r="P36" s="12"/>
      <c r="Q36" s="7">
        <f t="shared" si="10"/>
        <v>0.35</v>
      </c>
      <c r="R36" s="314" cm="1">
        <f t="array" ref="R36">numeng*InterpolateXY($D$6,$Q36,Tmil_h,Tmil_M,Tmil_table)</f>
        <v>3939.999991512113</v>
      </c>
      <c r="S36" s="12" cm="1">
        <f t="array" ref="S36">numeng*InterpolateXY($D$6,$Q36,Tmax_h,Tmax_M,Tmax_table)</f>
        <v>6339.9999860785147</v>
      </c>
      <c r="T36" s="16">
        <f t="shared" si="11"/>
        <v>885.76684273091155</v>
      </c>
      <c r="U36" s="55">
        <f t="shared" si="12"/>
        <v>3054.2331487812016</v>
      </c>
      <c r="V36" s="426">
        <f t="shared" si="13"/>
        <v>5454.2331433476029</v>
      </c>
    </row>
    <row r="37" spans="2:22">
      <c r="B37" s="120">
        <f t="shared" si="14"/>
        <v>1E-4</v>
      </c>
      <c r="C37" s="7">
        <v>0.36</v>
      </c>
      <c r="D37" s="7">
        <f t="shared" si="15"/>
        <v>401.92199986171482</v>
      </c>
      <c r="E37" s="11">
        <f t="shared" si="0"/>
        <v>0.3063989157453923</v>
      </c>
      <c r="F37" s="19">
        <f t="shared" si="4"/>
        <v>2.7249911904313126E-2</v>
      </c>
      <c r="G37" s="16">
        <f t="shared" si="5"/>
        <v>889.36058530170942</v>
      </c>
      <c r="H37" s="12">
        <f t="shared" si="1"/>
        <v>3683.9999922893103</v>
      </c>
      <c r="I37" s="12">
        <f t="shared" si="2"/>
        <v>4015.5599903485963</v>
      </c>
      <c r="J37" s="141">
        <f t="shared" si="6"/>
        <v>0.24141166861106403</v>
      </c>
      <c r="K37" s="267" cm="1">
        <f t="array" ref="K37">InterpolateXYZ(J37,C37,B37,FFnorm_PS,FFnorm_M,FFnorm_h,FFnorm_table)*numeng</f>
        <v>969.40303767788282</v>
      </c>
      <c r="L37" s="11">
        <f t="shared" si="7"/>
        <v>1.0899999996615766</v>
      </c>
      <c r="M37" s="425" cm="1">
        <f t="array" ref="M37">($D$5/G37)*(C37*Linterp($D$6,atmos_h,atmos_vela)/L37)</f>
        <v>2454.9142332700731</v>
      </c>
      <c r="N37" s="55">
        <f t="shared" si="8"/>
        <v>10.315626845934066</v>
      </c>
      <c r="O37" s="426">
        <f t="shared" si="9"/>
        <v>0.2454914233270073</v>
      </c>
      <c r="P37" s="12"/>
      <c r="Q37" s="7">
        <f t="shared" si="10"/>
        <v>0.36</v>
      </c>
      <c r="R37" s="314" cm="1">
        <f t="array" ref="R37">numeng*InterpolateXY($D$6,$Q37,Tmil_h,Tmil_M,Tmil_table)</f>
        <v>3943.99999156998</v>
      </c>
      <c r="S37" s="12" cm="1">
        <f t="array" ref="S37">numeng*InterpolateXY($D$6,$Q37,Tmax_h,Tmax_M,Tmax_table)</f>
        <v>6363.9999861155156</v>
      </c>
      <c r="T37" s="16">
        <f t="shared" si="11"/>
        <v>889.36058530170942</v>
      </c>
      <c r="U37" s="55">
        <f t="shared" si="12"/>
        <v>3054.6394062682707</v>
      </c>
      <c r="V37" s="426">
        <f t="shared" si="13"/>
        <v>5474.6394008138059</v>
      </c>
    </row>
    <row r="38" spans="2:22">
      <c r="B38" s="120">
        <f t="shared" si="14"/>
        <v>1E-4</v>
      </c>
      <c r="C38" s="7">
        <v>0.37</v>
      </c>
      <c r="D38" s="7">
        <f t="shared" si="15"/>
        <v>413.08649985787355</v>
      </c>
      <c r="E38" s="11">
        <f t="shared" si="0"/>
        <v>0.29006062440177388</v>
      </c>
      <c r="F38" s="19">
        <f t="shared" si="4"/>
        <v>2.6088789025110869E-2</v>
      </c>
      <c r="G38" s="16">
        <f t="shared" si="5"/>
        <v>899.42539008584322</v>
      </c>
      <c r="H38" s="12">
        <f t="shared" si="1"/>
        <v>3687.9999923471773</v>
      </c>
      <c r="I38" s="12">
        <f t="shared" si="2"/>
        <v>4019.9199904090656</v>
      </c>
      <c r="J38" s="141">
        <f t="shared" si="6"/>
        <v>0.2438789023731576</v>
      </c>
      <c r="K38" s="267" cm="1">
        <f t="array" ref="K38">InterpolateXYZ(J38,C38,B38,FFnorm_PS,FFnorm_M,FFnorm_h,FFnorm_table)*numeng</f>
        <v>980.37367488887719</v>
      </c>
      <c r="L38" s="11">
        <f t="shared" si="7"/>
        <v>1.0899999996612371</v>
      </c>
      <c r="M38" s="425" cm="1">
        <f t="array" ref="M38">($D$5/G38)*(C38*Linterp($D$6,atmos_h,atmos_vela)/L38)</f>
        <v>2494.8720775580146</v>
      </c>
      <c r="N38" s="55">
        <f t="shared" si="8"/>
        <v>10.2001922900811</v>
      </c>
      <c r="O38" s="426">
        <f t="shared" si="9"/>
        <v>0.24948720775580147</v>
      </c>
      <c r="P38" s="12"/>
      <c r="Q38" s="7">
        <f t="shared" si="10"/>
        <v>0.37</v>
      </c>
      <c r="R38" s="314" cm="1">
        <f t="array" ref="R38">numeng*InterpolateXY($D$6,$Q38,Tmil_h,Tmil_M,Tmil_table)</f>
        <v>3947.9999916278471</v>
      </c>
      <c r="S38" s="12" cm="1">
        <f t="array" ref="S38">numeng*InterpolateXY($D$6,$Q38,Tmax_h,Tmax_M,Tmax_table)</f>
        <v>6387.9999861525166</v>
      </c>
      <c r="T38" s="16">
        <f t="shared" si="11"/>
        <v>899.42539008584322</v>
      </c>
      <c r="U38" s="55">
        <f t="shared" si="12"/>
        <v>3048.5746015420036</v>
      </c>
      <c r="V38" s="426">
        <f t="shared" si="13"/>
        <v>5488.5745960666736</v>
      </c>
    </row>
    <row r="39" spans="2:22">
      <c r="B39" s="120">
        <f t="shared" si="14"/>
        <v>1E-4</v>
      </c>
      <c r="C39" s="7">
        <v>0.38</v>
      </c>
      <c r="D39" s="7">
        <f t="shared" si="15"/>
        <v>424.25099985403233</v>
      </c>
      <c r="E39" s="11">
        <f t="shared" si="0"/>
        <v>0.27499514875763742</v>
      </c>
      <c r="F39" s="19">
        <f t="shared" si="4"/>
        <v>2.5127196797352338E-2</v>
      </c>
      <c r="G39" s="16">
        <f t="shared" si="5"/>
        <v>913.73236622067805</v>
      </c>
      <c r="H39" s="12">
        <f t="shared" si="1"/>
        <v>3691.9999924050444</v>
      </c>
      <c r="I39" s="12">
        <f t="shared" si="2"/>
        <v>4024.2799904695353</v>
      </c>
      <c r="J39" s="141">
        <f t="shared" si="6"/>
        <v>0.24748980717777685</v>
      </c>
      <c r="K39" s="267" cm="1">
        <f t="array" ref="K39">InterpolateXYZ(J39,C39,B39,FFnorm_PS,FFnorm_M,FFnorm_h,FFnorm_table)*numeng</f>
        <v>995.96827887069094</v>
      </c>
      <c r="L39" s="11">
        <f t="shared" si="7"/>
        <v>1.0899999996608984</v>
      </c>
      <c r="M39" s="425" cm="1">
        <f t="array" ref="M39">($D$5/G39)*(C39*Linterp($D$6,atmos_h,atmos_vela)/L39)</f>
        <v>2522.1812304946493</v>
      </c>
      <c r="N39" s="55">
        <f t="shared" si="8"/>
        <v>10.040480417045817</v>
      </c>
      <c r="O39" s="426">
        <f t="shared" si="9"/>
        <v>0.25221812304946495</v>
      </c>
      <c r="P39" s="12"/>
      <c r="Q39" s="7">
        <f t="shared" si="10"/>
        <v>0.38</v>
      </c>
      <c r="R39" s="314" cm="1">
        <f t="array" ref="R39">numeng*InterpolateXY($D$6,$Q39,Tmil_h,Tmil_M,Tmil_table)</f>
        <v>3951.9999916857141</v>
      </c>
      <c r="S39" s="12" cm="1">
        <f t="array" ref="S39">numeng*InterpolateXY($D$6,$Q39,Tmax_h,Tmax_M,Tmax_table)</f>
        <v>6411.9999861895176</v>
      </c>
      <c r="T39" s="16">
        <f t="shared" si="11"/>
        <v>913.73236622067805</v>
      </c>
      <c r="U39" s="55">
        <f t="shared" si="12"/>
        <v>3038.267625465036</v>
      </c>
      <c r="V39" s="426">
        <f t="shared" si="13"/>
        <v>5498.2676199688394</v>
      </c>
    </row>
    <row r="40" spans="2:22">
      <c r="B40" s="120">
        <f t="shared" si="14"/>
        <v>1E-4</v>
      </c>
      <c r="C40" s="7">
        <v>0.39</v>
      </c>
      <c r="D40" s="7">
        <f t="shared" si="15"/>
        <v>435.41549985019105</v>
      </c>
      <c r="E40" s="11">
        <f t="shared" si="0"/>
        <v>0.26107363235110348</v>
      </c>
      <c r="F40" s="19">
        <f t="shared" si="4"/>
        <v>2.4237102021943967E-2</v>
      </c>
      <c r="G40" s="16">
        <f t="shared" si="5"/>
        <v>928.36269230547316</v>
      </c>
      <c r="H40" s="12">
        <f t="shared" si="1"/>
        <v>3695.999992462911</v>
      </c>
      <c r="I40" s="12">
        <f t="shared" si="2"/>
        <v>4028.6399905300045</v>
      </c>
      <c r="J40" s="141">
        <f t="shared" si="6"/>
        <v>0.25118038262950271</v>
      </c>
      <c r="K40" s="267" cm="1">
        <f t="array" ref="K40">InterpolateXYZ(J40,C40,B40,FFnorm_PS,FFnorm_M,FFnorm_h,FFnorm_table)*numeng</f>
        <v>1011.9153342978428</v>
      </c>
      <c r="L40" s="11">
        <f t="shared" si="7"/>
        <v>1.0899999996605605</v>
      </c>
      <c r="M40" s="425" cm="1">
        <f t="array" ref="M40">($D$5/G40)*(C40*Linterp($D$6,atmos_h,atmos_vela)/L40)</f>
        <v>2547.7606711110516</v>
      </c>
      <c r="N40" s="55">
        <f t="shared" si="8"/>
        <v>9.88224969131325</v>
      </c>
      <c r="O40" s="426">
        <f t="shared" si="9"/>
        <v>0.25477606711110518</v>
      </c>
      <c r="P40" s="12"/>
      <c r="Q40" s="7">
        <f t="shared" si="10"/>
        <v>0.39</v>
      </c>
      <c r="R40" s="314" cm="1">
        <f t="array" ref="R40">numeng*InterpolateXY($D$6,$Q40,Tmil_h,Tmil_M,Tmil_table)</f>
        <v>3955.9999917435807</v>
      </c>
      <c r="S40" s="12" cm="1">
        <f t="array" ref="S40">numeng*InterpolateXY($D$6,$Q40,Tmax_h,Tmax_M,Tmax_table)</f>
        <v>6435.9999862265186</v>
      </c>
      <c r="T40" s="16">
        <f t="shared" si="11"/>
        <v>928.36269230547316</v>
      </c>
      <c r="U40" s="55">
        <f t="shared" si="12"/>
        <v>3027.6372994381077</v>
      </c>
      <c r="V40" s="426">
        <f t="shared" si="13"/>
        <v>5507.6372939210451</v>
      </c>
    </row>
    <row r="41" spans="2:22">
      <c r="B41" s="120">
        <f t="shared" si="14"/>
        <v>1E-4</v>
      </c>
      <c r="C41" s="7">
        <v>0.4</v>
      </c>
      <c r="D41" s="7">
        <f t="shared" si="15"/>
        <v>446.57999984634984</v>
      </c>
      <c r="E41" s="11">
        <f t="shared" si="0"/>
        <v>0.24818312175376772</v>
      </c>
      <c r="F41" s="19">
        <f t="shared" si="4"/>
        <v>2.3411445109610483E-2</v>
      </c>
      <c r="G41" s="16">
        <f t="shared" si="5"/>
        <v>943.3133463780789</v>
      </c>
      <c r="H41" s="12">
        <f t="shared" si="1"/>
        <v>3699.9999925207781</v>
      </c>
      <c r="I41" s="12">
        <f t="shared" si="2"/>
        <v>4032.9999905904742</v>
      </c>
      <c r="J41" s="141">
        <f t="shared" si="6"/>
        <v>0.25494955359051436</v>
      </c>
      <c r="K41" s="267" cm="1">
        <f t="array" ref="K41">InterpolateXYZ(J41,C41,B41,FFnorm_PS,FFnorm_M,FFnorm_h,FFnorm_table)*numeng</f>
        <v>1028.21154723159</v>
      </c>
      <c r="L41" s="11">
        <f t="shared" si="7"/>
        <v>1.0899999996602232</v>
      </c>
      <c r="M41" s="425" cm="1">
        <f t="array" ref="M41">($D$5/G41)*(C41*Linterp($D$6,atmos_h,atmos_vela)/L41)</f>
        <v>2571.6728142376928</v>
      </c>
      <c r="N41" s="55">
        <f t="shared" si="8"/>
        <v>9.7256250690089185</v>
      </c>
      <c r="O41" s="426">
        <f t="shared" si="9"/>
        <v>0.25716728142376927</v>
      </c>
      <c r="P41" s="12"/>
      <c r="Q41" s="7">
        <f t="shared" si="10"/>
        <v>0.4</v>
      </c>
      <c r="R41" s="314" cm="1">
        <f t="array" ref="R41">numeng*InterpolateXY($D$6,$Q41,Tmil_h,Tmil_M,Tmil_table)</f>
        <v>3959.9999918014478</v>
      </c>
      <c r="S41" s="12" cm="1">
        <f t="array" ref="S41">numeng*InterpolateXY($D$6,$Q41,Tmax_h,Tmax_M,Tmax_table)</f>
        <v>6459.9999862635195</v>
      </c>
      <c r="T41" s="16">
        <f t="shared" si="11"/>
        <v>943.3133463780789</v>
      </c>
      <c r="U41" s="55">
        <f t="shared" si="12"/>
        <v>3016.6866454233686</v>
      </c>
      <c r="V41" s="426">
        <f t="shared" si="13"/>
        <v>5516.6866398854409</v>
      </c>
    </row>
    <row r="42" spans="2:22">
      <c r="B42" s="120">
        <f t="shared" si="14"/>
        <v>1E-4</v>
      </c>
      <c r="C42" s="7">
        <v>0.41</v>
      </c>
      <c r="D42" s="7">
        <f t="shared" si="15"/>
        <v>457.7444998425085</v>
      </c>
      <c r="E42" s="11">
        <f t="shared" si="0"/>
        <v>0.23622426817729233</v>
      </c>
      <c r="F42" s="19">
        <f t="shared" si="4"/>
        <v>2.2644016761080771E-2</v>
      </c>
      <c r="G42" s="16">
        <f t="shared" si="5"/>
        <v>958.58130647634641</v>
      </c>
      <c r="H42" s="12">
        <f t="shared" si="1"/>
        <v>3703.9999925786451</v>
      </c>
      <c r="I42" s="12">
        <f t="shared" si="2"/>
        <v>4037.3599906509435</v>
      </c>
      <c r="J42" s="141">
        <f t="shared" si="6"/>
        <v>0.25879624956721525</v>
      </c>
      <c r="K42" s="267" cm="1">
        <f t="array" ref="K42">InterpolateXYZ(J42,C42,B42,FFnorm_PS,FFnorm_M,FFnorm_h,FFnorm_table)*numeng</f>
        <v>1044.8536237331914</v>
      </c>
      <c r="L42" s="11">
        <f t="shared" si="7"/>
        <v>1.0899999996598868</v>
      </c>
      <c r="M42" s="425" cm="1">
        <f t="array" ref="M42">($D$5/G42)*(C42*Linterp($D$6,atmos_h,atmos_vela)/L42)</f>
        <v>2593.979877965538</v>
      </c>
      <c r="N42" s="55">
        <f t="shared" si="8"/>
        <v>9.5707185895290063</v>
      </c>
      <c r="O42" s="426">
        <f t="shared" si="9"/>
        <v>0.25939798779655382</v>
      </c>
      <c r="P42" s="12"/>
      <c r="Q42" s="7">
        <f t="shared" si="10"/>
        <v>0.41</v>
      </c>
      <c r="R42" s="314" cm="1">
        <f t="array" ref="R42">numeng*InterpolateXY($D$6,$Q42,Tmil_h,Tmil_M,Tmil_table)</f>
        <v>3963.9999918593148</v>
      </c>
      <c r="S42" s="12" cm="1">
        <f t="array" ref="S42">numeng*InterpolateXY($D$6,$Q42,Tmax_h,Tmax_M,Tmax_table)</f>
        <v>6483.9999863005205</v>
      </c>
      <c r="T42" s="16">
        <f t="shared" si="11"/>
        <v>958.58130647634641</v>
      </c>
      <c r="U42" s="55">
        <f t="shared" si="12"/>
        <v>3005.4186853829683</v>
      </c>
      <c r="V42" s="426">
        <f t="shared" si="13"/>
        <v>5525.4186798241744</v>
      </c>
    </row>
    <row r="43" spans="2:22">
      <c r="B43" s="120">
        <f t="shared" si="14"/>
        <v>1E-4</v>
      </c>
      <c r="C43" s="7">
        <v>0.42</v>
      </c>
      <c r="D43" s="7">
        <f t="shared" si="15"/>
        <v>468.90899983866728</v>
      </c>
      <c r="E43" s="11">
        <f t="shared" si="0"/>
        <v>0.22510940748641067</v>
      </c>
      <c r="F43" s="19">
        <f t="shared" si="4"/>
        <v>2.1929337967900669E-2</v>
      </c>
      <c r="G43" s="16">
        <f t="shared" si="5"/>
        <v>974.16355063812659</v>
      </c>
      <c r="H43" s="12">
        <f t="shared" ref="H43:H74" si="16">_xlfn.SINGLE(InterpolateXY(B43,C43,Tnorm_h,Tnorm_M,Tnorm_table))*_xlfn.SINGLE(numeng)</f>
        <v>3707.9999926365117</v>
      </c>
      <c r="I43" s="12">
        <f t="shared" ref="I43:I74" si="17">_xlfn.SINGLE(InterpolateXYZ($I$8,C43,B43,FFnorm_PS,FFnorm_M,FFnorm_h,FFnorm_table))*_xlfn.SINGLE(numeng)</f>
        <v>4041.7199907114127</v>
      </c>
      <c r="J43" s="141">
        <f t="shared" si="6"/>
        <v>0.26271940468518279</v>
      </c>
      <c r="K43" s="267" cm="1">
        <f t="array" ref="K43">InterpolateXYZ(J43,C43,B43,FFnorm_PS,FFnorm_M,FFnorm_h,FFnorm_table)*numeng</f>
        <v>1061.8382698639048</v>
      </c>
      <c r="L43" s="11">
        <f t="shared" si="7"/>
        <v>1.0899999996595509</v>
      </c>
      <c r="M43" s="425" cm="1">
        <f t="array" ref="M43">($D$5/G43)*(C43*Linterp($D$6,atmos_h,atmos_vela)/L43)</f>
        <v>2614.7436443608744</v>
      </c>
      <c r="N43" s="55">
        <f t="shared" si="8"/>
        <v>9.4176300514029272</v>
      </c>
      <c r="O43" s="426">
        <f t="shared" si="9"/>
        <v>0.26147436443608746</v>
      </c>
      <c r="P43" s="12"/>
      <c r="Q43" s="7">
        <f t="shared" si="10"/>
        <v>0.42</v>
      </c>
      <c r="R43" s="314" cm="1">
        <f t="array" ref="R43">numeng*InterpolateXY($D$6,$Q43,Tmil_h,Tmil_M,Tmil_table)</f>
        <v>3967.9999919171814</v>
      </c>
      <c r="S43" s="12" cm="1">
        <f t="array" ref="S43">numeng*InterpolateXY($D$6,$Q43,Tmax_h,Tmax_M,Tmax_table)</f>
        <v>6507.9999863375215</v>
      </c>
      <c r="T43" s="16">
        <f t="shared" si="11"/>
        <v>974.16355063812659</v>
      </c>
      <c r="U43" s="55">
        <f t="shared" si="12"/>
        <v>2993.8364412790547</v>
      </c>
      <c r="V43" s="426">
        <f t="shared" si="13"/>
        <v>5533.8364356993952</v>
      </c>
    </row>
    <row r="44" spans="2:22">
      <c r="B44" s="120">
        <f t="shared" si="14"/>
        <v>1E-4</v>
      </c>
      <c r="C44" s="7">
        <v>0.43</v>
      </c>
      <c r="D44" s="7">
        <f t="shared" si="15"/>
        <v>480.07349983482601</v>
      </c>
      <c r="E44" s="11">
        <f t="shared" si="0"/>
        <v>0.21476094905680282</v>
      </c>
      <c r="F44" s="19">
        <f t="shared" si="4"/>
        <v>2.1262559316050176E-2</v>
      </c>
      <c r="G44" s="16">
        <f t="shared" si="5"/>
        <v>990.0570569012699</v>
      </c>
      <c r="H44" s="12">
        <f t="shared" si="16"/>
        <v>3711.9999926943788</v>
      </c>
      <c r="I44" s="12">
        <f t="shared" si="17"/>
        <v>4046.0799907718824</v>
      </c>
      <c r="J44" s="141">
        <f t="shared" si="6"/>
        <v>0.2667179576642808</v>
      </c>
      <c r="K44" s="267" cm="1">
        <f t="array" ref="K44">InterpolateXYZ(J44,C44,B44,FFnorm_PS,FFnorm_M,FFnorm_h,FFnorm_table)*numeng</f>
        <v>1079.1621916849886</v>
      </c>
      <c r="L44" s="11">
        <f t="shared" si="7"/>
        <v>1.089999999659216</v>
      </c>
      <c r="M44" s="425" cm="1">
        <f t="array" ref="M44">($D$5/G44)*(C44*Linterp($D$6,atmos_h,atmos_vela)/L44)</f>
        <v>2634.0252479657479</v>
      </c>
      <c r="N44" s="55">
        <f t="shared" si="8"/>
        <v>9.2664476915987404</v>
      </c>
      <c r="O44" s="426">
        <f t="shared" si="9"/>
        <v>0.26340252479657478</v>
      </c>
      <c r="P44" s="12"/>
      <c r="Q44" s="7">
        <f t="shared" si="10"/>
        <v>0.43</v>
      </c>
      <c r="R44" s="314" cm="1">
        <f t="array" ref="R44">numeng*InterpolateXY($D$6,$Q44,Tmil_h,Tmil_M,Tmil_table)</f>
        <v>3971.9999919750485</v>
      </c>
      <c r="S44" s="12" cm="1">
        <f t="array" ref="S44">numeng*InterpolateXY($D$6,$Q44,Tmax_h,Tmax_M,Tmax_table)</f>
        <v>6531.9999863745215</v>
      </c>
      <c r="T44" s="16">
        <f t="shared" si="11"/>
        <v>990.0570569012699</v>
      </c>
      <c r="U44" s="55">
        <f t="shared" si="12"/>
        <v>2981.9429350737787</v>
      </c>
      <c r="V44" s="426">
        <f t="shared" si="13"/>
        <v>5541.9429294732518</v>
      </c>
    </row>
    <row r="45" spans="2:22">
      <c r="B45" s="120">
        <f t="shared" si="14"/>
        <v>1E-4</v>
      </c>
      <c r="C45" s="7">
        <v>0.44</v>
      </c>
      <c r="D45" s="7">
        <f t="shared" si="15"/>
        <v>491.23799983098479</v>
      </c>
      <c r="E45" s="11">
        <f t="shared" si="0"/>
        <v>0.20511001797832043</v>
      </c>
      <c r="F45" s="19">
        <f t="shared" si="4"/>
        <v>2.0639376123645029E-2</v>
      </c>
      <c r="G45" s="16">
        <f t="shared" si="5"/>
        <v>1006.2588033036277</v>
      </c>
      <c r="H45" s="12">
        <f t="shared" si="16"/>
        <v>3715.9999927522454</v>
      </c>
      <c r="I45" s="12">
        <f t="shared" si="17"/>
        <v>4050.4399908323512</v>
      </c>
      <c r="J45" s="141">
        <f t="shared" si="6"/>
        <v>0.27079085179393253</v>
      </c>
      <c r="K45" s="267" cm="1">
        <f t="array" ref="K45">InterpolateXYZ(J45,C45,B45,FFnorm_PS,FFnorm_M,FFnorm_h,FFnorm_table)*numeng</f>
        <v>1096.8220952577008</v>
      </c>
      <c r="L45" s="11">
        <f t="shared" si="7"/>
        <v>1.0899999996588816</v>
      </c>
      <c r="M45" s="425" cm="1">
        <f t="array" ref="M45">($D$5/G45)*(C45*Linterp($D$6,atmos_h,atmos_vela)/L45)</f>
        <v>2651.8849904709818</v>
      </c>
      <c r="N45" s="55">
        <f t="shared" si="8"/>
        <v>9.1172488621780339</v>
      </c>
      <c r="O45" s="426">
        <f t="shared" si="9"/>
        <v>0.26518849904709818</v>
      </c>
      <c r="P45" s="12"/>
      <c r="Q45" s="7">
        <f t="shared" si="10"/>
        <v>0.44</v>
      </c>
      <c r="R45" s="314" cm="1">
        <f t="array" ref="R45">numeng*InterpolateXY($D$6,$Q45,Tmil_h,Tmil_M,Tmil_table)</f>
        <v>3975.9999920329151</v>
      </c>
      <c r="S45" s="12" cm="1">
        <f t="array" ref="S45">numeng*InterpolateXY($D$6,$Q45,Tmax_h,Tmax_M,Tmax_table)</f>
        <v>6555.9999864115225</v>
      </c>
      <c r="T45" s="16">
        <f t="shared" si="11"/>
        <v>1006.2588033036277</v>
      </c>
      <c r="U45" s="55">
        <f t="shared" si="12"/>
        <v>2969.7411887292874</v>
      </c>
      <c r="V45" s="426">
        <f t="shared" si="13"/>
        <v>5549.7411831078953</v>
      </c>
    </row>
    <row r="46" spans="2:22">
      <c r="B46" s="120">
        <f t="shared" si="14"/>
        <v>1E-4</v>
      </c>
      <c r="C46" s="7">
        <v>0.45</v>
      </c>
      <c r="D46" s="7">
        <f t="shared" si="15"/>
        <v>502.40249982714352</v>
      </c>
      <c r="E46" s="11">
        <f t="shared" si="0"/>
        <v>0.19609530607705106</v>
      </c>
      <c r="F46" s="19">
        <f t="shared" si="4"/>
        <v>2.0153573977889416E-2</v>
      </c>
      <c r="G46" s="16">
        <f t="shared" si="5"/>
        <v>1027.7438242183391</v>
      </c>
      <c r="H46" s="12">
        <f t="shared" si="16"/>
        <v>3719.9999928101124</v>
      </c>
      <c r="I46" s="12">
        <f t="shared" si="17"/>
        <v>4054.7999908928209</v>
      </c>
      <c r="J46" s="141">
        <f t="shared" si="6"/>
        <v>0.27627522209804489</v>
      </c>
      <c r="K46" s="267" cm="1">
        <f t="array" ref="K46">InterpolateXYZ(J46,C46,B46,FFnorm_PS,FFnorm_M,FFnorm_h,FFnorm_table)*numeng</f>
        <v>1120.2407680470646</v>
      </c>
      <c r="L46" s="11">
        <f t="shared" si="7"/>
        <v>1.0899999996585481</v>
      </c>
      <c r="M46" s="425" cm="1">
        <f t="array" ref="M46">($D$5/G46)*(C46*Linterp($D$6,atmos_h,atmos_vela)/L46)</f>
        <v>2655.4574057318823</v>
      </c>
      <c r="N46" s="55">
        <f t="shared" si="8"/>
        <v>8.92665245296614</v>
      </c>
      <c r="O46" s="426">
        <f t="shared" si="9"/>
        <v>0.26554574057318825</v>
      </c>
      <c r="P46" s="12"/>
      <c r="Q46" s="7">
        <f t="shared" si="10"/>
        <v>0.45</v>
      </c>
      <c r="R46" s="314" cm="1">
        <f t="array" ref="R46">numeng*InterpolateXY($D$6,$Q46,Tmil_h,Tmil_M,Tmil_table)</f>
        <v>3979.9999920907821</v>
      </c>
      <c r="S46" s="12" cm="1">
        <f t="array" ref="S46">numeng*InterpolateXY($D$6,$Q46,Tmax_h,Tmax_M,Tmax_table)</f>
        <v>6579.9999864485235</v>
      </c>
      <c r="T46" s="16">
        <f t="shared" si="11"/>
        <v>1027.7438242183391</v>
      </c>
      <c r="U46" s="55">
        <f t="shared" si="12"/>
        <v>2952.2561678724433</v>
      </c>
      <c r="V46" s="426">
        <f t="shared" si="13"/>
        <v>5552.2561622301846</v>
      </c>
    </row>
    <row r="47" spans="2:22">
      <c r="B47" s="120">
        <f t="shared" si="14"/>
        <v>1E-4</v>
      </c>
      <c r="C47" s="7">
        <v>0.46</v>
      </c>
      <c r="D47" s="7">
        <f t="shared" si="15"/>
        <v>513.56699982330224</v>
      </c>
      <c r="E47" s="11">
        <f t="shared" si="0"/>
        <v>0.18766209584405877</v>
      </c>
      <c r="F47" s="19">
        <f t="shared" si="4"/>
        <v>1.9817328594152205E-2</v>
      </c>
      <c r="G47" s="16">
        <f t="shared" si="5"/>
        <v>1056.0112581615722</v>
      </c>
      <c r="H47" s="12">
        <f t="shared" si="16"/>
        <v>3723.9999928679795</v>
      </c>
      <c r="I47" s="12">
        <f t="shared" si="17"/>
        <v>4059.1599909532902</v>
      </c>
      <c r="J47" s="141">
        <f t="shared" si="6"/>
        <v>0.28356908168206035</v>
      </c>
      <c r="K47" s="267" cm="1">
        <f t="array" ref="K47">InterpolateXYZ(J47,C47,B47,FFnorm_PS,FFnorm_M,FFnorm_h,FFnorm_table)*numeng</f>
        <v>1151.0522710351847</v>
      </c>
      <c r="L47" s="11">
        <f t="shared" si="7"/>
        <v>1.0899999996582148</v>
      </c>
      <c r="M47" s="425" cm="1">
        <f t="array" ref="M47">($D$5/G47)*(C47*Linterp($D$6,atmos_h,atmos_vela)/L47)</f>
        <v>2641.8063821385899</v>
      </c>
      <c r="N47" s="55">
        <f t="shared" si="8"/>
        <v>8.687702766970455</v>
      </c>
      <c r="O47" s="426">
        <f t="shared" si="9"/>
        <v>0.26418063821385901</v>
      </c>
      <c r="P47" s="12"/>
      <c r="Q47" s="7">
        <f t="shared" si="10"/>
        <v>0.46</v>
      </c>
      <c r="R47" s="314" cm="1">
        <f t="array" ref="R47">numeng*InterpolateXY($D$6,$Q47,Tmil_h,Tmil_M,Tmil_table)</f>
        <v>3983.9999921486492</v>
      </c>
      <c r="S47" s="12" cm="1">
        <f t="array" ref="S47">numeng*InterpolateXY($D$6,$Q47,Tmax_h,Tmax_M,Tmax_table)</f>
        <v>6603.9999864855245</v>
      </c>
      <c r="T47" s="16">
        <f t="shared" si="11"/>
        <v>1056.0112581615722</v>
      </c>
      <c r="U47" s="55">
        <f t="shared" si="12"/>
        <v>2927.988733987077</v>
      </c>
      <c r="V47" s="426">
        <f t="shared" si="13"/>
        <v>5547.9887283239523</v>
      </c>
    </row>
    <row r="48" spans="2:22">
      <c r="B48" s="120">
        <f t="shared" si="14"/>
        <v>1E-4</v>
      </c>
      <c r="C48" s="7">
        <v>0.47</v>
      </c>
      <c r="D48" s="7">
        <f t="shared" si="15"/>
        <v>524.73149981946096</v>
      </c>
      <c r="E48" s="11">
        <f t="shared" si="0"/>
        <v>0.17976142816026641</v>
      </c>
      <c r="F48" s="19">
        <f t="shared" si="4"/>
        <v>1.9501053556009992E-2</v>
      </c>
      <c r="G48" s="16">
        <f t="shared" si="5"/>
        <v>1084.8296965366685</v>
      </c>
      <c r="H48" s="12">
        <f t="shared" si="16"/>
        <v>3727.9999929258461</v>
      </c>
      <c r="I48" s="12">
        <f t="shared" si="17"/>
        <v>4063.5199910137594</v>
      </c>
      <c r="J48" s="141">
        <f t="shared" si="6"/>
        <v>0.29099509082489605</v>
      </c>
      <c r="K48" s="267" cm="1">
        <f t="array" ref="K48">InterpolateXYZ(J48,C48,B48,FFnorm_PS,FFnorm_M,FFnorm_h,FFnorm_table)*numeng</f>
        <v>1182.4643688538297</v>
      </c>
      <c r="L48" s="11">
        <f t="shared" si="7"/>
        <v>1.0899999996578826</v>
      </c>
      <c r="M48" s="425" cm="1">
        <f t="array" ref="M48">($D$5/G48)*(C48*Linterp($D$6,atmos_h,atmos_vela)/L48)</f>
        <v>2627.5318814806965</v>
      </c>
      <c r="N48" s="55">
        <f t="shared" si="8"/>
        <v>8.4569144435980483</v>
      </c>
      <c r="O48" s="426">
        <f t="shared" si="9"/>
        <v>0.26275318814806964</v>
      </c>
      <c r="P48" s="12"/>
      <c r="Q48" s="7">
        <f t="shared" si="10"/>
        <v>0.47</v>
      </c>
      <c r="R48" s="314" cm="1">
        <f t="array" ref="R48">numeng*InterpolateXY($D$6,$Q48,Tmil_h,Tmil_M,Tmil_table)</f>
        <v>3987.9999922065158</v>
      </c>
      <c r="S48" s="12" cm="1">
        <f t="array" ref="S48">numeng*InterpolateXY($D$6,$Q48,Tmax_h,Tmax_M,Tmax_table)</f>
        <v>6627.9999865225254</v>
      </c>
      <c r="T48" s="16">
        <f t="shared" si="11"/>
        <v>1084.8296965366685</v>
      </c>
      <c r="U48" s="55">
        <f t="shared" si="12"/>
        <v>2903.1702956698473</v>
      </c>
      <c r="V48" s="426">
        <f t="shared" si="13"/>
        <v>5543.1702899858574</v>
      </c>
    </row>
    <row r="49" spans="2:22">
      <c r="B49" s="120">
        <f t="shared" si="14"/>
        <v>1E-4</v>
      </c>
      <c r="C49" s="7">
        <v>0.48</v>
      </c>
      <c r="D49" s="7">
        <f t="shared" si="15"/>
        <v>535.89599981561969</v>
      </c>
      <c r="E49" s="11">
        <f t="shared" si="0"/>
        <v>0.17234939010678316</v>
      </c>
      <c r="F49" s="19">
        <f t="shared" si="4"/>
        <v>1.9203102129004369E-2</v>
      </c>
      <c r="G49" s="16">
        <f t="shared" si="5"/>
        <v>1114.1961173814791</v>
      </c>
      <c r="H49" s="12">
        <f t="shared" si="16"/>
        <v>3731.9999929837131</v>
      </c>
      <c r="I49" s="12">
        <f t="shared" si="17"/>
        <v>4067.8799910742287</v>
      </c>
      <c r="J49" s="141">
        <f t="shared" si="6"/>
        <v>0.29855201486500688</v>
      </c>
      <c r="K49" s="267" cm="1">
        <f t="array" ref="K49">InterpolateXYZ(J49,C49,B49,FFnorm_PS,FFnorm_M,FFnorm_h,FFnorm_table)*numeng</f>
        <v>1214.4737675642573</v>
      </c>
      <c r="L49" s="11">
        <f t="shared" si="7"/>
        <v>1.0899999996575513</v>
      </c>
      <c r="M49" s="425" cm="1">
        <f t="array" ref="M49">($D$5/G49)*(C49*Linterp($D$6,atmos_h,atmos_vela)/L49)</f>
        <v>2612.7105456751005</v>
      </c>
      <c r="N49" s="55">
        <f t="shared" si="8"/>
        <v>8.2340189364945697</v>
      </c>
      <c r="O49" s="426">
        <f t="shared" si="9"/>
        <v>0.26127105456751004</v>
      </c>
      <c r="P49" s="12"/>
      <c r="Q49" s="7">
        <f t="shared" si="10"/>
        <v>0.48</v>
      </c>
      <c r="R49" s="314" cm="1">
        <f t="array" ref="R49">numeng*InterpolateXY($D$6,$Q49,Tmil_h,Tmil_M,Tmil_table)</f>
        <v>3991.9999922643829</v>
      </c>
      <c r="S49" s="12" cm="1">
        <f t="array" ref="S49">numeng*InterpolateXY($D$6,$Q49,Tmax_h,Tmax_M,Tmax_table)</f>
        <v>6651.9999865595255</v>
      </c>
      <c r="T49" s="16">
        <f t="shared" si="11"/>
        <v>1114.1961173814791</v>
      </c>
      <c r="U49" s="55">
        <f t="shared" si="12"/>
        <v>2877.803874882904</v>
      </c>
      <c r="V49" s="426">
        <f t="shared" si="13"/>
        <v>5537.8038691780466</v>
      </c>
    </row>
    <row r="50" spans="2:22">
      <c r="B50" s="120">
        <f t="shared" si="14"/>
        <v>1E-4</v>
      </c>
      <c r="C50" s="7">
        <v>0.49</v>
      </c>
      <c r="D50" s="7">
        <f t="shared" si="15"/>
        <v>547.06049981177853</v>
      </c>
      <c r="E50" s="11">
        <f t="shared" si="0"/>
        <v>0.16538650345940376</v>
      </c>
      <c r="F50" s="19">
        <f t="shared" si="4"/>
        <v>1.8921993879727639E-2</v>
      </c>
      <c r="G50" s="16">
        <f t="shared" si="5"/>
        <v>1144.1074987338545</v>
      </c>
      <c r="H50" s="12">
        <f t="shared" si="16"/>
        <v>3735.9999930415797</v>
      </c>
      <c r="I50" s="12">
        <f t="shared" si="17"/>
        <v>4072.2399911346979</v>
      </c>
      <c r="J50" s="141">
        <f t="shared" si="6"/>
        <v>0.30623862442847738</v>
      </c>
      <c r="K50" s="267" cm="1">
        <f t="array" ref="K50">InterpolateXYZ(J50,C50,B50,FFnorm_PS,FFnorm_M,FFnorm_h,FFnorm_table)*numeng</f>
        <v>1247.0771732277249</v>
      </c>
      <c r="L50" s="11">
        <f t="shared" si="7"/>
        <v>1.0899999996572205</v>
      </c>
      <c r="M50" s="425" cm="1">
        <f t="array" ref="M50">($D$5/G50)*(C50*Linterp($D$6,atmos_h,atmos_vela)/L50)</f>
        <v>2597.4126393955971</v>
      </c>
      <c r="N50" s="55">
        <f t="shared" si="8"/>
        <v>8.0187499335888592</v>
      </c>
      <c r="O50" s="426">
        <f t="shared" si="9"/>
        <v>0.25974126393955971</v>
      </c>
      <c r="P50" s="12"/>
      <c r="Q50" s="7">
        <f t="shared" si="10"/>
        <v>0.49</v>
      </c>
      <c r="R50" s="314" cm="1">
        <f t="array" ref="R50">numeng*InterpolateXY($D$6,$Q50,Tmil_h,Tmil_M,Tmil_table)</f>
        <v>3995.9999923222495</v>
      </c>
      <c r="S50" s="12" cm="1">
        <f t="array" ref="S50">numeng*InterpolateXY($D$6,$Q50,Tmax_h,Tmax_M,Tmax_table)</f>
        <v>6675.9999865965265</v>
      </c>
      <c r="T50" s="16">
        <f t="shared" si="11"/>
        <v>1144.1074987338545</v>
      </c>
      <c r="U50" s="55">
        <f t="shared" si="12"/>
        <v>2851.8924935883952</v>
      </c>
      <c r="V50" s="426">
        <f t="shared" si="13"/>
        <v>5531.8924878626722</v>
      </c>
    </row>
    <row r="51" spans="2:22">
      <c r="B51" s="120">
        <f t="shared" si="14"/>
        <v>1E-4</v>
      </c>
      <c r="C51" s="7">
        <v>0.5</v>
      </c>
      <c r="D51" s="7">
        <f t="shared" si="15"/>
        <v>558.22499980793725</v>
      </c>
      <c r="E51" s="11">
        <f t="shared" si="0"/>
        <v>0.15883719792241138</v>
      </c>
      <c r="F51" s="19">
        <f t="shared" si="4"/>
        <v>1.8656394922090428E-2</v>
      </c>
      <c r="G51" s="16">
        <f t="shared" si="5"/>
        <v>1174.560818631646</v>
      </c>
      <c r="H51" s="12">
        <f t="shared" si="16"/>
        <v>3739.9999930994468</v>
      </c>
      <c r="I51" s="12">
        <f t="shared" si="17"/>
        <v>4076.5999911951676</v>
      </c>
      <c r="J51" s="141">
        <f t="shared" si="6"/>
        <v>0.31405369540074607</v>
      </c>
      <c r="K51" s="267" cm="1">
        <f t="array" ref="K51">InterpolateXYZ(J51,C51,B51,FFnorm_PS,FFnorm_M,FFnorm_h,FFnorm_table)*numeng</f>
        <v>1280.2712919054914</v>
      </c>
      <c r="L51" s="11">
        <f t="shared" si="7"/>
        <v>1.0899999996568905</v>
      </c>
      <c r="M51" s="425" cm="1">
        <f t="array" ref="M51">($D$5/G51)*(C51*Linterp($D$6,atmos_h,atmos_vela)/L51)</f>
        <v>2581.7025071354465</v>
      </c>
      <c r="N51" s="55">
        <f t="shared" si="8"/>
        <v>7.8108445164903326</v>
      </c>
      <c r="O51" s="426">
        <f t="shared" si="9"/>
        <v>0.25817025071354466</v>
      </c>
      <c r="P51" s="12"/>
      <c r="Q51" s="7">
        <f t="shared" si="10"/>
        <v>0.5</v>
      </c>
      <c r="R51" s="314" cm="1">
        <f t="array" ref="R51">numeng*InterpolateXY($D$6,$Q51,Tmil_h,Tmil_M,Tmil_table)</f>
        <v>3999.9999923801165</v>
      </c>
      <c r="S51" s="12" cm="1">
        <f t="array" ref="S51">numeng*InterpolateXY($D$6,$Q51,Tmax_h,Tmax_M,Tmax_table)</f>
        <v>6699.9999866335274</v>
      </c>
      <c r="T51" s="16">
        <f t="shared" si="11"/>
        <v>1174.560818631646</v>
      </c>
      <c r="U51" s="55">
        <f t="shared" si="12"/>
        <v>2825.4391737484702</v>
      </c>
      <c r="V51" s="426">
        <f t="shared" si="13"/>
        <v>5525.4391680018816</v>
      </c>
    </row>
    <row r="52" spans="2:22">
      <c r="B52" s="120">
        <f t="shared" si="14"/>
        <v>1E-4</v>
      </c>
      <c r="C52" s="7">
        <v>0.51</v>
      </c>
      <c r="D52" s="7">
        <f t="shared" si="15"/>
        <v>569.38949980409598</v>
      </c>
      <c r="E52" s="11">
        <f t="shared" si="0"/>
        <v>0.15266935594234077</v>
      </c>
      <c r="F52" s="19">
        <f t="shared" si="4"/>
        <v>1.840510084783778E-2</v>
      </c>
      <c r="G52" s="16">
        <f t="shared" si="5"/>
        <v>1205.553055112704</v>
      </c>
      <c r="H52" s="12">
        <f t="shared" si="16"/>
        <v>3743.9999931573138</v>
      </c>
      <c r="I52" s="12">
        <f t="shared" si="17"/>
        <v>4080.9599912556369</v>
      </c>
      <c r="J52" s="141">
        <f t="shared" si="6"/>
        <v>0.32199600889851004</v>
      </c>
      <c r="K52" s="267" cm="1">
        <f t="array" ref="K52">InterpolateXYZ(J52,C52,B52,FFnorm_PS,FFnorm_M,FFnorm_h,FFnorm_table)*numeng</f>
        <v>1314.0528296588134</v>
      </c>
      <c r="L52" s="11">
        <f t="shared" si="7"/>
        <v>1.089999999656561</v>
      </c>
      <c r="M52" s="425" cm="1">
        <f t="array" ref="M52">($D$5/G52)*(C52*Linterp($D$6,atmos_h,atmos_vela)/L52)</f>
        <v>2565.6390063737576</v>
      </c>
      <c r="N52" s="55">
        <f t="shared" si="8"/>
        <v>7.6100441126072873</v>
      </c>
      <c r="O52" s="426">
        <f t="shared" si="9"/>
        <v>0.25656390063737577</v>
      </c>
      <c r="P52" s="12"/>
      <c r="Q52" s="7">
        <f t="shared" si="10"/>
        <v>0.51</v>
      </c>
      <c r="R52" s="314" cm="1">
        <f t="array" ref="R52">numeng*InterpolateXY($D$6,$Q52,Tmil_h,Tmil_M,Tmil_table)</f>
        <v>4003.9999924379836</v>
      </c>
      <c r="S52" s="12" cm="1">
        <f t="array" ref="S52">numeng*InterpolateXY($D$6,$Q52,Tmax_h,Tmax_M,Tmax_table)</f>
        <v>6723.9999866705284</v>
      </c>
      <c r="T52" s="16">
        <f t="shared" si="11"/>
        <v>1205.553055112704</v>
      </c>
      <c r="U52" s="55">
        <f t="shared" si="12"/>
        <v>2798.4469373252796</v>
      </c>
      <c r="V52" s="426">
        <f t="shared" si="13"/>
        <v>5518.4469315578244</v>
      </c>
    </row>
    <row r="53" spans="2:22">
      <c r="B53" s="120">
        <f t="shared" si="14"/>
        <v>1E-4</v>
      </c>
      <c r="C53" s="7">
        <v>0.52</v>
      </c>
      <c r="D53" s="7">
        <f t="shared" si="15"/>
        <v>580.55399980025481</v>
      </c>
      <c r="E53" s="11">
        <f t="shared" si="0"/>
        <v>0.14685391819749569</v>
      </c>
      <c r="F53" s="19">
        <f t="shared" si="4"/>
        <v>1.8167021932406088E-2</v>
      </c>
      <c r="G53" s="16">
        <f t="shared" si="5"/>
        <v>1237.0811862148796</v>
      </c>
      <c r="H53" s="12">
        <f t="shared" si="16"/>
        <v>3747.9999932151804</v>
      </c>
      <c r="I53" s="12">
        <f t="shared" si="17"/>
        <v>4085.3199913161066</v>
      </c>
      <c r="J53" s="141">
        <f t="shared" si="6"/>
        <v>0.33006435124181077</v>
      </c>
      <c r="K53" s="267" cm="1">
        <f t="array" ref="K53">InterpolateXYZ(J53,C53,B53,FFnorm_PS,FFnorm_M,FFnorm_h,FFnorm_table)*numeng</f>
        <v>1348.4184925489508</v>
      </c>
      <c r="L53" s="11">
        <f t="shared" si="7"/>
        <v>1.0899999996562328</v>
      </c>
      <c r="M53" s="425" cm="1">
        <f t="array" ref="M53">($D$5/G53)*(C53*Linterp($D$6,atmos_h,atmos_vela)/L53)</f>
        <v>2549.2759164055974</v>
      </c>
      <c r="N53" s="55">
        <f t="shared" si="8"/>
        <v>7.4160952666087638</v>
      </c>
      <c r="O53" s="426">
        <f t="shared" si="9"/>
        <v>0.25492759164055973</v>
      </c>
      <c r="P53" s="12"/>
      <c r="Q53" s="7">
        <f t="shared" si="10"/>
        <v>0.52</v>
      </c>
      <c r="R53" s="314" cm="1">
        <f t="array" ref="R53">numeng*InterpolateXY($D$6,$Q53,Tmil_h,Tmil_M,Tmil_table)</f>
        <v>4007.9999924958502</v>
      </c>
      <c r="S53" s="12" cm="1">
        <f t="array" ref="S53">numeng*InterpolateXY($D$6,$Q53,Tmax_h,Tmax_M,Tmax_table)</f>
        <v>6747.9999867075294</v>
      </c>
      <c r="T53" s="16">
        <f t="shared" si="11"/>
        <v>1237.0811862148796</v>
      </c>
      <c r="U53" s="55">
        <f t="shared" si="12"/>
        <v>2770.9188062809708</v>
      </c>
      <c r="V53" s="426">
        <f t="shared" si="13"/>
        <v>5510.91880049265</v>
      </c>
    </row>
    <row r="54" spans="2:22">
      <c r="B54" s="120">
        <f t="shared" si="14"/>
        <v>1E-4</v>
      </c>
      <c r="C54" s="7">
        <v>0.53</v>
      </c>
      <c r="D54" s="7">
        <f t="shared" si="15"/>
        <v>591.71849979641354</v>
      </c>
      <c r="E54" s="11">
        <f t="shared" si="0"/>
        <v>0.14136454069278331</v>
      </c>
      <c r="F54" s="19">
        <f t="shared" si="4"/>
        <v>1.7941170275979374E-2</v>
      </c>
      <c r="G54" s="16">
        <f t="shared" si="5"/>
        <v>1269.1421899760237</v>
      </c>
      <c r="H54" s="12">
        <f t="shared" si="16"/>
        <v>3751.9999932730475</v>
      </c>
      <c r="I54" s="12">
        <f t="shared" si="17"/>
        <v>4089.6799913765758</v>
      </c>
      <c r="J54" s="141">
        <f t="shared" si="6"/>
        <v>0.33825751392629688</v>
      </c>
      <c r="K54" s="267" cm="1">
        <f t="array" ref="K54">InterpolateXYZ(J54,C54,B54,FFnorm_PS,FFnorm_M,FFnorm_h,FFnorm_table)*numeng</f>
        <v>1383.36498663716</v>
      </c>
      <c r="L54" s="11">
        <f t="shared" si="7"/>
        <v>1.0899999996559047</v>
      </c>
      <c r="M54" s="425" cm="1">
        <f t="array" ref="M54">($D$5/G54)*(C54*Linterp($D$6,atmos_h,atmos_vela)/L54)</f>
        <v>2532.6623228266308</v>
      </c>
      <c r="N54" s="55">
        <f t="shared" si="8"/>
        <v>7.2287502550640168</v>
      </c>
      <c r="O54" s="426">
        <f t="shared" si="9"/>
        <v>0.2532662322826631</v>
      </c>
      <c r="P54" s="12"/>
      <c r="Q54" s="7">
        <f t="shared" si="10"/>
        <v>0.53</v>
      </c>
      <c r="R54" s="314" cm="1">
        <f t="array" ref="R54">numeng*InterpolateXY($D$6,$Q54,Tmil_h,Tmil_M,Tmil_table)</f>
        <v>4011.9999925537172</v>
      </c>
      <c r="S54" s="12" cm="1">
        <f t="array" ref="S54">numeng*InterpolateXY($D$6,$Q54,Tmax_h,Tmax_M,Tmax_table)</f>
        <v>6771.9999867445295</v>
      </c>
      <c r="T54" s="16">
        <f t="shared" si="11"/>
        <v>1269.1421899760237</v>
      </c>
      <c r="U54" s="55">
        <f t="shared" si="12"/>
        <v>2742.8578025776933</v>
      </c>
      <c r="V54" s="426">
        <f t="shared" si="13"/>
        <v>5502.857796768506</v>
      </c>
    </row>
    <row r="55" spans="2:22">
      <c r="B55" s="120">
        <f t="shared" si="14"/>
        <v>1E-4</v>
      </c>
      <c r="C55" s="7">
        <v>0.54</v>
      </c>
      <c r="D55" s="7">
        <f t="shared" si="15"/>
        <v>602.88299979257226</v>
      </c>
      <c r="E55" s="11">
        <f t="shared" si="0"/>
        <v>0.13617729588684102</v>
      </c>
      <c r="F55" s="19">
        <f t="shared" si="4"/>
        <v>1.7726648595756539E-2</v>
      </c>
      <c r="G55" s="16">
        <f t="shared" si="5"/>
        <v>1301.7330444339871</v>
      </c>
      <c r="H55" s="12">
        <f t="shared" si="16"/>
        <v>3755.9999933309145</v>
      </c>
      <c r="I55" s="12">
        <f t="shared" si="17"/>
        <v>4094.0399914370455</v>
      </c>
      <c r="J55" s="141">
        <f t="shared" si="6"/>
        <v>0.34657429359566577</v>
      </c>
      <c r="K55" s="267" cm="1">
        <f t="array" ref="K55">InterpolateXYZ(J55,C55,B55,FFnorm_PS,FFnorm_M,FFnorm_h,FFnorm_table)*numeng</f>
        <v>1418.8890179846996</v>
      </c>
      <c r="L55" s="11">
        <f t="shared" si="7"/>
        <v>1.0899999996555774</v>
      </c>
      <c r="M55" s="425" cm="1">
        <f t="array" ref="M55">($D$5/G55)*(C55*Linterp($D$6,atmos_h,atmos_vela)/L55)</f>
        <v>2515.8429779985186</v>
      </c>
      <c r="N55" s="55">
        <f t="shared" si="8"/>
        <v>7.0477675655023173</v>
      </c>
      <c r="O55" s="426">
        <f t="shared" si="9"/>
        <v>0.25158429779985186</v>
      </c>
      <c r="P55" s="12"/>
      <c r="Q55" s="7">
        <f t="shared" si="10"/>
        <v>0.54</v>
      </c>
      <c r="R55" s="314" cm="1">
        <f t="array" ref="R55">numeng*InterpolateXY($D$6,$Q55,Tmil_h,Tmil_M,Tmil_table)</f>
        <v>4015.9999926115838</v>
      </c>
      <c r="S55" s="12" cm="1">
        <f t="array" ref="S55">numeng*InterpolateXY($D$6,$Q55,Tmax_h,Tmax_M,Tmax_table)</f>
        <v>6795.9999867815304</v>
      </c>
      <c r="T55" s="16">
        <f t="shared" si="11"/>
        <v>1301.7330444339871</v>
      </c>
      <c r="U55" s="55">
        <f t="shared" si="12"/>
        <v>2714.2669481775965</v>
      </c>
      <c r="V55" s="426">
        <f t="shared" si="13"/>
        <v>5494.2669423475436</v>
      </c>
    </row>
    <row r="56" spans="2:22">
      <c r="B56" s="120">
        <f t="shared" si="14"/>
        <v>1E-4</v>
      </c>
      <c r="C56" s="7">
        <v>0.55000000000000004</v>
      </c>
      <c r="D56" s="7">
        <f t="shared" si="15"/>
        <v>614.04749978873099</v>
      </c>
      <c r="E56" s="11">
        <f t="shared" si="0"/>
        <v>0.13127041150612506</v>
      </c>
      <c r="F56" s="19">
        <f t="shared" si="4"/>
        <v>1.7522640431479688E-2</v>
      </c>
      <c r="G56" s="16">
        <f t="shared" si="5"/>
        <v>1334.85072762662</v>
      </c>
      <c r="H56" s="12">
        <f t="shared" si="16"/>
        <v>3759.9999933887816</v>
      </c>
      <c r="I56" s="12">
        <f t="shared" si="17"/>
        <v>4098.3999914975147</v>
      </c>
      <c r="J56" s="141">
        <f t="shared" si="6"/>
        <v>0.35501349201427973</v>
      </c>
      <c r="K56" s="267" cm="1">
        <f t="array" ref="K56">InterpolateXYZ(J56,C56,B56,FFnorm_PS,FFnorm_M,FFnorm_h,FFnorm_table)*numeng</f>
        <v>1454.9872926528271</v>
      </c>
      <c r="L56" s="11">
        <f t="shared" si="7"/>
        <v>1.0899999996552507</v>
      </c>
      <c r="M56" s="425" cm="1">
        <f t="array" ref="M56">($D$5/G56)*(C56*Linterp($D$6,atmos_h,atmos_vela)/L56)</f>
        <v>2498.8586380775178</v>
      </c>
      <c r="N56" s="55">
        <f t="shared" si="8"/>
        <v>6.8729122587506266</v>
      </c>
      <c r="O56" s="426">
        <f t="shared" si="9"/>
        <v>0.24988586380775177</v>
      </c>
      <c r="P56" s="12"/>
      <c r="Q56" s="7">
        <f t="shared" si="10"/>
        <v>0.55000000000000004</v>
      </c>
      <c r="R56" s="314" cm="1">
        <f t="array" ref="R56">numeng*InterpolateXY($D$6,$Q56,Tmil_h,Tmil_M,Tmil_table)</f>
        <v>4019.9999926694509</v>
      </c>
      <c r="S56" s="12" cm="1">
        <f t="array" ref="S56">numeng*InterpolateXY($D$6,$Q56,Tmax_h,Tmax_M,Tmax_table)</f>
        <v>6819.9999868185314</v>
      </c>
      <c r="T56" s="16">
        <f t="shared" si="11"/>
        <v>1334.85072762662</v>
      </c>
      <c r="U56" s="55">
        <f t="shared" si="12"/>
        <v>2685.1492650428308</v>
      </c>
      <c r="V56" s="426">
        <f t="shared" si="13"/>
        <v>5485.1492591919114</v>
      </c>
    </row>
    <row r="57" spans="2:22">
      <c r="B57" s="120">
        <f t="shared" si="14"/>
        <v>1E-4</v>
      </c>
      <c r="C57" s="7">
        <v>0.56000000000000005</v>
      </c>
      <c r="D57" s="7">
        <f t="shared" si="15"/>
        <v>625.21199978488983</v>
      </c>
      <c r="E57" s="11">
        <f t="shared" si="0"/>
        <v>0.12662404171110597</v>
      </c>
      <c r="F57" s="19">
        <f t="shared" si="4"/>
        <v>1.7328401564166474E-2</v>
      </c>
      <c r="G57" s="16">
        <f t="shared" si="5"/>
        <v>1368.4922175917743</v>
      </c>
      <c r="H57" s="12">
        <f t="shared" si="16"/>
        <v>3763.9999934466482</v>
      </c>
      <c r="I57" s="12">
        <f t="shared" si="17"/>
        <v>4102.759991557984</v>
      </c>
      <c r="J57" s="141">
        <f t="shared" si="6"/>
        <v>0.36357391603995803</v>
      </c>
      <c r="K57" s="267" cm="1">
        <f t="array" ref="K57">InterpolateXYZ(J57,C57,B57,FFnorm_PS,FFnorm_M,FFnorm_h,FFnorm_table)*numeng</f>
        <v>1491.6565167028014</v>
      </c>
      <c r="L57" s="11">
        <f t="shared" si="7"/>
        <v>1.0899999996549248</v>
      </c>
      <c r="M57" s="425" cm="1">
        <f t="array" ref="M57">($D$5/G57)*(C57*Linterp($D$6,atmos_h,atmos_vela)/L57)</f>
        <v>2481.7463773790687</v>
      </c>
      <c r="N57" s="55">
        <f t="shared" si="8"/>
        <v>6.703956231226929</v>
      </c>
      <c r="O57" s="426">
        <f t="shared" si="9"/>
        <v>0.24817463773790688</v>
      </c>
      <c r="P57" s="12"/>
      <c r="Q57" s="7">
        <f t="shared" si="10"/>
        <v>0.56000000000000005</v>
      </c>
      <c r="R57" s="314" cm="1">
        <f t="array" ref="R57">numeng*InterpolateXY($D$6,$Q57,Tmil_h,Tmil_M,Tmil_table)</f>
        <v>4023.9999927273179</v>
      </c>
      <c r="S57" s="12" cm="1">
        <f t="array" ref="S57">numeng*InterpolateXY($D$6,$Q57,Tmax_h,Tmax_M,Tmax_table)</f>
        <v>6843.9999868555324</v>
      </c>
      <c r="T57" s="16">
        <f t="shared" si="11"/>
        <v>1368.4922175917743</v>
      </c>
      <c r="U57" s="55">
        <f t="shared" si="12"/>
        <v>2655.5077751355439</v>
      </c>
      <c r="V57" s="426">
        <f t="shared" si="13"/>
        <v>5475.5077692637578</v>
      </c>
    </row>
    <row r="58" spans="2:22">
      <c r="B58" s="120">
        <f t="shared" si="14"/>
        <v>1E-4</v>
      </c>
      <c r="C58" s="7">
        <v>0.56999999999999995</v>
      </c>
      <c r="D58" s="7">
        <f t="shared" si="15"/>
        <v>636.37649978104844</v>
      </c>
      <c r="E58" s="11">
        <f t="shared" si="0"/>
        <v>0.12222006611450552</v>
      </c>
      <c r="F58" s="19">
        <f t="shared" si="4"/>
        <v>1.714325247929396E-2</v>
      </c>
      <c r="G58" s="16">
        <f t="shared" si="5"/>
        <v>1402.6544923673</v>
      </c>
      <c r="H58" s="12">
        <f t="shared" si="16"/>
        <v>3767.9999935045153</v>
      </c>
      <c r="I58" s="12">
        <f t="shared" si="17"/>
        <v>4107.1199916184542</v>
      </c>
      <c r="J58" s="141">
        <f t="shared" si="6"/>
        <v>0.37225437759694074</v>
      </c>
      <c r="K58" s="267" cm="1">
        <f t="array" ref="K58">InterpolateXYZ(J58,C58,B58,FFnorm_PS,FFnorm_M,FFnorm_h,FFnorm_table)*numeng</f>
        <v>1528.8933961958801</v>
      </c>
      <c r="L58" s="11">
        <f t="shared" si="7"/>
        <v>1.0899999996545999</v>
      </c>
      <c r="M58" s="425" cm="1">
        <f t="array" ref="M58">($D$5/G58)*(C58*Linterp($D$6,atmos_h,atmos_vela)/L58)</f>
        <v>2464.5398809877656</v>
      </c>
      <c r="N58" s="55">
        <f t="shared" si="8"/>
        <v>6.5406783918888811</v>
      </c>
      <c r="O58" s="426">
        <f t="shared" si="9"/>
        <v>0.24645398809877656</v>
      </c>
      <c r="P58" s="12"/>
      <c r="Q58" s="7">
        <f t="shared" si="10"/>
        <v>0.56999999999999995</v>
      </c>
      <c r="R58" s="314" cm="1">
        <f t="array" ref="R58">numeng*InterpolateXY($D$6,$Q58,Tmil_h,Tmil_M,Tmil_table)</f>
        <v>4027.9999927851845</v>
      </c>
      <c r="S58" s="12" cm="1">
        <f t="array" ref="S58">numeng*InterpolateXY($D$6,$Q58,Tmax_h,Tmax_M,Tmax_table)</f>
        <v>6867.9999868925333</v>
      </c>
      <c r="T58" s="16">
        <f t="shared" si="11"/>
        <v>1402.6544923673</v>
      </c>
      <c r="U58" s="55">
        <f t="shared" si="12"/>
        <v>2625.3455004178845</v>
      </c>
      <c r="V58" s="426">
        <f t="shared" si="13"/>
        <v>5465.3454945252333</v>
      </c>
    </row>
    <row r="59" spans="2:22">
      <c r="B59" s="120">
        <f t="shared" si="14"/>
        <v>1E-4</v>
      </c>
      <c r="C59" s="7">
        <v>0.57999999999999996</v>
      </c>
      <c r="D59" s="7">
        <f t="shared" si="15"/>
        <v>647.54099977720716</v>
      </c>
      <c r="E59" s="11">
        <f t="shared" si="0"/>
        <v>0.118041912843647</v>
      </c>
      <c r="F59" s="19">
        <f t="shared" si="4"/>
        <v>1.6966571731636761E-2</v>
      </c>
      <c r="G59" s="16">
        <f t="shared" si="5"/>
        <v>1437.3345299910482</v>
      </c>
      <c r="H59" s="12">
        <f t="shared" si="16"/>
        <v>3771.9999935623823</v>
      </c>
      <c r="I59" s="12">
        <f t="shared" si="17"/>
        <v>4111.4799916789234</v>
      </c>
      <c r="J59" s="141">
        <f t="shared" si="6"/>
        <v>0.38105369364902603</v>
      </c>
      <c r="K59" s="267" cm="1">
        <f t="array" ref="K59">InterpolateXYZ(J59,C59,B59,FFnorm_PS,FFnorm_M,FFnorm_h,FFnorm_table)*numeng</f>
        <v>1566.6946371933204</v>
      </c>
      <c r="L59" s="11">
        <f t="shared" si="7"/>
        <v>1.0899999996542753</v>
      </c>
      <c r="M59" s="425" cm="1">
        <f t="array" ref="M59">($D$5/G59)*(C59*Linterp($D$6,atmos_h,atmos_vela)/L59)</f>
        <v>2447.269716614845</v>
      </c>
      <c r="N59" s="55">
        <f t="shared" si="8"/>
        <v>6.3828647667516476</v>
      </c>
      <c r="O59" s="426">
        <f t="shared" si="9"/>
        <v>0.24472697166148449</v>
      </c>
      <c r="P59" s="12"/>
      <c r="Q59" s="7">
        <f t="shared" si="10"/>
        <v>0.57999999999999996</v>
      </c>
      <c r="R59" s="314" cm="1">
        <f t="array" ref="R59">numeng*InterpolateXY($D$6,$Q59,Tmil_h,Tmil_M,Tmil_table)</f>
        <v>4031.9999928430516</v>
      </c>
      <c r="S59" s="12" cm="1">
        <f t="array" ref="S59">numeng*InterpolateXY($D$6,$Q59,Tmax_h,Tmax_M,Tmax_table)</f>
        <v>6891.9999869295334</v>
      </c>
      <c r="T59" s="16">
        <f t="shared" si="11"/>
        <v>1437.3345299910482</v>
      </c>
      <c r="U59" s="55">
        <f t="shared" si="12"/>
        <v>2594.6654628520037</v>
      </c>
      <c r="V59" s="426">
        <f t="shared" si="13"/>
        <v>5454.6654569384855</v>
      </c>
    </row>
    <row r="60" spans="2:22">
      <c r="B60" s="120">
        <f t="shared" si="14"/>
        <v>1E-4</v>
      </c>
      <c r="C60" s="7">
        <v>0.59</v>
      </c>
      <c r="D60" s="7">
        <f t="shared" si="15"/>
        <v>658.70549977336589</v>
      </c>
      <c r="E60" s="11">
        <f t="shared" si="0"/>
        <v>0.11407440241483149</v>
      </c>
      <c r="F60" s="19">
        <f t="shared" si="4"/>
        <v>1.6797790090556181E-2</v>
      </c>
      <c r="G60" s="16">
        <f t="shared" si="5"/>
        <v>1472.52930850087</v>
      </c>
      <c r="H60" s="12">
        <f t="shared" si="16"/>
        <v>3775.9999936202489</v>
      </c>
      <c r="I60" s="12">
        <f t="shared" si="17"/>
        <v>4115.8399917393926</v>
      </c>
      <c r="J60" s="141">
        <f t="shared" si="6"/>
        <v>0.38997068617287761</v>
      </c>
      <c r="K60" s="267" cm="1">
        <f t="array" ref="K60">InterpolateXYZ(J60,C60,B60,FFnorm_PS,FFnorm_M,FFnorm_h,FFnorm_table)*numeng</f>
        <v>1605.056945756382</v>
      </c>
      <c r="L60" s="11">
        <f t="shared" si="7"/>
        <v>1.0899999996539518</v>
      </c>
      <c r="M60" s="425" cm="1">
        <f t="array" ref="M60">($D$5/G60)*(C60*Linterp($D$6,atmos_h,atmos_vela)/L60)</f>
        <v>2429.9635867627317</v>
      </c>
      <c r="N60" s="55">
        <f t="shared" si="8"/>
        <v>6.230308542285087</v>
      </c>
      <c r="O60" s="426">
        <f t="shared" si="9"/>
        <v>0.24299635867627317</v>
      </c>
      <c r="P60" s="12"/>
      <c r="Q60" s="7">
        <f t="shared" si="10"/>
        <v>0.59</v>
      </c>
      <c r="R60" s="314" cm="1">
        <f t="array" ref="R60">numeng*InterpolateXY($D$6,$Q60,Tmil_h,Tmil_M,Tmil_table)</f>
        <v>4035.9999929009182</v>
      </c>
      <c r="S60" s="12" cm="1">
        <f t="array" ref="S60">numeng*InterpolateXY($D$6,$Q60,Tmax_h,Tmax_M,Tmax_table)</f>
        <v>6915.9999869665344</v>
      </c>
      <c r="T60" s="16">
        <f t="shared" si="11"/>
        <v>1472.52930850087</v>
      </c>
      <c r="U60" s="55">
        <f t="shared" si="12"/>
        <v>2563.4706844000484</v>
      </c>
      <c r="V60" s="426">
        <f t="shared" si="13"/>
        <v>5443.4706784656646</v>
      </c>
    </row>
    <row r="61" spans="2:22">
      <c r="B61" s="120">
        <f t="shared" si="14"/>
        <v>1E-4</v>
      </c>
      <c r="C61" s="7">
        <v>0.6</v>
      </c>
      <c r="D61" s="7">
        <f t="shared" si="15"/>
        <v>669.86999976952472</v>
      </c>
      <c r="E61" s="11">
        <f t="shared" si="0"/>
        <v>0.11030360966834124</v>
      </c>
      <c r="F61" s="19">
        <f t="shared" si="4"/>
        <v>1.6636385362562796E-2</v>
      </c>
      <c r="G61" s="16">
        <f t="shared" si="5"/>
        <v>1508.2358059346161</v>
      </c>
      <c r="H61" s="12">
        <f t="shared" si="16"/>
        <v>3779.999993678116</v>
      </c>
      <c r="I61" s="12">
        <f t="shared" si="17"/>
        <v>4120.1999917998619</v>
      </c>
      <c r="J61" s="141">
        <f t="shared" si="6"/>
        <v>0.39900418213150113</v>
      </c>
      <c r="K61" s="267" cm="1">
        <f t="array" ref="K61">InterpolateXYZ(J61,C61,B61,FFnorm_PS,FFnorm_M,FFnorm_h,FFnorm_table)*numeng</f>
        <v>1643.9770279463216</v>
      </c>
      <c r="L61" s="11">
        <f t="shared" si="7"/>
        <v>1.0899999996536285</v>
      </c>
      <c r="M61" s="425" cm="1">
        <f t="array" ref="M61">($D$5/G61)*(C61*Linterp($D$6,atmos_h,atmos_vela)/L61)</f>
        <v>2412.6465622855644</v>
      </c>
      <c r="N61" s="55">
        <f t="shared" si="8"/>
        <v>6.0828100575663981</v>
      </c>
      <c r="O61" s="426">
        <f t="shared" si="9"/>
        <v>0.24126465622855645</v>
      </c>
      <c r="P61" s="12"/>
      <c r="Q61" s="7">
        <f t="shared" si="10"/>
        <v>0.6</v>
      </c>
      <c r="R61" s="314" cm="1">
        <f t="array" ref="R61">numeng*InterpolateXY($D$6,$Q61,Tmil_h,Tmil_M,Tmil_table)</f>
        <v>4039.9999929587852</v>
      </c>
      <c r="S61" s="12" cm="1">
        <f t="array" ref="S61">numeng*InterpolateXY($D$6,$Q61,Tmax_h,Tmax_M,Tmax_table)</f>
        <v>6939.9999870035354</v>
      </c>
      <c r="T61" s="16">
        <f t="shared" si="11"/>
        <v>1508.2358059346161</v>
      </c>
      <c r="U61" s="55">
        <f t="shared" si="12"/>
        <v>2531.7641870241691</v>
      </c>
      <c r="V61" s="426">
        <f t="shared" si="13"/>
        <v>5431.7641810689192</v>
      </c>
    </row>
    <row r="62" spans="2:22">
      <c r="B62" s="120">
        <f t="shared" si="14"/>
        <v>1E-4</v>
      </c>
      <c r="C62" s="7">
        <v>0.61</v>
      </c>
      <c r="D62" s="7">
        <f t="shared" si="15"/>
        <v>681.03449976568345</v>
      </c>
      <c r="E62" s="11">
        <f t="shared" si="0"/>
        <v>0.1067167414152186</v>
      </c>
      <c r="F62" s="19">
        <f t="shared" si="4"/>
        <v>1.6481877803070699E-2</v>
      </c>
      <c r="G62" s="16">
        <f t="shared" si="5"/>
        <v>1544.4510003301375</v>
      </c>
      <c r="H62" s="12">
        <f t="shared" si="16"/>
        <v>3783.999993735983</v>
      </c>
      <c r="I62" s="12">
        <f t="shared" si="17"/>
        <v>4124.5599918603311</v>
      </c>
      <c r="J62" s="141">
        <f t="shared" si="6"/>
        <v>0.40815301344788979</v>
      </c>
      <c r="K62" s="267" cm="1">
        <f t="array" ref="K62">InterpolateXYZ(J62,C62,B62,FFnorm_PS,FFnorm_M,FFnorm_h,FFnorm_table)*numeng</f>
        <v>1683.4515898243978</v>
      </c>
      <c r="L62" s="11">
        <f t="shared" si="7"/>
        <v>1.0899999996533059</v>
      </c>
      <c r="M62" s="425" cm="1">
        <f t="array" ref="M62">($D$5/G62)*(C62*Linterp($D$6,atmos_h,atmos_vela)/L62)</f>
        <v>2395.3412984416614</v>
      </c>
      <c r="N62" s="55">
        <f t="shared" si="8"/>
        <v>5.940176753786611</v>
      </c>
      <c r="O62" s="426">
        <f t="shared" si="9"/>
        <v>0.23953412984416614</v>
      </c>
      <c r="P62" s="12"/>
      <c r="Q62" s="7">
        <f t="shared" si="10"/>
        <v>0.61</v>
      </c>
      <c r="R62" s="314" cm="1">
        <f t="array" ref="R62">numeng*InterpolateXY($D$6,$Q62,Tmil_h,Tmil_M,Tmil_table)</f>
        <v>4043.9999930166523</v>
      </c>
      <c r="S62" s="12" cm="1">
        <f t="array" ref="S62">numeng*InterpolateXY($D$6,$Q62,Tmax_h,Tmax_M,Tmax_table)</f>
        <v>6963.9999870405363</v>
      </c>
      <c r="T62" s="16">
        <f t="shared" si="11"/>
        <v>1544.4510003301375</v>
      </c>
      <c r="U62" s="55">
        <f t="shared" si="12"/>
        <v>2499.5489926865148</v>
      </c>
      <c r="V62" s="426">
        <f t="shared" si="13"/>
        <v>5419.5489867103988</v>
      </c>
    </row>
    <row r="63" spans="2:22">
      <c r="B63" s="120">
        <f t="shared" si="14"/>
        <v>1E-4</v>
      </c>
      <c r="C63" s="7">
        <v>0.62</v>
      </c>
      <c r="D63" s="7">
        <f t="shared" si="15"/>
        <v>692.19899976184217</v>
      </c>
      <c r="E63" s="11">
        <f t="shared" si="0"/>
        <v>0.10330202778512705</v>
      </c>
      <c r="F63" s="19">
        <f t="shared" si="4"/>
        <v>1.6333826041942265E-2</v>
      </c>
      <c r="G63" s="16">
        <f t="shared" si="5"/>
        <v>1581.1718697252843</v>
      </c>
      <c r="H63" s="12">
        <f t="shared" si="16"/>
        <v>3787.9999937938496</v>
      </c>
      <c r="I63" s="12">
        <f t="shared" si="17"/>
        <v>4128.9199919208013</v>
      </c>
      <c r="J63" s="141">
        <f t="shared" si="6"/>
        <v>0.41741601697883601</v>
      </c>
      <c r="K63" s="267" cm="1">
        <f t="array" ref="K63">InterpolateXYZ(J63,C63,B63,FFnorm_PS,FFnorm_M,FFnorm_h,FFnorm_table)*numeng</f>
        <v>1723.4773374518684</v>
      </c>
      <c r="L63" s="11">
        <f t="shared" si="7"/>
        <v>1.0899999996529843</v>
      </c>
      <c r="M63" s="425" cm="1">
        <f t="array" ref="M63">($D$5/G63)*(C63*Linterp($D$6,atmos_h,atmos_vela)/L63)</f>
        <v>2378.0682345239311</v>
      </c>
      <c r="N63" s="55">
        <f t="shared" si="8"/>
        <v>5.8022230885755821</v>
      </c>
      <c r="O63" s="426">
        <f t="shared" si="9"/>
        <v>0.23780682345239312</v>
      </c>
      <c r="P63" s="12"/>
      <c r="Q63" s="7">
        <f t="shared" si="10"/>
        <v>0.62</v>
      </c>
      <c r="R63" s="314" cm="1">
        <f t="array" ref="R63">numeng*InterpolateXY($D$6,$Q63,Tmil_h,Tmil_M,Tmil_table)</f>
        <v>4047.9999930745189</v>
      </c>
      <c r="S63" s="12" cm="1">
        <f t="array" ref="S63">numeng*InterpolateXY($D$6,$Q63,Tmax_h,Tmax_M,Tmax_table)</f>
        <v>6987.9999870775373</v>
      </c>
      <c r="T63" s="16">
        <f t="shared" si="11"/>
        <v>1581.1718697252843</v>
      </c>
      <c r="U63" s="55">
        <f t="shared" si="12"/>
        <v>2466.8281233492344</v>
      </c>
      <c r="V63" s="426">
        <f t="shared" si="13"/>
        <v>5406.8281173522528</v>
      </c>
    </row>
    <row r="64" spans="2:22">
      <c r="B64" s="120">
        <f t="shared" si="14"/>
        <v>1E-4</v>
      </c>
      <c r="C64" s="7">
        <v>0.63</v>
      </c>
      <c r="D64" s="7">
        <f t="shared" si="15"/>
        <v>703.3634997580009</v>
      </c>
      <c r="E64" s="11">
        <f t="shared" si="0"/>
        <v>0.10004862554951585</v>
      </c>
      <c r="F64" s="19">
        <f t="shared" si="4"/>
        <v>1.6191823458106845E-2</v>
      </c>
      <c r="G64" s="16">
        <f t="shared" si="5"/>
        <v>1618.3953921579086</v>
      </c>
      <c r="H64" s="12">
        <f t="shared" si="16"/>
        <v>3791.9999938517167</v>
      </c>
      <c r="I64" s="12">
        <f t="shared" si="17"/>
        <v>4133.2799919812696</v>
      </c>
      <c r="J64" s="141">
        <f t="shared" si="6"/>
        <v>0.42679203448891007</v>
      </c>
      <c r="K64" s="267" cm="1">
        <f t="array" ref="K64">InterpolateXYZ(J64,C64,B64,FFnorm_PS,FFnorm_M,FFnorm_h,FFnorm_table)*numeng</f>
        <v>1764.0509768899922</v>
      </c>
      <c r="L64" s="11">
        <f t="shared" si="7"/>
        <v>1.0899999996526633</v>
      </c>
      <c r="M64" s="425" cm="1">
        <f t="array" ref="M64">($D$5/G64)*(C64*Linterp($D$6,atmos_h,atmos_vela)/L64)</f>
        <v>2360.8457781310481</v>
      </c>
      <c r="N64" s="55">
        <f t="shared" si="8"/>
        <v>5.668770421606478</v>
      </c>
      <c r="O64" s="426">
        <f t="shared" si="9"/>
        <v>0.2360845778131048</v>
      </c>
      <c r="P64" s="12"/>
      <c r="Q64" s="7">
        <f t="shared" si="10"/>
        <v>0.63</v>
      </c>
      <c r="R64" s="314" cm="1">
        <f t="array" ref="R64">numeng*InterpolateXY($D$6,$Q64,Tmil_h,Tmil_M,Tmil_table)</f>
        <v>4051.999993132386</v>
      </c>
      <c r="S64" s="12" cm="1">
        <f t="array" ref="S64">numeng*InterpolateXY($D$6,$Q64,Tmax_h,Tmax_M,Tmax_table)</f>
        <v>7011.9999871145383</v>
      </c>
      <c r="T64" s="16">
        <f t="shared" si="11"/>
        <v>1618.3953921579086</v>
      </c>
      <c r="U64" s="55">
        <f t="shared" si="12"/>
        <v>2433.6046009744773</v>
      </c>
      <c r="V64" s="426">
        <f t="shared" si="13"/>
        <v>5393.6045949566296</v>
      </c>
    </row>
    <row r="65" spans="2:22">
      <c r="B65" s="120">
        <f t="shared" si="14"/>
        <v>1E-4</v>
      </c>
      <c r="C65" s="7">
        <v>0.64</v>
      </c>
      <c r="D65" s="7">
        <f t="shared" si="15"/>
        <v>714.52799975415974</v>
      </c>
      <c r="E65" s="11">
        <f t="shared" si="0"/>
        <v>9.6946531935065514E-2</v>
      </c>
      <c r="F65" s="19">
        <f t="shared" si="4"/>
        <v>1.613183164918832E-2</v>
      </c>
      <c r="G65" s="16">
        <f t="shared" si="5"/>
        <v>1663.9926490607595</v>
      </c>
      <c r="H65" s="12">
        <f t="shared" si="16"/>
        <v>3795.9999939095833</v>
      </c>
      <c r="I65" s="12">
        <f t="shared" si="17"/>
        <v>4137.6399920417389</v>
      </c>
      <c r="J65" s="141">
        <f t="shared" si="6"/>
        <v>0.43835422859075857</v>
      </c>
      <c r="K65" s="267" cm="1">
        <f t="array" ref="K65">InterpolateXYZ(J65,C65,B65,FFnorm_PS,FFnorm_M,FFnorm_h,FFnorm_table)*numeng</f>
        <v>1813.751986897729</v>
      </c>
      <c r="L65" s="11">
        <f t="shared" si="7"/>
        <v>1.0899999996523428</v>
      </c>
      <c r="M65" s="425" cm="1">
        <f t="array" ref="M65">($D$5/G65)*(C65*Linterp($D$6,atmos_h,atmos_vela)/L65)</f>
        <v>2332.6000047655721</v>
      </c>
      <c r="N65" s="55">
        <f t="shared" si="8"/>
        <v>5.5134329678139533</v>
      </c>
      <c r="O65" s="426">
        <f t="shared" si="9"/>
        <v>0.23326000047655721</v>
      </c>
      <c r="P65" s="12"/>
      <c r="Q65" s="7">
        <f t="shared" si="10"/>
        <v>0.64</v>
      </c>
      <c r="R65" s="314" cm="1">
        <f t="array" ref="R65">numeng*InterpolateXY($D$6,$Q65,Tmil_h,Tmil_M,Tmil_table)</f>
        <v>4055.999993190253</v>
      </c>
      <c r="S65" s="12" cm="1">
        <f t="array" ref="S65">numeng*InterpolateXY($D$6,$Q65,Tmax_h,Tmax_M,Tmax_table)</f>
        <v>7035.9999871515392</v>
      </c>
      <c r="T65" s="16">
        <f t="shared" si="11"/>
        <v>1663.9926490607595</v>
      </c>
      <c r="U65" s="55">
        <f t="shared" si="12"/>
        <v>2392.0073441294935</v>
      </c>
      <c r="V65" s="426">
        <f t="shared" si="13"/>
        <v>5372.0073380907797</v>
      </c>
    </row>
    <row r="66" spans="2:22">
      <c r="B66" s="120">
        <f t="shared" si="14"/>
        <v>1E-4</v>
      </c>
      <c r="C66" s="7">
        <v>0.65</v>
      </c>
      <c r="D66" s="7">
        <f t="shared" si="15"/>
        <v>725.69249975031846</v>
      </c>
      <c r="E66" s="11">
        <f t="shared" si="0"/>
        <v>9.3986507646397252E-2</v>
      </c>
      <c r="F66" s="19">
        <f t="shared" si="4"/>
        <v>1.6074831345579965E-2</v>
      </c>
      <c r="G66" s="16">
        <f t="shared" si="5"/>
        <v>1710.3339349577541</v>
      </c>
      <c r="H66" s="12">
        <f t="shared" si="16"/>
        <v>3799.9999939674503</v>
      </c>
      <c r="I66" s="12">
        <f t="shared" si="17"/>
        <v>4141.999992102209</v>
      </c>
      <c r="J66" s="141">
        <f t="shared" si="6"/>
        <v>0.45008787833498198</v>
      </c>
      <c r="K66" s="267" cm="1">
        <f t="array" ref="K66">InterpolateXYZ(J66,C66,B66,FFnorm_PS,FFnorm_M,FFnorm_h,FFnorm_table)*numeng</f>
        <v>1864.2639885087954</v>
      </c>
      <c r="L66" s="11">
        <f t="shared" si="7"/>
        <v>1.0899999996520231</v>
      </c>
      <c r="M66" s="425" cm="1">
        <f t="array" ref="M66">($D$5/G66)*(C66*Linterp($D$6,atmos_h,atmos_vela)/L66)</f>
        <v>2304.8578483784063</v>
      </c>
      <c r="N66" s="55">
        <f t="shared" si="8"/>
        <v>5.3640471851837326</v>
      </c>
      <c r="O66" s="426">
        <f t="shared" si="9"/>
        <v>0.23048578483784063</v>
      </c>
      <c r="P66" s="12"/>
      <c r="Q66" s="7">
        <f t="shared" si="10"/>
        <v>0.65</v>
      </c>
      <c r="R66" s="314" cm="1">
        <f t="array" ref="R66">numeng*InterpolateXY($D$6,$Q66,Tmil_h,Tmil_M,Tmil_table)</f>
        <v>4059.9999932481201</v>
      </c>
      <c r="S66" s="12" cm="1">
        <f t="array" ref="S66">numeng*InterpolateXY($D$6,$Q66,Tmax_h,Tmax_M,Tmax_table)</f>
        <v>7059.9999871885402</v>
      </c>
      <c r="T66" s="16">
        <f t="shared" si="11"/>
        <v>1710.3339349577541</v>
      </c>
      <c r="U66" s="55">
        <f t="shared" si="12"/>
        <v>2349.666058290366</v>
      </c>
      <c r="V66" s="426">
        <f t="shared" si="13"/>
        <v>5349.6660522307866</v>
      </c>
    </row>
    <row r="67" spans="2:22">
      <c r="B67" s="120">
        <f t="shared" si="14"/>
        <v>1E-4</v>
      </c>
      <c r="C67" s="7">
        <v>0.66</v>
      </c>
      <c r="D67" s="7">
        <f t="shared" si="15"/>
        <v>736.85699974647719</v>
      </c>
      <c r="E67" s="11">
        <f t="shared" si="0"/>
        <v>9.1160007990364639E-2</v>
      </c>
      <c r="F67" s="19">
        <f t="shared" si="4"/>
        <v>1.6019500099879559E-2</v>
      </c>
      <c r="G67" s="16">
        <f t="shared" si="5"/>
        <v>1757.2947230953264</v>
      </c>
      <c r="H67" s="12">
        <f t="shared" si="16"/>
        <v>3803.9999940253174</v>
      </c>
      <c r="I67" s="12">
        <f t="shared" si="17"/>
        <v>4146.3599921626783</v>
      </c>
      <c r="J67" s="141">
        <f t="shared" si="6"/>
        <v>0.46195970711235251</v>
      </c>
      <c r="K67" s="267" cm="1">
        <f t="array" ref="K67">InterpolateXYZ(J67,C67,B67,FFnorm_PS,FFnorm_M,FFnorm_h,FFnorm_table)*numeng</f>
        <v>1915.4512475618469</v>
      </c>
      <c r="L67" s="11">
        <f t="shared" si="7"/>
        <v>1.089999999651704</v>
      </c>
      <c r="M67" s="425" cm="1">
        <f t="array" ref="M67">($D$5/G67)*(C67*Linterp($D$6,atmos_h,atmos_vela)/L67)</f>
        <v>2277.7761026284602</v>
      </c>
      <c r="N67" s="55">
        <f t="shared" si="8"/>
        <v>5.2207019169654512</v>
      </c>
      <c r="O67" s="426">
        <f t="shared" si="9"/>
        <v>0.22777761026284601</v>
      </c>
      <c r="P67" s="12"/>
      <c r="Q67" s="7">
        <f t="shared" si="10"/>
        <v>0.66</v>
      </c>
      <c r="R67" s="314" cm="1">
        <f t="array" ref="R67">numeng*InterpolateXY($D$6,$Q67,Tmil_h,Tmil_M,Tmil_table)</f>
        <v>4063.9999933059867</v>
      </c>
      <c r="S67" s="12" cm="1">
        <f t="array" ref="S67">numeng*InterpolateXY($D$6,$Q67,Tmax_h,Tmax_M,Tmax_table)</f>
        <v>7083.9999872255412</v>
      </c>
      <c r="T67" s="16">
        <f t="shared" si="11"/>
        <v>1757.2947230953264</v>
      </c>
      <c r="U67" s="55">
        <f t="shared" si="12"/>
        <v>2306.7052702106603</v>
      </c>
      <c r="V67" s="426">
        <f t="shared" si="13"/>
        <v>5326.7052641302143</v>
      </c>
    </row>
    <row r="68" spans="2:22">
      <c r="B68" s="120">
        <f t="shared" si="14"/>
        <v>1E-4</v>
      </c>
      <c r="C68" s="7">
        <v>0.67</v>
      </c>
      <c r="D68" s="7">
        <f t="shared" si="15"/>
        <v>748.02149974263591</v>
      </c>
      <c r="E68" s="11">
        <f t="shared" si="0"/>
        <v>8.845912114190875E-2</v>
      </c>
      <c r="F68" s="19">
        <f t="shared" si="4"/>
        <v>1.5965739014273863E-2</v>
      </c>
      <c r="G68" s="16">
        <f t="shared" si="5"/>
        <v>1804.8719915113275</v>
      </c>
      <c r="H68" s="12">
        <f t="shared" si="16"/>
        <v>3807.999994083184</v>
      </c>
      <c r="I68" s="12">
        <f t="shared" si="17"/>
        <v>4150.7199922231475</v>
      </c>
      <c r="J68" s="141">
        <f t="shared" si="6"/>
        <v>0.47396848590223523</v>
      </c>
      <c r="K68" s="267" cm="1">
        <f t="array" ref="K68">InterpolateXYZ(J68,C68,B68,FFnorm_PS,FFnorm_M,FFnorm_h,FFnorm_table)*numeng</f>
        <v>1967.3104701181426</v>
      </c>
      <c r="L68" s="11">
        <f t="shared" si="7"/>
        <v>1.0899999996513856</v>
      </c>
      <c r="M68" s="425" cm="1">
        <f t="array" ref="M68">($D$5/G68)*(C68*Linterp($D$6,atmos_h,atmos_vela)/L68)</f>
        <v>2251.3348740846109</v>
      </c>
      <c r="N68" s="55">
        <f t="shared" si="8"/>
        <v>5.0830817768176022</v>
      </c>
      <c r="O68" s="426">
        <f t="shared" si="9"/>
        <v>0.22513348740846109</v>
      </c>
      <c r="P68" s="12"/>
      <c r="Q68" s="7">
        <f t="shared" si="10"/>
        <v>0.67</v>
      </c>
      <c r="R68" s="314" cm="1">
        <f t="array" ref="R68">numeng*InterpolateXY($D$6,$Q68,Tmil_h,Tmil_M,Tmil_table)</f>
        <v>4067.9999933638537</v>
      </c>
      <c r="S68" s="12" cm="1">
        <f t="array" ref="S68">numeng*InterpolateXY($D$6,$Q68,Tmax_h,Tmax_M,Tmax_table)</f>
        <v>7107.9999872625413</v>
      </c>
      <c r="T68" s="16">
        <f t="shared" si="11"/>
        <v>1804.8719915113275</v>
      </c>
      <c r="U68" s="55">
        <f t="shared" si="12"/>
        <v>2263.1280018525263</v>
      </c>
      <c r="V68" s="426">
        <f t="shared" si="13"/>
        <v>5303.1279957512143</v>
      </c>
    </row>
    <row r="69" spans="2:22">
      <c r="B69" s="120">
        <f t="shared" si="14"/>
        <v>1E-4</v>
      </c>
      <c r="C69" s="7">
        <v>0.68</v>
      </c>
      <c r="D69" s="7">
        <f t="shared" si="15"/>
        <v>759.18599973879475</v>
      </c>
      <c r="E69" s="11">
        <f t="shared" si="0"/>
        <v>8.5876512717566675E-2</v>
      </c>
      <c r="F69" s="19">
        <f t="shared" si="4"/>
        <v>1.5913456408969583E-2</v>
      </c>
      <c r="G69" s="16">
        <f t="shared" si="5"/>
        <v>1853.0627182436076</v>
      </c>
      <c r="H69" s="12">
        <f t="shared" si="16"/>
        <v>3811.999994141051</v>
      </c>
      <c r="I69" s="12">
        <f t="shared" si="17"/>
        <v>4155.0799922836159</v>
      </c>
      <c r="J69" s="141">
        <f t="shared" si="6"/>
        <v>0.48611299084252857</v>
      </c>
      <c r="K69" s="267" cm="1">
        <f t="array" ref="K69">InterpolateXYZ(J69,C69,B69,FFnorm_PS,FFnorm_M,FFnorm_h,FFnorm_table)*numeng</f>
        <v>2019.8383622389395</v>
      </c>
      <c r="L69" s="11">
        <f t="shared" si="7"/>
        <v>1.0899999996510681</v>
      </c>
      <c r="M69" s="425" cm="1">
        <f t="array" ref="M69">($D$5/G69)*(C69*Linterp($D$6,atmos_h,atmos_vela)/L69)</f>
        <v>2225.5148459644515</v>
      </c>
      <c r="N69" s="55">
        <f t="shared" si="8"/>
        <v>4.9508912133519702</v>
      </c>
      <c r="O69" s="426">
        <f t="shared" si="9"/>
        <v>0.22255148459644516</v>
      </c>
      <c r="P69" s="12"/>
      <c r="Q69" s="7">
        <f t="shared" si="10"/>
        <v>0.68</v>
      </c>
      <c r="R69" s="314" cm="1">
        <f t="array" ref="R69">numeng*InterpolateXY($D$6,$Q69,Tmil_h,Tmil_M,Tmil_table)</f>
        <v>4071.9999934217208</v>
      </c>
      <c r="S69" s="12" cm="1">
        <f t="array" ref="S69">numeng*InterpolateXY($D$6,$Q69,Tmax_h,Tmax_M,Tmax_table)</f>
        <v>7131.9999872995422</v>
      </c>
      <c r="T69" s="16">
        <f t="shared" si="11"/>
        <v>1853.0627182436076</v>
      </c>
      <c r="U69" s="55">
        <f t="shared" si="12"/>
        <v>2218.9372751781129</v>
      </c>
      <c r="V69" s="426">
        <f t="shared" si="13"/>
        <v>5278.9372690559348</v>
      </c>
    </row>
    <row r="70" spans="2:22">
      <c r="B70" s="120">
        <f t="shared" si="14"/>
        <v>1E-4</v>
      </c>
      <c r="C70" s="7">
        <v>0.69</v>
      </c>
      <c r="D70" s="7">
        <f t="shared" si="15"/>
        <v>770.35049973495336</v>
      </c>
      <c r="E70" s="11">
        <f t="shared" si="0"/>
        <v>8.3405375930692818E-2</v>
      </c>
      <c r="F70" s="19">
        <f t="shared" si="4"/>
        <v>1.5862567199133662E-2</v>
      </c>
      <c r="G70" s="16">
        <f t="shared" si="5"/>
        <v>1901.8638813300172</v>
      </c>
      <c r="H70" s="12">
        <f t="shared" si="16"/>
        <v>3815.9999941989176</v>
      </c>
      <c r="I70" s="12">
        <f t="shared" si="17"/>
        <v>4159.439992344086</v>
      </c>
      <c r="J70" s="141">
        <f t="shared" si="6"/>
        <v>0.4983920032026285</v>
      </c>
      <c r="K70" s="267" cm="1">
        <f t="array" ref="K70">InterpolateXYZ(J70,C70,B70,FFnorm_PS,FFnorm_M,FFnorm_h,FFnorm_table)*numeng</f>
        <v>2073.0316299854949</v>
      </c>
      <c r="L70" s="11">
        <f t="shared" si="7"/>
        <v>1.089999999650751</v>
      </c>
      <c r="M70" s="425" cm="1">
        <f t="array" ref="M70">($D$5/G70)*(C70*Linterp($D$6,atmos_h,atmos_vela)/L70)</f>
        <v>2200.2972784962853</v>
      </c>
      <c r="N70" s="55">
        <f t="shared" si="8"/>
        <v>4.8238530736117955</v>
      </c>
      <c r="O70" s="426">
        <f t="shared" si="9"/>
        <v>0.22002972784962854</v>
      </c>
      <c r="P70" s="12"/>
      <c r="Q70" s="7">
        <f t="shared" si="10"/>
        <v>0.69</v>
      </c>
      <c r="R70" s="314" cm="1">
        <f t="array" ref="R70">numeng*InterpolateXY($D$6,$Q70,Tmil_h,Tmil_M,Tmil_table)</f>
        <v>4075.9999934795874</v>
      </c>
      <c r="S70" s="12" cm="1">
        <f t="array" ref="S70">numeng*InterpolateXY($D$6,$Q70,Tmax_h,Tmax_M,Tmax_table)</f>
        <v>7155.9999873365432</v>
      </c>
      <c r="T70" s="16">
        <f t="shared" si="11"/>
        <v>1901.8638813300172</v>
      </c>
      <c r="U70" s="55">
        <f t="shared" si="12"/>
        <v>2174.1361121495702</v>
      </c>
      <c r="V70" s="426">
        <f t="shared" si="13"/>
        <v>5254.1361060065265</v>
      </c>
    </row>
    <row r="71" spans="2:22">
      <c r="B71" s="120">
        <f t="shared" si="14"/>
        <v>1E-4</v>
      </c>
      <c r="C71" s="7">
        <v>0.7</v>
      </c>
      <c r="D71" s="7">
        <f t="shared" si="15"/>
        <v>781.51499973111208</v>
      </c>
      <c r="E71" s="11">
        <f t="shared" si="0"/>
        <v>8.1039386695107837E-2</v>
      </c>
      <c r="F71" s="19">
        <f t="shared" si="4"/>
        <v>1.5812992333688849E-2</v>
      </c>
      <c r="G71" s="16">
        <f t="shared" si="5"/>
        <v>1951.2724588084079</v>
      </c>
      <c r="H71" s="12">
        <f t="shared" si="16"/>
        <v>3819.9999942567847</v>
      </c>
      <c r="I71" s="12">
        <f t="shared" si="17"/>
        <v>4163.7999924045553</v>
      </c>
      <c r="J71" s="141">
        <f t="shared" si="6"/>
        <v>0.51080430935656207</v>
      </c>
      <c r="K71" s="267" cm="1">
        <f t="array" ref="K71">InterpolateXYZ(J71,C71,B71,FFnorm_PS,FFnorm_M,FFnorm_h,FFnorm_table)*numeng</f>
        <v>2126.8869794190673</v>
      </c>
      <c r="L71" s="11">
        <f t="shared" si="7"/>
        <v>1.0899999996504346</v>
      </c>
      <c r="M71" s="425" cm="1">
        <f t="array" ref="M71">($D$5/G71)*(C71*Linterp($D$6,atmos_h,atmos_vela)/L71)</f>
        <v>2175.664005917341</v>
      </c>
      <c r="N71" s="55">
        <f t="shared" si="8"/>
        <v>4.7017072824111121</v>
      </c>
      <c r="O71" s="426">
        <f t="shared" si="9"/>
        <v>0.2175664005917341</v>
      </c>
      <c r="P71" s="12"/>
      <c r="Q71" s="7">
        <f t="shared" si="10"/>
        <v>0.7</v>
      </c>
      <c r="R71" s="314" cm="1">
        <f t="array" ref="R71">numeng*InterpolateXY($D$6,$Q71,Tmil_h,Tmil_M,Tmil_table)</f>
        <v>4079.9999935374544</v>
      </c>
      <c r="S71" s="12" cm="1">
        <f t="array" ref="S71">numeng*InterpolateXY($D$6,$Q71,Tmax_h,Tmax_M,Tmax_table)</f>
        <v>7179.9999873735442</v>
      </c>
      <c r="T71" s="16">
        <f t="shared" si="11"/>
        <v>1951.2724588084079</v>
      </c>
      <c r="U71" s="55">
        <f t="shared" si="12"/>
        <v>2128.7275347290465</v>
      </c>
      <c r="V71" s="426">
        <f t="shared" si="13"/>
        <v>5228.7275285651358</v>
      </c>
    </row>
    <row r="72" spans="2:22">
      <c r="B72" s="120">
        <f t="shared" si="14"/>
        <v>1E-4</v>
      </c>
      <c r="C72" s="7">
        <v>0.71</v>
      </c>
      <c r="D72" s="7">
        <f t="shared" si="15"/>
        <v>792.67949972727081</v>
      </c>
      <c r="E72" s="11">
        <f t="shared" si="0"/>
        <v>7.8772663123592226E-2</v>
      </c>
      <c r="F72" s="19">
        <f t="shared" si="4"/>
        <v>1.5764658289044903E-2</v>
      </c>
      <c r="G72" s="16">
        <f t="shared" si="5"/>
        <v>2001.2854287166308</v>
      </c>
      <c r="H72" s="12">
        <f t="shared" si="16"/>
        <v>3823.9999943146518</v>
      </c>
      <c r="I72" s="12">
        <f t="shared" si="17"/>
        <v>4168.1599924650245</v>
      </c>
      <c r="J72" s="141">
        <f t="shared" si="6"/>
        <v>0.52334870075628936</v>
      </c>
      <c r="K72" s="267" cm="1">
        <f t="array" ref="K72">InterpolateXYZ(J72,C72,B72,FFnorm_PS,FFnorm_M,FFnorm_h,FFnorm_table)*numeng</f>
        <v>2181.4011166009154</v>
      </c>
      <c r="L72" s="11">
        <f t="shared" si="7"/>
        <v>1.0899999996501188</v>
      </c>
      <c r="M72" s="425" cm="1">
        <f t="array" ref="M72">($D$5/G72)*(C72*Linterp($D$6,atmos_h,atmos_vela)/L72)</f>
        <v>2151.5974307248457</v>
      </c>
      <c r="N72" s="55">
        <f t="shared" si="8"/>
        <v>4.5842096274261168</v>
      </c>
      <c r="O72" s="426">
        <f t="shared" si="9"/>
        <v>0.21515974307248456</v>
      </c>
      <c r="P72" s="12"/>
      <c r="Q72" s="7">
        <f t="shared" si="10"/>
        <v>0.71</v>
      </c>
      <c r="R72" s="314" cm="1">
        <f t="array" ref="R72">numeng*InterpolateXY($D$6,$Q72,Tmil_h,Tmil_M,Tmil_table)</f>
        <v>4083.9999935953215</v>
      </c>
      <c r="S72" s="12" cm="1">
        <f t="array" ref="S72">numeng*InterpolateXY($D$6,$Q72,Tmax_h,Tmax_M,Tmax_table)</f>
        <v>7203.9999874105451</v>
      </c>
      <c r="T72" s="16">
        <f t="shared" si="11"/>
        <v>2001.2854287166308</v>
      </c>
      <c r="U72" s="55">
        <f t="shared" si="12"/>
        <v>2082.7145648786909</v>
      </c>
      <c r="V72" s="426">
        <f t="shared" si="13"/>
        <v>5202.7145586939141</v>
      </c>
    </row>
    <row r="73" spans="2:22">
      <c r="B73" s="120">
        <f t="shared" si="14"/>
        <v>1E-4</v>
      </c>
      <c r="C73" s="7">
        <v>0.72</v>
      </c>
      <c r="D73" s="7">
        <f t="shared" si="15"/>
        <v>803.84399972342965</v>
      </c>
      <c r="E73" s="11">
        <f t="shared" si="0"/>
        <v>7.6599728936348074E-2</v>
      </c>
      <c r="F73" s="19">
        <f t="shared" si="4"/>
        <v>1.5717496611704351E-2</v>
      </c>
      <c r="G73" s="16">
        <f t="shared" si="5"/>
        <v>2051.8997690925366</v>
      </c>
      <c r="H73" s="12">
        <f t="shared" si="16"/>
        <v>3827.9999943725184</v>
      </c>
      <c r="I73" s="12">
        <f t="shared" si="17"/>
        <v>4172.5199925254938</v>
      </c>
      <c r="J73" s="141">
        <f t="shared" si="6"/>
        <v>0.53602397390517287</v>
      </c>
      <c r="K73" s="267" cm="1">
        <f t="array" ref="K73">InterpolateXYZ(J73,C73,B73,FFnorm_PS,FFnorm_M,FFnorm_h,FFnorm_table)*numeng</f>
        <v>2236.5707475922977</v>
      </c>
      <c r="L73" s="11">
        <f t="shared" si="7"/>
        <v>1.089999999649804</v>
      </c>
      <c r="M73" s="425" cm="1">
        <f t="array" ref="M73">($D$5/G73)*(C73*Linterp($D$6,atmos_h,atmos_vela)/L73)</f>
        <v>2128.080515702507</v>
      </c>
      <c r="N73" s="55">
        <f t="shared" si="8"/>
        <v>4.471130640855046</v>
      </c>
      <c r="O73" s="426">
        <f t="shared" si="9"/>
        <v>0.21280805157025071</v>
      </c>
      <c r="P73" s="12"/>
      <c r="Q73" s="7">
        <f t="shared" si="10"/>
        <v>0.72</v>
      </c>
      <c r="R73" s="314" cm="1">
        <f t="array" ref="R73">numeng*InterpolateXY($D$6,$Q73,Tmil_h,Tmil_M,Tmil_table)</f>
        <v>4087.9999936531881</v>
      </c>
      <c r="S73" s="12" cm="1">
        <f t="array" ref="S73">numeng*InterpolateXY($D$6,$Q73,Tmax_h,Tmax_M,Tmax_table)</f>
        <v>7227.9999874475461</v>
      </c>
      <c r="T73" s="16">
        <f t="shared" si="11"/>
        <v>2051.8997690925366</v>
      </c>
      <c r="U73" s="55">
        <f t="shared" si="12"/>
        <v>2036.1002245606514</v>
      </c>
      <c r="V73" s="426">
        <f t="shared" si="13"/>
        <v>5176.1002183550099</v>
      </c>
    </row>
    <row r="74" spans="2:22">
      <c r="B74" s="120">
        <f t="shared" si="14"/>
        <v>1E-4</v>
      </c>
      <c r="C74" s="7">
        <v>0.73</v>
      </c>
      <c r="D74" s="7">
        <f t="shared" si="15"/>
        <v>815.00849971958837</v>
      </c>
      <c r="E74" s="11">
        <f t="shared" si="0"/>
        <v>7.451548035391789E-2</v>
      </c>
      <c r="F74" s="19">
        <f t="shared" si="4"/>
        <v>1.5671443504423975E-2</v>
      </c>
      <c r="G74" s="16">
        <f t="shared" si="5"/>
        <v>2103.1124579739758</v>
      </c>
      <c r="H74" s="12">
        <f t="shared" si="16"/>
        <v>3831.9999944303854</v>
      </c>
      <c r="I74" s="12">
        <f t="shared" si="17"/>
        <v>4176.879992585963</v>
      </c>
      <c r="J74" s="141">
        <f t="shared" si="6"/>
        <v>0.54882893033161306</v>
      </c>
      <c r="K74" s="267" cm="1">
        <f t="array" ref="K74">InterpolateXYZ(J74,C74,B74,FFnorm_PS,FFnorm_M,FFnorm_h,FFnorm_table)*numeng</f>
        <v>2292.3925784544704</v>
      </c>
      <c r="L74" s="11">
        <f t="shared" si="7"/>
        <v>1.0899999996494893</v>
      </c>
      <c r="M74" s="425" cm="1">
        <f t="array" ref="M74">($D$5/G74)*(C74*Linterp($D$6,atmos_h,atmos_vela)/L74)</f>
        <v>2105.0967741648192</v>
      </c>
      <c r="N74" s="55">
        <f t="shared" si="8"/>
        <v>4.3622545693033059</v>
      </c>
      <c r="O74" s="426">
        <f t="shared" si="9"/>
        <v>0.21050967741648191</v>
      </c>
      <c r="P74" s="12"/>
      <c r="Q74" s="7">
        <f t="shared" si="10"/>
        <v>0.73</v>
      </c>
      <c r="R74" s="314" cm="1">
        <f t="array" ref="R74">numeng*InterpolateXY($D$6,$Q74,Tmil_h,Tmil_M,Tmil_table)</f>
        <v>4091.9999937110551</v>
      </c>
      <c r="S74" s="12" cm="1">
        <f t="array" ref="S74">numeng*InterpolateXY($D$6,$Q74,Tmax_h,Tmax_M,Tmax_table)</f>
        <v>7251.9999874845462</v>
      </c>
      <c r="T74" s="16">
        <f t="shared" si="11"/>
        <v>2103.1124579739758</v>
      </c>
      <c r="U74" s="55">
        <f t="shared" si="12"/>
        <v>1988.8875357370794</v>
      </c>
      <c r="V74" s="426">
        <f t="shared" si="13"/>
        <v>5148.8875295105699</v>
      </c>
    </row>
    <row r="75" spans="2:22">
      <c r="B75" s="120">
        <f t="shared" si="14"/>
        <v>1E-4</v>
      </c>
      <c r="C75" s="7">
        <v>0.74</v>
      </c>
      <c r="D75" s="7">
        <f t="shared" si="15"/>
        <v>826.1729997157471</v>
      </c>
      <c r="E75" s="11">
        <f t="shared" ref="E75:E101" si="18">D$5/(H$5*C75*C75*_xlfn.SINGLE(S))</f>
        <v>7.251515610044347E-2</v>
      </c>
      <c r="F75" s="19">
        <f t="shared" ref="F75:F101" si="19">InterpolateXY(E75,C75,CD_CL,CD_M,CD_table)</f>
        <v>1.5626439451255546E-2</v>
      </c>
      <c r="G75" s="16">
        <f t="shared" ref="G75:G101" si="20">F75*$H$5*C75*C75*_xlfn.SINGLE(S)</f>
        <v>2154.920473398799</v>
      </c>
      <c r="H75" s="12">
        <f t="shared" ref="H75:H101" si="21">_xlfn.SINGLE(InterpolateXY(B75,C75,Tnorm_h,Tnorm_M,Tnorm_table))*_xlfn.SINGLE(numeng)</f>
        <v>3835.9999944882525</v>
      </c>
      <c r="I75" s="12">
        <f t="shared" ref="I75:I101" si="22">_xlfn.SINGLE(InterpolateXYZ($I$8,C75,B75,FFnorm_PS,FFnorm_M,FFnorm_h,FFnorm_table))*_xlfn.SINGLE(numeng)</f>
        <v>4181.2399926464332</v>
      </c>
      <c r="J75" s="141">
        <f t="shared" si="6"/>
        <v>0.56176237656284966</v>
      </c>
      <c r="K75" s="267" cm="1">
        <f t="array" ref="K75">InterpolateXYZ(J75,C75,B75,FFnorm_PS,FFnorm_M,FFnorm_h,FFnorm_table)*numeng</f>
        <v>2348.8633152486918</v>
      </c>
      <c r="L75" s="11">
        <f t="shared" si="7"/>
        <v>1.0899999996491754</v>
      </c>
      <c r="M75" s="425" cm="1">
        <f t="array" ref="M75">($D$5/G75)*(C75*Linterp($D$6,atmos_h,atmos_vela)/L75)</f>
        <v>2082.6302587932682</v>
      </c>
      <c r="N75" s="55">
        <f t="shared" si="8"/>
        <v>4.2573784243129644</v>
      </c>
      <c r="O75" s="426">
        <f t="shared" si="9"/>
        <v>0.20826302587932682</v>
      </c>
      <c r="P75" s="12"/>
      <c r="Q75" s="7">
        <f t="shared" si="10"/>
        <v>0.74</v>
      </c>
      <c r="R75" s="314" cm="1">
        <f t="array" ref="R75">numeng*InterpolateXY($D$6,$Q75,Tmil_h,Tmil_M,Tmil_table)</f>
        <v>4095.9999937689217</v>
      </c>
      <c r="S75" s="12" cm="1">
        <f t="array" ref="S75">numeng*InterpolateXY($D$6,$Q75,Tmax_h,Tmax_M,Tmax_table)</f>
        <v>7275.9999875215472</v>
      </c>
      <c r="T75" s="16">
        <f t="shared" si="11"/>
        <v>2154.920473398799</v>
      </c>
      <c r="U75" s="55">
        <f t="shared" si="12"/>
        <v>1941.0795203701227</v>
      </c>
      <c r="V75" s="426">
        <f t="shared" si="13"/>
        <v>5121.0795141227482</v>
      </c>
    </row>
    <row r="76" spans="2:22">
      <c r="B76" s="120">
        <f t="shared" si="14"/>
        <v>1E-4</v>
      </c>
      <c r="C76" s="7">
        <v>0.75</v>
      </c>
      <c r="D76" s="7">
        <f t="shared" si="15"/>
        <v>837.33749971190582</v>
      </c>
      <c r="E76" s="11">
        <f t="shared" si="18"/>
        <v>7.0594310187738374E-2</v>
      </c>
      <c r="F76" s="19">
        <f t="shared" si="19"/>
        <v>1.5582428877346731E-2</v>
      </c>
      <c r="G76" s="16">
        <f t="shared" si="20"/>
        <v>2207.3207934048578</v>
      </c>
      <c r="H76" s="12">
        <f t="shared" si="21"/>
        <v>3839.9999945461195</v>
      </c>
      <c r="I76" s="12">
        <f t="shared" si="22"/>
        <v>4185.5999927069024</v>
      </c>
      <c r="J76" s="141">
        <f t="shared" ref="J76:J101" si="23">G76/H76</f>
        <v>0.57482312409892566</v>
      </c>
      <c r="K76" s="267" cm="1">
        <f t="array" ref="K76">InterpolateXYZ(J76,C76,B76,FFnorm_PS,FFnorm_M,FFnorm_h,FFnorm_table)*numeng</f>
        <v>2405.9796640362219</v>
      </c>
      <c r="L76" s="11">
        <f t="shared" ref="L76:L101" si="24">K76/G76</f>
        <v>1.0899999996488625</v>
      </c>
      <c r="M76" s="425" cm="1">
        <f t="array" ref="M76">($D$5/G76)*(C76*Linterp($D$6,atmos_h,atmos_vela)/L76)</f>
        <v>2060.6655493802523</v>
      </c>
      <c r="N76" s="55">
        <f t="shared" ref="N76:N121" si="25">($D$5/G76)*(1/L76)</f>
        <v>4.1563111066467648</v>
      </c>
      <c r="O76" s="426">
        <f t="shared" ref="O76:O121" si="26">M76/$D$5</f>
        <v>0.20606655493802523</v>
      </c>
      <c r="P76" s="12"/>
      <c r="Q76" s="7">
        <f t="shared" ref="Q76:Q121" si="27">C76</f>
        <v>0.75</v>
      </c>
      <c r="R76" s="314" cm="1">
        <f t="array" ref="R76">numeng*InterpolateXY($D$6,$Q76,Tmil_h,Tmil_M,Tmil_table)</f>
        <v>4099.9999938267883</v>
      </c>
      <c r="S76" s="12" cm="1">
        <f t="array" ref="S76">numeng*InterpolateXY($D$6,$Q76,Tmax_h,Tmax_M,Tmax_table)</f>
        <v>7299.9999875585481</v>
      </c>
      <c r="T76" s="16">
        <f t="shared" ref="T76:T121" si="28">G76</f>
        <v>2207.3207934048578</v>
      </c>
      <c r="U76" s="55">
        <f t="shared" ref="U76:U121" si="29">R76-T76</f>
        <v>1892.6792004219305</v>
      </c>
      <c r="V76" s="426">
        <f t="shared" ref="V76:V121" si="30">S76-T76</f>
        <v>5092.6791941536903</v>
      </c>
    </row>
    <row r="77" spans="2:22">
      <c r="B77" s="120">
        <f t="shared" ref="B77:B121" si="31">B76</f>
        <v>1E-4</v>
      </c>
      <c r="C77" s="7">
        <v>0.76</v>
      </c>
      <c r="D77" s="7">
        <f t="shared" si="15"/>
        <v>848.50199970806466</v>
      </c>
      <c r="E77" s="11">
        <f t="shared" si="18"/>
        <v>6.8748787189409355E-2</v>
      </c>
      <c r="F77" s="19">
        <f t="shared" si="19"/>
        <v>1.5539359839867617E-2</v>
      </c>
      <c r="G77" s="16">
        <f t="shared" si="20"/>
        <v>2260.3103960300018</v>
      </c>
      <c r="H77" s="12">
        <f t="shared" si="21"/>
        <v>3843.9999946039861</v>
      </c>
      <c r="I77" s="12">
        <f t="shared" si="22"/>
        <v>4189.9599927673717</v>
      </c>
      <c r="J77" s="141">
        <f t="shared" si="23"/>
        <v>0.5880099893868137</v>
      </c>
      <c r="K77" s="267" cm="1">
        <f t="array" ref="K77">InterpolateXYZ(J77,C77,B77,FFnorm_PS,FFnorm_M,FFnorm_h,FFnorm_table)*numeng</f>
        <v>2463.738330878316</v>
      </c>
      <c r="L77" s="11">
        <f t="shared" si="24"/>
        <v>1.0899999996485501</v>
      </c>
      <c r="M77" s="425" cm="1">
        <f t="array" ref="M77">($D$5/G77)*(C77*Linterp($D$6,atmos_h,atmos_vela)/L77)</f>
        <v>2039.187739746852</v>
      </c>
      <c r="N77" s="55">
        <f t="shared" si="25"/>
        <v>4.058872598063215</v>
      </c>
      <c r="O77" s="426">
        <f t="shared" si="26"/>
        <v>0.20391877397468519</v>
      </c>
      <c r="P77" s="12"/>
      <c r="Q77" s="7">
        <f t="shared" si="27"/>
        <v>0.76</v>
      </c>
      <c r="R77" s="314" cm="1">
        <f t="array" ref="R77">numeng*InterpolateXY($D$6,$Q77,Tmil_h,Tmil_M,Tmil_table)</f>
        <v>4103.9999938846559</v>
      </c>
      <c r="S77" s="12" cm="1">
        <f t="array" ref="S77">numeng*InterpolateXY($D$6,$Q77,Tmax_h,Tmax_M,Tmax_table)</f>
        <v>7323.9999875955491</v>
      </c>
      <c r="T77" s="16">
        <f t="shared" si="28"/>
        <v>2260.3103960300018</v>
      </c>
      <c r="U77" s="55">
        <f t="shared" si="29"/>
        <v>1843.689597854654</v>
      </c>
      <c r="V77" s="426">
        <f t="shared" si="30"/>
        <v>5063.6895915655477</v>
      </c>
    </row>
    <row r="78" spans="2:22">
      <c r="B78" s="120">
        <f t="shared" si="31"/>
        <v>1E-4</v>
      </c>
      <c r="C78" s="7">
        <v>0.77</v>
      </c>
      <c r="D78" s="7">
        <f t="shared" si="15"/>
        <v>859.66649970422338</v>
      </c>
      <c r="E78" s="11">
        <f t="shared" si="18"/>
        <v>6.6974699748023003E-2</v>
      </c>
      <c r="F78" s="19">
        <f t="shared" si="19"/>
        <v>1.5497183746850288E-2</v>
      </c>
      <c r="G78" s="16">
        <f t="shared" si="20"/>
        <v>2313.8862593120834</v>
      </c>
      <c r="H78" s="12">
        <f t="shared" si="21"/>
        <v>3847.9999946618532</v>
      </c>
      <c r="I78" s="12">
        <f t="shared" si="22"/>
        <v>4194.3199928278409</v>
      </c>
      <c r="J78" s="141">
        <f t="shared" si="23"/>
        <v>0.60132179379470563</v>
      </c>
      <c r="K78" s="267" cm="1">
        <f t="array" ref="K78">InterpolateXYZ(J78,C78,B78,FFnorm_PS,FFnorm_M,FFnorm_h,FFnorm_table)*numeng</f>
        <v>2522.1360218362342</v>
      </c>
      <c r="L78" s="11">
        <f t="shared" si="24"/>
        <v>1.0899999996482383</v>
      </c>
      <c r="M78" s="425" cm="1">
        <f t="array" ref="M78">($D$5/G78)*(C78*Linterp($D$6,atmos_h,atmos_vela)/L78)</f>
        <v>2018.1824240581986</v>
      </c>
      <c r="N78" s="55">
        <f t="shared" si="25"/>
        <v>3.964893214886771</v>
      </c>
      <c r="O78" s="426">
        <f t="shared" si="26"/>
        <v>0.20181824240581986</v>
      </c>
      <c r="P78" s="12"/>
      <c r="Q78" s="7">
        <f t="shared" si="27"/>
        <v>0.77</v>
      </c>
      <c r="R78" s="314" cm="1">
        <f t="array" ref="R78">numeng*InterpolateXY($D$6,$Q78,Tmil_h,Tmil_M,Tmil_table)</f>
        <v>4107.9999939425225</v>
      </c>
      <c r="S78" s="12" cm="1">
        <f t="array" ref="S78">numeng*InterpolateXY($D$6,$Q78,Tmax_h,Tmax_M,Tmax_table)</f>
        <v>7347.9999876325501</v>
      </c>
      <c r="T78" s="16">
        <f t="shared" si="28"/>
        <v>2313.8862593120834</v>
      </c>
      <c r="U78" s="55">
        <f t="shared" si="29"/>
        <v>1794.113734630439</v>
      </c>
      <c r="V78" s="426">
        <f t="shared" si="30"/>
        <v>5034.1137283204662</v>
      </c>
    </row>
    <row r="79" spans="2:22">
      <c r="B79" s="120">
        <f t="shared" si="31"/>
        <v>1E-4</v>
      </c>
      <c r="C79" s="7">
        <v>0.78</v>
      </c>
      <c r="D79" s="7">
        <f t="shared" si="15"/>
        <v>870.83099970038211</v>
      </c>
      <c r="E79" s="11">
        <f t="shared" si="18"/>
        <v>6.526840808777587E-2</v>
      </c>
      <c r="F79" s="19">
        <f t="shared" si="19"/>
        <v>1.5455855101097198E-2</v>
      </c>
      <c r="G79" s="16">
        <f t="shared" si="20"/>
        <v>2368.0453612889523</v>
      </c>
      <c r="H79" s="12">
        <f t="shared" si="21"/>
        <v>3851.9999947197202</v>
      </c>
      <c r="I79" s="12">
        <f t="shared" si="22"/>
        <v>4198.6799928883102</v>
      </c>
      <c r="J79" s="141">
        <f t="shared" si="23"/>
        <v>0.61475736358645983</v>
      </c>
      <c r="K79" s="267" cm="1">
        <f t="array" ref="K79">InterpolateXYZ(J79,C79,B79,FFnorm_PS,FFnorm_M,FFnorm_h,FFnorm_table)*numeng</f>
        <v>2581.1694429712334</v>
      </c>
      <c r="L79" s="11">
        <f t="shared" si="24"/>
        <v>1.089999999647927</v>
      </c>
      <c r="M79" s="425" cm="1">
        <f t="array" ref="M79">($D$5/G79)*(C79*Linterp($D$6,atmos_h,atmos_vela)/L79)</f>
        <v>1997.6356827241184</v>
      </c>
      <c r="N79" s="55">
        <f t="shared" si="25"/>
        <v>3.8742129181913798</v>
      </c>
      <c r="O79" s="426">
        <f t="shared" si="26"/>
        <v>0.19976356827241185</v>
      </c>
      <c r="P79" s="12"/>
      <c r="Q79" s="7">
        <f t="shared" si="27"/>
        <v>0.78</v>
      </c>
      <c r="R79" s="314" cm="1">
        <f t="array" ref="R79">numeng*InterpolateXY($D$6,$Q79,Tmil_h,Tmil_M,Tmil_table)</f>
        <v>4111.9999940003891</v>
      </c>
      <c r="S79" s="12" cm="1">
        <f t="array" ref="S79">numeng*InterpolateXY($D$6,$Q79,Tmax_h,Tmax_M,Tmax_table)</f>
        <v>7371.9999876695501</v>
      </c>
      <c r="T79" s="16">
        <f t="shared" si="28"/>
        <v>2368.0453612889523</v>
      </c>
      <c r="U79" s="55">
        <f t="shared" si="29"/>
        <v>1743.9546327114367</v>
      </c>
      <c r="V79" s="426">
        <f t="shared" si="30"/>
        <v>5003.9546263805978</v>
      </c>
    </row>
    <row r="80" spans="2:22">
      <c r="B80" s="120">
        <f t="shared" si="31"/>
        <v>1E-4</v>
      </c>
      <c r="C80" s="7">
        <v>0.79</v>
      </c>
      <c r="D80" s="7">
        <f t="shared" si="15"/>
        <v>881.99549969654095</v>
      </c>
      <c r="E80" s="11">
        <f t="shared" si="18"/>
        <v>6.3626501330881019E-2</v>
      </c>
      <c r="F80" s="19">
        <f t="shared" si="19"/>
        <v>1.5415331266636013E-2</v>
      </c>
      <c r="G80" s="16">
        <f t="shared" si="20"/>
        <v>2422.78467999846</v>
      </c>
      <c r="H80" s="12">
        <f t="shared" si="21"/>
        <v>3855.9999947775868</v>
      </c>
      <c r="I80" s="12">
        <f t="shared" si="22"/>
        <v>4203.0399929487803</v>
      </c>
      <c r="J80" s="141">
        <f t="shared" si="23"/>
        <v>0.62831552989620931</v>
      </c>
      <c r="K80" s="267" cm="1">
        <f t="array" ref="K80">InterpolateXYZ(J80,C80,B80,FFnorm_PS,FFnorm_M,FFnorm_h,FFnorm_table)*numeng</f>
        <v>2640.8353003445723</v>
      </c>
      <c r="L80" s="11">
        <f t="shared" si="24"/>
        <v>1.0899999996476166</v>
      </c>
      <c r="M80" s="425" cm="1">
        <f t="array" ref="M80">($D$5/G80)*(C80*Linterp($D$6,atmos_h,atmos_vela)/L80)</f>
        <v>1977.534068041876</v>
      </c>
      <c r="N80" s="55">
        <f t="shared" si="25"/>
        <v>3.786680675881307</v>
      </c>
      <c r="O80" s="426">
        <f t="shared" si="26"/>
        <v>0.1977534068041876</v>
      </c>
      <c r="P80" s="12"/>
      <c r="Q80" s="7">
        <f t="shared" si="27"/>
        <v>0.79</v>
      </c>
      <c r="R80" s="314" cm="1">
        <f t="array" ref="R80">numeng*InterpolateXY($D$6,$Q80,Tmil_h,Tmil_M,Tmil_table)</f>
        <v>4115.9999940582566</v>
      </c>
      <c r="S80" s="12" cm="1">
        <f t="array" ref="S80">numeng*InterpolateXY($D$6,$Q80,Tmax_h,Tmax_M,Tmax_table)</f>
        <v>7395.9999877065511</v>
      </c>
      <c r="T80" s="16">
        <f t="shared" si="28"/>
        <v>2422.78467999846</v>
      </c>
      <c r="U80" s="55">
        <f t="shared" si="29"/>
        <v>1693.2153140597966</v>
      </c>
      <c r="V80" s="426">
        <f t="shared" si="30"/>
        <v>4973.2153077080911</v>
      </c>
    </row>
    <row r="81" spans="2:22">
      <c r="B81" s="120">
        <f t="shared" si="31"/>
        <v>1E-4</v>
      </c>
      <c r="C81" s="7">
        <v>0.8</v>
      </c>
      <c r="D81" s="7">
        <f t="shared" si="15"/>
        <v>893.15999969269967</v>
      </c>
      <c r="E81" s="11">
        <f t="shared" si="18"/>
        <v>6.204578043844193E-2</v>
      </c>
      <c r="F81" s="19">
        <f t="shared" si="19"/>
        <v>1.5375572255480524E-2</v>
      </c>
      <c r="G81" s="16">
        <f t="shared" si="20"/>
        <v>2478.1011934784569</v>
      </c>
      <c r="H81" s="12">
        <f t="shared" si="21"/>
        <v>3859.9999948354539</v>
      </c>
      <c r="I81" s="12">
        <f t="shared" si="22"/>
        <v>4207.3999930092496</v>
      </c>
      <c r="J81" s="141">
        <f t="shared" si="23"/>
        <v>0.64199512870312703</v>
      </c>
      <c r="K81" s="267" cm="1">
        <f t="array" ref="K81">InterpolateXYZ(J81,C81,B81,FFnorm_PS,FFnorm_M,FFnorm_h,FFnorm_table)*numeng</f>
        <v>2701.1303000175085</v>
      </c>
      <c r="L81" s="11">
        <f t="shared" si="24"/>
        <v>1.0899999996473066</v>
      </c>
      <c r="M81" s="425" cm="1">
        <f t="array" ref="M81">($D$5/G81)*(C81*Linterp($D$6,atmos_h,atmos_vela)/L81)</f>
        <v>1957.8645897116596</v>
      </c>
      <c r="N81" s="55">
        <f t="shared" si="25"/>
        <v>3.7021538723752729</v>
      </c>
      <c r="O81" s="426">
        <f t="shared" si="26"/>
        <v>0.19578645897116595</v>
      </c>
      <c r="P81" s="12"/>
      <c r="Q81" s="7">
        <f t="shared" si="27"/>
        <v>0.8</v>
      </c>
      <c r="R81" s="314" cm="1">
        <f t="array" ref="R81">numeng*InterpolateXY($D$6,$Q81,Tmil_h,Tmil_M,Tmil_table)</f>
        <v>4119.9999941161232</v>
      </c>
      <c r="S81" s="12" cm="1">
        <f t="array" ref="S81">numeng*InterpolateXY($D$6,$Q81,Tmax_h,Tmax_M,Tmax_table)</f>
        <v>7419.9999877435521</v>
      </c>
      <c r="T81" s="16">
        <f t="shared" si="28"/>
        <v>2478.1011934784569</v>
      </c>
      <c r="U81" s="55">
        <f t="shared" si="29"/>
        <v>1641.8988006376662</v>
      </c>
      <c r="V81" s="426">
        <f t="shared" si="30"/>
        <v>4941.8987942650947</v>
      </c>
    </row>
    <row r="82" spans="2:22">
      <c r="B82" s="120">
        <f t="shared" si="31"/>
        <v>1E-4</v>
      </c>
      <c r="C82" s="7">
        <v>0.81</v>
      </c>
      <c r="D82" s="7">
        <f t="shared" si="15"/>
        <v>904.3244996888584</v>
      </c>
      <c r="E82" s="11">
        <f t="shared" si="18"/>
        <v>6.0523242616373783E-2</v>
      </c>
      <c r="F82" s="19">
        <f t="shared" si="19"/>
        <v>1.5436540532704672E-2</v>
      </c>
      <c r="G82" s="16">
        <f t="shared" si="20"/>
        <v>2550.5144578173204</v>
      </c>
      <c r="H82" s="12">
        <f t="shared" si="21"/>
        <v>3863.9999948933209</v>
      </c>
      <c r="I82" s="12">
        <f t="shared" si="22"/>
        <v>4211.7599930697179</v>
      </c>
      <c r="J82" s="141">
        <f t="shared" si="23"/>
        <v>0.66007103032818093</v>
      </c>
      <c r="K82" s="267" cm="1">
        <f t="array" ref="K82">InterpolateXYZ(J82,C82,B82,FFnorm_PS,FFnorm_M,FFnorm_h,FFnorm_table)*numeng</f>
        <v>2780.0607581205413</v>
      </c>
      <c r="L82" s="11">
        <f t="shared" si="24"/>
        <v>1.0899999996469976</v>
      </c>
      <c r="M82" s="425" cm="1">
        <f t="array" ref="M82">($D$5/G82)*(C82*Linterp($D$6,atmos_h,atmos_vela)/L82)</f>
        <v>1926.0560917754806</v>
      </c>
      <c r="N82" s="55">
        <f t="shared" si="25"/>
        <v>3.5970436871892306</v>
      </c>
      <c r="O82" s="426">
        <f t="shared" si="26"/>
        <v>0.19260560917754807</v>
      </c>
      <c r="P82" s="12"/>
      <c r="Q82" s="7">
        <f t="shared" si="27"/>
        <v>0.81</v>
      </c>
      <c r="R82" s="314" cm="1">
        <f t="array" ref="R82">numeng*InterpolateXY($D$6,$Q82,Tmil_h,Tmil_M,Tmil_table)</f>
        <v>4123.9999941739898</v>
      </c>
      <c r="S82" s="12" cm="1">
        <f t="array" ref="S82">numeng*InterpolateXY($D$6,$Q82,Tmax_h,Tmax_M,Tmax_table)</f>
        <v>7443.9999877805531</v>
      </c>
      <c r="T82" s="16">
        <f t="shared" si="28"/>
        <v>2550.5144578173204</v>
      </c>
      <c r="U82" s="55">
        <f t="shared" si="29"/>
        <v>1573.4855363566694</v>
      </c>
      <c r="V82" s="426">
        <f t="shared" si="30"/>
        <v>4893.4855299632327</v>
      </c>
    </row>
    <row r="83" spans="2:22">
      <c r="B83" s="120">
        <f t="shared" si="31"/>
        <v>1E-4</v>
      </c>
      <c r="C83" s="7">
        <v>0.82</v>
      </c>
      <c r="D83" s="7">
        <f t="shared" si="15"/>
        <v>915.48899968501701</v>
      </c>
      <c r="E83" s="11">
        <f t="shared" si="18"/>
        <v>5.9056067044323084E-2</v>
      </c>
      <c r="F83" s="19">
        <f t="shared" si="19"/>
        <v>1.549820083805404E-2</v>
      </c>
      <c r="G83" s="16">
        <f t="shared" si="20"/>
        <v>2624.3198393862299</v>
      </c>
      <c r="H83" s="12">
        <f t="shared" si="21"/>
        <v>3867.9999949511875</v>
      </c>
      <c r="I83" s="12">
        <f t="shared" si="22"/>
        <v>4216.119993130188</v>
      </c>
      <c r="J83" s="141">
        <f t="shared" si="23"/>
        <v>0.67846945264004521</v>
      </c>
      <c r="K83" s="267" cm="1">
        <f t="array" ref="K83">InterpolateXYZ(J83,C83,B83,FFnorm_PS,FFnorm_M,FFnorm_h,FFnorm_table)*numeng</f>
        <v>2860.5086240037895</v>
      </c>
      <c r="L83" s="11">
        <f t="shared" si="24"/>
        <v>1.0899999996466889</v>
      </c>
      <c r="M83" s="425" cm="1">
        <f t="array" ref="M83">($D$5/G83)*(C83*Linterp($D$6,atmos_h,atmos_vela)/L83)</f>
        <v>1894.9981500770218</v>
      </c>
      <c r="N83" s="55">
        <f t="shared" si="25"/>
        <v>3.4958817869261396</v>
      </c>
      <c r="O83" s="426">
        <f t="shared" si="26"/>
        <v>0.18949981500770219</v>
      </c>
      <c r="P83" s="12"/>
      <c r="Q83" s="7">
        <f t="shared" si="27"/>
        <v>0.82</v>
      </c>
      <c r="R83" s="314" cm="1">
        <f t="array" ref="R83">numeng*InterpolateXY($D$6,$Q83,Tmil_h,Tmil_M,Tmil_table)</f>
        <v>4127.9999942318573</v>
      </c>
      <c r="S83" s="12" cm="1">
        <f t="array" ref="S83">numeng*InterpolateXY($D$6,$Q83,Tmax_h,Tmax_M,Tmax_table)</f>
        <v>7467.999987817554</v>
      </c>
      <c r="T83" s="16">
        <f t="shared" si="28"/>
        <v>2624.3198393862299</v>
      </c>
      <c r="U83" s="55">
        <f t="shared" si="29"/>
        <v>1503.6801548456274</v>
      </c>
      <c r="V83" s="426">
        <f t="shared" si="30"/>
        <v>4843.6801484313237</v>
      </c>
    </row>
    <row r="84" spans="2:22">
      <c r="B84" s="120">
        <f t="shared" si="31"/>
        <v>1E-4</v>
      </c>
      <c r="C84" s="7">
        <v>0.83</v>
      </c>
      <c r="D84" s="7">
        <f t="shared" si="15"/>
        <v>926.65349968117584</v>
      </c>
      <c r="E84" s="11">
        <f t="shared" si="18"/>
        <v>5.7641601800846064E-2</v>
      </c>
      <c r="F84" s="19">
        <f t="shared" si="19"/>
        <v>1.5560520022510575E-2</v>
      </c>
      <c r="G84" s="16">
        <f t="shared" si="20"/>
        <v>2699.5294260337819</v>
      </c>
      <c r="H84" s="12">
        <f t="shared" si="21"/>
        <v>3871.9999950090546</v>
      </c>
      <c r="I84" s="12">
        <f t="shared" si="22"/>
        <v>4220.4799931906573</v>
      </c>
      <c r="J84" s="141">
        <f t="shared" si="23"/>
        <v>0.69719251795284909</v>
      </c>
      <c r="K84" s="267" cm="1">
        <f t="array" ref="K84">InterpolateXYZ(J84,C84,B84,FFnorm_PS,FFnorm_M,FFnorm_h,FFnorm_table)*numeng</f>
        <v>2942.4870734222177</v>
      </c>
      <c r="L84" s="11">
        <f t="shared" si="24"/>
        <v>1.0899999996463812</v>
      </c>
      <c r="M84" s="425" cm="1">
        <f t="array" ref="M84">($D$5/G84)*(C84*Linterp($D$6,atmos_h,atmos_vela)/L84)</f>
        <v>1864.6689028501876</v>
      </c>
      <c r="N84" s="55">
        <f t="shared" si="25"/>
        <v>3.3984856179400786</v>
      </c>
      <c r="O84" s="426">
        <f t="shared" si="26"/>
        <v>0.18646689028501875</v>
      </c>
      <c r="P84" s="12"/>
      <c r="Q84" s="7">
        <f t="shared" si="27"/>
        <v>0.83</v>
      </c>
      <c r="R84" s="314" cm="1">
        <f t="array" ref="R84">numeng*InterpolateXY($D$6,$Q84,Tmil_h,Tmil_M,Tmil_table)</f>
        <v>4131.9999942897239</v>
      </c>
      <c r="S84" s="12" cm="1">
        <f t="array" ref="S84">numeng*InterpolateXY($D$6,$Q84,Tmax_h,Tmax_M,Tmax_table)</f>
        <v>7491.9999878545541</v>
      </c>
      <c r="T84" s="16">
        <f t="shared" si="28"/>
        <v>2699.5294260337819</v>
      </c>
      <c r="U84" s="55">
        <f t="shared" si="29"/>
        <v>1432.470568255942</v>
      </c>
      <c r="V84" s="426">
        <f t="shared" si="30"/>
        <v>4792.4705618207718</v>
      </c>
    </row>
    <row r="85" spans="2:22">
      <c r="B85" s="120">
        <f t="shared" si="31"/>
        <v>1E-4</v>
      </c>
      <c r="C85" s="7">
        <v>0.84</v>
      </c>
      <c r="D85" s="7">
        <f t="shared" ref="D85:D101" si="32">C85*H$6</f>
        <v>937.81799967733457</v>
      </c>
      <c r="E85" s="11">
        <f t="shared" si="18"/>
        <v>5.6277351871602668E-2</v>
      </c>
      <c r="F85" s="19">
        <f t="shared" si="19"/>
        <v>1.5623466898395034E-2</v>
      </c>
      <c r="G85" s="16">
        <f t="shared" si="20"/>
        <v>2776.1553056085736</v>
      </c>
      <c r="H85" s="12">
        <f t="shared" si="21"/>
        <v>3875.9999950669212</v>
      </c>
      <c r="I85" s="12">
        <f t="shared" si="22"/>
        <v>4224.8399932511265</v>
      </c>
      <c r="J85" s="141">
        <f t="shared" si="23"/>
        <v>0.71624233981987961</v>
      </c>
      <c r="K85" s="267" cm="1">
        <f t="array" ref="K85">InterpolateXYZ(J85,C85,B85,FFnorm_PS,FFnorm_M,FFnorm_h,FFnorm_table)*numeng</f>
        <v>3026.0092821307912</v>
      </c>
      <c r="L85" s="11">
        <f t="shared" si="24"/>
        <v>1.0899999996460739</v>
      </c>
      <c r="M85" s="425" cm="1">
        <f t="array" ref="M85">($D$5/G85)*(C85*Linterp($D$6,atmos_h,atmos_vela)/L85)</f>
        <v>1835.0471585538173</v>
      </c>
      <c r="N85" s="55">
        <f t="shared" si="25"/>
        <v>3.3046825266042843</v>
      </c>
      <c r="O85" s="426">
        <f t="shared" si="26"/>
        <v>0.18350471585538172</v>
      </c>
      <c r="P85" s="12"/>
      <c r="Q85" s="7">
        <f t="shared" si="27"/>
        <v>0.84</v>
      </c>
      <c r="R85" s="314" cm="1">
        <f t="array" ref="R85">numeng*InterpolateXY($D$6,$Q85,Tmil_h,Tmil_M,Tmil_table)</f>
        <v>4135.9999943475905</v>
      </c>
      <c r="S85" s="12" cm="1">
        <f t="array" ref="S85">numeng*InterpolateXY($D$6,$Q85,Tmax_h,Tmax_M,Tmax_table)</f>
        <v>7515.9999878915551</v>
      </c>
      <c r="T85" s="16">
        <f t="shared" si="28"/>
        <v>2776.1553056085736</v>
      </c>
      <c r="U85" s="55">
        <f t="shared" si="29"/>
        <v>1359.8446887390169</v>
      </c>
      <c r="V85" s="426">
        <f t="shared" si="30"/>
        <v>4739.844682282981</v>
      </c>
    </row>
    <row r="86" spans="2:22">
      <c r="B86" s="120">
        <f t="shared" si="31"/>
        <v>1E-4</v>
      </c>
      <c r="C86" s="7">
        <v>0.85</v>
      </c>
      <c r="D86" s="7">
        <f t="shared" si="32"/>
        <v>948.98249967349329</v>
      </c>
      <c r="E86" s="11">
        <f t="shared" si="18"/>
        <v>5.4960968139242693E-2</v>
      </c>
      <c r="F86" s="19">
        <f t="shared" si="19"/>
        <v>1.5687012101740533E-2</v>
      </c>
      <c r="G86" s="16">
        <f t="shared" si="20"/>
        <v>2854.2095659592005</v>
      </c>
      <c r="H86" s="12">
        <f t="shared" si="21"/>
        <v>3879.9999951247883</v>
      </c>
      <c r="I86" s="12">
        <f t="shared" si="22"/>
        <v>4229.1999933115958</v>
      </c>
      <c r="J86" s="141">
        <f t="shared" si="23"/>
        <v>0.73562102307873933</v>
      </c>
      <c r="K86" s="267" cm="1">
        <f t="array" ref="K86">InterpolateXYZ(J86,C86,B86,FFnorm_PS,FFnorm_M,FFnorm_h,FFnorm_table)*numeng</f>
        <v>3111.0884258844735</v>
      </c>
      <c r="L86" s="11">
        <f t="shared" si="24"/>
        <v>1.089999999645767</v>
      </c>
      <c r="M86" s="425" cm="1">
        <f t="array" ref="M86">($D$5/G86)*(C86*Linterp($D$6,atmos_h,atmos_vela)/L86)</f>
        <v>1806.1123818480492</v>
      </c>
      <c r="N86" s="55">
        <f t="shared" si="25"/>
        <v>3.214309151999442</v>
      </c>
      <c r="O86" s="426">
        <f t="shared" si="26"/>
        <v>0.18061123818480493</v>
      </c>
      <c r="P86" s="12"/>
      <c r="Q86" s="7">
        <f t="shared" si="27"/>
        <v>0.85</v>
      </c>
      <c r="R86" s="314" cm="1">
        <f t="array" ref="R86">numeng*InterpolateXY($D$6,$Q86,Tmil_h,Tmil_M,Tmil_table)</f>
        <v>4139.9999944054571</v>
      </c>
      <c r="S86" s="12" cm="1">
        <f t="array" ref="S86">numeng*InterpolateXY($D$6,$Q86,Tmax_h,Tmax_M,Tmax_table)</f>
        <v>7539.999987928556</v>
      </c>
      <c r="T86" s="16">
        <f t="shared" si="28"/>
        <v>2854.2095659592005</v>
      </c>
      <c r="U86" s="55">
        <f t="shared" si="29"/>
        <v>1285.7904284462566</v>
      </c>
      <c r="V86" s="426">
        <f t="shared" si="30"/>
        <v>4685.7904219693555</v>
      </c>
    </row>
    <row r="87" spans="2:22">
      <c r="B87" s="120">
        <f t="shared" si="31"/>
        <v>1E-4</v>
      </c>
      <c r="C87" s="7">
        <v>0.86</v>
      </c>
      <c r="D87" s="7">
        <f t="shared" si="32"/>
        <v>960.14699966965202</v>
      </c>
      <c r="E87" s="11">
        <f t="shared" si="18"/>
        <v>5.3690237264200705E-2</v>
      </c>
      <c r="F87" s="19">
        <f t="shared" si="19"/>
        <v>1.5872201770547791E-2</v>
      </c>
      <c r="G87" s="16">
        <f t="shared" si="20"/>
        <v>2956.2547269894394</v>
      </c>
      <c r="H87" s="12">
        <f t="shared" si="21"/>
        <v>3883.9999951826553</v>
      </c>
      <c r="I87" s="12">
        <f t="shared" si="22"/>
        <v>4233.559993372065</v>
      </c>
      <c r="J87" s="141">
        <f t="shared" si="23"/>
        <v>0.76113664538004555</v>
      </c>
      <c r="K87" s="267" cm="1">
        <f t="array" ref="K87">InterpolateXYZ(J87,C87,B87,FFnorm_PS,FFnorm_M,FFnorm_h,FFnorm_table)*numeng</f>
        <v>3222.3176513703816</v>
      </c>
      <c r="L87" s="11">
        <f t="shared" si="24"/>
        <v>1.089999999645461</v>
      </c>
      <c r="M87" s="425" cm="1">
        <f t="array" ref="M87">($D$5/G87)*(C87*Linterp($D$6,atmos_h,atmos_vela)/L87)</f>
        <v>1764.283206740615</v>
      </c>
      <c r="N87" s="55">
        <f t="shared" si="25"/>
        <v>3.1033563670382458</v>
      </c>
      <c r="O87" s="426">
        <f t="shared" si="26"/>
        <v>0.1764283206740615</v>
      </c>
      <c r="P87" s="12"/>
      <c r="Q87" s="7">
        <f t="shared" si="27"/>
        <v>0.86</v>
      </c>
      <c r="R87" s="314" cm="1">
        <f t="array" ref="R87">numeng*InterpolateXY($D$6,$Q87,Tmil_h,Tmil_M,Tmil_table)</f>
        <v>4143.9999944633246</v>
      </c>
      <c r="S87" s="12" cm="1">
        <f t="array" ref="S87">numeng*InterpolateXY($D$6,$Q87,Tmax_h,Tmax_M,Tmax_table)</f>
        <v>7563.999987965557</v>
      </c>
      <c r="T87" s="16">
        <f t="shared" si="28"/>
        <v>2956.2547269894394</v>
      </c>
      <c r="U87" s="55">
        <f t="shared" si="29"/>
        <v>1187.7452674738852</v>
      </c>
      <c r="V87" s="426">
        <f t="shared" si="30"/>
        <v>4607.7452609761176</v>
      </c>
    </row>
    <row r="88" spans="2:22">
      <c r="B88" s="120">
        <f t="shared" si="31"/>
        <v>1E-4</v>
      </c>
      <c r="C88" s="7">
        <v>0.87</v>
      </c>
      <c r="D88" s="7">
        <f t="shared" si="32"/>
        <v>971.31149966581086</v>
      </c>
      <c r="E88" s="11">
        <f t="shared" si="18"/>
        <v>5.2463072374954206E-2</v>
      </c>
      <c r="F88" s="19">
        <f t="shared" si="19"/>
        <v>1.6057886927581925E-2</v>
      </c>
      <c r="G88" s="16">
        <f t="shared" si="20"/>
        <v>3060.7980433963176</v>
      </c>
      <c r="H88" s="12">
        <f t="shared" si="21"/>
        <v>3887.9999952405219</v>
      </c>
      <c r="I88" s="12">
        <f t="shared" si="22"/>
        <v>4237.9199934325343</v>
      </c>
      <c r="J88" s="141">
        <f t="shared" si="23"/>
        <v>0.78724229607592078</v>
      </c>
      <c r="K88" s="267" cm="1">
        <f t="array" ref="K88">InterpolateXYZ(J88,C88,B88,FFnorm_PS,FFnorm_M,FFnorm_h,FFnorm_table)*numeng</f>
        <v>3336.2698662158796</v>
      </c>
      <c r="L88" s="11">
        <f t="shared" si="24"/>
        <v>1.0899999996451557</v>
      </c>
      <c r="M88" s="425" cm="1">
        <f t="array" ref="M88">($D$5/G88)*(C88*Linterp($D$6,atmos_h,atmos_vela)/L88)</f>
        <v>1723.8373218598022</v>
      </c>
      <c r="N88" s="55">
        <f t="shared" si="25"/>
        <v>2.9973594466272511</v>
      </c>
      <c r="O88" s="426">
        <f t="shared" si="26"/>
        <v>0.17238373218598022</v>
      </c>
      <c r="P88" s="12"/>
      <c r="Q88" s="7">
        <f t="shared" si="27"/>
        <v>0.87</v>
      </c>
      <c r="R88" s="314" cm="1">
        <f t="array" ref="R88">numeng*InterpolateXY($D$6,$Q88,Tmil_h,Tmil_M,Tmil_table)</f>
        <v>4147.9999945211912</v>
      </c>
      <c r="S88" s="12" cm="1">
        <f t="array" ref="S88">numeng*InterpolateXY($D$6,$Q88,Tmax_h,Tmax_M,Tmax_table)</f>
        <v>7587.999988002558</v>
      </c>
      <c r="T88" s="16">
        <f t="shared" si="28"/>
        <v>3060.7980433963176</v>
      </c>
      <c r="U88" s="55">
        <f t="shared" si="29"/>
        <v>1087.2019511248736</v>
      </c>
      <c r="V88" s="426">
        <f t="shared" si="30"/>
        <v>4527.2019446062404</v>
      </c>
    </row>
    <row r="89" spans="2:22">
      <c r="B89" s="120">
        <f t="shared" si="31"/>
        <v>1E-4</v>
      </c>
      <c r="C89" s="7">
        <v>0.88</v>
      </c>
      <c r="D89" s="7">
        <f t="shared" si="32"/>
        <v>982.47599966196958</v>
      </c>
      <c r="E89" s="11">
        <f t="shared" si="18"/>
        <v>5.1277504494580108E-2</v>
      </c>
      <c r="F89" s="19">
        <f t="shared" si="19"/>
        <v>1.6244045456451927E-2</v>
      </c>
      <c r="G89" s="16">
        <f t="shared" si="20"/>
        <v>3167.8697348013252</v>
      </c>
      <c r="H89" s="12">
        <f t="shared" si="21"/>
        <v>3891.999995298389</v>
      </c>
      <c r="I89" s="12">
        <f t="shared" si="22"/>
        <v>4242.2799934930035</v>
      </c>
      <c r="J89" s="141">
        <f t="shared" si="23"/>
        <v>0.81394392051083575</v>
      </c>
      <c r="K89" s="267" cm="1">
        <f t="array" ref="K89">InterpolateXYZ(J89,C89,B89,FFnorm_PS,FFnorm_M,FFnorm_h,FFnorm_table)*numeng</f>
        <v>3452.9780098083784</v>
      </c>
      <c r="L89" s="11">
        <f t="shared" si="24"/>
        <v>1.0899999996448508</v>
      </c>
      <c r="M89" s="425" cm="1">
        <f t="array" ref="M89">($D$5/G89)*(C89*Linterp($D$6,atmos_h,atmos_vela)/L89)</f>
        <v>1684.7173908253442</v>
      </c>
      <c r="N89" s="55">
        <f t="shared" si="25"/>
        <v>2.8960508788629515</v>
      </c>
      <c r="O89" s="426">
        <f t="shared" si="26"/>
        <v>0.16847173908253441</v>
      </c>
      <c r="P89" s="12"/>
      <c r="Q89" s="7">
        <f t="shared" si="27"/>
        <v>0.88</v>
      </c>
      <c r="R89" s="314" cm="1">
        <f t="array" ref="R89">numeng*InterpolateXY($D$6,$Q89,Tmil_h,Tmil_M,Tmil_table)</f>
        <v>4151.9999945790578</v>
      </c>
      <c r="S89" s="12" cm="1">
        <f t="array" ref="S89">numeng*InterpolateXY($D$6,$Q89,Tmax_h,Tmax_M,Tmax_table)</f>
        <v>7611.999988039559</v>
      </c>
      <c r="T89" s="16">
        <f t="shared" si="28"/>
        <v>3167.8697348013252</v>
      </c>
      <c r="U89" s="55">
        <f t="shared" si="29"/>
        <v>984.13025977773259</v>
      </c>
      <c r="V89" s="426">
        <f t="shared" si="30"/>
        <v>4444.1302532382342</v>
      </c>
    </row>
    <row r="90" spans="2:22">
      <c r="B90" s="120">
        <f t="shared" si="31"/>
        <v>1E-4</v>
      </c>
      <c r="C90" s="7">
        <v>0.89</v>
      </c>
      <c r="D90" s="7">
        <f t="shared" si="32"/>
        <v>993.64049965812831</v>
      </c>
      <c r="E90" s="11">
        <f t="shared" si="18"/>
        <v>5.013167463780184E-2</v>
      </c>
      <c r="F90" s="19">
        <f t="shared" si="19"/>
        <v>1.6430656466943548E-2</v>
      </c>
      <c r="G90" s="16">
        <f t="shared" si="20"/>
        <v>3277.5000208259544</v>
      </c>
      <c r="H90" s="12">
        <f t="shared" si="21"/>
        <v>3895.9999953562556</v>
      </c>
      <c r="I90" s="12">
        <f t="shared" si="22"/>
        <v>4246.6399935534737</v>
      </c>
      <c r="J90" s="141">
        <f t="shared" si="23"/>
        <v>0.84124743961306281</v>
      </c>
      <c r="K90" s="267" cm="1">
        <f t="array" ref="K90">InterpolateXYZ(J90,C90,B90,FFnorm_PS,FFnorm_M,FFnorm_h,FFnorm_table)*numeng</f>
        <v>3572.4750215352929</v>
      </c>
      <c r="L90" s="11">
        <f t="shared" si="24"/>
        <v>1.0899999996445469</v>
      </c>
      <c r="M90" s="425" cm="1">
        <f t="array" ref="M90">($D$5/G90)*(C90*Linterp($D$6,atmos_h,atmos_vela)/L90)</f>
        <v>1646.8688122039703</v>
      </c>
      <c r="N90" s="55">
        <f t="shared" si="25"/>
        <v>2.7991798234330107</v>
      </c>
      <c r="O90" s="426">
        <f t="shared" si="26"/>
        <v>0.16468688122039701</v>
      </c>
      <c r="P90" s="12"/>
      <c r="Q90" s="7">
        <f t="shared" si="27"/>
        <v>0.89</v>
      </c>
      <c r="R90" s="314" cm="1">
        <f t="array" ref="R90">numeng*InterpolateXY($D$6,$Q90,Tmil_h,Tmil_M,Tmil_table)</f>
        <v>4155.9999946369253</v>
      </c>
      <c r="S90" s="12" cm="1">
        <f t="array" ref="S90">numeng*InterpolateXY($D$6,$Q90,Tmax_h,Tmax_M,Tmax_table)</f>
        <v>7635.9999880765599</v>
      </c>
      <c r="T90" s="16">
        <f t="shared" si="28"/>
        <v>3277.5000208259544</v>
      </c>
      <c r="U90" s="55">
        <f t="shared" si="29"/>
        <v>878.49997381097091</v>
      </c>
      <c r="V90" s="426">
        <f t="shared" si="30"/>
        <v>4358.4999672506056</v>
      </c>
    </row>
    <row r="91" spans="2:22">
      <c r="B91" s="120">
        <f t="shared" si="31"/>
        <v>1E-4</v>
      </c>
      <c r="C91" s="7">
        <v>0.9</v>
      </c>
      <c r="D91" s="7">
        <f t="shared" si="32"/>
        <v>1004.804999654287</v>
      </c>
      <c r="E91" s="11">
        <f t="shared" si="18"/>
        <v>4.9023826519262764E-2</v>
      </c>
      <c r="F91" s="19">
        <f t="shared" si="19"/>
        <v>1.6617700214142713E-2</v>
      </c>
      <c r="G91" s="16">
        <f t="shared" si="20"/>
        <v>3389.7191210916958</v>
      </c>
      <c r="H91" s="12">
        <f t="shared" si="21"/>
        <v>3899.9999954141226</v>
      </c>
      <c r="I91" s="12">
        <f t="shared" si="22"/>
        <v>4250.9999936139429</v>
      </c>
      <c r="J91" s="141">
        <f t="shared" si="23"/>
        <v>0.86915875001988496</v>
      </c>
      <c r="K91" s="267" cm="1">
        <f t="array" ref="K91">InterpolateXYZ(J91,C91,B91,FFnorm_PS,FFnorm_M,FFnorm_h,FFnorm_table)*numeng</f>
        <v>3694.7938407840329</v>
      </c>
      <c r="L91" s="11">
        <f t="shared" si="24"/>
        <v>1.0899999996442433</v>
      </c>
      <c r="M91" s="425" cm="1">
        <f t="array" ref="M91">($D$5/G91)*(C91*Linterp($D$6,atmos_h,atmos_vela)/L91)</f>
        <v>1610.23958136842</v>
      </c>
      <c r="N91" s="55">
        <f t="shared" si="25"/>
        <v>2.7065109532276383</v>
      </c>
      <c r="O91" s="426">
        <f t="shared" si="26"/>
        <v>0.161023958136842</v>
      </c>
      <c r="P91" s="12"/>
      <c r="Q91" s="7">
        <f t="shared" si="27"/>
        <v>0.9</v>
      </c>
      <c r="R91" s="314" cm="1">
        <f t="array" ref="R91">numeng*InterpolateXY($D$6,$Q91,Tmil_h,Tmil_M,Tmil_table)</f>
        <v>4159.9999946947919</v>
      </c>
      <c r="S91" s="12" cm="1">
        <f t="array" ref="S91">numeng*InterpolateXY($D$6,$Q91,Tmax_h,Tmax_M,Tmax_table)</f>
        <v>7659.9999881135609</v>
      </c>
      <c r="T91" s="16">
        <f t="shared" si="28"/>
        <v>3389.7191210916958</v>
      </c>
      <c r="U91" s="55">
        <f t="shared" si="29"/>
        <v>770.2808736030961</v>
      </c>
      <c r="V91" s="426">
        <f t="shared" si="30"/>
        <v>4270.2808670218656</v>
      </c>
    </row>
    <row r="92" spans="2:22">
      <c r="B92" s="120">
        <f t="shared" si="31"/>
        <v>1E-4</v>
      </c>
      <c r="C92" s="7">
        <v>0.91</v>
      </c>
      <c r="D92" s="7">
        <f t="shared" si="32"/>
        <v>1015.9694996504459</v>
      </c>
      <c r="E92" s="11">
        <f t="shared" si="18"/>
        <v>4.7952299819590441E-2</v>
      </c>
      <c r="F92" s="19">
        <f t="shared" si="19"/>
        <v>1.6856596592717821E-2</v>
      </c>
      <c r="G92" s="16">
        <f t="shared" si="20"/>
        <v>3515.2842837855355</v>
      </c>
      <c r="H92" s="12">
        <f t="shared" si="21"/>
        <v>3903.9999954719897</v>
      </c>
      <c r="I92" s="12">
        <f t="shared" si="22"/>
        <v>4255.3599936744113</v>
      </c>
      <c r="J92" s="141">
        <f t="shared" si="23"/>
        <v>0.90043142619433869</v>
      </c>
      <c r="K92" s="267" cm="1">
        <f t="array" ref="K92">InterpolateXYZ(J92,C92,B92,FFnorm_PS,FFnorm_M,FFnorm_h,FFnorm_table)*numeng</f>
        <v>3831.6598680745828</v>
      </c>
      <c r="L92" s="11">
        <f t="shared" si="24"/>
        <v>1.0899999996439405</v>
      </c>
      <c r="M92" s="425" cm="1">
        <f t="array" ref="M92">($D$5/G92)*(C92*Linterp($D$6,atmos_h,atmos_vela)/L92)</f>
        <v>1569.9746550134353</v>
      </c>
      <c r="N92" s="55">
        <f t="shared" si="25"/>
        <v>2.6098349917016566</v>
      </c>
      <c r="O92" s="426">
        <f t="shared" si="26"/>
        <v>0.15699746550134352</v>
      </c>
      <c r="P92" s="12"/>
      <c r="Q92" s="7">
        <f t="shared" si="27"/>
        <v>0.91</v>
      </c>
      <c r="R92" s="314" cm="1">
        <f t="array" ref="R92">numeng*InterpolateXY($D$6,$Q92,Tmil_h,Tmil_M,Tmil_table)</f>
        <v>4163.9999947526585</v>
      </c>
      <c r="S92" s="12" cm="1">
        <f t="array" ref="S92">numeng*InterpolateXY($D$6,$Q92,Tmax_h,Tmax_M,Tmax_table)</f>
        <v>7683.9999881505619</v>
      </c>
      <c r="T92" s="16">
        <f t="shared" si="28"/>
        <v>3515.2842837855355</v>
      </c>
      <c r="U92" s="55">
        <f t="shared" si="29"/>
        <v>648.71571096712296</v>
      </c>
      <c r="V92" s="426">
        <f t="shared" si="30"/>
        <v>4168.7157043650259</v>
      </c>
    </row>
    <row r="93" spans="2:22">
      <c r="B93" s="120">
        <f t="shared" si="31"/>
        <v>1E-4</v>
      </c>
      <c r="C93" s="7">
        <v>0.92</v>
      </c>
      <c r="D93" s="7">
        <f t="shared" si="32"/>
        <v>1027.1339996466045</v>
      </c>
      <c r="E93" s="11">
        <f t="shared" si="18"/>
        <v>4.6915523961014692E-2</v>
      </c>
      <c r="F93" s="19">
        <f t="shared" si="19"/>
        <v>1.7095827154304886E-2</v>
      </c>
      <c r="G93" s="16">
        <f t="shared" si="20"/>
        <v>3643.9595491912173</v>
      </c>
      <c r="H93" s="12">
        <f t="shared" si="21"/>
        <v>3907.9999955298563</v>
      </c>
      <c r="I93" s="12">
        <f t="shared" si="22"/>
        <v>4259.7199937348814</v>
      </c>
      <c r="J93" s="141">
        <f t="shared" si="23"/>
        <v>0.93243591437035311</v>
      </c>
      <c r="K93" s="267" cm="1">
        <f t="array" ref="K93">InterpolateXYZ(J93,C93,B93,FFnorm_PS,FFnorm_M,FFnorm_h,FFnorm_table)*numeng</f>
        <v>3971.9159073198584</v>
      </c>
      <c r="L93" s="11">
        <f t="shared" si="24"/>
        <v>1.089999999643638</v>
      </c>
      <c r="M93" s="425" cm="1">
        <f t="array" ref="M93">($D$5/G93)*(C93*Linterp($D$6,atmos_h,atmos_vela)/L93)</f>
        <v>1531.1790615666669</v>
      </c>
      <c r="N93" s="55">
        <f t="shared" si="25"/>
        <v>2.5176766662081049</v>
      </c>
      <c r="O93" s="426">
        <f t="shared" si="26"/>
        <v>0.15311790615666668</v>
      </c>
      <c r="P93" s="12"/>
      <c r="Q93" s="7">
        <f t="shared" si="27"/>
        <v>0.92</v>
      </c>
      <c r="R93" s="314" cm="1">
        <f t="array" ref="R93">numeng*InterpolateXY($D$6,$Q93,Tmil_h,Tmil_M,Tmil_table)</f>
        <v>4167.999994810526</v>
      </c>
      <c r="S93" s="12" cm="1">
        <f t="array" ref="S93">numeng*InterpolateXY($D$6,$Q93,Tmax_h,Tmax_M,Tmax_table)</f>
        <v>7707.9999881875628</v>
      </c>
      <c r="T93" s="16">
        <f t="shared" si="28"/>
        <v>3643.9595491912173</v>
      </c>
      <c r="U93" s="55">
        <f t="shared" si="29"/>
        <v>524.04044561930868</v>
      </c>
      <c r="V93" s="426">
        <f t="shared" si="30"/>
        <v>4064.0404389963455</v>
      </c>
    </row>
    <row r="94" spans="2:22">
      <c r="B94" s="120">
        <f t="shared" si="31"/>
        <v>1E-4</v>
      </c>
      <c r="C94" s="7">
        <v>0.93</v>
      </c>
      <c r="D94" s="7">
        <f t="shared" si="32"/>
        <v>1038.2984996427633</v>
      </c>
      <c r="E94" s="11">
        <f t="shared" si="18"/>
        <v>4.5912012348945347E-2</v>
      </c>
      <c r="F94" s="19">
        <f t="shared" si="19"/>
        <v>1.7585378157449056E-2</v>
      </c>
      <c r="G94" s="16">
        <f t="shared" si="20"/>
        <v>3830.2346723107662</v>
      </c>
      <c r="H94" s="12">
        <f t="shared" si="21"/>
        <v>3911.9999955877233</v>
      </c>
      <c r="I94" s="12">
        <f t="shared" si="22"/>
        <v>4264.0799937953507</v>
      </c>
      <c r="J94" s="141">
        <f t="shared" si="23"/>
        <v>0.97909884371953504</v>
      </c>
      <c r="K94" s="267" cm="1">
        <f t="array" ref="K94">InterpolateXYZ(J94,C94,B94,FFnorm_PS,FFnorm_M,FFnorm_h,FFnorm_table)*numeng</f>
        <v>4174.9557914526304</v>
      </c>
      <c r="L94" s="11">
        <f t="shared" si="24"/>
        <v>1.0899999996433365</v>
      </c>
      <c r="M94" s="425" cm="1">
        <f t="array" ref="M94">($D$5/G94)*(C94*Linterp($D$6,atmos_h,atmos_vela)/L94)</f>
        <v>1472.5473443959961</v>
      </c>
      <c r="N94" s="55">
        <f t="shared" si="25"/>
        <v>2.3952349436784357</v>
      </c>
      <c r="O94" s="426">
        <f t="shared" si="26"/>
        <v>0.1472547344395996</v>
      </c>
      <c r="P94" s="12"/>
      <c r="Q94" s="7">
        <f t="shared" si="27"/>
        <v>0.93</v>
      </c>
      <c r="R94" s="314" cm="1">
        <f t="array" ref="R94">numeng*InterpolateXY($D$6,$Q94,Tmil_h,Tmil_M,Tmil_table)</f>
        <v>4171.9999948683926</v>
      </c>
      <c r="S94" s="12" cm="1">
        <f t="array" ref="S94">numeng*InterpolateXY($D$6,$Q94,Tmax_h,Tmax_M,Tmax_table)</f>
        <v>7731.9999882245629</v>
      </c>
      <c r="T94" s="16">
        <f t="shared" si="28"/>
        <v>3830.2346723107662</v>
      </c>
      <c r="U94" s="55">
        <f t="shared" si="29"/>
        <v>341.7653225576264</v>
      </c>
      <c r="V94" s="426">
        <f t="shared" si="30"/>
        <v>3901.7653159137967</v>
      </c>
    </row>
    <row r="95" spans="2:22">
      <c r="B95" s="120">
        <f t="shared" si="31"/>
        <v>1E-4</v>
      </c>
      <c r="C95" s="7">
        <v>0.94</v>
      </c>
      <c r="D95" s="7">
        <f t="shared" si="32"/>
        <v>1049.4629996389219</v>
      </c>
      <c r="E95" s="11">
        <f t="shared" si="18"/>
        <v>4.4940357040066603E-2</v>
      </c>
      <c r="F95" s="19">
        <f t="shared" si="19"/>
        <v>1.8075236570112854E-2</v>
      </c>
      <c r="G95" s="16">
        <f t="shared" si="20"/>
        <v>4022.0500593704378</v>
      </c>
      <c r="H95" s="12">
        <f t="shared" si="21"/>
        <v>3915.9999956455904</v>
      </c>
      <c r="I95" s="12">
        <f t="shared" si="22"/>
        <v>4268.4399938558208</v>
      </c>
      <c r="J95" s="141">
        <f t="shared" si="23"/>
        <v>1.027081221614599</v>
      </c>
      <c r="K95" s="267" t="e" cm="1">
        <f t="array" ref="K95">InterpolateXYZ(J95,C95,B95,FFnorm_PS,FFnorm_M,FFnorm_h,FFnorm_table)*numeng</f>
        <v>#VALUE!</v>
      </c>
      <c r="L95" s="11" t="e">
        <f t="shared" si="24"/>
        <v>#VALUE!</v>
      </c>
      <c r="M95" s="425" t="e" cm="1">
        <f t="array" ref="M95">($D$5/G95)*(C95*Linterp($D$6,atmos_h,atmos_vela)/L95)</f>
        <v>#VALUE!</v>
      </c>
      <c r="N95" s="55" t="e">
        <f t="shared" si="25"/>
        <v>#VALUE!</v>
      </c>
      <c r="O95" s="426" t="e">
        <f t="shared" si="26"/>
        <v>#VALUE!</v>
      </c>
      <c r="P95" s="12"/>
      <c r="Q95" s="7">
        <f t="shared" si="27"/>
        <v>0.94</v>
      </c>
      <c r="R95" s="314" cm="1">
        <f t="array" ref="R95">numeng*InterpolateXY($D$6,$Q95,Tmil_h,Tmil_M,Tmil_table)</f>
        <v>4175.9999949262592</v>
      </c>
      <c r="S95" s="12" cm="1">
        <f t="array" ref="S95">numeng*InterpolateXY($D$6,$Q95,Tmax_h,Tmax_M,Tmax_table)</f>
        <v>7755.9999882615639</v>
      </c>
      <c r="T95" s="16">
        <f t="shared" si="28"/>
        <v>4022.0500593704378</v>
      </c>
      <c r="U95" s="55">
        <f t="shared" si="29"/>
        <v>153.94993555582141</v>
      </c>
      <c r="V95" s="426">
        <f t="shared" si="30"/>
        <v>3733.9499288911261</v>
      </c>
    </row>
    <row r="96" spans="2:22">
      <c r="B96" s="120">
        <f t="shared" si="31"/>
        <v>1E-4</v>
      </c>
      <c r="C96" s="7">
        <v>0.95</v>
      </c>
      <c r="D96" s="7">
        <f t="shared" si="32"/>
        <v>1060.6274996350808</v>
      </c>
      <c r="E96" s="11">
        <f t="shared" si="18"/>
        <v>4.3999223801221989E-2</v>
      </c>
      <c r="F96" s="19">
        <f t="shared" si="19"/>
        <v>1.9565390025845703E-2</v>
      </c>
      <c r="G96" s="16">
        <f t="shared" si="20"/>
        <v>4446.757996058629</v>
      </c>
      <c r="H96" s="12">
        <f t="shared" si="21"/>
        <v>3919.999995703457</v>
      </c>
      <c r="I96" s="12">
        <f t="shared" si="22"/>
        <v>4272.7999939162892</v>
      </c>
      <c r="J96" s="141">
        <f t="shared" si="23"/>
        <v>1.1343770410542164</v>
      </c>
      <c r="K96" s="267" t="e" cm="1">
        <f t="array" ref="K96">InterpolateXYZ(J96,C96,B96,FFnorm_PS,FFnorm_M,FFnorm_h,FFnorm_table)*numeng</f>
        <v>#VALUE!</v>
      </c>
      <c r="L96" s="11" t="e">
        <f t="shared" si="24"/>
        <v>#VALUE!</v>
      </c>
      <c r="M96" s="425" t="e" cm="1">
        <f t="array" ref="M96">($D$5/G96)*(C96*Linterp($D$6,atmos_h,atmos_vela)/L96)</f>
        <v>#VALUE!</v>
      </c>
      <c r="N96" s="55" t="e">
        <f t="shared" si="25"/>
        <v>#VALUE!</v>
      </c>
      <c r="O96" s="426" t="e">
        <f t="shared" si="26"/>
        <v>#VALUE!</v>
      </c>
      <c r="P96" s="12"/>
      <c r="Q96" s="7">
        <f t="shared" si="27"/>
        <v>0.95</v>
      </c>
      <c r="R96" s="314" cm="1">
        <f t="array" ref="R96">numeng*InterpolateXY($D$6,$Q96,Tmil_h,Tmil_M,Tmil_table)</f>
        <v>4179.9999949841258</v>
      </c>
      <c r="S96" s="12" cm="1">
        <f t="array" ref="S96">numeng*InterpolateXY($D$6,$Q96,Tmax_h,Tmax_M,Tmax_table)</f>
        <v>7779.9999882985649</v>
      </c>
      <c r="T96" s="16">
        <f t="shared" si="28"/>
        <v>4446.757996058629</v>
      </c>
      <c r="U96" s="55">
        <f t="shared" si="29"/>
        <v>-266.75800107450323</v>
      </c>
      <c r="V96" s="426">
        <f t="shared" si="30"/>
        <v>3333.2419922399358</v>
      </c>
    </row>
    <row r="97" spans="2:22">
      <c r="B97" s="120">
        <f t="shared" si="31"/>
        <v>1E-4</v>
      </c>
      <c r="C97" s="7">
        <v>0.96</v>
      </c>
      <c r="D97" s="7">
        <f t="shared" si="32"/>
        <v>1071.7919996312394</v>
      </c>
      <c r="E97" s="11">
        <f t="shared" si="18"/>
        <v>4.3087347526695789E-2</v>
      </c>
      <c r="F97" s="19">
        <f t="shared" si="19"/>
        <v>2.1055826783094377E-2</v>
      </c>
      <c r="G97" s="16">
        <f t="shared" si="20"/>
        <v>4886.7772076358933</v>
      </c>
      <c r="H97" s="12">
        <f t="shared" si="21"/>
        <v>3923.999995761324</v>
      </c>
      <c r="I97" s="12">
        <f t="shared" si="22"/>
        <v>4277.1599939767584</v>
      </c>
      <c r="J97" s="141">
        <f t="shared" si="23"/>
        <v>1.2453560685307223</v>
      </c>
      <c r="K97" s="267" t="e" cm="1">
        <f t="array" ref="K97">InterpolateXYZ(J97,C97,B97,FFnorm_PS,FFnorm_M,FFnorm_h,FFnorm_table)*numeng</f>
        <v>#VALUE!</v>
      </c>
      <c r="L97" s="11" t="e">
        <f t="shared" si="24"/>
        <v>#VALUE!</v>
      </c>
      <c r="M97" s="425" t="e" cm="1">
        <f t="array" ref="M97">($D$5/G97)*(C97*Linterp($D$6,atmos_h,atmos_vela)/L97)</f>
        <v>#VALUE!</v>
      </c>
      <c r="N97" s="55" t="e">
        <f t="shared" si="25"/>
        <v>#VALUE!</v>
      </c>
      <c r="O97" s="426" t="e">
        <f t="shared" si="26"/>
        <v>#VALUE!</v>
      </c>
      <c r="P97" s="12"/>
      <c r="Q97" s="7">
        <f t="shared" si="27"/>
        <v>0.96</v>
      </c>
      <c r="R97" s="314" cm="1">
        <f t="array" ref="R97">numeng*InterpolateXY($D$6,$Q97,Tmil_h,Tmil_M,Tmil_table)</f>
        <v>4183.9999950419933</v>
      </c>
      <c r="S97" s="12" cm="1">
        <f t="array" ref="S97">numeng*InterpolateXY($D$6,$Q97,Tmax_h,Tmax_M,Tmax_table)</f>
        <v>7803.9999883355658</v>
      </c>
      <c r="T97" s="16">
        <f t="shared" si="28"/>
        <v>4886.7772076358933</v>
      </c>
      <c r="U97" s="55">
        <f t="shared" si="29"/>
        <v>-702.7772125939</v>
      </c>
      <c r="V97" s="426">
        <f t="shared" si="30"/>
        <v>2917.2227806996725</v>
      </c>
    </row>
    <row r="98" spans="2:22">
      <c r="B98" s="120">
        <f t="shared" si="31"/>
        <v>1E-4</v>
      </c>
      <c r="C98" s="7">
        <v>0.97</v>
      </c>
      <c r="D98" s="7">
        <f t="shared" si="32"/>
        <v>1082.9564996273982</v>
      </c>
      <c r="E98" s="11">
        <f t="shared" si="18"/>
        <v>4.2203527984485963E-2</v>
      </c>
      <c r="F98" s="19">
        <f t="shared" si="19"/>
        <v>2.5298645863798319E-2</v>
      </c>
      <c r="G98" s="16">
        <f t="shared" si="20"/>
        <v>5994.4386339213434</v>
      </c>
      <c r="H98" s="12">
        <f t="shared" si="21"/>
        <v>3927.9999958191911</v>
      </c>
      <c r="I98" s="12">
        <f t="shared" si="22"/>
        <v>4281.5199940372286</v>
      </c>
      <c r="J98" s="141">
        <f t="shared" si="23"/>
        <v>1.5260790835798341</v>
      </c>
      <c r="K98" s="267" t="e" cm="1">
        <f t="array" ref="K98">InterpolateXYZ(J98,C98,B98,FFnorm_PS,FFnorm_M,FFnorm_h,FFnorm_table)*numeng</f>
        <v>#VALUE!</v>
      </c>
      <c r="L98" s="11" t="e">
        <f t="shared" si="24"/>
        <v>#VALUE!</v>
      </c>
      <c r="M98" s="425" t="e" cm="1">
        <f t="array" ref="M98">($D$5/G98)*(C98*Linterp($D$6,atmos_h,atmos_vela)/L98)</f>
        <v>#VALUE!</v>
      </c>
      <c r="N98" s="55" t="e">
        <f t="shared" si="25"/>
        <v>#VALUE!</v>
      </c>
      <c r="O98" s="426" t="e">
        <f t="shared" si="26"/>
        <v>#VALUE!</v>
      </c>
      <c r="P98" s="12"/>
      <c r="Q98" s="7">
        <f t="shared" si="27"/>
        <v>0.97</v>
      </c>
      <c r="R98" s="314" cm="1">
        <f t="array" ref="R98">numeng*InterpolateXY($D$6,$Q98,Tmil_h,Tmil_M,Tmil_table)</f>
        <v>4187.9999950998599</v>
      </c>
      <c r="S98" s="12" cm="1">
        <f t="array" ref="S98">numeng*InterpolateXY($D$6,$Q98,Tmax_h,Tmax_M,Tmax_table)</f>
        <v>7827.9999883725668</v>
      </c>
      <c r="T98" s="16">
        <f t="shared" si="28"/>
        <v>5994.4386339213434</v>
      </c>
      <c r="U98" s="55">
        <f t="shared" si="29"/>
        <v>-1806.4386388214834</v>
      </c>
      <c r="V98" s="426">
        <f t="shared" si="30"/>
        <v>1833.5613544512235</v>
      </c>
    </row>
    <row r="99" spans="2:22">
      <c r="B99" s="120">
        <f t="shared" si="31"/>
        <v>1E-4</v>
      </c>
      <c r="C99" s="7">
        <v>0.98</v>
      </c>
      <c r="D99" s="7">
        <f t="shared" si="32"/>
        <v>1094.1209996235571</v>
      </c>
      <c r="E99" s="11">
        <f t="shared" si="18"/>
        <v>4.1346625864850939E-2</v>
      </c>
      <c r="F99" s="19">
        <f t="shared" si="19"/>
        <v>2.9541640798829549E-2</v>
      </c>
      <c r="G99" s="16">
        <f t="shared" si="20"/>
        <v>7144.8734161263465</v>
      </c>
      <c r="H99" s="12">
        <f t="shared" si="21"/>
        <v>3931.9999958770582</v>
      </c>
      <c r="I99" s="12">
        <f t="shared" si="22"/>
        <v>4285.8799940976978</v>
      </c>
      <c r="J99" s="141">
        <f t="shared" si="23"/>
        <v>1.8171092125173403</v>
      </c>
      <c r="K99" s="267" t="e" cm="1">
        <f t="array" ref="K99">InterpolateXYZ(J99,C99,B99,FFnorm_PS,FFnorm_M,FFnorm_h,FFnorm_table)*numeng</f>
        <v>#VALUE!</v>
      </c>
      <c r="L99" s="11" t="e">
        <f t="shared" si="24"/>
        <v>#VALUE!</v>
      </c>
      <c r="M99" s="425" t="e" cm="1">
        <f t="array" ref="M99">($D$5/G99)*(C99*Linterp($D$6,atmos_h,atmos_vela)/L99)</f>
        <v>#VALUE!</v>
      </c>
      <c r="N99" s="55" t="e">
        <f t="shared" si="25"/>
        <v>#VALUE!</v>
      </c>
      <c r="O99" s="426" t="e">
        <f t="shared" si="26"/>
        <v>#VALUE!</v>
      </c>
      <c r="P99" s="12"/>
      <c r="Q99" s="7">
        <f t="shared" si="27"/>
        <v>0.98</v>
      </c>
      <c r="R99" s="314" cm="1">
        <f t="array" ref="R99">numeng*InterpolateXY($D$6,$Q99,Tmil_h,Tmil_M,Tmil_table)</f>
        <v>4191.9999951577265</v>
      </c>
      <c r="S99" s="12" cm="1">
        <f t="array" ref="S99">numeng*InterpolateXY($D$6,$Q99,Tmax_h,Tmax_M,Tmax_table)</f>
        <v>7851.9999884095669</v>
      </c>
      <c r="T99" s="16">
        <f t="shared" si="28"/>
        <v>7144.8734161263465</v>
      </c>
      <c r="U99" s="55">
        <f t="shared" si="29"/>
        <v>-2952.8734209686199</v>
      </c>
      <c r="V99" s="426">
        <f t="shared" si="30"/>
        <v>707.12657228322041</v>
      </c>
    </row>
    <row r="100" spans="2:22">
      <c r="B100" s="120">
        <f t="shared" si="31"/>
        <v>1E-4</v>
      </c>
      <c r="C100" s="7">
        <v>0.99</v>
      </c>
      <c r="D100" s="7">
        <f t="shared" si="32"/>
        <v>1105.2854996197157</v>
      </c>
      <c r="E100" s="11">
        <f t="shared" si="18"/>
        <v>4.0515559106828733E-2</v>
      </c>
      <c r="F100" s="19">
        <f t="shared" si="19"/>
        <v>3.1536831158165482E-2</v>
      </c>
      <c r="G100" s="16">
        <f t="shared" si="20"/>
        <v>7783.8815145093413</v>
      </c>
      <c r="H100" s="12">
        <f t="shared" si="21"/>
        <v>3935.9999959349248</v>
      </c>
      <c r="I100" s="12">
        <f t="shared" si="22"/>
        <v>4290.239994158168</v>
      </c>
      <c r="J100" s="141">
        <f t="shared" si="23"/>
        <v>1.9776121754442286</v>
      </c>
      <c r="K100" s="267" t="e" cm="1">
        <f t="array" ref="K100">InterpolateXYZ(J100,C100,B100,FFnorm_PS,FFnorm_M,FFnorm_h,FFnorm_table)*numeng</f>
        <v>#VALUE!</v>
      </c>
      <c r="L100" s="11" t="e">
        <f t="shared" si="24"/>
        <v>#VALUE!</v>
      </c>
      <c r="M100" s="425" t="e" cm="1">
        <f t="array" ref="M100">($D$5/G100)*(C100*Linterp($D$6,atmos_h,atmos_vela)/L100)</f>
        <v>#VALUE!</v>
      </c>
      <c r="N100" s="55" t="e">
        <f t="shared" si="25"/>
        <v>#VALUE!</v>
      </c>
      <c r="O100" s="426" t="e">
        <f t="shared" si="26"/>
        <v>#VALUE!</v>
      </c>
      <c r="P100" s="12"/>
      <c r="Q100" s="7">
        <f t="shared" si="27"/>
        <v>0.99</v>
      </c>
      <c r="R100" s="314" cm="1">
        <f t="array" ref="R100">numeng*InterpolateXY($D$6,$Q100,Tmil_h,Tmil_M,Tmil_table)</f>
        <v>4195.999995215594</v>
      </c>
      <c r="S100" s="12" cm="1">
        <f t="array" ref="S100">numeng*InterpolateXY($D$6,$Q100,Tmax_h,Tmax_M,Tmax_table)</f>
        <v>7875.9999884465678</v>
      </c>
      <c r="T100" s="16">
        <f t="shared" si="28"/>
        <v>7783.8815145093413</v>
      </c>
      <c r="U100" s="55">
        <f t="shared" si="29"/>
        <v>-3587.8815192937473</v>
      </c>
      <c r="V100" s="426">
        <f t="shared" si="30"/>
        <v>92.118473937226554</v>
      </c>
    </row>
    <row r="101" spans="2:22">
      <c r="B101" s="120">
        <f t="shared" si="31"/>
        <v>1E-4</v>
      </c>
      <c r="C101" s="7">
        <v>1</v>
      </c>
      <c r="D101" s="7">
        <f t="shared" si="32"/>
        <v>1116.4499996158745</v>
      </c>
      <c r="E101" s="11">
        <f t="shared" si="18"/>
        <v>3.9709299480602846E-2</v>
      </c>
      <c r="F101" s="19">
        <f t="shared" si="19"/>
        <v>3.3532104613040077E-2</v>
      </c>
      <c r="G101" s="16">
        <f t="shared" si="20"/>
        <v>8444.395910187186</v>
      </c>
      <c r="H101" s="12">
        <f t="shared" si="21"/>
        <v>3939.9999959927918</v>
      </c>
      <c r="I101" s="12">
        <f t="shared" si="22"/>
        <v>4294.5999942186363</v>
      </c>
      <c r="J101" s="141">
        <f t="shared" si="23"/>
        <v>2.1432476951207171</v>
      </c>
      <c r="K101" s="267" t="e" cm="1">
        <f t="array" ref="K101">InterpolateXYZ(J101,C101,B101,FFnorm_PS,FFnorm_M,FFnorm_h,FFnorm_table)*numeng</f>
        <v>#VALUE!</v>
      </c>
      <c r="L101" s="11" t="e">
        <f t="shared" si="24"/>
        <v>#VALUE!</v>
      </c>
      <c r="M101" s="425" t="e" cm="1">
        <f t="array" ref="M101">($D$5/G101)*(C101*Linterp($D$6,atmos_h,atmos_vela)/L101)</f>
        <v>#VALUE!</v>
      </c>
      <c r="N101" s="55" t="e">
        <f t="shared" si="25"/>
        <v>#VALUE!</v>
      </c>
      <c r="O101" s="426" t="e">
        <f t="shared" si="26"/>
        <v>#VALUE!</v>
      </c>
      <c r="P101" s="12"/>
      <c r="Q101" s="7">
        <f t="shared" si="27"/>
        <v>1</v>
      </c>
      <c r="R101" s="314" cm="1">
        <f t="array" ref="R101">numeng*InterpolateXY($D$6,$Q101,Tmil_h,Tmil_M,Tmil_table)</f>
        <v>4199.9999952734606</v>
      </c>
      <c r="S101" s="12" cm="1">
        <f t="array" ref="S101">numeng*InterpolateXY($D$6,$Q101,Tmax_h,Tmax_M,Tmax_table)</f>
        <v>7899.9999884835688</v>
      </c>
      <c r="T101" s="16">
        <f t="shared" si="28"/>
        <v>8444.395910187186</v>
      </c>
      <c r="U101" s="55">
        <f t="shared" si="29"/>
        <v>-4244.3959149137254</v>
      </c>
      <c r="V101" s="426">
        <f t="shared" si="30"/>
        <v>-544.3959217036172</v>
      </c>
    </row>
    <row r="102" spans="2:22">
      <c r="B102" s="120">
        <f t="shared" si="31"/>
        <v>1E-4</v>
      </c>
      <c r="C102" s="7">
        <v>1.01</v>
      </c>
      <c r="D102" s="7">
        <f t="shared" ref="D102:D121" si="33">C102*H$6</f>
        <v>1127.6144996120333</v>
      </c>
      <c r="E102" s="11">
        <f t="shared" ref="E102:E121" si="34">D$5/(H$5*C102*C102*_xlfn.SINGLE(S))</f>
        <v>3.8926869405551262E-2</v>
      </c>
      <c r="F102" s="19">
        <f t="shared" ref="F102:F121" si="35">InterpolateXY(E102,C102,CD_CL,CD_M,CD_table)</f>
        <v>3.4529405423915499E-2</v>
      </c>
      <c r="G102" s="16">
        <f t="shared" ref="G102:G121" si="36">F102*$H$5*C102*C102*_xlfn.SINGLE(S)</f>
        <v>8870.3268336783731</v>
      </c>
      <c r="H102" s="12"/>
      <c r="I102" s="12"/>
      <c r="J102" s="141"/>
      <c r="K102" s="267"/>
      <c r="L102" s="11"/>
      <c r="M102" s="425" t="e" cm="1">
        <f t="array" ref="M102">($D$5/G102)*(C102*Linterp($D$6,atmos_h,atmos_vela)/L102)</f>
        <v>#DIV/0!</v>
      </c>
      <c r="N102" s="55" t="e">
        <f t="shared" si="25"/>
        <v>#DIV/0!</v>
      </c>
      <c r="O102" s="426" t="e">
        <f t="shared" si="26"/>
        <v>#DIV/0!</v>
      </c>
      <c r="P102" s="12"/>
      <c r="Q102" s="7">
        <f t="shared" si="27"/>
        <v>1.01</v>
      </c>
      <c r="R102" s="314" t="e" cm="1">
        <f t="array" ref="R102">numeng*InterpolateXY($D$6,$Q102,Tmil_h,Tmil_M,Tmil_table)</f>
        <v>#VALUE!</v>
      </c>
      <c r="S102" s="12" cm="1">
        <f t="array" ref="S102">numeng*InterpolateXY($D$6,$Q102,Tmax_h,Tmax_M,Tmax_table)</f>
        <v>7923.9999885205698</v>
      </c>
      <c r="T102" s="16">
        <f t="shared" si="28"/>
        <v>8870.3268336783731</v>
      </c>
      <c r="U102" s="55" t="e">
        <f t="shared" si="29"/>
        <v>#VALUE!</v>
      </c>
      <c r="V102" s="426">
        <f t="shared" si="30"/>
        <v>-946.32684515780329</v>
      </c>
    </row>
    <row r="103" spans="2:22">
      <c r="B103" s="120">
        <f t="shared" si="31"/>
        <v>1E-4</v>
      </c>
      <c r="C103" s="7">
        <v>1.02</v>
      </c>
      <c r="D103" s="7">
        <f t="shared" si="33"/>
        <v>1138.778999608192</v>
      </c>
      <c r="E103" s="11">
        <f t="shared" si="34"/>
        <v>3.8167338985585192E-2</v>
      </c>
      <c r="F103" s="19">
        <f t="shared" si="35"/>
        <v>3.5526709278001077E-2</v>
      </c>
      <c r="G103" s="16">
        <f t="shared" si="36"/>
        <v>9308.1441416229172</v>
      </c>
      <c r="H103" s="12"/>
      <c r="I103" s="12"/>
      <c r="J103" s="141"/>
      <c r="K103" s="267"/>
      <c r="L103" s="11"/>
      <c r="M103" s="425" t="e" cm="1">
        <f t="array" ref="M103">($D$5/G103)*(C103*Linterp($D$6,atmos_h,atmos_vela)/L103)</f>
        <v>#DIV/0!</v>
      </c>
      <c r="N103" s="55" t="e">
        <f t="shared" si="25"/>
        <v>#DIV/0!</v>
      </c>
      <c r="O103" s="426" t="e">
        <f t="shared" si="26"/>
        <v>#DIV/0!</v>
      </c>
      <c r="P103" s="12"/>
      <c r="Q103" s="7">
        <f t="shared" si="27"/>
        <v>1.02</v>
      </c>
      <c r="R103" s="314" t="e" cm="1">
        <f t="array" ref="R103">numeng*InterpolateXY($D$6,$Q103,Tmil_h,Tmil_M,Tmil_table)</f>
        <v>#VALUE!</v>
      </c>
      <c r="S103" s="12" cm="1">
        <f t="array" ref="S103">numeng*InterpolateXY($D$6,$Q103,Tmax_h,Tmax_M,Tmax_table)</f>
        <v>7947.9999885575708</v>
      </c>
      <c r="T103" s="16">
        <f t="shared" si="28"/>
        <v>9308.1441416229172</v>
      </c>
      <c r="U103" s="55" t="e">
        <f t="shared" si="29"/>
        <v>#VALUE!</v>
      </c>
      <c r="V103" s="426">
        <f t="shared" si="30"/>
        <v>-1360.1441530653465</v>
      </c>
    </row>
    <row r="104" spans="2:22">
      <c r="B104" s="120">
        <f t="shared" si="31"/>
        <v>1E-4</v>
      </c>
      <c r="C104" s="7">
        <v>1.03</v>
      </c>
      <c r="D104" s="7">
        <f t="shared" si="33"/>
        <v>1149.9434996043508</v>
      </c>
      <c r="E104" s="11">
        <f t="shared" si="34"/>
        <v>3.7429823244983361E-2</v>
      </c>
      <c r="F104" s="19">
        <f t="shared" si="35"/>
        <v>3.6275889016592018E-2</v>
      </c>
      <c r="G104" s="16">
        <f t="shared" si="36"/>
        <v>9691.7072728773855</v>
      </c>
      <c r="H104" s="12"/>
      <c r="I104" s="12"/>
      <c r="J104" s="141"/>
      <c r="K104" s="267"/>
      <c r="L104" s="11"/>
      <c r="M104" s="425" t="e" cm="1">
        <f t="array" ref="M104">($D$5/G104)*(C104*Linterp($D$6,atmos_h,atmos_vela)/L104)</f>
        <v>#DIV/0!</v>
      </c>
      <c r="N104" s="55" t="e">
        <f t="shared" si="25"/>
        <v>#DIV/0!</v>
      </c>
      <c r="O104" s="426" t="e">
        <f t="shared" si="26"/>
        <v>#DIV/0!</v>
      </c>
      <c r="P104" s="12"/>
      <c r="Q104" s="7">
        <f t="shared" si="27"/>
        <v>1.03</v>
      </c>
      <c r="R104" s="314" t="e" cm="1">
        <f t="array" ref="R104">numeng*InterpolateXY($D$6,$Q104,Tmil_h,Tmil_M,Tmil_table)</f>
        <v>#VALUE!</v>
      </c>
      <c r="S104" s="12" cm="1">
        <f t="array" ref="S104">numeng*InterpolateXY($D$6,$Q104,Tmax_h,Tmax_M,Tmax_table)</f>
        <v>7971.9999885945717</v>
      </c>
      <c r="T104" s="16">
        <f t="shared" si="28"/>
        <v>9691.7072728773855</v>
      </c>
      <c r="U104" s="55" t="e">
        <f t="shared" si="29"/>
        <v>#VALUE!</v>
      </c>
      <c r="V104" s="426">
        <f t="shared" si="30"/>
        <v>-1719.7072842828138</v>
      </c>
    </row>
    <row r="105" spans="2:22">
      <c r="B105" s="120">
        <f t="shared" si="31"/>
        <v>1E-4</v>
      </c>
      <c r="C105" s="7">
        <v>1.04</v>
      </c>
      <c r="D105" s="7">
        <f t="shared" si="33"/>
        <v>1161.1079996005096</v>
      </c>
      <c r="E105" s="11">
        <f t="shared" si="34"/>
        <v>3.6713479549373922E-2</v>
      </c>
      <c r="F105" s="19">
        <f t="shared" si="35"/>
        <v>3.7025002757556047E-2</v>
      </c>
      <c r="G105" s="16">
        <f t="shared" si="36"/>
        <v>10084.852542446479</v>
      </c>
      <c r="H105" s="12"/>
      <c r="I105" s="12"/>
      <c r="J105" s="141"/>
      <c r="K105" s="267"/>
      <c r="L105" s="11"/>
      <c r="M105" s="425" t="e" cm="1">
        <f t="array" ref="M105">($D$5/G105)*(C105*Linterp($D$6,atmos_h,atmos_vela)/L105)</f>
        <v>#DIV/0!</v>
      </c>
      <c r="N105" s="55" t="e">
        <f t="shared" si="25"/>
        <v>#DIV/0!</v>
      </c>
      <c r="O105" s="426" t="e">
        <f t="shared" si="26"/>
        <v>#DIV/0!</v>
      </c>
      <c r="P105" s="12"/>
      <c r="Q105" s="7">
        <f t="shared" si="27"/>
        <v>1.04</v>
      </c>
      <c r="R105" s="314" t="e" cm="1">
        <f t="array" ref="R105">numeng*InterpolateXY($D$6,$Q105,Tmil_h,Tmil_M,Tmil_table)</f>
        <v>#VALUE!</v>
      </c>
      <c r="S105" s="12" cm="1">
        <f t="array" ref="S105">numeng*InterpolateXY($D$6,$Q105,Tmax_h,Tmax_M,Tmax_table)</f>
        <v>7995.9999886315727</v>
      </c>
      <c r="T105" s="16">
        <f t="shared" si="28"/>
        <v>10084.852542446479</v>
      </c>
      <c r="U105" s="55" t="e">
        <f t="shared" si="29"/>
        <v>#VALUE!</v>
      </c>
      <c r="V105" s="426">
        <f t="shared" si="30"/>
        <v>-2088.8525538149061</v>
      </c>
    </row>
    <row r="106" spans="2:22">
      <c r="B106" s="120">
        <f t="shared" si="31"/>
        <v>1E-4</v>
      </c>
      <c r="C106" s="7">
        <v>1.05</v>
      </c>
      <c r="D106" s="7">
        <f t="shared" si="33"/>
        <v>1172.2724995966682</v>
      </c>
      <c r="E106" s="11">
        <f t="shared" si="34"/>
        <v>3.6017505197825699E-2</v>
      </c>
      <c r="F106" s="19">
        <f t="shared" si="35"/>
        <v>3.7527656451148146E-2</v>
      </c>
      <c r="G106" s="16">
        <f t="shared" si="36"/>
        <v>10419.282580797299</v>
      </c>
      <c r="H106" s="12"/>
      <c r="I106" s="12"/>
      <c r="J106" s="141"/>
      <c r="K106" s="267"/>
      <c r="L106" s="11"/>
      <c r="M106" s="425" t="e" cm="1">
        <f t="array" ref="M106">($D$5/G106)*(C106*Linterp($D$6,atmos_h,atmos_vela)/L106)</f>
        <v>#DIV/0!</v>
      </c>
      <c r="N106" s="55" t="e">
        <f t="shared" si="25"/>
        <v>#DIV/0!</v>
      </c>
      <c r="O106" s="426" t="e">
        <f t="shared" si="26"/>
        <v>#DIV/0!</v>
      </c>
      <c r="P106" s="12"/>
      <c r="Q106" s="7">
        <f t="shared" si="27"/>
        <v>1.05</v>
      </c>
      <c r="R106" s="314" t="e" cm="1">
        <f t="array" ref="R106">numeng*InterpolateXY($D$6,$Q106,Tmil_h,Tmil_M,Tmil_table)</f>
        <v>#VALUE!</v>
      </c>
      <c r="S106" s="12" cm="1">
        <f t="array" ref="S106">numeng*InterpolateXY($D$6,$Q106,Tmax_h,Tmax_M,Tmax_table)</f>
        <v>8019.9999886685728</v>
      </c>
      <c r="T106" s="16">
        <f t="shared" si="28"/>
        <v>10419.282580797299</v>
      </c>
      <c r="U106" s="55" t="e">
        <f t="shared" si="29"/>
        <v>#VALUE!</v>
      </c>
      <c r="V106" s="426">
        <f t="shared" si="30"/>
        <v>-2399.2825921287258</v>
      </c>
    </row>
    <row r="107" spans="2:22">
      <c r="B107" s="120">
        <f t="shared" si="31"/>
        <v>1E-4</v>
      </c>
      <c r="C107" s="7">
        <v>1.06</v>
      </c>
      <c r="D107" s="7">
        <f t="shared" si="33"/>
        <v>1183.4369995928271</v>
      </c>
      <c r="E107" s="11">
        <f t="shared" si="34"/>
        <v>3.5341135173195828E-2</v>
      </c>
      <c r="F107" s="19">
        <f t="shared" si="35"/>
        <v>3.8030117027597933E-2</v>
      </c>
      <c r="G107" s="16">
        <f t="shared" si="36"/>
        <v>10760.864596234456</v>
      </c>
      <c r="H107" s="12"/>
      <c r="I107" s="12"/>
      <c r="J107" s="141"/>
      <c r="K107" s="267"/>
      <c r="L107" s="11"/>
      <c r="M107" s="425" t="e" cm="1">
        <f t="array" ref="M107">($D$5/G107)*(C107*Linterp($D$6,atmos_h,atmos_vela)/L107)</f>
        <v>#DIV/0!</v>
      </c>
      <c r="N107" s="55" t="e">
        <f t="shared" si="25"/>
        <v>#DIV/0!</v>
      </c>
      <c r="O107" s="426" t="e">
        <f t="shared" si="26"/>
        <v>#DIV/0!</v>
      </c>
      <c r="P107" s="12"/>
      <c r="Q107" s="7">
        <f t="shared" si="27"/>
        <v>1.06</v>
      </c>
      <c r="R107" s="314" t="e" cm="1">
        <f t="array" ref="R107">numeng*InterpolateXY($D$6,$Q107,Tmil_h,Tmil_M,Tmil_table)</f>
        <v>#VALUE!</v>
      </c>
      <c r="S107" s="12" cm="1">
        <f t="array" ref="S107">numeng*InterpolateXY($D$6,$Q107,Tmax_h,Tmax_M,Tmax_table)</f>
        <v>8043.9999887055737</v>
      </c>
      <c r="T107" s="16">
        <f t="shared" si="28"/>
        <v>10760.864596234456</v>
      </c>
      <c r="U107" s="55" t="e">
        <f t="shared" si="29"/>
        <v>#VALUE!</v>
      </c>
      <c r="V107" s="426">
        <f t="shared" si="30"/>
        <v>-2716.8646075288825</v>
      </c>
    </row>
    <row r="108" spans="2:22">
      <c r="B108" s="120">
        <f t="shared" si="31"/>
        <v>1E-4</v>
      </c>
      <c r="C108" s="7">
        <v>1.07</v>
      </c>
      <c r="D108" s="7">
        <f t="shared" si="33"/>
        <v>1194.6014995889857</v>
      </c>
      <c r="E108" s="11">
        <f t="shared" si="34"/>
        <v>3.4683640038957846E-2</v>
      </c>
      <c r="F108" s="19">
        <f t="shared" si="35"/>
        <v>3.8534128056599948E-2</v>
      </c>
      <c r="G108" s="16">
        <f t="shared" si="36"/>
        <v>11110.174137811691</v>
      </c>
      <c r="H108" s="12"/>
      <c r="I108" s="12"/>
      <c r="J108" s="141"/>
      <c r="K108" s="267"/>
      <c r="L108" s="11"/>
      <c r="M108" s="425" t="e" cm="1">
        <f t="array" ref="M108">($D$5/G108)*(C108*Linterp($D$6,atmos_h,atmos_vela)/L108)</f>
        <v>#DIV/0!</v>
      </c>
      <c r="N108" s="55" t="e">
        <f t="shared" si="25"/>
        <v>#DIV/0!</v>
      </c>
      <c r="O108" s="426" t="e">
        <f t="shared" si="26"/>
        <v>#DIV/0!</v>
      </c>
      <c r="P108" s="12"/>
      <c r="Q108" s="7">
        <f t="shared" si="27"/>
        <v>1.07</v>
      </c>
      <c r="R108" s="314" t="e" cm="1">
        <f t="array" ref="R108">numeng*InterpolateXY($D$6,$Q108,Tmil_h,Tmil_M,Tmil_table)</f>
        <v>#VALUE!</v>
      </c>
      <c r="S108" s="12" cm="1">
        <f t="array" ref="S108">numeng*InterpolateXY($D$6,$Q108,Tmax_h,Tmax_M,Tmax_table)</f>
        <v>8067.9999887425747</v>
      </c>
      <c r="T108" s="16">
        <f t="shared" si="28"/>
        <v>11110.174137811691</v>
      </c>
      <c r="U108" s="55" t="e">
        <f t="shared" si="29"/>
        <v>#VALUE!</v>
      </c>
      <c r="V108" s="426">
        <f t="shared" si="30"/>
        <v>-3042.1741490691165</v>
      </c>
    </row>
    <row r="109" spans="2:22">
      <c r="B109" s="120">
        <f t="shared" si="31"/>
        <v>1E-4</v>
      </c>
      <c r="C109" s="7">
        <v>1.08</v>
      </c>
      <c r="D109" s="7">
        <f t="shared" si="33"/>
        <v>1205.7659995851445</v>
      </c>
      <c r="E109" s="11">
        <f t="shared" si="34"/>
        <v>3.4044323971710255E-2</v>
      </c>
      <c r="F109" s="19">
        <f t="shared" si="35"/>
        <v>3.9037900318753017E-2</v>
      </c>
      <c r="G109" s="16">
        <f t="shared" si="36"/>
        <v>11466.786754582723</v>
      </c>
      <c r="H109" s="12"/>
      <c r="I109" s="12"/>
      <c r="J109" s="141"/>
      <c r="K109" s="267"/>
      <c r="L109" s="11"/>
      <c r="M109" s="425" t="e" cm="1">
        <f t="array" ref="M109">($D$5/G109)*(C109*Linterp($D$6,atmos_h,atmos_vela)/L109)</f>
        <v>#DIV/0!</v>
      </c>
      <c r="N109" s="55" t="e">
        <f t="shared" si="25"/>
        <v>#DIV/0!</v>
      </c>
      <c r="O109" s="426" t="e">
        <f t="shared" si="26"/>
        <v>#DIV/0!</v>
      </c>
      <c r="P109" s="12"/>
      <c r="Q109" s="7">
        <f t="shared" si="27"/>
        <v>1.08</v>
      </c>
      <c r="R109" s="314" t="e" cm="1">
        <f t="array" ref="R109">numeng*InterpolateXY($D$6,$Q109,Tmil_h,Tmil_M,Tmil_table)</f>
        <v>#VALUE!</v>
      </c>
      <c r="S109" s="12" cm="1">
        <f t="array" ref="S109">numeng*InterpolateXY($D$6,$Q109,Tmax_h,Tmax_M,Tmax_table)</f>
        <v>8091.9999887795757</v>
      </c>
      <c r="T109" s="16">
        <f t="shared" si="28"/>
        <v>11466.786754582723</v>
      </c>
      <c r="U109" s="55" t="e">
        <f t="shared" si="29"/>
        <v>#VALUE!</v>
      </c>
      <c r="V109" s="426">
        <f t="shared" si="30"/>
        <v>-3374.7867658031473</v>
      </c>
    </row>
    <row r="110" spans="2:22">
      <c r="B110" s="120">
        <f t="shared" si="31"/>
        <v>1E-4</v>
      </c>
      <c r="C110" s="7">
        <v>1.0900000000000001</v>
      </c>
      <c r="D110" s="7">
        <f t="shared" si="33"/>
        <v>1216.9304995813034</v>
      </c>
      <c r="E110" s="11">
        <f t="shared" si="34"/>
        <v>3.3422522919453614E-2</v>
      </c>
      <c r="F110" s="19">
        <f t="shared" si="35"/>
        <v>3.9441444871295153E-2</v>
      </c>
      <c r="G110" s="16">
        <f t="shared" si="36"/>
        <v>11800.858052022822</v>
      </c>
      <c r="H110" s="12"/>
      <c r="I110" s="12"/>
      <c r="J110" s="141"/>
      <c r="K110" s="267"/>
      <c r="L110" s="11"/>
      <c r="M110" s="425" t="e" cm="1">
        <f t="array" ref="M110">($D$5/G110)*(C110*Linterp($D$6,atmos_h,atmos_vela)/L110)</f>
        <v>#DIV/0!</v>
      </c>
      <c r="N110" s="55" t="e">
        <f t="shared" si="25"/>
        <v>#DIV/0!</v>
      </c>
      <c r="O110" s="426" t="e">
        <f t="shared" si="26"/>
        <v>#DIV/0!</v>
      </c>
      <c r="P110" s="12"/>
      <c r="Q110" s="7">
        <f t="shared" si="27"/>
        <v>1.0900000000000001</v>
      </c>
      <c r="R110" s="314" t="e" cm="1">
        <f t="array" ref="R110">numeng*InterpolateXY($D$6,$Q110,Tmil_h,Tmil_M,Tmil_table)</f>
        <v>#VALUE!</v>
      </c>
      <c r="S110" s="12" cm="1">
        <f t="array" ref="S110">numeng*InterpolateXY($D$6,$Q110,Tmax_h,Tmax_M,Tmax_table)</f>
        <v>8115.9999888165767</v>
      </c>
      <c r="T110" s="16">
        <f t="shared" si="28"/>
        <v>11800.858052022822</v>
      </c>
      <c r="U110" s="55" t="e">
        <f t="shared" si="29"/>
        <v>#VALUE!</v>
      </c>
      <c r="V110" s="426">
        <f t="shared" si="30"/>
        <v>-3684.8580632062458</v>
      </c>
    </row>
    <row r="111" spans="2:22">
      <c r="B111" s="120">
        <f t="shared" si="31"/>
        <v>1E-4</v>
      </c>
      <c r="C111" s="7">
        <v>1.1000000000000001</v>
      </c>
      <c r="D111" s="7">
        <f t="shared" si="33"/>
        <v>1228.094999577462</v>
      </c>
      <c r="E111" s="11">
        <f t="shared" si="34"/>
        <v>3.2817602876531266E-2</v>
      </c>
      <c r="F111" s="19">
        <f t="shared" si="35"/>
        <v>3.9844772207750422E-2</v>
      </c>
      <c r="G111" s="16">
        <f t="shared" si="36"/>
        <v>12141.280506579737</v>
      </c>
      <c r="H111" s="12"/>
      <c r="I111" s="12"/>
      <c r="J111" s="141"/>
      <c r="K111" s="267"/>
      <c r="L111" s="11"/>
      <c r="M111" s="425" t="e" cm="1">
        <f t="array" ref="M111">($D$5/G111)*(C111*Linterp($D$6,atmos_h,atmos_vela)/L111)</f>
        <v>#DIV/0!</v>
      </c>
      <c r="N111" s="55" t="e">
        <f t="shared" si="25"/>
        <v>#DIV/0!</v>
      </c>
      <c r="O111" s="426" t="e">
        <f t="shared" si="26"/>
        <v>#DIV/0!</v>
      </c>
      <c r="P111" s="12"/>
      <c r="Q111" s="7">
        <f t="shared" si="27"/>
        <v>1.1000000000000001</v>
      </c>
      <c r="R111" s="314" t="e" cm="1">
        <f t="array" ref="R111">numeng*InterpolateXY($D$6,$Q111,Tmil_h,Tmil_M,Tmil_table)</f>
        <v>#VALUE!</v>
      </c>
      <c r="S111" s="12" cm="1">
        <f t="array" ref="S111">numeng*InterpolateXY($D$6,$Q111,Tmax_h,Tmax_M,Tmax_table)</f>
        <v>8139.9999888535776</v>
      </c>
      <c r="T111" s="16">
        <f t="shared" si="28"/>
        <v>12141.280506579737</v>
      </c>
      <c r="U111" s="55" t="e">
        <f t="shared" si="29"/>
        <v>#VALUE!</v>
      </c>
      <c r="V111" s="426">
        <f t="shared" si="30"/>
        <v>-4001.2805177261589</v>
      </c>
    </row>
    <row r="112" spans="2:22">
      <c r="B112" s="120">
        <f t="shared" si="31"/>
        <v>1E-4</v>
      </c>
      <c r="C112" s="7">
        <v>1.1100000000000001</v>
      </c>
      <c r="D112" s="7">
        <f t="shared" si="33"/>
        <v>1239.2594995736208</v>
      </c>
      <c r="E112" s="11">
        <f t="shared" si="34"/>
        <v>3.2228958266863755E-2</v>
      </c>
      <c r="F112" s="19">
        <f t="shared" si="35"/>
        <v>4.0147247711371355E-2</v>
      </c>
      <c r="G112" s="16">
        <f t="shared" si="36"/>
        <v>12456.886561129964</v>
      </c>
      <c r="H112" s="12"/>
      <c r="I112" s="12"/>
      <c r="J112" s="141"/>
      <c r="K112" s="267"/>
      <c r="L112" s="11"/>
      <c r="M112" s="425" t="e" cm="1">
        <f t="array" ref="M112">($D$5/G112)*(C112*Linterp($D$6,atmos_h,atmos_vela)/L112)</f>
        <v>#DIV/0!</v>
      </c>
      <c r="N112" s="55" t="e">
        <f t="shared" si="25"/>
        <v>#DIV/0!</v>
      </c>
      <c r="O112" s="426" t="e">
        <f t="shared" si="26"/>
        <v>#DIV/0!</v>
      </c>
      <c r="P112" s="12"/>
      <c r="Q112" s="7">
        <f t="shared" si="27"/>
        <v>1.1100000000000001</v>
      </c>
      <c r="R112" s="314" t="e" cm="1">
        <f t="array" ref="R112">numeng*InterpolateXY($D$6,$Q112,Tmil_h,Tmil_M,Tmil_table)</f>
        <v>#VALUE!</v>
      </c>
      <c r="S112" s="12" cm="1">
        <f t="array" ref="S112">numeng*InterpolateXY($D$6,$Q112,Tmax_h,Tmax_M,Tmax_table)</f>
        <v>8163.9999888905786</v>
      </c>
      <c r="T112" s="16">
        <f t="shared" si="28"/>
        <v>12456.886561129964</v>
      </c>
      <c r="U112" s="55" t="e">
        <f t="shared" si="29"/>
        <v>#VALUE!</v>
      </c>
      <c r="V112" s="426">
        <f t="shared" si="30"/>
        <v>-4292.8865722393857</v>
      </c>
    </row>
    <row r="113" spans="2:22">
      <c r="B113" s="120">
        <f t="shared" si="31"/>
        <v>1E-4</v>
      </c>
      <c r="C113" s="7">
        <v>1.1200000000000001</v>
      </c>
      <c r="D113" s="7">
        <f t="shared" si="33"/>
        <v>1250.4239995697797</v>
      </c>
      <c r="E113" s="11">
        <f t="shared" si="34"/>
        <v>3.1656010427776493E-2</v>
      </c>
      <c r="F113" s="19">
        <f t="shared" si="35"/>
        <v>4.0449548341026202E-2</v>
      </c>
      <c r="G113" s="16">
        <f t="shared" si="36"/>
        <v>12777.841488684197</v>
      </c>
      <c r="H113" s="12"/>
      <c r="I113" s="12"/>
      <c r="J113" s="141"/>
      <c r="K113" s="267"/>
      <c r="L113" s="11"/>
      <c r="M113" s="425" t="e" cm="1">
        <f t="array" ref="M113">($D$5/G113)*(C113*Linterp($D$6,atmos_h,atmos_vela)/L113)</f>
        <v>#DIV/0!</v>
      </c>
      <c r="N113" s="55" t="e">
        <f t="shared" si="25"/>
        <v>#DIV/0!</v>
      </c>
      <c r="O113" s="426" t="e">
        <f t="shared" si="26"/>
        <v>#DIV/0!</v>
      </c>
      <c r="P113" s="12"/>
      <c r="Q113" s="7">
        <f t="shared" si="27"/>
        <v>1.1200000000000001</v>
      </c>
      <c r="R113" s="314" t="e" cm="1">
        <f t="array" ref="R113">numeng*InterpolateXY($D$6,$Q113,Tmil_h,Tmil_M,Tmil_table)</f>
        <v>#VALUE!</v>
      </c>
      <c r="S113" s="12" cm="1">
        <f t="array" ref="S113">numeng*InterpolateXY($D$6,$Q113,Tmax_h,Tmax_M,Tmax_table)</f>
        <v>8187.9999889275796</v>
      </c>
      <c r="T113" s="16">
        <f t="shared" si="28"/>
        <v>12777.841488684197</v>
      </c>
      <c r="U113" s="55" t="e">
        <f t="shared" si="29"/>
        <v>#VALUE!</v>
      </c>
      <c r="V113" s="426">
        <f t="shared" si="30"/>
        <v>-4589.8414997566169</v>
      </c>
    </row>
    <row r="114" spans="2:22">
      <c r="B114" s="120">
        <f t="shared" si="31"/>
        <v>1E-4</v>
      </c>
      <c r="C114" s="7">
        <v>1.1299999999999999</v>
      </c>
      <c r="D114" s="7">
        <f t="shared" si="33"/>
        <v>1261.588499565938</v>
      </c>
      <c r="E114" s="11">
        <f t="shared" si="34"/>
        <v>3.1098206187330914E-2</v>
      </c>
      <c r="F114" s="19">
        <f t="shared" si="35"/>
        <v>4.0751682177763246E-2</v>
      </c>
      <c r="G114" s="16">
        <f t="shared" si="36"/>
        <v>13104.190618674673</v>
      </c>
      <c r="H114" s="12"/>
      <c r="I114" s="12"/>
      <c r="J114" s="141"/>
      <c r="K114" s="267"/>
      <c r="L114" s="11"/>
      <c r="M114" s="425" t="e" cm="1">
        <f t="array" ref="M114">($D$5/G114)*(C114*Linterp($D$6,atmos_h,atmos_vela)/L114)</f>
        <v>#DIV/0!</v>
      </c>
      <c r="N114" s="55" t="e">
        <f t="shared" si="25"/>
        <v>#DIV/0!</v>
      </c>
      <c r="O114" s="426" t="e">
        <f t="shared" si="26"/>
        <v>#DIV/0!</v>
      </c>
      <c r="P114" s="12"/>
      <c r="Q114" s="7">
        <f t="shared" si="27"/>
        <v>1.1299999999999999</v>
      </c>
      <c r="R114" s="314" t="e" cm="1">
        <f t="array" ref="R114">numeng*InterpolateXY($D$6,$Q114,Tmil_h,Tmil_M,Tmil_table)</f>
        <v>#VALUE!</v>
      </c>
      <c r="S114" s="12" cm="1">
        <f t="array" ref="S114">numeng*InterpolateXY($D$6,$Q114,Tmax_h,Tmax_M,Tmax_table)</f>
        <v>8211.9999889645806</v>
      </c>
      <c r="T114" s="16">
        <f t="shared" si="28"/>
        <v>13104.190618674673</v>
      </c>
      <c r="U114" s="55" t="e">
        <f t="shared" si="29"/>
        <v>#VALUE!</v>
      </c>
      <c r="V114" s="426">
        <f t="shared" si="30"/>
        <v>-4892.1906297100923</v>
      </c>
    </row>
    <row r="115" spans="2:22">
      <c r="B115" s="120">
        <f t="shared" si="31"/>
        <v>1E-4</v>
      </c>
      <c r="C115" s="7">
        <v>1.1399999999999999</v>
      </c>
      <c r="D115" s="7">
        <f t="shared" si="33"/>
        <v>1272.7529995620969</v>
      </c>
      <c r="E115" s="11">
        <f t="shared" si="34"/>
        <v>3.055501652862638E-2</v>
      </c>
      <c r="F115" s="19">
        <f t="shared" si="35"/>
        <v>4.1053656899498712E-2</v>
      </c>
      <c r="G115" s="16">
        <f t="shared" si="36"/>
        <v>13435.979280533647</v>
      </c>
      <c r="H115" s="12"/>
      <c r="I115" s="12"/>
      <c r="J115" s="141"/>
      <c r="K115" s="267"/>
      <c r="L115" s="11"/>
      <c r="M115" s="425" t="e" cm="1">
        <f t="array" ref="M115">($D$5/G115)*(C115*Linterp($D$6,atmos_h,atmos_vela)/L115)</f>
        <v>#DIV/0!</v>
      </c>
      <c r="N115" s="55" t="e">
        <f t="shared" si="25"/>
        <v>#DIV/0!</v>
      </c>
      <c r="O115" s="426" t="e">
        <f t="shared" si="26"/>
        <v>#DIV/0!</v>
      </c>
      <c r="P115" s="12"/>
      <c r="Q115" s="7">
        <f t="shared" si="27"/>
        <v>1.1399999999999999</v>
      </c>
      <c r="R115" s="314" t="e" cm="1">
        <f t="array" ref="R115">numeng*InterpolateXY($D$6,$Q115,Tmil_h,Tmil_M,Tmil_table)</f>
        <v>#VALUE!</v>
      </c>
      <c r="S115" s="12" cm="1">
        <f t="array" ref="S115">numeng*InterpolateXY($D$6,$Q115,Tmax_h,Tmax_M,Tmax_table)</f>
        <v>8235.9999890015806</v>
      </c>
      <c r="T115" s="16">
        <f t="shared" si="28"/>
        <v>13435.979280533647</v>
      </c>
      <c r="U115" s="55" t="e">
        <f t="shared" si="29"/>
        <v>#VALUE!</v>
      </c>
      <c r="V115" s="426">
        <f t="shared" si="30"/>
        <v>-5199.9792915320668</v>
      </c>
    </row>
    <row r="116" spans="2:22">
      <c r="B116" s="120">
        <f t="shared" si="31"/>
        <v>1E-4</v>
      </c>
      <c r="C116" s="7">
        <v>1.1499999999999999</v>
      </c>
      <c r="D116" s="7">
        <f t="shared" si="33"/>
        <v>1283.9174995582555</v>
      </c>
      <c r="E116" s="11">
        <f t="shared" si="34"/>
        <v>3.0025935335049412E-2</v>
      </c>
      <c r="F116" s="19">
        <f t="shared" si="35"/>
        <v>4.1355479803698414E-2</v>
      </c>
      <c r="G116" s="16">
        <f t="shared" si="36"/>
        <v>13773.252803693336</v>
      </c>
      <c r="H116" s="12"/>
      <c r="I116" s="12"/>
      <c r="J116" s="141"/>
      <c r="K116" s="267"/>
      <c r="L116" s="11"/>
      <c r="M116" s="425" t="e" cm="1">
        <f t="array" ref="M116">($D$5/G116)*(C116*Linterp($D$6,atmos_h,atmos_vela)/L116)</f>
        <v>#DIV/0!</v>
      </c>
      <c r="N116" s="55" t="e">
        <f t="shared" si="25"/>
        <v>#DIV/0!</v>
      </c>
      <c r="O116" s="426" t="e">
        <f t="shared" si="26"/>
        <v>#DIV/0!</v>
      </c>
      <c r="P116" s="12"/>
      <c r="Q116" s="7">
        <f t="shared" si="27"/>
        <v>1.1499999999999999</v>
      </c>
      <c r="R116" s="314" t="e" cm="1">
        <f t="array" ref="R116">numeng*InterpolateXY($D$6,$Q116,Tmil_h,Tmil_M,Tmil_table)</f>
        <v>#VALUE!</v>
      </c>
      <c r="S116" s="12" cm="1">
        <f t="array" ref="S116">numeng*InterpolateXY($D$6,$Q116,Tmax_h,Tmax_M,Tmax_table)</f>
        <v>8259.9999890385825</v>
      </c>
      <c r="T116" s="16">
        <f t="shared" si="28"/>
        <v>13773.252803693336</v>
      </c>
      <c r="U116" s="55" t="e">
        <f t="shared" si="29"/>
        <v>#VALUE!</v>
      </c>
      <c r="V116" s="426">
        <f t="shared" si="30"/>
        <v>-5513.2528146547538</v>
      </c>
    </row>
    <row r="117" spans="2:22">
      <c r="B117" s="120">
        <f t="shared" si="31"/>
        <v>1E-4</v>
      </c>
      <c r="C117" s="7">
        <v>1.1599999999999999</v>
      </c>
      <c r="D117" s="7">
        <f t="shared" si="33"/>
        <v>1295.0819995544143</v>
      </c>
      <c r="E117" s="11">
        <f t="shared" si="34"/>
        <v>2.951047821091175E-2</v>
      </c>
      <c r="F117" s="19">
        <f t="shared" si="35"/>
        <v>4.1594796990365147E-2</v>
      </c>
      <c r="G117" s="16">
        <f t="shared" si="36"/>
        <v>14094.924756246453</v>
      </c>
      <c r="H117" s="12"/>
      <c r="I117" s="12"/>
      <c r="J117" s="141"/>
      <c r="K117" s="267"/>
      <c r="L117" s="11"/>
      <c r="M117" s="425" t="e" cm="1">
        <f t="array" ref="M117">($D$5/G117)*(C117*Linterp($D$6,atmos_h,atmos_vela)/L117)</f>
        <v>#DIV/0!</v>
      </c>
      <c r="N117" s="55" t="e">
        <f t="shared" si="25"/>
        <v>#DIV/0!</v>
      </c>
      <c r="O117" s="426" t="e">
        <f t="shared" si="26"/>
        <v>#DIV/0!</v>
      </c>
      <c r="P117" s="12"/>
      <c r="Q117" s="7">
        <f t="shared" si="27"/>
        <v>1.1599999999999999</v>
      </c>
      <c r="R117" s="314" t="e" cm="1">
        <f t="array" ref="R117">numeng*InterpolateXY($D$6,$Q117,Tmil_h,Tmil_M,Tmil_table)</f>
        <v>#VALUE!</v>
      </c>
      <c r="S117" s="12" cm="1">
        <f t="array" ref="S117">numeng*InterpolateXY($D$6,$Q117,Tmax_h,Tmax_M,Tmax_table)</f>
        <v>8283.9999890755826</v>
      </c>
      <c r="T117" s="16">
        <f t="shared" si="28"/>
        <v>14094.924756246453</v>
      </c>
      <c r="U117" s="55" t="e">
        <f t="shared" si="29"/>
        <v>#VALUE!</v>
      </c>
      <c r="V117" s="426">
        <f t="shared" si="30"/>
        <v>-5810.9247671708708</v>
      </c>
    </row>
    <row r="118" spans="2:22">
      <c r="B118" s="120">
        <f t="shared" si="31"/>
        <v>1E-4</v>
      </c>
      <c r="C118" s="7">
        <v>1.17</v>
      </c>
      <c r="D118" s="7">
        <f t="shared" si="33"/>
        <v>1306.2464995505732</v>
      </c>
      <c r="E118" s="11">
        <f t="shared" si="34"/>
        <v>2.9008181372344836E-2</v>
      </c>
      <c r="F118" s="19">
        <f t="shared" si="35"/>
        <v>4.1834056264211786E-2</v>
      </c>
      <c r="G118" s="16">
        <f t="shared" si="36"/>
        <v>14421.468111784006</v>
      </c>
      <c r="H118" s="12"/>
      <c r="I118" s="12"/>
      <c r="J118" s="141"/>
      <c r="K118" s="267"/>
      <c r="L118" s="11"/>
      <c r="M118" s="425" t="e" cm="1">
        <f t="array" ref="M118">($D$5/G118)*(C118*Linterp($D$6,atmos_h,atmos_vela)/L118)</f>
        <v>#DIV/0!</v>
      </c>
      <c r="N118" s="55" t="e">
        <f t="shared" si="25"/>
        <v>#DIV/0!</v>
      </c>
      <c r="O118" s="426" t="e">
        <f t="shared" si="26"/>
        <v>#DIV/0!</v>
      </c>
      <c r="P118" s="12"/>
      <c r="Q118" s="7">
        <f t="shared" si="27"/>
        <v>1.17</v>
      </c>
      <c r="R118" s="314" t="e" cm="1">
        <f t="array" ref="R118">numeng*InterpolateXY($D$6,$Q118,Tmil_h,Tmil_M,Tmil_table)</f>
        <v>#VALUE!</v>
      </c>
      <c r="S118" s="12" cm="1">
        <f t="array" ref="S118">numeng*InterpolateXY($D$6,$Q118,Tmax_h,Tmax_M,Tmax_table)</f>
        <v>8307.9999891125844</v>
      </c>
      <c r="T118" s="16">
        <f t="shared" si="28"/>
        <v>14421.468111784006</v>
      </c>
      <c r="U118" s="55" t="e">
        <f t="shared" si="29"/>
        <v>#VALUE!</v>
      </c>
      <c r="V118" s="426">
        <f t="shared" si="30"/>
        <v>-6113.468122671422</v>
      </c>
    </row>
    <row r="119" spans="2:22">
      <c r="B119" s="120">
        <f t="shared" si="31"/>
        <v>1E-4</v>
      </c>
      <c r="C119" s="7">
        <v>1.18</v>
      </c>
      <c r="D119" s="7">
        <f t="shared" si="33"/>
        <v>1317.4109995467318</v>
      </c>
      <c r="E119" s="11">
        <f t="shared" si="34"/>
        <v>2.8518600603707873E-2</v>
      </c>
      <c r="F119" s="19">
        <f t="shared" si="35"/>
        <v>4.2073260851711938E-2</v>
      </c>
      <c r="G119" s="16">
        <f t="shared" si="36"/>
        <v>14752.919133851799</v>
      </c>
      <c r="H119" s="12"/>
      <c r="I119" s="12"/>
      <c r="J119" s="141"/>
      <c r="K119" s="267"/>
      <c r="L119" s="11"/>
      <c r="M119" s="425" t="e" cm="1">
        <f t="array" ref="M119">($D$5/G119)*(C119*Linterp($D$6,atmos_h,atmos_vela)/L119)</f>
        <v>#DIV/0!</v>
      </c>
      <c r="N119" s="55" t="e">
        <f t="shared" si="25"/>
        <v>#DIV/0!</v>
      </c>
      <c r="O119" s="426" t="e">
        <f t="shared" si="26"/>
        <v>#DIV/0!</v>
      </c>
      <c r="P119" s="12"/>
      <c r="Q119" s="7">
        <f t="shared" si="27"/>
        <v>1.18</v>
      </c>
      <c r="R119" s="314" t="e" cm="1">
        <f t="array" ref="R119">numeng*InterpolateXY($D$6,$Q119,Tmil_h,Tmil_M,Tmil_table)</f>
        <v>#VALUE!</v>
      </c>
      <c r="S119" s="12" cm="1">
        <f t="array" ref="S119">numeng*InterpolateXY($D$6,$Q119,Tmax_h,Tmax_M,Tmax_table)</f>
        <v>8331.9999891495845</v>
      </c>
      <c r="T119" s="16">
        <f t="shared" si="28"/>
        <v>14752.919133851799</v>
      </c>
      <c r="U119" s="55" t="e">
        <f t="shared" si="29"/>
        <v>#VALUE!</v>
      </c>
      <c r="V119" s="426">
        <f t="shared" si="30"/>
        <v>-6420.9191447022149</v>
      </c>
    </row>
    <row r="120" spans="2:22">
      <c r="B120" s="120">
        <f t="shared" si="31"/>
        <v>1E-4</v>
      </c>
      <c r="C120" s="7">
        <v>1.19</v>
      </c>
      <c r="D120" s="7">
        <f t="shared" si="33"/>
        <v>1328.5754995428906</v>
      </c>
      <c r="E120" s="11">
        <f t="shared" si="34"/>
        <v>2.8041310275123823E-2</v>
      </c>
      <c r="F120" s="19">
        <f t="shared" si="35"/>
        <v>4.2312413812419944E-2</v>
      </c>
      <c r="G120" s="16">
        <f t="shared" si="36"/>
        <v>15089.314085995615</v>
      </c>
      <c r="H120" s="12"/>
      <c r="I120" s="12"/>
      <c r="J120" s="141"/>
      <c r="K120" s="267"/>
      <c r="L120" s="11"/>
      <c r="M120" s="425" t="e" cm="1">
        <f t="array" ref="M120">($D$5/G120)*(C120*Linterp($D$6,atmos_h,atmos_vela)/L120)</f>
        <v>#DIV/0!</v>
      </c>
      <c r="N120" s="55" t="e">
        <f t="shared" si="25"/>
        <v>#DIV/0!</v>
      </c>
      <c r="O120" s="426" t="e">
        <f t="shared" si="26"/>
        <v>#DIV/0!</v>
      </c>
      <c r="P120" s="12"/>
      <c r="Q120" s="7">
        <f t="shared" si="27"/>
        <v>1.19</v>
      </c>
      <c r="R120" s="314" t="e" cm="1">
        <f t="array" ref="R120">numeng*InterpolateXY($D$6,$Q120,Tmil_h,Tmil_M,Tmil_table)</f>
        <v>#VALUE!</v>
      </c>
      <c r="S120" s="12" cm="1">
        <f t="array" ref="S120">numeng*InterpolateXY($D$6,$Q120,Tmax_h,Tmax_M,Tmax_table)</f>
        <v>8355.9999891865864</v>
      </c>
      <c r="T120" s="16">
        <f t="shared" si="28"/>
        <v>15089.314085995615</v>
      </c>
      <c r="U120" s="55" t="e">
        <f t="shared" si="29"/>
        <v>#VALUE!</v>
      </c>
      <c r="V120" s="426">
        <f t="shared" si="30"/>
        <v>-6733.3140968090283</v>
      </c>
    </row>
    <row r="121" spans="2:22">
      <c r="B121" s="120">
        <f t="shared" si="31"/>
        <v>1E-4</v>
      </c>
      <c r="C121" s="7">
        <v>1.2</v>
      </c>
      <c r="D121" s="7">
        <f t="shared" si="33"/>
        <v>1339.7399995390494</v>
      </c>
      <c r="E121" s="11">
        <f t="shared" si="34"/>
        <v>2.757590241708531E-2</v>
      </c>
      <c r="F121" s="19">
        <f t="shared" si="35"/>
        <v>4.2551518048341709E-2</v>
      </c>
      <c r="G121" s="16">
        <f t="shared" si="36"/>
        <v>15430.689231761244</v>
      </c>
      <c r="H121" s="12"/>
      <c r="I121" s="12"/>
      <c r="J121" s="141"/>
      <c r="K121" s="267"/>
      <c r="L121" s="11"/>
      <c r="M121" s="425" t="e" cm="1">
        <f t="array" ref="M121">($D$5/G121)*(C121*Linterp($D$6,atmos_h,atmos_vela)/L121)</f>
        <v>#DIV/0!</v>
      </c>
      <c r="N121" s="55" t="e">
        <f t="shared" si="25"/>
        <v>#DIV/0!</v>
      </c>
      <c r="O121" s="426" t="e">
        <f t="shared" si="26"/>
        <v>#DIV/0!</v>
      </c>
      <c r="P121" s="12"/>
      <c r="Q121" s="7">
        <f t="shared" si="27"/>
        <v>1.2</v>
      </c>
      <c r="R121" s="314" t="e" cm="1">
        <f t="array" ref="R121">numeng*InterpolateXY($D$6,$Q121,Tmil_h,Tmil_M,Tmil_table)</f>
        <v>#VALUE!</v>
      </c>
      <c r="S121" s="12" cm="1">
        <f t="array" ref="S121">numeng*InterpolateXY($D$6,$Q121,Tmax_h,Tmax_M,Tmax_table)</f>
        <v>8379.9999892235865</v>
      </c>
      <c r="T121" s="16">
        <f t="shared" si="28"/>
        <v>15430.689231761244</v>
      </c>
      <c r="U121" s="55" t="e">
        <f t="shared" si="29"/>
        <v>#VALUE!</v>
      </c>
      <c r="V121" s="426">
        <f t="shared" si="30"/>
        <v>-7050.6892425376573</v>
      </c>
    </row>
    <row r="122" spans="2:22">
      <c r="B122" s="120"/>
      <c r="C122" s="7"/>
      <c r="D122" s="7"/>
      <c r="E122" s="11"/>
      <c r="F122" s="19"/>
      <c r="G122" s="16"/>
      <c r="H122" s="12"/>
      <c r="I122" s="12"/>
      <c r="J122" s="141"/>
      <c r="K122" s="267"/>
      <c r="L122" s="11"/>
      <c r="M122" s="121"/>
      <c r="N122" s="11"/>
      <c r="O122" s="11"/>
      <c r="P122" s="12"/>
      <c r="Q122" s="12"/>
      <c r="R122" s="12"/>
      <c r="S122" s="12"/>
      <c r="T122" s="16"/>
      <c r="U122" s="16"/>
      <c r="V122" s="16"/>
    </row>
    <row r="123" spans="2:22" ht="15" thickBot="1">
      <c r="C123" s="7"/>
      <c r="D123" s="7"/>
      <c r="E123" s="11"/>
      <c r="F123" s="19"/>
      <c r="G123" s="16"/>
      <c r="H123" s="12"/>
      <c r="I123" s="12"/>
      <c r="J123" s="141"/>
      <c r="K123" s="11"/>
      <c r="L123" s="121"/>
      <c r="M123" s="12"/>
      <c r="N123" s="12"/>
      <c r="O123" s="12"/>
    </row>
    <row r="124" spans="2:22" ht="15" thickBot="1">
      <c r="C124" t="s">
        <v>237</v>
      </c>
      <c r="E124" s="7" t="s">
        <v>356</v>
      </c>
      <c r="F124" s="189" cm="1">
        <f t="array" ref="F124">x_at_ymax(C24:C94,M24:M94)</f>
        <v>0.44707415911023535</v>
      </c>
      <c r="G124" s="4"/>
      <c r="L124" s="55"/>
      <c r="M124" s="55"/>
      <c r="N124" s="12"/>
      <c r="O124" s="12"/>
      <c r="R124" s="276" t="s">
        <v>51</v>
      </c>
      <c r="S124" s="55" t="s">
        <v>358</v>
      </c>
      <c r="T124" t="s">
        <v>383</v>
      </c>
      <c r="U124" s="192" cm="1">
        <f t="array" ref="U124">x_at_y0(Q24:Q101,U24:U97)</f>
        <v>0.94433918633187464</v>
      </c>
    </row>
    <row r="125" spans="2:22" ht="15" thickBot="1">
      <c r="E125" s="7" t="s">
        <v>357</v>
      </c>
      <c r="F125" s="175" cm="1">
        <f t="array" ref="F125">y_max(C41:C51,M41:M51)</f>
        <v>2656.194615841152</v>
      </c>
      <c r="G125" s="14"/>
      <c r="M125" s="12"/>
      <c r="N125" s="12"/>
      <c r="O125" s="12"/>
      <c r="U125" s="55"/>
    </row>
    <row r="126" spans="2:22" ht="15" thickBot="1">
      <c r="C126" s="7"/>
      <c r="M126" s="12"/>
      <c r="N126" s="12"/>
      <c r="O126" s="12"/>
      <c r="S126" s="55" t="s">
        <v>358</v>
      </c>
      <c r="T126" t="s">
        <v>175</v>
      </c>
      <c r="V126" s="192" cm="1">
        <f t="array" ref="V126">x_at_y0(Q24:Q121,V24:V121)</f>
        <v>0.99146839734771031</v>
      </c>
    </row>
    <row r="127" spans="2:22">
      <c r="C127" s="7"/>
      <c r="D127" s="7"/>
      <c r="E127" s="4"/>
      <c r="F127" s="2"/>
      <c r="M127" s="12"/>
      <c r="N127" s="12"/>
      <c r="O127" s="12"/>
    </row>
    <row r="128" spans="2:22">
      <c r="C128" s="7"/>
      <c r="D128" s="7"/>
      <c r="E128" s="4"/>
      <c r="F128" s="1"/>
      <c r="L128" s="12"/>
      <c r="M128" s="12"/>
      <c r="N128" s="12"/>
      <c r="O128" s="12"/>
    </row>
    <row r="129" spans="3:17" ht="15" thickBot="1">
      <c r="C129" s="7"/>
      <c r="D129" s="7"/>
      <c r="E129" s="11"/>
      <c r="F129" s="19"/>
      <c r="G129" s="16"/>
      <c r="J129" s="12"/>
      <c r="K129" s="12"/>
      <c r="L129" s="12"/>
      <c r="M129" s="12"/>
      <c r="N129" s="12"/>
      <c r="O129" s="12"/>
    </row>
    <row r="130" spans="3:17">
      <c r="C130" t="s">
        <v>238</v>
      </c>
      <c r="D130" s="7"/>
      <c r="E130" s="7" t="s">
        <v>356</v>
      </c>
      <c r="F130" s="189" cm="1">
        <f t="array" ref="F130">x_at_ymax(C24:C94,N24:N94)</f>
        <v>0.34351968064665794</v>
      </c>
      <c r="G130" s="4"/>
      <c r="J130" s="12"/>
      <c r="K130" s="12"/>
      <c r="L130" s="12"/>
      <c r="M130" s="12"/>
      <c r="N130" s="12"/>
      <c r="O130" s="12"/>
    </row>
    <row r="131" spans="3:17" ht="15" thickBot="1">
      <c r="C131" s="7"/>
      <c r="D131" s="7"/>
      <c r="E131" s="7" t="s">
        <v>357</v>
      </c>
      <c r="F131" s="174" cm="1">
        <f t="array" ref="F131">y_max(C31:C41,N31:N41)</f>
        <v>10.416507113446983</v>
      </c>
      <c r="G131" s="14"/>
      <c r="J131" s="12"/>
      <c r="K131" s="12"/>
      <c r="L131" s="12"/>
      <c r="M131" s="12"/>
      <c r="N131" s="12"/>
      <c r="O131" s="12"/>
    </row>
    <row r="132" spans="3:17">
      <c r="C132" s="7"/>
      <c r="D132" s="7"/>
      <c r="J132" s="12"/>
      <c r="K132" s="12"/>
      <c r="L132" s="12"/>
      <c r="M132" s="12"/>
      <c r="N132" s="12"/>
      <c r="O132" s="12"/>
    </row>
    <row r="133" spans="3:17">
      <c r="C133" s="7"/>
      <c r="D133" s="7"/>
      <c r="E133" s="4"/>
      <c r="F133" s="2"/>
      <c r="J133" s="12"/>
      <c r="K133" s="12"/>
      <c r="L133" s="12"/>
      <c r="M133" s="12"/>
      <c r="N133" s="12"/>
      <c r="O133" s="12"/>
    </row>
    <row r="134" spans="3:17">
      <c r="C134" s="7"/>
      <c r="D134" s="7"/>
      <c r="E134" s="4"/>
      <c r="F134" s="2"/>
      <c r="J134" s="12"/>
      <c r="K134" s="12"/>
      <c r="L134" s="12"/>
      <c r="M134" s="12"/>
      <c r="N134" s="12"/>
      <c r="O134" s="12"/>
      <c r="P134" s="12"/>
    </row>
    <row r="135" spans="3:17" ht="15" thickBot="1">
      <c r="C135" s="7"/>
      <c r="D135" s="7" t="s">
        <v>549</v>
      </c>
      <c r="E135" s="12">
        <v>1000</v>
      </c>
      <c r="F135" s="19" t="s">
        <v>547</v>
      </c>
      <c r="G135" s="16"/>
      <c r="H135" s="16"/>
      <c r="I135" s="12"/>
      <c r="J135" s="12"/>
      <c r="K135" s="12"/>
      <c r="L135" s="12"/>
      <c r="M135" s="12"/>
      <c r="N135" s="12"/>
      <c r="O135" s="12"/>
      <c r="P135" s="12"/>
    </row>
    <row r="136" spans="3:17" ht="15" thickBot="1">
      <c r="C136" s="7"/>
      <c r="D136" s="7"/>
      <c r="E136" s="143" t="s">
        <v>239</v>
      </c>
      <c r="F136" s="269">
        <f>F125*LN($D$5/($D$5-E135))</f>
        <v>279.85803441256576</v>
      </c>
      <c r="G136" s="144" t="s">
        <v>183</v>
      </c>
      <c r="H136" s="272" t="s">
        <v>376</v>
      </c>
      <c r="I136" s="190" cm="1">
        <f t="array" ref="I136">(F136/(F124*Linterp(D6,atmos_h,atmos_vela)))*(60/1)</f>
        <v>56.816079435802642</v>
      </c>
      <c r="J136" s="145" t="s">
        <v>201</v>
      </c>
      <c r="K136" s="12"/>
      <c r="L136" s="12"/>
      <c r="M136" s="12"/>
      <c r="N136" s="12"/>
      <c r="O136" s="12"/>
      <c r="P136" s="12"/>
    </row>
    <row r="137" spans="3:17" ht="15" thickBot="1">
      <c r="C137" s="7"/>
      <c r="D137" s="7"/>
      <c r="E137" s="143"/>
      <c r="F137" s="270"/>
      <c r="G137" s="144"/>
      <c r="H137" s="144"/>
      <c r="I137" s="271"/>
      <c r="J137" s="145"/>
      <c r="K137" s="12"/>
      <c r="L137" s="12"/>
      <c r="M137" s="12"/>
      <c r="N137" s="12"/>
      <c r="O137" s="12"/>
      <c r="P137" s="12"/>
    </row>
    <row r="138" spans="3:17" ht="15" thickBot="1">
      <c r="C138" s="7"/>
      <c r="D138" s="7"/>
      <c r="E138" s="143" t="s">
        <v>240</v>
      </c>
      <c r="F138" s="268">
        <f>F131*60*LN($D$5/($D$5-E135))</f>
        <v>65.849313649571428</v>
      </c>
      <c r="G138" s="144" t="s">
        <v>201</v>
      </c>
      <c r="H138" s="272" t="s">
        <v>377</v>
      </c>
      <c r="I138" s="269" cm="1">
        <f t="array" ref="I138">F138*F130*Linterp(D6,atmos_h,atmos_vela)/60</f>
        <v>249.22397872256062</v>
      </c>
      <c r="J138" s="145" t="s">
        <v>183</v>
      </c>
      <c r="K138" s="12"/>
      <c r="L138" s="12"/>
      <c r="M138" s="12"/>
      <c r="N138" s="12"/>
      <c r="O138" s="12"/>
      <c r="P138" s="12"/>
    </row>
    <row r="139" spans="3:17">
      <c r="C139" s="7"/>
      <c r="D139" s="7"/>
      <c r="E139" s="11"/>
      <c r="F139" s="19"/>
      <c r="G139" s="16"/>
      <c r="H139" s="16"/>
      <c r="I139" s="12"/>
      <c r="J139" s="12"/>
      <c r="K139" s="12"/>
      <c r="L139" s="12"/>
      <c r="M139" s="12"/>
      <c r="N139" s="12"/>
      <c r="O139" s="12"/>
      <c r="P139" s="12"/>
      <c r="Q139" s="12"/>
    </row>
    <row r="140" spans="3:17">
      <c r="E140" t="s">
        <v>374</v>
      </c>
    </row>
    <row r="141" spans="3:17">
      <c r="E141" t="s">
        <v>375</v>
      </c>
    </row>
  </sheetData>
  <mergeCells count="2">
    <mergeCell ref="B2:D2"/>
    <mergeCell ref="B3:D3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621C1-95DD-4012-9467-552AF174BDDA}">
  <sheetPr codeName="Sheet20">
    <tabColor rgb="FFFFCCFF"/>
  </sheetPr>
  <dimension ref="B1:V141"/>
  <sheetViews>
    <sheetView workbookViewId="0">
      <selection activeCell="E4" sqref="E4"/>
    </sheetView>
  </sheetViews>
  <sheetFormatPr defaultRowHeight="14.5"/>
  <cols>
    <col min="1" max="1" width="2.7265625" customWidth="1"/>
    <col min="2" max="13" width="12.7265625" customWidth="1"/>
    <col min="14" max="16" width="10.7265625" customWidth="1"/>
    <col min="17" max="22" width="12.7265625" customWidth="1"/>
    <col min="23" max="66" width="10.7265625" customWidth="1"/>
  </cols>
  <sheetData>
    <row r="1" spans="2:22" ht="15" thickBot="1"/>
    <row r="2" spans="2:22">
      <c r="B2" s="601" t="s">
        <v>331</v>
      </c>
      <c r="C2" s="605"/>
      <c r="D2" s="606"/>
    </row>
    <row r="3" spans="2:22" ht="15" thickBot="1">
      <c r="B3" s="602" t="s">
        <v>379</v>
      </c>
      <c r="C3" s="607"/>
      <c r="D3" s="608"/>
    </row>
    <row r="5" spans="2:22">
      <c r="C5" t="s">
        <v>6</v>
      </c>
      <c r="D5" s="8">
        <v>10000</v>
      </c>
      <c r="E5" t="s">
        <v>5</v>
      </c>
      <c r="G5" t="s">
        <v>0</v>
      </c>
      <c r="H5" s="1">
        <f>Linterp(D6,atmos_h,atmos_qms)</f>
        <v>1018.7315510840876</v>
      </c>
      <c r="I5" t="s">
        <v>19</v>
      </c>
    </row>
    <row r="6" spans="2:22">
      <c r="C6" t="s">
        <v>1</v>
      </c>
      <c r="D6" s="8">
        <v>10000</v>
      </c>
      <c r="E6" t="s">
        <v>2</v>
      </c>
      <c r="G6" t="s">
        <v>153</v>
      </c>
      <c r="H6" s="3">
        <f>Linterp(D6,atmos_h,atmos_aspeed)</f>
        <v>1077.3871084702648</v>
      </c>
      <c r="I6" t="s">
        <v>20</v>
      </c>
    </row>
    <row r="7" spans="2:22">
      <c r="D7" s="8"/>
      <c r="G7" t="s">
        <v>155</v>
      </c>
      <c r="H7" s="9">
        <f>Linterp(D6,atmos_h,atmos_rho)</f>
        <v>1.7552669091677436E-3</v>
      </c>
      <c r="I7" t="s">
        <v>156</v>
      </c>
    </row>
    <row r="8" spans="2:22" ht="15" thickBot="1">
      <c r="H8" s="2"/>
      <c r="I8" s="1">
        <v>1</v>
      </c>
      <c r="L8" s="4"/>
      <c r="M8" s="4"/>
      <c r="N8" s="4"/>
      <c r="O8" s="4"/>
    </row>
    <row r="9" spans="2:22">
      <c r="B9" s="6" t="s">
        <v>1</v>
      </c>
      <c r="C9" s="6" t="s">
        <v>72</v>
      </c>
      <c r="D9" s="6" t="s">
        <v>232</v>
      </c>
      <c r="E9" s="6" t="s">
        <v>74</v>
      </c>
      <c r="F9" s="6" t="s">
        <v>75</v>
      </c>
      <c r="G9" s="6" t="s">
        <v>186</v>
      </c>
      <c r="H9" s="6" t="s">
        <v>294</v>
      </c>
      <c r="I9" s="6" t="s">
        <v>295</v>
      </c>
      <c r="J9" s="6" t="s">
        <v>233</v>
      </c>
      <c r="K9" s="6" t="s">
        <v>85</v>
      </c>
      <c r="L9" s="6" t="s">
        <v>234</v>
      </c>
      <c r="M9" s="312" t="s">
        <v>235</v>
      </c>
      <c r="N9" s="301" t="s">
        <v>236</v>
      </c>
      <c r="O9" s="310" t="s">
        <v>402</v>
      </c>
      <c r="P9" s="6"/>
      <c r="Q9" s="6" t="s">
        <v>72</v>
      </c>
      <c r="R9" s="312" t="s">
        <v>187</v>
      </c>
      <c r="S9" s="301" t="s">
        <v>202</v>
      </c>
      <c r="T9" s="301" t="s">
        <v>186</v>
      </c>
      <c r="U9" s="301" t="s">
        <v>381</v>
      </c>
      <c r="V9" s="310" t="s">
        <v>382</v>
      </c>
    </row>
    <row r="10" spans="2:22">
      <c r="B10" s="6" t="s">
        <v>30</v>
      </c>
      <c r="C10" s="6" t="s">
        <v>77</v>
      </c>
      <c r="D10" s="6" t="s">
        <v>69</v>
      </c>
      <c r="E10" s="6"/>
      <c r="F10" s="6"/>
      <c r="G10" s="6" t="s">
        <v>78</v>
      </c>
      <c r="H10" s="6" t="s">
        <v>78</v>
      </c>
      <c r="I10" s="6" t="s">
        <v>86</v>
      </c>
      <c r="J10" s="6" t="s">
        <v>87</v>
      </c>
      <c r="K10" s="6" t="s">
        <v>86</v>
      </c>
      <c r="L10" s="6" t="s">
        <v>414</v>
      </c>
      <c r="M10" s="317" t="s">
        <v>203</v>
      </c>
      <c r="N10" s="316" t="s">
        <v>415</v>
      </c>
      <c r="O10" s="318" t="s">
        <v>416</v>
      </c>
      <c r="P10" s="6"/>
      <c r="Q10" s="6" t="s">
        <v>77</v>
      </c>
      <c r="R10" s="317" t="s">
        <v>78</v>
      </c>
      <c r="S10" s="316" t="s">
        <v>78</v>
      </c>
      <c r="T10" s="316" t="s">
        <v>78</v>
      </c>
      <c r="U10" s="316" t="s">
        <v>78</v>
      </c>
      <c r="V10" s="318" t="s">
        <v>78</v>
      </c>
    </row>
    <row r="11" spans="2:22">
      <c r="B11" s="120">
        <f>D6</f>
        <v>10000</v>
      </c>
      <c r="C11" s="7">
        <v>0.1</v>
      </c>
      <c r="D11" s="7">
        <f t="shared" ref="D11:D19" si="0">C11*H$6</f>
        <v>107.73871084702648</v>
      </c>
      <c r="E11" s="11">
        <f t="shared" ref="E11:E74" si="1">D$5/(H$5*C11*C11*_xlfn.SINGLE(S))</f>
        <v>5.7741933435915858</v>
      </c>
      <c r="F11" s="19" t="e">
        <f>InterpolateXY(E11,C11,CD_CL,CD_M,CD_table)</f>
        <v>#VALUE!</v>
      </c>
      <c r="G11" t="e">
        <f t="shared" ref="G11:G74" si="2">F11*$H$5*C11*C11*_xlfn.SINGLE(S)</f>
        <v>#VALUE!</v>
      </c>
      <c r="H11" s="12">
        <f t="shared" ref="H11:H74" si="3">_xlfn.SINGLE(InterpolateXY(B11,C11,Tnorm_h,Tnorm_M,Tnorm_table))*_xlfn.SINGLE(numeng)</f>
        <v>2702.8191947233104</v>
      </c>
      <c r="I11" s="12">
        <f t="shared" ref="I11:I42" si="4">_xlfn.SINGLE(InterpolateXYZ($I$8,C11,B11,FFnorm_PS,FFnorm_M,FFnorm_h,FFnorm_table))*_xlfn.SINGLE(numeng)</f>
        <v>2842.9943007243996</v>
      </c>
      <c r="J11" s="141" t="e">
        <f>G11/H11</f>
        <v>#VALUE!</v>
      </c>
      <c r="K11" s="267" t="e" cm="1">
        <f t="array" ref="K11">InterpolateXYZ(J11,C11,B11,FFnorm_PS,FFnorm_M,FFnorm_h,FFnorm_table)*numeng</f>
        <v>#VALUE!</v>
      </c>
      <c r="L11" s="11" t="e">
        <f>K11/G11</f>
        <v>#VALUE!</v>
      </c>
      <c r="M11" s="425" t="e" cm="1">
        <f t="array" ref="M11">($D$5/G11)*(C11*Linterp($D$6,atmos_h,atmos_vela)/L11)</f>
        <v>#VALUE!</v>
      </c>
      <c r="N11" s="55" t="e">
        <f>($D$5/G11)*(1/L11)</f>
        <v>#VALUE!</v>
      </c>
      <c r="O11" s="426" t="e">
        <f>M11/$D$5</f>
        <v>#VALUE!</v>
      </c>
      <c r="P11" s="3"/>
      <c r="Q11" s="7">
        <f>C11</f>
        <v>0.1</v>
      </c>
      <c r="R11" s="314" cm="1">
        <f t="array" ref="R11">numeng*InterpolateXY($D$6,$Q11,Tmil_h,Tmil_M,Tmil_table)</f>
        <v>2894.8223671633441</v>
      </c>
      <c r="S11" s="12" cm="1">
        <f t="array" ref="S11">numeng*InterpolateXY($D$6,$Q11,Tmax_h,Tmax_M,Tmax_table)</f>
        <v>4327.4640488717332</v>
      </c>
      <c r="T11" s="16" t="e">
        <f>G11</f>
        <v>#VALUE!</v>
      </c>
      <c r="U11" s="55" t="e">
        <f>R11-T11</f>
        <v>#VALUE!</v>
      </c>
      <c r="V11" s="426" t="e">
        <f>S11-T11</f>
        <v>#VALUE!</v>
      </c>
    </row>
    <row r="12" spans="2:22">
      <c r="B12" s="120">
        <f>B11</f>
        <v>10000</v>
      </c>
      <c r="C12" s="7">
        <v>0.11</v>
      </c>
      <c r="D12" s="7">
        <f t="shared" si="0"/>
        <v>118.51258193172913</v>
      </c>
      <c r="E12" s="11">
        <f t="shared" si="1"/>
        <v>4.7720606145385007</v>
      </c>
      <c r="F12" s="19" t="e">
        <f t="shared" ref="F12:F75" si="5">InterpolateXY(E12,C12,CD_CL,CD_M,CD_table)</f>
        <v>#VALUE!</v>
      </c>
      <c r="G12" t="e">
        <f t="shared" si="2"/>
        <v>#VALUE!</v>
      </c>
      <c r="H12" s="12">
        <f t="shared" si="3"/>
        <v>2711.6808970010916</v>
      </c>
      <c r="I12" s="12">
        <f t="shared" si="4"/>
        <v>2852.3155935136601</v>
      </c>
      <c r="J12" s="141" t="e">
        <f t="shared" ref="J12:J75" si="6">G12/H12</f>
        <v>#VALUE!</v>
      </c>
      <c r="K12" s="267" t="e" cm="1">
        <f t="array" ref="K12">InterpolateXYZ(J12,C12,B12,FFnorm_PS,FFnorm_M,FFnorm_h,FFnorm_table)*numeng</f>
        <v>#VALUE!</v>
      </c>
      <c r="L12" s="11" t="e">
        <f t="shared" ref="L12:L75" si="7">K12/G12</f>
        <v>#VALUE!</v>
      </c>
      <c r="M12" s="425" t="e" cm="1">
        <f t="array" ref="M12">($D$5/G12)*(C12*Linterp($D$6,atmos_h,atmos_vela)/L12)</f>
        <v>#VALUE!</v>
      </c>
      <c r="N12" s="55" t="e">
        <f t="shared" ref="N12:N75" si="8">($D$5/G12)*(1/L12)</f>
        <v>#VALUE!</v>
      </c>
      <c r="O12" s="426" t="e">
        <f t="shared" ref="O12:O75" si="9">M12/$D$5</f>
        <v>#VALUE!</v>
      </c>
      <c r="P12" s="12"/>
      <c r="Q12" s="7">
        <f t="shared" ref="Q12:Q75" si="10">C12</f>
        <v>0.11</v>
      </c>
      <c r="R12" s="314" cm="1">
        <f t="array" ref="R12">numeng*InterpolateXY($D$6,$Q12,Tmil_h,Tmil_M,Tmil_table)</f>
        <v>2903.6840682873135</v>
      </c>
      <c r="S12" s="12" cm="1">
        <f t="array" ref="S12">numeng*InterpolateXY($D$6,$Q12,Tmax_h,Tmax_M,Tmax_table)</f>
        <v>4354.0491522436414</v>
      </c>
      <c r="T12" s="16" t="e">
        <f t="shared" ref="T12:T75" si="11">G12</f>
        <v>#VALUE!</v>
      </c>
      <c r="U12" s="55" t="e">
        <f t="shared" ref="U12:U75" si="12">R12-T12</f>
        <v>#VALUE!</v>
      </c>
      <c r="V12" s="426" t="e">
        <f t="shared" ref="V12:V75" si="13">S12-T12</f>
        <v>#VALUE!</v>
      </c>
    </row>
    <row r="13" spans="2:22">
      <c r="B13" s="120">
        <f t="shared" ref="B13:B76" si="14">B12</f>
        <v>10000</v>
      </c>
      <c r="C13" s="7">
        <v>0.12</v>
      </c>
      <c r="D13" s="7">
        <f t="shared" si="0"/>
        <v>129.28645301643178</v>
      </c>
      <c r="E13" s="11">
        <f t="shared" si="1"/>
        <v>4.0098564886052683</v>
      </c>
      <c r="F13" s="19" t="e">
        <f t="shared" si="5"/>
        <v>#VALUE!</v>
      </c>
      <c r="G13" t="e">
        <f t="shared" si="2"/>
        <v>#VALUE!</v>
      </c>
      <c r="H13" s="12">
        <f t="shared" si="3"/>
        <v>2720.5425992788732</v>
      </c>
      <c r="I13" s="12">
        <f t="shared" si="4"/>
        <v>2861.6368863029202</v>
      </c>
      <c r="J13" s="141" t="e">
        <f t="shared" si="6"/>
        <v>#VALUE!</v>
      </c>
      <c r="K13" s="267" t="e" cm="1">
        <f t="array" ref="K13">InterpolateXYZ(J13,C13,B13,FFnorm_PS,FFnorm_M,FFnorm_h,FFnorm_table)*numeng</f>
        <v>#VALUE!</v>
      </c>
      <c r="L13" s="11" t="e">
        <f t="shared" si="7"/>
        <v>#VALUE!</v>
      </c>
      <c r="M13" s="425" t="e" cm="1">
        <f t="array" ref="M13">($D$5/G13)*(C13*Linterp($D$6,atmos_h,atmos_vela)/L13)</f>
        <v>#VALUE!</v>
      </c>
      <c r="N13" s="55" t="e">
        <f t="shared" si="8"/>
        <v>#VALUE!</v>
      </c>
      <c r="O13" s="426" t="e">
        <f t="shared" si="9"/>
        <v>#VALUE!</v>
      </c>
      <c r="P13" s="12"/>
      <c r="Q13" s="7">
        <f t="shared" si="10"/>
        <v>0.12</v>
      </c>
      <c r="R13" s="314" cm="1">
        <f t="array" ref="R13">numeng*InterpolateXY($D$6,$Q13,Tmil_h,Tmil_M,Tmil_table)</f>
        <v>2912.5457694112829</v>
      </c>
      <c r="S13" s="12" cm="1">
        <f t="array" ref="S13">numeng*InterpolateXY($D$6,$Q13,Tmax_h,Tmax_M,Tmax_table)</f>
        <v>4380.6342556155496</v>
      </c>
      <c r="T13" s="16" t="e">
        <f t="shared" si="11"/>
        <v>#VALUE!</v>
      </c>
      <c r="U13" s="55" t="e">
        <f t="shared" si="12"/>
        <v>#VALUE!</v>
      </c>
      <c r="V13" s="426" t="e">
        <f t="shared" si="13"/>
        <v>#VALUE!</v>
      </c>
    </row>
    <row r="14" spans="2:22">
      <c r="B14" s="120">
        <f t="shared" si="14"/>
        <v>10000</v>
      </c>
      <c r="C14" s="7">
        <v>0.13</v>
      </c>
      <c r="D14" s="7">
        <f t="shared" si="0"/>
        <v>140.06032410113443</v>
      </c>
      <c r="E14" s="11">
        <f t="shared" si="1"/>
        <v>3.4166824518293399</v>
      </c>
      <c r="F14" s="19" t="e">
        <f t="shared" si="5"/>
        <v>#VALUE!</v>
      </c>
      <c r="G14" t="e">
        <f t="shared" si="2"/>
        <v>#VALUE!</v>
      </c>
      <c r="H14" s="12">
        <f t="shared" si="3"/>
        <v>2729.4043015566544</v>
      </c>
      <c r="I14" s="12">
        <f t="shared" si="4"/>
        <v>2870.9581790921807</v>
      </c>
      <c r="J14" s="141" t="e">
        <f t="shared" si="6"/>
        <v>#VALUE!</v>
      </c>
      <c r="K14" s="267" t="e" cm="1">
        <f t="array" ref="K14">InterpolateXYZ(J14,C14,B14,FFnorm_PS,FFnorm_M,FFnorm_h,FFnorm_table)*numeng</f>
        <v>#VALUE!</v>
      </c>
      <c r="L14" s="11" t="e">
        <f t="shared" si="7"/>
        <v>#VALUE!</v>
      </c>
      <c r="M14" s="425" t="e" cm="1">
        <f t="array" ref="M14">($D$5/G14)*(C14*Linterp($D$6,atmos_h,atmos_vela)/L14)</f>
        <v>#VALUE!</v>
      </c>
      <c r="N14" s="55" t="e">
        <f t="shared" si="8"/>
        <v>#VALUE!</v>
      </c>
      <c r="O14" s="426" t="e">
        <f t="shared" si="9"/>
        <v>#VALUE!</v>
      </c>
      <c r="P14" s="12"/>
      <c r="Q14" s="7">
        <f t="shared" si="10"/>
        <v>0.13</v>
      </c>
      <c r="R14" s="314" cm="1">
        <f t="array" ref="R14">numeng*InterpolateXY($D$6,$Q14,Tmil_h,Tmil_M,Tmil_table)</f>
        <v>2921.4074705352523</v>
      </c>
      <c r="S14" s="12" cm="1">
        <f t="array" ref="S14">numeng*InterpolateXY($D$6,$Q14,Tmax_h,Tmax_M,Tmax_table)</f>
        <v>4407.2193589874578</v>
      </c>
      <c r="T14" s="16" t="e">
        <f t="shared" si="11"/>
        <v>#VALUE!</v>
      </c>
      <c r="U14" s="55" t="e">
        <f t="shared" si="12"/>
        <v>#VALUE!</v>
      </c>
      <c r="V14" s="426" t="e">
        <f t="shared" si="13"/>
        <v>#VALUE!</v>
      </c>
    </row>
    <row r="15" spans="2:22">
      <c r="B15" s="120">
        <f t="shared" si="14"/>
        <v>10000</v>
      </c>
      <c r="C15" s="7">
        <v>0.14000000000000001</v>
      </c>
      <c r="D15" s="7">
        <f t="shared" si="0"/>
        <v>150.8341951858371</v>
      </c>
      <c r="E15" s="11">
        <f t="shared" si="1"/>
        <v>2.9460170120365228</v>
      </c>
      <c r="F15" s="19" t="e">
        <f t="shared" si="5"/>
        <v>#VALUE!</v>
      </c>
      <c r="G15" t="e">
        <f t="shared" si="2"/>
        <v>#VALUE!</v>
      </c>
      <c r="H15" s="12">
        <f t="shared" si="3"/>
        <v>2738.2660038344357</v>
      </c>
      <c r="I15" s="12">
        <f t="shared" si="4"/>
        <v>2880.2794718814412</v>
      </c>
      <c r="J15" s="141" t="e">
        <f t="shared" si="6"/>
        <v>#VALUE!</v>
      </c>
      <c r="K15" s="267" t="e" cm="1">
        <f t="array" ref="K15">InterpolateXYZ(J15,C15,B15,FFnorm_PS,FFnorm_M,FFnorm_h,FFnorm_table)*numeng</f>
        <v>#VALUE!</v>
      </c>
      <c r="L15" s="11" t="e">
        <f t="shared" si="7"/>
        <v>#VALUE!</v>
      </c>
      <c r="M15" s="425" t="e" cm="1">
        <f t="array" ref="M15">($D$5/G15)*(C15*Linterp($D$6,atmos_h,atmos_vela)/L15)</f>
        <v>#VALUE!</v>
      </c>
      <c r="N15" s="55" t="e">
        <f t="shared" si="8"/>
        <v>#VALUE!</v>
      </c>
      <c r="O15" s="426" t="e">
        <f t="shared" si="9"/>
        <v>#VALUE!</v>
      </c>
      <c r="P15" s="12"/>
      <c r="Q15" s="7">
        <f t="shared" si="10"/>
        <v>0.14000000000000001</v>
      </c>
      <c r="R15" s="314" cm="1">
        <f t="array" ref="R15">numeng*InterpolateXY($D$6,$Q15,Tmil_h,Tmil_M,Tmil_table)</f>
        <v>2930.2691716592217</v>
      </c>
      <c r="S15" s="12" cm="1">
        <f t="array" ref="S15">numeng*InterpolateXY($D$6,$Q15,Tmax_h,Tmax_M,Tmax_table)</f>
        <v>4433.804462359366</v>
      </c>
      <c r="T15" s="16" t="e">
        <f t="shared" si="11"/>
        <v>#VALUE!</v>
      </c>
      <c r="U15" s="55" t="e">
        <f t="shared" si="12"/>
        <v>#VALUE!</v>
      </c>
      <c r="V15" s="426" t="e">
        <f t="shared" si="13"/>
        <v>#VALUE!</v>
      </c>
    </row>
    <row r="16" spans="2:22">
      <c r="B16" s="120">
        <f t="shared" si="14"/>
        <v>10000</v>
      </c>
      <c r="C16" s="7">
        <v>0.15</v>
      </c>
      <c r="D16" s="7">
        <f t="shared" si="0"/>
        <v>161.60806627053972</v>
      </c>
      <c r="E16" s="11">
        <f t="shared" si="1"/>
        <v>2.5663081527073719</v>
      </c>
      <c r="F16" s="19" t="e">
        <f t="shared" si="5"/>
        <v>#VALUE!</v>
      </c>
      <c r="G16" t="e">
        <f t="shared" si="2"/>
        <v>#VALUE!</v>
      </c>
      <c r="H16" s="12">
        <f t="shared" si="3"/>
        <v>2747.1277061122169</v>
      </c>
      <c r="I16" s="12">
        <f t="shared" si="4"/>
        <v>2889.6007646707012</v>
      </c>
      <c r="J16" s="141" t="e">
        <f t="shared" si="6"/>
        <v>#VALUE!</v>
      </c>
      <c r="K16" s="267" t="e" cm="1">
        <f t="array" ref="K16">InterpolateXYZ(J16,C16,B16,FFnorm_PS,FFnorm_M,FFnorm_h,FFnorm_table)*numeng</f>
        <v>#VALUE!</v>
      </c>
      <c r="L16" s="11" t="e">
        <f t="shared" si="7"/>
        <v>#VALUE!</v>
      </c>
      <c r="M16" s="425" t="e" cm="1">
        <f t="array" ref="M16">($D$5/G16)*(C16*Linterp($D$6,atmos_h,atmos_vela)/L16)</f>
        <v>#VALUE!</v>
      </c>
      <c r="N16" s="55" t="e">
        <f t="shared" si="8"/>
        <v>#VALUE!</v>
      </c>
      <c r="O16" s="426" t="e">
        <f t="shared" si="9"/>
        <v>#VALUE!</v>
      </c>
      <c r="P16" s="12"/>
      <c r="Q16" s="7">
        <f t="shared" si="10"/>
        <v>0.15</v>
      </c>
      <c r="R16" s="314" cm="1">
        <f t="array" ref="R16">numeng*InterpolateXY($D$6,$Q16,Tmil_h,Tmil_M,Tmil_table)</f>
        <v>2939.1308727831911</v>
      </c>
      <c r="S16" s="12" cm="1">
        <f t="array" ref="S16">numeng*InterpolateXY($D$6,$Q16,Tmax_h,Tmax_M,Tmax_table)</f>
        <v>4460.3895657312742</v>
      </c>
      <c r="T16" s="16" t="e">
        <f t="shared" si="11"/>
        <v>#VALUE!</v>
      </c>
      <c r="U16" s="55" t="e">
        <f t="shared" si="12"/>
        <v>#VALUE!</v>
      </c>
      <c r="V16" s="426" t="e">
        <f t="shared" si="13"/>
        <v>#VALUE!</v>
      </c>
    </row>
    <row r="17" spans="2:22">
      <c r="B17" s="120">
        <f t="shared" si="14"/>
        <v>10000</v>
      </c>
      <c r="C17" s="7">
        <v>0.16</v>
      </c>
      <c r="D17" s="7">
        <f t="shared" si="0"/>
        <v>172.38193735524237</v>
      </c>
      <c r="E17" s="11">
        <f t="shared" si="1"/>
        <v>2.2555442748404633</v>
      </c>
      <c r="F17" s="19" t="e">
        <f t="shared" si="5"/>
        <v>#VALUE!</v>
      </c>
      <c r="G17" t="e">
        <f t="shared" si="2"/>
        <v>#VALUE!</v>
      </c>
      <c r="H17" s="12">
        <f t="shared" si="3"/>
        <v>2755.9894083899985</v>
      </c>
      <c r="I17" s="12">
        <f t="shared" si="4"/>
        <v>2898.9220574599617</v>
      </c>
      <c r="J17" s="141" t="e">
        <f t="shared" si="6"/>
        <v>#VALUE!</v>
      </c>
      <c r="K17" s="267" t="e" cm="1">
        <f t="array" ref="K17">InterpolateXYZ(J17,C17,B17,FFnorm_PS,FFnorm_M,FFnorm_h,FFnorm_table)*numeng</f>
        <v>#VALUE!</v>
      </c>
      <c r="L17" s="11" t="e">
        <f t="shared" si="7"/>
        <v>#VALUE!</v>
      </c>
      <c r="M17" s="425" t="e" cm="1">
        <f t="array" ref="M17">($D$5/G17)*(C17*Linterp($D$6,atmos_h,atmos_vela)/L17)</f>
        <v>#VALUE!</v>
      </c>
      <c r="N17" s="55" t="e">
        <f t="shared" si="8"/>
        <v>#VALUE!</v>
      </c>
      <c r="O17" s="426" t="e">
        <f t="shared" si="9"/>
        <v>#VALUE!</v>
      </c>
      <c r="P17" s="12"/>
      <c r="Q17" s="7">
        <f t="shared" si="10"/>
        <v>0.16</v>
      </c>
      <c r="R17" s="314" cm="1">
        <f t="array" ref="R17">numeng*InterpolateXY($D$6,$Q17,Tmil_h,Tmil_M,Tmil_table)</f>
        <v>2947.9925739071605</v>
      </c>
      <c r="S17" s="12" cm="1">
        <f t="array" ref="S17">numeng*InterpolateXY($D$6,$Q17,Tmax_h,Tmax_M,Tmax_table)</f>
        <v>4486.9746691031833</v>
      </c>
      <c r="T17" s="16" t="e">
        <f t="shared" si="11"/>
        <v>#VALUE!</v>
      </c>
      <c r="U17" s="55" t="e">
        <f t="shared" si="12"/>
        <v>#VALUE!</v>
      </c>
      <c r="V17" s="426" t="e">
        <f t="shared" si="13"/>
        <v>#VALUE!</v>
      </c>
    </row>
    <row r="18" spans="2:22">
      <c r="B18" s="120">
        <f t="shared" si="14"/>
        <v>10000</v>
      </c>
      <c r="C18" s="7">
        <v>0.17</v>
      </c>
      <c r="D18" s="7">
        <f t="shared" si="0"/>
        <v>183.15580843994502</v>
      </c>
      <c r="E18" s="11">
        <f t="shared" si="1"/>
        <v>1.9979907763292681</v>
      </c>
      <c r="F18" s="19" t="e">
        <f t="shared" si="5"/>
        <v>#VALUE!</v>
      </c>
      <c r="G18" t="e">
        <f t="shared" si="2"/>
        <v>#VALUE!</v>
      </c>
      <c r="H18" s="12">
        <f t="shared" si="3"/>
        <v>2764.8511106677797</v>
      </c>
      <c r="I18" s="12">
        <f t="shared" si="4"/>
        <v>2908.2433502492222</v>
      </c>
      <c r="J18" s="141" t="e">
        <f t="shared" si="6"/>
        <v>#VALUE!</v>
      </c>
      <c r="K18" s="267" t="e" cm="1">
        <f t="array" ref="K18">InterpolateXYZ(J18,C18,B18,FFnorm_PS,FFnorm_M,FFnorm_h,FFnorm_table)*numeng</f>
        <v>#VALUE!</v>
      </c>
      <c r="L18" s="11" t="e">
        <f t="shared" si="7"/>
        <v>#VALUE!</v>
      </c>
      <c r="M18" s="425" t="e" cm="1">
        <f t="array" ref="M18">($D$5/G18)*(C18*Linterp($D$6,atmos_h,atmos_vela)/L18)</f>
        <v>#VALUE!</v>
      </c>
      <c r="N18" s="55" t="e">
        <f t="shared" si="8"/>
        <v>#VALUE!</v>
      </c>
      <c r="O18" s="426" t="e">
        <f t="shared" si="9"/>
        <v>#VALUE!</v>
      </c>
      <c r="P18" s="12"/>
      <c r="Q18" s="7">
        <f t="shared" si="10"/>
        <v>0.17</v>
      </c>
      <c r="R18" s="314" cm="1">
        <f t="array" ref="R18">numeng*InterpolateXY($D$6,$Q18,Tmil_h,Tmil_M,Tmil_table)</f>
        <v>2956.8542750311299</v>
      </c>
      <c r="S18" s="12" cm="1">
        <f t="array" ref="S18">numeng*InterpolateXY($D$6,$Q18,Tmax_h,Tmax_M,Tmax_table)</f>
        <v>4513.5597724750914</v>
      </c>
      <c r="T18" s="16" t="e">
        <f t="shared" si="11"/>
        <v>#VALUE!</v>
      </c>
      <c r="U18" s="55" t="e">
        <f t="shared" si="12"/>
        <v>#VALUE!</v>
      </c>
      <c r="V18" s="426" t="e">
        <f t="shared" si="13"/>
        <v>#VALUE!</v>
      </c>
    </row>
    <row r="19" spans="2:22">
      <c r="B19" s="120">
        <f t="shared" si="14"/>
        <v>10000</v>
      </c>
      <c r="C19" s="7">
        <v>0.18</v>
      </c>
      <c r="D19" s="7">
        <f t="shared" si="0"/>
        <v>193.92967952464767</v>
      </c>
      <c r="E19" s="11">
        <f t="shared" si="1"/>
        <v>1.7821584393801193</v>
      </c>
      <c r="F19" s="19" t="e">
        <f t="shared" si="5"/>
        <v>#VALUE!</v>
      </c>
      <c r="G19" t="e">
        <f t="shared" si="2"/>
        <v>#VALUE!</v>
      </c>
      <c r="H19" s="12">
        <f t="shared" si="3"/>
        <v>2773.7128129455609</v>
      </c>
      <c r="I19" s="12">
        <f t="shared" si="4"/>
        <v>2917.5646430384827</v>
      </c>
      <c r="J19" s="141" t="e">
        <f t="shared" si="6"/>
        <v>#VALUE!</v>
      </c>
      <c r="K19" s="267" t="e" cm="1">
        <f t="array" ref="K19">InterpolateXYZ(J19,C19,B19,FFnorm_PS,FFnorm_M,FFnorm_h,FFnorm_table)*numeng</f>
        <v>#VALUE!</v>
      </c>
      <c r="L19" s="11" t="e">
        <f t="shared" si="7"/>
        <v>#VALUE!</v>
      </c>
      <c r="M19" s="425" t="e" cm="1">
        <f t="array" ref="M19">($D$5/G19)*(C19*Linterp($D$6,atmos_h,atmos_vela)/L19)</f>
        <v>#VALUE!</v>
      </c>
      <c r="N19" s="55" t="e">
        <f t="shared" si="8"/>
        <v>#VALUE!</v>
      </c>
      <c r="O19" s="426" t="e">
        <f t="shared" si="9"/>
        <v>#VALUE!</v>
      </c>
      <c r="P19" s="12"/>
      <c r="Q19" s="7">
        <f t="shared" si="10"/>
        <v>0.18</v>
      </c>
      <c r="R19" s="314" cm="1">
        <f t="array" ref="R19">numeng*InterpolateXY($D$6,$Q19,Tmil_h,Tmil_M,Tmil_table)</f>
        <v>2965.7159761550993</v>
      </c>
      <c r="S19" s="12" cm="1">
        <f t="array" ref="S19">numeng*InterpolateXY($D$6,$Q19,Tmax_h,Tmax_M,Tmax_table)</f>
        <v>4540.1448758469996</v>
      </c>
      <c r="T19" s="16" t="e">
        <f t="shared" si="11"/>
        <v>#VALUE!</v>
      </c>
      <c r="U19" s="55" t="e">
        <f t="shared" si="12"/>
        <v>#VALUE!</v>
      </c>
      <c r="V19" s="426" t="e">
        <f t="shared" si="13"/>
        <v>#VALUE!</v>
      </c>
    </row>
    <row r="20" spans="2:22">
      <c r="B20" s="120">
        <f t="shared" si="14"/>
        <v>10000</v>
      </c>
      <c r="C20" s="7">
        <v>0.19</v>
      </c>
      <c r="D20" s="7">
        <f>C20*H$6</f>
        <v>204.70355060935032</v>
      </c>
      <c r="E20" s="11">
        <f t="shared" si="1"/>
        <v>1.5994995411611042</v>
      </c>
      <c r="F20" s="19" t="e">
        <f t="shared" si="5"/>
        <v>#VALUE!</v>
      </c>
      <c r="G20" t="e">
        <f t="shared" si="2"/>
        <v>#VALUE!</v>
      </c>
      <c r="H20" s="12">
        <f t="shared" si="3"/>
        <v>2782.5745152233426</v>
      </c>
      <c r="I20" s="12">
        <f t="shared" si="4"/>
        <v>2926.8859358277427</v>
      </c>
      <c r="J20" s="141" t="e">
        <f t="shared" si="6"/>
        <v>#VALUE!</v>
      </c>
      <c r="K20" s="267" t="e" cm="1">
        <f t="array" ref="K20">InterpolateXYZ(J20,C20,B20,FFnorm_PS,FFnorm_M,FFnorm_h,FFnorm_table)*numeng</f>
        <v>#VALUE!</v>
      </c>
      <c r="L20" s="11" t="e">
        <f t="shared" si="7"/>
        <v>#VALUE!</v>
      </c>
      <c r="M20" s="425" t="e" cm="1">
        <f t="array" ref="M20">($D$5/G20)*(C20*Linterp($D$6,atmos_h,atmos_vela)/L20)</f>
        <v>#VALUE!</v>
      </c>
      <c r="N20" s="55" t="e">
        <f t="shared" si="8"/>
        <v>#VALUE!</v>
      </c>
      <c r="O20" s="426" t="e">
        <f t="shared" si="9"/>
        <v>#VALUE!</v>
      </c>
      <c r="P20" s="12"/>
      <c r="Q20" s="7">
        <f t="shared" si="10"/>
        <v>0.19</v>
      </c>
      <c r="R20" s="314" cm="1">
        <f t="array" ref="R20">numeng*InterpolateXY($D$6,$Q20,Tmil_h,Tmil_M,Tmil_table)</f>
        <v>2974.5776772790687</v>
      </c>
      <c r="S20" s="12" cm="1">
        <f t="array" ref="S20">numeng*InterpolateXY($D$6,$Q20,Tmax_h,Tmax_M,Tmax_table)</f>
        <v>4566.7299792189078</v>
      </c>
      <c r="T20" s="16" t="e">
        <f t="shared" si="11"/>
        <v>#VALUE!</v>
      </c>
      <c r="U20" s="55" t="e">
        <f t="shared" si="12"/>
        <v>#VALUE!</v>
      </c>
      <c r="V20" s="426" t="e">
        <f t="shared" si="13"/>
        <v>#VALUE!</v>
      </c>
    </row>
    <row r="21" spans="2:22">
      <c r="B21" s="120">
        <f t="shared" si="14"/>
        <v>10000</v>
      </c>
      <c r="C21" s="7">
        <v>0.2</v>
      </c>
      <c r="D21" s="7">
        <f t="shared" ref="D21:D84" si="15">C21*H$6</f>
        <v>215.47742169405296</v>
      </c>
      <c r="E21" s="11">
        <f t="shared" si="1"/>
        <v>1.4435483358978964</v>
      </c>
      <c r="F21" s="19" t="e">
        <f t="shared" si="5"/>
        <v>#VALUE!</v>
      </c>
      <c r="G21" t="e">
        <f t="shared" si="2"/>
        <v>#VALUE!</v>
      </c>
      <c r="H21" s="12">
        <f t="shared" si="3"/>
        <v>2791.4362175011238</v>
      </c>
      <c r="I21" s="12">
        <f t="shared" si="4"/>
        <v>2936.2072286170032</v>
      </c>
      <c r="J21" s="141" t="e">
        <f t="shared" si="6"/>
        <v>#VALUE!</v>
      </c>
      <c r="K21" s="267" t="e" cm="1">
        <f t="array" ref="K21">InterpolateXYZ(J21,C21,B21,FFnorm_PS,FFnorm_M,FFnorm_h,FFnorm_table)*numeng</f>
        <v>#VALUE!</v>
      </c>
      <c r="L21" s="11" t="e">
        <f t="shared" si="7"/>
        <v>#VALUE!</v>
      </c>
      <c r="M21" s="425" t="e" cm="1">
        <f t="array" ref="M21">($D$5/G21)*(C21*Linterp($D$6,atmos_h,atmos_vela)/L21)</f>
        <v>#VALUE!</v>
      </c>
      <c r="N21" s="55" t="e">
        <f t="shared" si="8"/>
        <v>#VALUE!</v>
      </c>
      <c r="O21" s="426" t="e">
        <f t="shared" si="9"/>
        <v>#VALUE!</v>
      </c>
      <c r="P21" s="12"/>
      <c r="Q21" s="7">
        <f t="shared" si="10"/>
        <v>0.2</v>
      </c>
      <c r="R21" s="314" cm="1">
        <f t="array" ref="R21">numeng*InterpolateXY($D$6,$Q21,Tmil_h,Tmil_M,Tmil_table)</f>
        <v>2983.4393784030381</v>
      </c>
      <c r="S21" s="12" cm="1">
        <f t="array" ref="S21">numeng*InterpolateXY($D$6,$Q21,Tmax_h,Tmax_M,Tmax_table)</f>
        <v>4593.315082590816</v>
      </c>
      <c r="T21" s="16" t="e">
        <f t="shared" si="11"/>
        <v>#VALUE!</v>
      </c>
      <c r="U21" s="55" t="e">
        <f t="shared" si="12"/>
        <v>#VALUE!</v>
      </c>
      <c r="V21" s="426" t="e">
        <f t="shared" si="13"/>
        <v>#VALUE!</v>
      </c>
    </row>
    <row r="22" spans="2:22">
      <c r="B22" s="120">
        <f t="shared" si="14"/>
        <v>10000</v>
      </c>
      <c r="C22" s="7">
        <v>0.21</v>
      </c>
      <c r="D22" s="7">
        <f t="shared" si="15"/>
        <v>226.25129277875561</v>
      </c>
      <c r="E22" s="11">
        <f t="shared" si="1"/>
        <v>1.3093408942384548</v>
      </c>
      <c r="F22" s="19" t="e">
        <f t="shared" si="5"/>
        <v>#VALUE!</v>
      </c>
      <c r="G22" t="e">
        <f t="shared" si="2"/>
        <v>#VALUE!</v>
      </c>
      <c r="H22" s="12">
        <f t="shared" si="3"/>
        <v>2800.297919778905</v>
      </c>
      <c r="I22" s="12">
        <f t="shared" si="4"/>
        <v>2945.5285214062633</v>
      </c>
      <c r="J22" s="141" t="e">
        <f t="shared" si="6"/>
        <v>#VALUE!</v>
      </c>
      <c r="K22" s="267" t="e" cm="1">
        <f t="array" ref="K22">InterpolateXYZ(J22,C22,B22,FFnorm_PS,FFnorm_M,FFnorm_h,FFnorm_table)*numeng</f>
        <v>#VALUE!</v>
      </c>
      <c r="L22" s="11" t="e">
        <f t="shared" si="7"/>
        <v>#VALUE!</v>
      </c>
      <c r="M22" s="425" t="e" cm="1">
        <f t="array" ref="M22">($D$5/G22)*(C22*Linterp($D$6,atmos_h,atmos_vela)/L22)</f>
        <v>#VALUE!</v>
      </c>
      <c r="N22" s="55" t="e">
        <f t="shared" si="8"/>
        <v>#VALUE!</v>
      </c>
      <c r="O22" s="426" t="e">
        <f t="shared" si="9"/>
        <v>#VALUE!</v>
      </c>
      <c r="P22" s="12"/>
      <c r="Q22" s="7">
        <f t="shared" si="10"/>
        <v>0.21</v>
      </c>
      <c r="R22" s="314" cm="1">
        <f t="array" ref="R22">numeng*InterpolateXY($D$6,$Q22,Tmil_h,Tmil_M,Tmil_table)</f>
        <v>2992.3010795270075</v>
      </c>
      <c r="S22" s="12" cm="1">
        <f t="array" ref="S22">numeng*InterpolateXY($D$6,$Q22,Tmax_h,Tmax_M,Tmax_table)</f>
        <v>4619.9001859627242</v>
      </c>
      <c r="T22" s="16" t="e">
        <f t="shared" si="11"/>
        <v>#VALUE!</v>
      </c>
      <c r="U22" s="55" t="e">
        <f t="shared" si="12"/>
        <v>#VALUE!</v>
      </c>
      <c r="V22" s="426" t="e">
        <f t="shared" si="13"/>
        <v>#VALUE!</v>
      </c>
    </row>
    <row r="23" spans="2:22">
      <c r="B23" s="120">
        <f t="shared" si="14"/>
        <v>10000</v>
      </c>
      <c r="C23" s="7">
        <v>0.22</v>
      </c>
      <c r="D23" s="7">
        <f t="shared" si="15"/>
        <v>237.02516386345826</v>
      </c>
      <c r="E23" s="11">
        <f t="shared" si="1"/>
        <v>1.1930151536346252</v>
      </c>
      <c r="F23" s="19" t="e">
        <f t="shared" si="5"/>
        <v>#VALUE!</v>
      </c>
      <c r="G23" t="e">
        <f t="shared" si="2"/>
        <v>#VALUE!</v>
      </c>
      <c r="H23" s="12">
        <f t="shared" si="3"/>
        <v>2809.1596220566867</v>
      </c>
      <c r="I23" s="12">
        <f t="shared" si="4"/>
        <v>2954.8498141955238</v>
      </c>
      <c r="J23" s="141" t="e">
        <f t="shared" si="6"/>
        <v>#VALUE!</v>
      </c>
      <c r="K23" s="267" t="e" cm="1">
        <f t="array" ref="K23">InterpolateXYZ(J23,C23,B23,FFnorm_PS,FFnorm_M,FFnorm_h,FFnorm_table)*numeng</f>
        <v>#VALUE!</v>
      </c>
      <c r="L23" s="11" t="e">
        <f t="shared" si="7"/>
        <v>#VALUE!</v>
      </c>
      <c r="M23" s="425" t="e" cm="1">
        <f t="array" ref="M23">($D$5/G23)*(C23*Linterp($D$6,atmos_h,atmos_vela)/L23)</f>
        <v>#VALUE!</v>
      </c>
      <c r="N23" s="55" t="e">
        <f t="shared" si="8"/>
        <v>#VALUE!</v>
      </c>
      <c r="O23" s="426" t="e">
        <f t="shared" si="9"/>
        <v>#VALUE!</v>
      </c>
      <c r="P23" s="12"/>
      <c r="Q23" s="7">
        <f t="shared" si="10"/>
        <v>0.22</v>
      </c>
      <c r="R23" s="314" cm="1">
        <f t="array" ref="R23">numeng*InterpolateXY($D$6,$Q23,Tmil_h,Tmil_M,Tmil_table)</f>
        <v>3001.1627806509769</v>
      </c>
      <c r="S23" s="12" cm="1">
        <f t="array" ref="S23">numeng*InterpolateXY($D$6,$Q23,Tmax_h,Tmax_M,Tmax_table)</f>
        <v>4646.4852893346324</v>
      </c>
      <c r="T23" s="16" t="e">
        <f t="shared" si="11"/>
        <v>#VALUE!</v>
      </c>
      <c r="U23" s="55" t="e">
        <f t="shared" si="12"/>
        <v>#VALUE!</v>
      </c>
      <c r="V23" s="426" t="e">
        <f t="shared" si="13"/>
        <v>#VALUE!</v>
      </c>
    </row>
    <row r="24" spans="2:22">
      <c r="B24" s="120">
        <f t="shared" si="14"/>
        <v>10000</v>
      </c>
      <c r="C24" s="7">
        <v>0.23</v>
      </c>
      <c r="D24" s="7">
        <f t="shared" si="15"/>
        <v>247.79903494816091</v>
      </c>
      <c r="E24" s="11">
        <f t="shared" si="1"/>
        <v>1.0915299326260086</v>
      </c>
      <c r="F24" s="19" t="e">
        <f t="shared" si="5"/>
        <v>#VALUE!</v>
      </c>
      <c r="G24" s="16" t="e">
        <f t="shared" si="2"/>
        <v>#VALUE!</v>
      </c>
      <c r="H24" s="12">
        <f t="shared" si="3"/>
        <v>2818.0213243344679</v>
      </c>
      <c r="I24" s="12">
        <f t="shared" si="4"/>
        <v>2964.1711069847843</v>
      </c>
      <c r="J24" s="141" t="e">
        <f t="shared" si="6"/>
        <v>#VALUE!</v>
      </c>
      <c r="K24" s="267" t="e" cm="1">
        <f t="array" ref="K24">InterpolateXYZ(J24,C24,B24,FFnorm_PS,FFnorm_M,FFnorm_h,FFnorm_table)*numeng</f>
        <v>#VALUE!</v>
      </c>
      <c r="L24" s="11" t="e">
        <f t="shared" si="7"/>
        <v>#VALUE!</v>
      </c>
      <c r="M24" s="425" t="e" cm="1">
        <f t="array" ref="M24">($D$5/G24)*(C24*Linterp($D$6,atmos_h,atmos_vela)/L24)</f>
        <v>#VALUE!</v>
      </c>
      <c r="N24" s="55" t="e">
        <f t="shared" si="8"/>
        <v>#VALUE!</v>
      </c>
      <c r="O24" s="426" t="e">
        <f t="shared" si="9"/>
        <v>#VALUE!</v>
      </c>
      <c r="P24" s="12"/>
      <c r="Q24" s="7">
        <f t="shared" si="10"/>
        <v>0.23</v>
      </c>
      <c r="R24" s="314" cm="1">
        <f t="array" ref="R24">numeng*InterpolateXY($D$6,$Q24,Tmil_h,Tmil_M,Tmil_table)</f>
        <v>3010.0244817749463</v>
      </c>
      <c r="S24" s="12" cm="1">
        <f t="array" ref="S24">numeng*InterpolateXY($D$6,$Q24,Tmax_h,Tmax_M,Tmax_table)</f>
        <v>4673.0703927065406</v>
      </c>
      <c r="T24" s="16" t="e">
        <f t="shared" si="11"/>
        <v>#VALUE!</v>
      </c>
      <c r="U24" s="55" t="e">
        <f t="shared" si="12"/>
        <v>#VALUE!</v>
      </c>
      <c r="V24" s="426" t="e">
        <f t="shared" si="13"/>
        <v>#VALUE!</v>
      </c>
    </row>
    <row r="25" spans="2:22">
      <c r="B25" s="120">
        <f t="shared" si="14"/>
        <v>10000</v>
      </c>
      <c r="C25" s="7">
        <v>0.24</v>
      </c>
      <c r="D25" s="7">
        <f t="shared" si="15"/>
        <v>258.57290603286356</v>
      </c>
      <c r="E25" s="11">
        <f t="shared" si="1"/>
        <v>1.0024641221513171</v>
      </c>
      <c r="F25" s="19" t="e">
        <f t="shared" si="5"/>
        <v>#VALUE!</v>
      </c>
      <c r="G25" s="16" t="e">
        <f t="shared" si="2"/>
        <v>#VALUE!</v>
      </c>
      <c r="H25" s="12">
        <f t="shared" si="3"/>
        <v>2826.8830266122491</v>
      </c>
      <c r="I25" s="12">
        <f t="shared" si="4"/>
        <v>2973.4923997740443</v>
      </c>
      <c r="J25" s="141" t="e">
        <f t="shared" si="6"/>
        <v>#VALUE!</v>
      </c>
      <c r="K25" s="267" t="e" cm="1">
        <f t="array" ref="K25">InterpolateXYZ(J25,C25,B25,FFnorm_PS,FFnorm_M,FFnorm_h,FFnorm_table)*numeng</f>
        <v>#VALUE!</v>
      </c>
      <c r="L25" s="11" t="e">
        <f t="shared" si="7"/>
        <v>#VALUE!</v>
      </c>
      <c r="M25" s="425" t="e" cm="1">
        <f t="array" ref="M25">($D$5/G25)*(C25*Linterp($D$6,atmos_h,atmos_vela)/L25)</f>
        <v>#VALUE!</v>
      </c>
      <c r="N25" s="55" t="e">
        <f t="shared" si="8"/>
        <v>#VALUE!</v>
      </c>
      <c r="O25" s="426" t="e">
        <f t="shared" si="9"/>
        <v>#VALUE!</v>
      </c>
      <c r="P25" s="12"/>
      <c r="Q25" s="7">
        <f t="shared" si="10"/>
        <v>0.24</v>
      </c>
      <c r="R25" s="314" cm="1">
        <f t="array" ref="R25">numeng*InterpolateXY($D$6,$Q25,Tmil_h,Tmil_M,Tmil_table)</f>
        <v>3018.8861828989156</v>
      </c>
      <c r="S25" s="12" cm="1">
        <f t="array" ref="S25">numeng*InterpolateXY($D$6,$Q25,Tmax_h,Tmax_M,Tmax_table)</f>
        <v>4699.6554960784488</v>
      </c>
      <c r="T25" s="16" t="e">
        <f t="shared" si="11"/>
        <v>#VALUE!</v>
      </c>
      <c r="U25" s="55" t="e">
        <f t="shared" si="12"/>
        <v>#VALUE!</v>
      </c>
      <c r="V25" s="426" t="e">
        <f t="shared" si="13"/>
        <v>#VALUE!</v>
      </c>
    </row>
    <row r="26" spans="2:22">
      <c r="B26" s="120">
        <f t="shared" si="14"/>
        <v>10000</v>
      </c>
      <c r="C26" s="7">
        <v>0.25</v>
      </c>
      <c r="D26" s="7">
        <f t="shared" si="15"/>
        <v>269.34677711756621</v>
      </c>
      <c r="E26" s="11">
        <f t="shared" si="1"/>
        <v>0.92387093497465378</v>
      </c>
      <c r="F26" s="19" t="e">
        <f t="shared" si="5"/>
        <v>#VALUE!</v>
      </c>
      <c r="G26" s="16" t="e">
        <f t="shared" si="2"/>
        <v>#VALUE!</v>
      </c>
      <c r="H26" s="12">
        <f t="shared" si="3"/>
        <v>2835.7447288900303</v>
      </c>
      <c r="I26" s="12">
        <f t="shared" si="4"/>
        <v>2982.8136925633044</v>
      </c>
      <c r="J26" s="141" t="e">
        <f t="shared" si="6"/>
        <v>#VALUE!</v>
      </c>
      <c r="K26" s="267" t="e" cm="1">
        <f t="array" ref="K26">InterpolateXYZ(J26,C26,B26,FFnorm_PS,FFnorm_M,FFnorm_h,FFnorm_table)*numeng</f>
        <v>#VALUE!</v>
      </c>
      <c r="L26" s="11" t="e">
        <f t="shared" si="7"/>
        <v>#VALUE!</v>
      </c>
      <c r="M26" s="425" t="e" cm="1">
        <f t="array" ref="M26">($D$5/G26)*(C26*Linterp($D$6,atmos_h,atmos_vela)/L26)</f>
        <v>#VALUE!</v>
      </c>
      <c r="N26" s="55" t="e">
        <f t="shared" si="8"/>
        <v>#VALUE!</v>
      </c>
      <c r="O26" s="426" t="e">
        <f t="shared" si="9"/>
        <v>#VALUE!</v>
      </c>
      <c r="P26" s="12"/>
      <c r="Q26" s="7">
        <f t="shared" si="10"/>
        <v>0.25</v>
      </c>
      <c r="R26" s="314" cm="1">
        <f t="array" ref="R26">numeng*InterpolateXY($D$6,$Q26,Tmil_h,Tmil_M,Tmil_table)</f>
        <v>3027.747884022885</v>
      </c>
      <c r="S26" s="12" cm="1">
        <f t="array" ref="S26">numeng*InterpolateXY($D$6,$Q26,Tmax_h,Tmax_M,Tmax_table)</f>
        <v>4726.240599450357</v>
      </c>
      <c r="T26" s="16" t="e">
        <f t="shared" si="11"/>
        <v>#VALUE!</v>
      </c>
      <c r="U26" s="55" t="e">
        <f t="shared" si="12"/>
        <v>#VALUE!</v>
      </c>
      <c r="V26" s="426" t="e">
        <f t="shared" si="13"/>
        <v>#VALUE!</v>
      </c>
    </row>
    <row r="27" spans="2:22">
      <c r="B27" s="120">
        <f t="shared" si="14"/>
        <v>10000</v>
      </c>
      <c r="C27" s="7">
        <v>0.26</v>
      </c>
      <c r="D27" s="7">
        <f t="shared" si="15"/>
        <v>280.12064820226885</v>
      </c>
      <c r="E27" s="11">
        <f t="shared" si="1"/>
        <v>0.85417061295733498</v>
      </c>
      <c r="F27" s="19" t="e">
        <f t="shared" si="5"/>
        <v>#VALUE!</v>
      </c>
      <c r="G27" s="16" t="e">
        <f t="shared" si="2"/>
        <v>#VALUE!</v>
      </c>
      <c r="H27" s="12">
        <f t="shared" si="3"/>
        <v>2844.6064311678119</v>
      </c>
      <c r="I27" s="12">
        <f t="shared" si="4"/>
        <v>2992.1349853525649</v>
      </c>
      <c r="J27" s="141" t="e">
        <f t="shared" si="6"/>
        <v>#VALUE!</v>
      </c>
      <c r="K27" s="267" t="e" cm="1">
        <f t="array" ref="K27">InterpolateXYZ(J27,C27,B27,FFnorm_PS,FFnorm_M,FFnorm_h,FFnorm_table)*numeng</f>
        <v>#VALUE!</v>
      </c>
      <c r="L27" s="11" t="e">
        <f t="shared" si="7"/>
        <v>#VALUE!</v>
      </c>
      <c r="M27" s="425" t="e" cm="1">
        <f t="array" ref="M27">($D$5/G27)*(C27*Linterp($D$6,atmos_h,atmos_vela)/L27)</f>
        <v>#VALUE!</v>
      </c>
      <c r="N27" s="55" t="e">
        <f t="shared" si="8"/>
        <v>#VALUE!</v>
      </c>
      <c r="O27" s="426" t="e">
        <f t="shared" si="9"/>
        <v>#VALUE!</v>
      </c>
      <c r="P27" s="12"/>
      <c r="Q27" s="7">
        <f t="shared" si="10"/>
        <v>0.26</v>
      </c>
      <c r="R27" s="314" cm="1">
        <f t="array" ref="R27">numeng*InterpolateXY($D$6,$Q27,Tmil_h,Tmil_M,Tmil_table)</f>
        <v>3036.6095851468549</v>
      </c>
      <c r="S27" s="12" cm="1">
        <f t="array" ref="S27">numeng*InterpolateXY($D$6,$Q27,Tmax_h,Tmax_M,Tmax_table)</f>
        <v>4752.8257028222661</v>
      </c>
      <c r="T27" s="16" t="e">
        <f t="shared" si="11"/>
        <v>#VALUE!</v>
      </c>
      <c r="U27" s="55" t="e">
        <f t="shared" si="12"/>
        <v>#VALUE!</v>
      </c>
      <c r="V27" s="426" t="e">
        <f t="shared" si="13"/>
        <v>#VALUE!</v>
      </c>
    </row>
    <row r="28" spans="2:22">
      <c r="B28" s="120">
        <f t="shared" si="14"/>
        <v>10000</v>
      </c>
      <c r="C28" s="7">
        <v>0.27</v>
      </c>
      <c r="D28" s="7">
        <f t="shared" si="15"/>
        <v>290.8945192869715</v>
      </c>
      <c r="E28" s="11">
        <f t="shared" si="1"/>
        <v>0.79207041750227514</v>
      </c>
      <c r="F28" s="19">
        <f t="shared" si="5"/>
        <v>0.18702374744658407</v>
      </c>
      <c r="G28" s="16">
        <f t="shared" si="2"/>
        <v>2361.2010158938538</v>
      </c>
      <c r="H28" s="12">
        <f t="shared" si="3"/>
        <v>2853.4681334455931</v>
      </c>
      <c r="I28" s="12">
        <f t="shared" si="4"/>
        <v>3001.4562781418254</v>
      </c>
      <c r="J28" s="141">
        <f t="shared" si="6"/>
        <v>0.82748462764246067</v>
      </c>
      <c r="K28" s="267" cm="1">
        <f t="array" ref="K28">InterpolateXYZ(J28,C28,B28,FFnorm_PS,FFnorm_M,FFnorm_h,FFnorm_table)*numeng</f>
        <v>2483.6589307033141</v>
      </c>
      <c r="L28" s="11">
        <f t="shared" si="7"/>
        <v>1.0518625538381376</v>
      </c>
      <c r="M28" s="425" cm="1">
        <f t="array" ref="M28">($D$5/G28)*(C28*Linterp($D$6,atmos_h,atmos_vela)/L28)</f>
        <v>693.49367485344374</v>
      </c>
      <c r="N28" s="55">
        <f t="shared" si="8"/>
        <v>4.0263177348462396</v>
      </c>
      <c r="O28" s="426">
        <f t="shared" si="9"/>
        <v>6.9349367485344371E-2</v>
      </c>
      <c r="P28" s="12"/>
      <c r="Q28" s="7">
        <f t="shared" si="10"/>
        <v>0.27</v>
      </c>
      <c r="R28" s="314" cm="1">
        <f t="array" ref="R28">numeng*InterpolateXY($D$6,$Q28,Tmil_h,Tmil_M,Tmil_table)</f>
        <v>3045.4712862708243</v>
      </c>
      <c r="S28" s="12" cm="1">
        <f t="array" ref="S28">numeng*InterpolateXY($D$6,$Q28,Tmax_h,Tmax_M,Tmax_table)</f>
        <v>4779.4108061941743</v>
      </c>
      <c r="T28" s="16">
        <f t="shared" si="11"/>
        <v>2361.2010158938538</v>
      </c>
      <c r="U28" s="55">
        <f t="shared" si="12"/>
        <v>684.27027037697053</v>
      </c>
      <c r="V28" s="426">
        <f t="shared" si="13"/>
        <v>2418.2097903003205</v>
      </c>
    </row>
    <row r="29" spans="2:22">
      <c r="B29" s="120">
        <f t="shared" si="14"/>
        <v>10000</v>
      </c>
      <c r="C29" s="7">
        <v>0.28000000000000003</v>
      </c>
      <c r="D29" s="7">
        <f t="shared" si="15"/>
        <v>301.66839037167421</v>
      </c>
      <c r="E29" s="11">
        <f t="shared" si="1"/>
        <v>0.73650425300913069</v>
      </c>
      <c r="F29" s="19">
        <f t="shared" si="5"/>
        <v>0.15455635212212016</v>
      </c>
      <c r="G29" s="16">
        <f t="shared" si="2"/>
        <v>2098.5126900577998</v>
      </c>
      <c r="H29" s="12">
        <f t="shared" si="3"/>
        <v>2862.3298357233743</v>
      </c>
      <c r="I29" s="12">
        <f t="shared" si="4"/>
        <v>3010.7775709310854</v>
      </c>
      <c r="J29" s="141">
        <f t="shared" si="6"/>
        <v>0.733148452658133</v>
      </c>
      <c r="K29" s="267" cm="1">
        <f t="array" ref="K29">InterpolateXYZ(J29,C29,B29,FFnorm_PS,FFnorm_M,FFnorm_h,FFnorm_table)*numeng</f>
        <v>2207.3469174259376</v>
      </c>
      <c r="L29" s="11">
        <f t="shared" si="7"/>
        <v>1.0518625538381376</v>
      </c>
      <c r="M29" s="425" cm="1">
        <f t="array" ref="M29">($D$5/G29)*(C29*Linterp($D$6,atmos_h,atmos_vela)/L29)</f>
        <v>809.2042091676866</v>
      </c>
      <c r="N29" s="55">
        <f t="shared" si="8"/>
        <v>4.5303254876045225</v>
      </c>
      <c r="O29" s="426">
        <f t="shared" si="9"/>
        <v>8.0920420916768654E-2</v>
      </c>
      <c r="P29" s="12"/>
      <c r="Q29" s="7">
        <f t="shared" si="10"/>
        <v>0.28000000000000003</v>
      </c>
      <c r="R29" s="314" cm="1">
        <f t="array" ref="R29">numeng*InterpolateXY($D$6,$Q29,Tmil_h,Tmil_M,Tmil_table)</f>
        <v>3054.3329873947937</v>
      </c>
      <c r="S29" s="12" cm="1">
        <f t="array" ref="S29">numeng*InterpolateXY($D$6,$Q29,Tmax_h,Tmax_M,Tmax_table)</f>
        <v>4805.9959095660824</v>
      </c>
      <c r="T29" s="16">
        <f t="shared" si="11"/>
        <v>2098.5126900577998</v>
      </c>
      <c r="U29" s="55">
        <f t="shared" si="12"/>
        <v>955.82029733699392</v>
      </c>
      <c r="V29" s="426">
        <f t="shared" si="13"/>
        <v>2707.4832195082827</v>
      </c>
    </row>
    <row r="30" spans="2:22">
      <c r="B30" s="120">
        <f t="shared" si="14"/>
        <v>10000</v>
      </c>
      <c r="C30" s="7">
        <v>0.28999999999999998</v>
      </c>
      <c r="D30" s="7">
        <f t="shared" si="15"/>
        <v>312.4422614563768</v>
      </c>
      <c r="E30" s="11">
        <f t="shared" si="1"/>
        <v>0.68658660446986763</v>
      </c>
      <c r="F30" s="19">
        <f t="shared" si="5"/>
        <v>0.12734493275780201</v>
      </c>
      <c r="G30" s="16">
        <f t="shared" si="2"/>
        <v>1854.7541115534657</v>
      </c>
      <c r="H30" s="12">
        <f t="shared" si="3"/>
        <v>2871.191538001156</v>
      </c>
      <c r="I30" s="12">
        <f t="shared" si="4"/>
        <v>3020.0988637203454</v>
      </c>
      <c r="J30" s="141">
        <f t="shared" si="6"/>
        <v>0.64598759330584199</v>
      </c>
      <c r="K30" s="267" cm="1">
        <f t="array" ref="K30">InterpolateXYZ(J30,C30,B30,FFnorm_PS,FFnorm_M,FFnorm_h,FFnorm_table)*numeng</f>
        <v>1950.9463965204141</v>
      </c>
      <c r="L30" s="11">
        <f t="shared" si="7"/>
        <v>1.0518625538381374</v>
      </c>
      <c r="M30" s="425" cm="1">
        <f t="array" ref="M30">($D$5/G30)*(C30*Linterp($D$6,atmos_h,atmos_vela)/L30)</f>
        <v>948.25110403457438</v>
      </c>
      <c r="N30" s="55">
        <f t="shared" si="8"/>
        <v>5.1257174558129197</v>
      </c>
      <c r="O30" s="426">
        <f t="shared" si="9"/>
        <v>9.4825110403457438E-2</v>
      </c>
      <c r="P30" s="12"/>
      <c r="Q30" s="7">
        <f t="shared" si="10"/>
        <v>0.28999999999999998</v>
      </c>
      <c r="R30" s="314" cm="1">
        <f t="array" ref="R30">numeng*InterpolateXY($D$6,$Q30,Tmil_h,Tmil_M,Tmil_table)</f>
        <v>3063.1946885187631</v>
      </c>
      <c r="S30" s="12" cm="1">
        <f t="array" ref="S30">numeng*InterpolateXY($D$6,$Q30,Tmax_h,Tmax_M,Tmax_table)</f>
        <v>4832.5810129379906</v>
      </c>
      <c r="T30" s="16">
        <f t="shared" si="11"/>
        <v>1854.7541115534657</v>
      </c>
      <c r="U30" s="55">
        <f t="shared" si="12"/>
        <v>1208.4405769652974</v>
      </c>
      <c r="V30" s="426">
        <f t="shared" si="13"/>
        <v>2977.8269013845247</v>
      </c>
    </row>
    <row r="31" spans="2:22">
      <c r="B31" s="120">
        <f t="shared" si="14"/>
        <v>10000</v>
      </c>
      <c r="C31" s="7">
        <v>0.3</v>
      </c>
      <c r="D31" s="7">
        <f t="shared" si="15"/>
        <v>323.21613254107945</v>
      </c>
      <c r="E31" s="11">
        <f t="shared" si="1"/>
        <v>0.64157703817684297</v>
      </c>
      <c r="F31" s="19">
        <f t="shared" si="5"/>
        <v>0.10761074272145722</v>
      </c>
      <c r="G31" s="16">
        <f t="shared" si="2"/>
        <v>1677.2848203428944</v>
      </c>
      <c r="H31" s="12">
        <f t="shared" si="3"/>
        <v>2880.0532402789372</v>
      </c>
      <c r="I31" s="12">
        <f t="shared" si="4"/>
        <v>3029.4201565096059</v>
      </c>
      <c r="J31" s="141">
        <f t="shared" si="6"/>
        <v>0.58237979662502593</v>
      </c>
      <c r="K31" s="267" cm="1">
        <f t="array" ref="K31">InterpolateXYZ(J31,C31,B31,FFnorm_PS,FFnorm_M,FFnorm_h,FFnorm_table)*numeng</f>
        <v>1764.2730946398185</v>
      </c>
      <c r="L31" s="11">
        <f t="shared" si="7"/>
        <v>1.0518625538381374</v>
      </c>
      <c r="M31" s="425" cm="1">
        <f t="array" ref="M31">($D$5/G31)*(C31*Linterp($D$6,atmos_h,atmos_vela)/L31)</f>
        <v>1084.74121039738</v>
      </c>
      <c r="N31" s="55">
        <f t="shared" si="8"/>
        <v>5.6680567370107351</v>
      </c>
      <c r="O31" s="426">
        <f t="shared" si="9"/>
        <v>0.108474121039738</v>
      </c>
      <c r="P31" s="12"/>
      <c r="Q31" s="7">
        <f t="shared" si="10"/>
        <v>0.3</v>
      </c>
      <c r="R31" s="314" cm="1">
        <f t="array" ref="R31">numeng*InterpolateXY($D$6,$Q31,Tmil_h,Tmil_M,Tmil_table)</f>
        <v>3072.0563896427325</v>
      </c>
      <c r="S31" s="12" cm="1">
        <f t="array" ref="S31">numeng*InterpolateXY($D$6,$Q31,Tmax_h,Tmax_M,Tmax_table)</f>
        <v>4859.1661163098988</v>
      </c>
      <c r="T31" s="16">
        <f t="shared" si="11"/>
        <v>1677.2848203428944</v>
      </c>
      <c r="U31" s="55">
        <f t="shared" si="12"/>
        <v>1394.7715692998381</v>
      </c>
      <c r="V31" s="426">
        <f t="shared" si="13"/>
        <v>3181.8812959670045</v>
      </c>
    </row>
    <row r="32" spans="2:22">
      <c r="B32" s="120">
        <f t="shared" si="14"/>
        <v>10000</v>
      </c>
      <c r="C32" s="7">
        <v>0.31</v>
      </c>
      <c r="D32" s="7">
        <f t="shared" si="15"/>
        <v>333.99000362578209</v>
      </c>
      <c r="E32" s="11">
        <f t="shared" si="1"/>
        <v>0.60085258518122642</v>
      </c>
      <c r="F32" s="19">
        <f t="shared" si="5"/>
        <v>8.9753432309377171E-2</v>
      </c>
      <c r="G32" s="16">
        <f t="shared" si="2"/>
        <v>1493.7679311524662</v>
      </c>
      <c r="H32" s="12">
        <f t="shared" si="3"/>
        <v>2888.9149425567184</v>
      </c>
      <c r="I32" s="12">
        <f t="shared" si="4"/>
        <v>3038.7414492988664</v>
      </c>
      <c r="J32" s="141">
        <f t="shared" si="6"/>
        <v>0.51706885140428083</v>
      </c>
      <c r="K32" s="267" cm="1">
        <f t="array" ref="K32">InterpolateXYZ(J32,C32,B32,FFnorm_PS,FFnorm_M,FFnorm_h,FFnorm_table)*numeng</f>
        <v>1571.2385509035444</v>
      </c>
      <c r="L32" s="11">
        <f t="shared" si="7"/>
        <v>1.0518625538381376</v>
      </c>
      <c r="M32" s="425" cm="1">
        <f t="array" ref="M32">($D$5/G32)*(C32*Linterp($D$6,atmos_h,atmos_vela)/L32)</f>
        <v>1258.6073507121446</v>
      </c>
      <c r="N32" s="55">
        <f t="shared" si="8"/>
        <v>6.3644059613032509</v>
      </c>
      <c r="O32" s="426">
        <f t="shared" si="9"/>
        <v>0.12586073507121445</v>
      </c>
      <c r="P32" s="12"/>
      <c r="Q32" s="7">
        <f t="shared" si="10"/>
        <v>0.31</v>
      </c>
      <c r="R32" s="314" cm="1">
        <f t="array" ref="R32">numeng*InterpolateXY($D$6,$Q32,Tmil_h,Tmil_M,Tmil_table)</f>
        <v>3080.9180907667019</v>
      </c>
      <c r="S32" s="12" cm="1">
        <f t="array" ref="S32">numeng*InterpolateXY($D$6,$Q32,Tmax_h,Tmax_M,Tmax_table)</f>
        <v>4885.751219681807</v>
      </c>
      <c r="T32" s="16">
        <f t="shared" si="11"/>
        <v>1493.7679311524662</v>
      </c>
      <c r="U32" s="55">
        <f t="shared" si="12"/>
        <v>1587.1501596142357</v>
      </c>
      <c r="V32" s="426">
        <f t="shared" si="13"/>
        <v>3391.9832885293408</v>
      </c>
    </row>
    <row r="33" spans="2:22">
      <c r="B33" s="120">
        <f t="shared" si="14"/>
        <v>10000</v>
      </c>
      <c r="C33" s="7">
        <v>0.32</v>
      </c>
      <c r="D33" s="7">
        <f t="shared" si="15"/>
        <v>344.76387471048474</v>
      </c>
      <c r="E33" s="11">
        <f t="shared" si="1"/>
        <v>0.56388606871011582</v>
      </c>
      <c r="F33" s="19">
        <f t="shared" si="5"/>
        <v>7.8056339506266254E-2</v>
      </c>
      <c r="G33" s="16">
        <f t="shared" si="2"/>
        <v>1384.2572788652042</v>
      </c>
      <c r="H33" s="12">
        <f t="shared" si="3"/>
        <v>2897.7766448345001</v>
      </c>
      <c r="I33" s="12">
        <f t="shared" si="4"/>
        <v>3048.0627420881265</v>
      </c>
      <c r="J33" s="141">
        <f t="shared" si="6"/>
        <v>0.47769633361244201</v>
      </c>
      <c r="K33" s="267" cm="1">
        <f t="array" ref="K33">InterpolateXYZ(J33,C33,B33,FFnorm_PS,FFnorm_M,FFnorm_h,FFnorm_table)*numeng</f>
        <v>1456.0483965161845</v>
      </c>
      <c r="L33" s="11">
        <f t="shared" si="7"/>
        <v>1.0518625538381374</v>
      </c>
      <c r="M33" s="425" cm="1">
        <f t="array" ref="M33">($D$5/G33)*(C33*Linterp($D$6,atmos_h,atmos_vela)/L33)</f>
        <v>1401.9898325578629</v>
      </c>
      <c r="N33" s="55">
        <f t="shared" si="8"/>
        <v>6.867903583374364</v>
      </c>
      <c r="O33" s="426">
        <f t="shared" si="9"/>
        <v>0.14019898325578628</v>
      </c>
      <c r="P33" s="12"/>
      <c r="Q33" s="7">
        <f t="shared" si="10"/>
        <v>0.32</v>
      </c>
      <c r="R33" s="314" cm="1">
        <f t="array" ref="R33">numeng*InterpolateXY($D$6,$Q33,Tmil_h,Tmil_M,Tmil_table)</f>
        <v>3089.7797918906713</v>
      </c>
      <c r="S33" s="12" cm="1">
        <f t="array" ref="S33">numeng*InterpolateXY($D$6,$Q33,Tmax_h,Tmax_M,Tmax_table)</f>
        <v>4912.3363230537152</v>
      </c>
      <c r="T33" s="16">
        <f t="shared" si="11"/>
        <v>1384.2572788652042</v>
      </c>
      <c r="U33" s="55">
        <f t="shared" si="12"/>
        <v>1705.5225130254671</v>
      </c>
      <c r="V33" s="426">
        <f t="shared" si="13"/>
        <v>3528.079044188511</v>
      </c>
    </row>
    <row r="34" spans="2:22">
      <c r="B34" s="120">
        <f t="shared" si="14"/>
        <v>10000</v>
      </c>
      <c r="C34" s="7">
        <v>0.33</v>
      </c>
      <c r="D34" s="7">
        <f t="shared" si="15"/>
        <v>355.53774579518739</v>
      </c>
      <c r="E34" s="11">
        <f t="shared" si="1"/>
        <v>0.53022895717094454</v>
      </c>
      <c r="F34" s="19">
        <f t="shared" si="5"/>
        <v>6.7501663594505629E-2</v>
      </c>
      <c r="G34" s="16">
        <f t="shared" si="2"/>
        <v>1273.0663363740669</v>
      </c>
      <c r="H34" s="12">
        <f t="shared" si="3"/>
        <v>2906.6383471122813</v>
      </c>
      <c r="I34" s="12">
        <f t="shared" si="4"/>
        <v>3057.384034877387</v>
      </c>
      <c r="J34" s="141">
        <f t="shared" si="6"/>
        <v>0.43798580502416018</v>
      </c>
      <c r="K34" s="267" cm="1">
        <f t="array" ref="K34">InterpolateXYZ(J34,C34,B34,FFnorm_PS,FFnorm_M,FFnorm_h,FFnorm_table)*numeng</f>
        <v>1339.0908077837873</v>
      </c>
      <c r="L34" s="11">
        <f t="shared" si="7"/>
        <v>1.0518625538381374</v>
      </c>
      <c r="M34" s="425" cm="1">
        <f t="array" ref="M34">($D$5/G34)*(C34*Linterp($D$6,atmos_h,atmos_vela)/L34)</f>
        <v>1572.079871752913</v>
      </c>
      <c r="N34" s="55">
        <f t="shared" si="8"/>
        <v>7.4677534502310046</v>
      </c>
      <c r="O34" s="426">
        <f t="shared" si="9"/>
        <v>0.1572079871752913</v>
      </c>
      <c r="P34" s="12"/>
      <c r="Q34" s="7">
        <f t="shared" si="10"/>
        <v>0.33</v>
      </c>
      <c r="R34" s="314" cm="1">
        <f t="array" ref="R34">numeng*InterpolateXY($D$6,$Q34,Tmil_h,Tmil_M,Tmil_table)</f>
        <v>3098.6414930146407</v>
      </c>
      <c r="S34" s="12" cm="1">
        <f t="array" ref="S34">numeng*InterpolateXY($D$6,$Q34,Tmax_h,Tmax_M,Tmax_table)</f>
        <v>4938.9214264256234</v>
      </c>
      <c r="T34" s="16">
        <f t="shared" si="11"/>
        <v>1273.0663363740669</v>
      </c>
      <c r="U34" s="55">
        <f t="shared" si="12"/>
        <v>1825.5751566405738</v>
      </c>
      <c r="V34" s="426">
        <f t="shared" si="13"/>
        <v>3665.8550900515565</v>
      </c>
    </row>
    <row r="35" spans="2:22">
      <c r="B35" s="120">
        <f t="shared" si="14"/>
        <v>10000</v>
      </c>
      <c r="C35" s="7">
        <v>0.34</v>
      </c>
      <c r="D35" s="7">
        <f t="shared" si="15"/>
        <v>366.31161687989004</v>
      </c>
      <c r="E35" s="11">
        <f t="shared" si="1"/>
        <v>0.49949769408231703</v>
      </c>
      <c r="F35" s="19">
        <f t="shared" si="5"/>
        <v>5.7919036510545724E-2</v>
      </c>
      <c r="G35" s="16">
        <f t="shared" si="2"/>
        <v>1159.5456234678973</v>
      </c>
      <c r="H35" s="12">
        <f t="shared" si="3"/>
        <v>2915.5000493900625</v>
      </c>
      <c r="I35" s="12">
        <f t="shared" si="4"/>
        <v>3066.7053276666475</v>
      </c>
      <c r="J35" s="141">
        <f t="shared" si="6"/>
        <v>0.39771757977177197</v>
      </c>
      <c r="K35" s="267" cm="1">
        <f t="array" ref="K35">InterpolateXYZ(J35,C35,B35,FFnorm_PS,FFnorm_M,FFnorm_h,FFnorm_table)*numeng</f>
        <v>1219.6826207927779</v>
      </c>
      <c r="L35" s="11">
        <f t="shared" si="7"/>
        <v>1.0518625538381376</v>
      </c>
      <c r="M35" s="425" cm="1">
        <f t="array" ref="M35">($D$5/G35)*(C35*Linterp($D$6,atmos_h,atmos_vela)/L35)</f>
        <v>1778.2907832980538</v>
      </c>
      <c r="N35" s="55">
        <f t="shared" si="8"/>
        <v>8.19885421791132</v>
      </c>
      <c r="O35" s="426">
        <f t="shared" si="9"/>
        <v>0.17782907832980538</v>
      </c>
      <c r="P35" s="12"/>
      <c r="Q35" s="7">
        <f t="shared" si="10"/>
        <v>0.34</v>
      </c>
      <c r="R35" s="314" cm="1">
        <f t="array" ref="R35">numeng*InterpolateXY($D$6,$Q35,Tmil_h,Tmil_M,Tmil_table)</f>
        <v>3107.5031941386101</v>
      </c>
      <c r="S35" s="12" cm="1">
        <f t="array" ref="S35">numeng*InterpolateXY($D$6,$Q35,Tmax_h,Tmax_M,Tmax_table)</f>
        <v>4965.5065297975316</v>
      </c>
      <c r="T35" s="16">
        <f t="shared" si="11"/>
        <v>1159.5456234678973</v>
      </c>
      <c r="U35" s="55">
        <f t="shared" si="12"/>
        <v>1947.9575706707128</v>
      </c>
      <c r="V35" s="426">
        <f t="shared" si="13"/>
        <v>3805.9609063296343</v>
      </c>
    </row>
    <row r="36" spans="2:22">
      <c r="B36" s="120">
        <f t="shared" si="14"/>
        <v>10000</v>
      </c>
      <c r="C36" s="7">
        <v>0.35</v>
      </c>
      <c r="D36" s="7">
        <f t="shared" si="15"/>
        <v>377.08548796459269</v>
      </c>
      <c r="E36" s="11">
        <f t="shared" si="1"/>
        <v>0.47136272192584378</v>
      </c>
      <c r="F36" s="19">
        <f t="shared" si="5"/>
        <v>5.2243907107094603E-2</v>
      </c>
      <c r="G36" s="16">
        <f t="shared" si="2"/>
        <v>1108.3589065686397</v>
      </c>
      <c r="H36" s="12">
        <f t="shared" si="3"/>
        <v>2924.3617516678437</v>
      </c>
      <c r="I36" s="12">
        <f t="shared" si="4"/>
        <v>3076.0266204559075</v>
      </c>
      <c r="J36" s="141">
        <f t="shared" si="6"/>
        <v>0.37900882335658787</v>
      </c>
      <c r="K36" s="267" cm="1">
        <f t="array" ref="K36">InterpolateXYZ(J36,C36,B36,FFnorm_PS,FFnorm_M,FFnorm_h,FFnorm_table)*numeng</f>
        <v>1165.8412300325351</v>
      </c>
      <c r="L36" s="11">
        <f t="shared" si="7"/>
        <v>1.0518625538381376</v>
      </c>
      <c r="M36" s="425" cm="1">
        <f t="array" ref="M36">($D$5/G36)*(C36*Linterp($D$6,atmos_h,atmos_vela)/L36)</f>
        <v>1915.1347227449435</v>
      </c>
      <c r="N36" s="55">
        <f t="shared" si="8"/>
        <v>8.5774972975702113</v>
      </c>
      <c r="O36" s="426">
        <f t="shared" si="9"/>
        <v>0.19151347227449433</v>
      </c>
      <c r="P36" s="12"/>
      <c r="Q36" s="7">
        <f t="shared" si="10"/>
        <v>0.35</v>
      </c>
      <c r="R36" s="314" cm="1">
        <f t="array" ref="R36">numeng*InterpolateXY($D$6,$Q36,Tmil_h,Tmil_M,Tmil_table)</f>
        <v>3116.3648952625795</v>
      </c>
      <c r="S36" s="12" cm="1">
        <f t="array" ref="S36">numeng*InterpolateXY($D$6,$Q36,Tmax_h,Tmax_M,Tmax_table)</f>
        <v>4992.0916331694398</v>
      </c>
      <c r="T36" s="16">
        <f t="shared" si="11"/>
        <v>1108.3589065686397</v>
      </c>
      <c r="U36" s="55">
        <f t="shared" si="12"/>
        <v>2008.0059886939398</v>
      </c>
      <c r="V36" s="426">
        <f t="shared" si="13"/>
        <v>3883.7327266008001</v>
      </c>
    </row>
    <row r="37" spans="2:22">
      <c r="B37" s="120">
        <f t="shared" si="14"/>
        <v>10000</v>
      </c>
      <c r="C37" s="7">
        <v>0.36</v>
      </c>
      <c r="D37" s="7">
        <f t="shared" si="15"/>
        <v>387.85935904929534</v>
      </c>
      <c r="E37" s="11">
        <f t="shared" si="1"/>
        <v>0.44553960984502983</v>
      </c>
      <c r="F37" s="19">
        <f t="shared" si="5"/>
        <v>4.7033461578850994E-2</v>
      </c>
      <c r="G37" s="16">
        <f t="shared" si="2"/>
        <v>1055.6516309562342</v>
      </c>
      <c r="H37" s="12">
        <f t="shared" si="3"/>
        <v>2933.2234539456254</v>
      </c>
      <c r="I37" s="12">
        <f t="shared" si="4"/>
        <v>3085.347913245168</v>
      </c>
      <c r="J37" s="141">
        <f t="shared" si="6"/>
        <v>0.3598947190798657</v>
      </c>
      <c r="K37" s="267" cm="1">
        <f t="array" ref="K37">InterpolateXYZ(J37,C37,B37,FFnorm_PS,FFnorm_M,FFnorm_h,FFnorm_table)*numeng</f>
        <v>1110.4004205010194</v>
      </c>
      <c r="L37" s="11">
        <f t="shared" si="7"/>
        <v>1.0518625538381374</v>
      </c>
      <c r="M37" s="425" cm="1">
        <f t="array" ref="M37">($D$5/G37)*(C37*Linterp($D$6,atmos_h,atmos_vela)/L37)</f>
        <v>2068.2049791958316</v>
      </c>
      <c r="N37" s="55">
        <f t="shared" si="8"/>
        <v>9.0057602783398973</v>
      </c>
      <c r="O37" s="426">
        <f t="shared" si="9"/>
        <v>0.20682049791958315</v>
      </c>
      <c r="P37" s="12"/>
      <c r="Q37" s="7">
        <f t="shared" si="10"/>
        <v>0.36</v>
      </c>
      <c r="R37" s="314" cm="1">
        <f t="array" ref="R37">numeng*InterpolateXY($D$6,$Q37,Tmil_h,Tmil_M,Tmil_table)</f>
        <v>3125.2265963865489</v>
      </c>
      <c r="S37" s="12" cm="1">
        <f t="array" ref="S37">numeng*InterpolateXY($D$6,$Q37,Tmax_h,Tmax_M,Tmax_table)</f>
        <v>5018.6767365413489</v>
      </c>
      <c r="T37" s="16">
        <f t="shared" si="11"/>
        <v>1055.6516309562342</v>
      </c>
      <c r="U37" s="55">
        <f t="shared" si="12"/>
        <v>2069.5749654303145</v>
      </c>
      <c r="V37" s="426">
        <f t="shared" si="13"/>
        <v>3963.0251055851149</v>
      </c>
    </row>
    <row r="38" spans="2:22">
      <c r="B38" s="120">
        <f t="shared" si="14"/>
        <v>10000</v>
      </c>
      <c r="C38" s="7">
        <v>0.37</v>
      </c>
      <c r="D38" s="7">
        <f t="shared" si="15"/>
        <v>398.63323013399798</v>
      </c>
      <c r="E38" s="11">
        <f t="shared" si="1"/>
        <v>0.4217818366392686</v>
      </c>
      <c r="F38" s="19">
        <f t="shared" si="5"/>
        <v>4.2238149164492991E-2</v>
      </c>
      <c r="G38" s="16">
        <f t="shared" si="2"/>
        <v>1001.4217184183166</v>
      </c>
      <c r="H38" s="12">
        <f t="shared" si="3"/>
        <v>2942.0851562234066</v>
      </c>
      <c r="I38" s="12">
        <f t="shared" si="4"/>
        <v>3094.6692060344285</v>
      </c>
      <c r="J38" s="141">
        <f t="shared" si="6"/>
        <v>0.34037822334951945</v>
      </c>
      <c r="K38" s="267" cm="1">
        <f t="array" ref="K38">InterpolateXYZ(J38,C38,B38,FFnorm_PS,FFnorm_M,FFnorm_h,FFnorm_table)*numeng</f>
        <v>1053.3580062044668</v>
      </c>
      <c r="L38" s="11">
        <f t="shared" si="7"/>
        <v>1.0518625538381376</v>
      </c>
      <c r="M38" s="425" cm="1">
        <f t="array" ref="M38">($D$5/G38)*(C38*Linterp($D$6,atmos_h,atmos_vela)/L38)</f>
        <v>2240.765553987314</v>
      </c>
      <c r="N38" s="55">
        <f t="shared" si="8"/>
        <v>9.4934485152229477</v>
      </c>
      <c r="O38" s="426">
        <f t="shared" si="9"/>
        <v>0.22407655539873139</v>
      </c>
      <c r="P38" s="12"/>
      <c r="Q38" s="7">
        <f t="shared" si="10"/>
        <v>0.37</v>
      </c>
      <c r="R38" s="314" cm="1">
        <f t="array" ref="R38">numeng*InterpolateXY($D$6,$Q38,Tmil_h,Tmil_M,Tmil_table)</f>
        <v>3134.0882975105183</v>
      </c>
      <c r="S38" s="12" cm="1">
        <f t="array" ref="S38">numeng*InterpolateXY($D$6,$Q38,Tmax_h,Tmax_M,Tmax_table)</f>
        <v>5045.2618399132571</v>
      </c>
      <c r="T38" s="16">
        <f t="shared" si="11"/>
        <v>1001.4217184183166</v>
      </c>
      <c r="U38" s="55">
        <f t="shared" si="12"/>
        <v>2132.6665790922016</v>
      </c>
      <c r="V38" s="426">
        <f t="shared" si="13"/>
        <v>4043.8401214949404</v>
      </c>
    </row>
    <row r="39" spans="2:22">
      <c r="B39" s="120">
        <f t="shared" si="14"/>
        <v>10000</v>
      </c>
      <c r="C39" s="7">
        <v>0.38</v>
      </c>
      <c r="D39" s="7">
        <f t="shared" si="15"/>
        <v>409.40710121870063</v>
      </c>
      <c r="E39" s="11">
        <f t="shared" si="1"/>
        <v>0.39987488529027604</v>
      </c>
      <c r="F39" s="19">
        <f t="shared" si="5"/>
        <v>3.7822264989896624E-2</v>
      </c>
      <c r="G39" s="16">
        <f t="shared" si="2"/>
        <v>945.85247489201026</v>
      </c>
      <c r="H39" s="12">
        <f t="shared" si="3"/>
        <v>2950.9468585011878</v>
      </c>
      <c r="I39" s="12">
        <f t="shared" si="4"/>
        <v>3103.990498823689</v>
      </c>
      <c r="J39" s="141">
        <f t="shared" si="6"/>
        <v>0.32052507898173982</v>
      </c>
      <c r="K39" s="267" cm="1">
        <f t="array" ref="K39">InterpolateXYZ(J39,C39,B39,FFnorm_PS,FFnorm_M,FFnorm_h,FFnorm_table)*numeng</f>
        <v>994.90679979403285</v>
      </c>
      <c r="L39" s="11">
        <f t="shared" si="7"/>
        <v>1.0518625538381376</v>
      </c>
      <c r="M39" s="425" cm="1">
        <f t="array" ref="M39">($D$5/G39)*(C39*Linterp($D$6,atmos_h,atmos_vela)/L39)</f>
        <v>2436.5307328886897</v>
      </c>
      <c r="N39" s="55">
        <f t="shared" si="8"/>
        <v>10.051192736917885</v>
      </c>
      <c r="O39" s="426">
        <f t="shared" si="9"/>
        <v>0.24365307328886898</v>
      </c>
      <c r="P39" s="12"/>
      <c r="Q39" s="7">
        <f t="shared" si="10"/>
        <v>0.38</v>
      </c>
      <c r="R39" s="314" cm="1">
        <f t="array" ref="R39">numeng*InterpolateXY($D$6,$Q39,Tmil_h,Tmil_M,Tmil_table)</f>
        <v>3142.9499986344877</v>
      </c>
      <c r="S39" s="12" cm="1">
        <f t="array" ref="S39">numeng*InterpolateXY($D$6,$Q39,Tmax_h,Tmax_M,Tmax_table)</f>
        <v>5071.8469432851653</v>
      </c>
      <c r="T39" s="16">
        <f t="shared" si="11"/>
        <v>945.85247489201026</v>
      </c>
      <c r="U39" s="55">
        <f t="shared" si="12"/>
        <v>2197.0975237424773</v>
      </c>
      <c r="V39" s="426">
        <f t="shared" si="13"/>
        <v>4125.9944683931553</v>
      </c>
    </row>
    <row r="40" spans="2:22">
      <c r="B40" s="120">
        <f t="shared" si="14"/>
        <v>10000</v>
      </c>
      <c r="C40" s="7">
        <v>0.39</v>
      </c>
      <c r="D40" s="7">
        <f t="shared" si="15"/>
        <v>420.18097230340328</v>
      </c>
      <c r="E40" s="11">
        <f t="shared" si="1"/>
        <v>0.37963138353659337</v>
      </c>
      <c r="F40" s="19">
        <f t="shared" si="5"/>
        <v>3.4932748616312105E-2</v>
      </c>
      <c r="G40" s="16">
        <f t="shared" si="2"/>
        <v>920.17546839472163</v>
      </c>
      <c r="H40" s="12">
        <f t="shared" si="3"/>
        <v>2959.8085607789694</v>
      </c>
      <c r="I40" s="12">
        <f t="shared" si="4"/>
        <v>3113.311791612949</v>
      </c>
      <c r="J40" s="141">
        <f t="shared" si="6"/>
        <v>0.31089019762566933</v>
      </c>
      <c r="K40" s="267" cm="1">
        <f t="array" ref="K40">InterpolateXYZ(J40,C40,B40,FFnorm_PS,FFnorm_M,FFnorm_h,FFnorm_table)*numeng</f>
        <v>967.89811816487634</v>
      </c>
      <c r="L40" s="11">
        <f t="shared" si="7"/>
        <v>1.0518625538381376</v>
      </c>
      <c r="M40" s="425" cm="1">
        <f t="array" ref="M40">($D$5/G40)*(C40*Linterp($D$6,atmos_h,atmos_vela)/L40)</f>
        <v>2570.4292684373868</v>
      </c>
      <c r="N40" s="55">
        <f t="shared" si="8"/>
        <v>10.331665918474853</v>
      </c>
      <c r="O40" s="426">
        <f t="shared" si="9"/>
        <v>0.25704292684373869</v>
      </c>
      <c r="P40" s="12"/>
      <c r="Q40" s="7">
        <f t="shared" si="10"/>
        <v>0.39</v>
      </c>
      <c r="R40" s="314" cm="1">
        <f t="array" ref="R40">numeng*InterpolateXY($D$6,$Q40,Tmil_h,Tmil_M,Tmil_table)</f>
        <v>3151.8116997584571</v>
      </c>
      <c r="S40" s="12" cm="1">
        <f t="array" ref="S40">numeng*InterpolateXY($D$6,$Q40,Tmax_h,Tmax_M,Tmax_table)</f>
        <v>5098.4320466570734</v>
      </c>
      <c r="T40" s="16">
        <f t="shared" si="11"/>
        <v>920.17546839472163</v>
      </c>
      <c r="U40" s="55">
        <f t="shared" si="12"/>
        <v>2231.6362313637355</v>
      </c>
      <c r="V40" s="426">
        <f t="shared" si="13"/>
        <v>4178.2565782623515</v>
      </c>
    </row>
    <row r="41" spans="2:22">
      <c r="B41" s="120">
        <f t="shared" si="14"/>
        <v>10000</v>
      </c>
      <c r="C41" s="7">
        <v>0.4</v>
      </c>
      <c r="D41" s="7">
        <f t="shared" si="15"/>
        <v>430.95484338810593</v>
      </c>
      <c r="E41" s="11">
        <f t="shared" si="1"/>
        <v>0.36088708397447411</v>
      </c>
      <c r="F41" s="19">
        <f t="shared" si="5"/>
        <v>3.2255744153381706E-2</v>
      </c>
      <c r="G41" s="16">
        <f t="shared" si="2"/>
        <v>893.79048421869231</v>
      </c>
      <c r="H41" s="12">
        <f t="shared" si="3"/>
        <v>2968.6702630567506</v>
      </c>
      <c r="I41" s="12">
        <f t="shared" si="4"/>
        <v>3122.6330844022095</v>
      </c>
      <c r="J41" s="141">
        <f t="shared" si="6"/>
        <v>0.30107435485218997</v>
      </c>
      <c r="K41" s="267" cm="1">
        <f t="array" ref="K41">InterpolateXYZ(J41,C41,B41,FFnorm_PS,FFnorm_M,FFnorm_h,FFnorm_table)*numeng</f>
        <v>940.14474132649923</v>
      </c>
      <c r="L41" s="11">
        <f t="shared" si="7"/>
        <v>1.0518625538381374</v>
      </c>
      <c r="M41" s="425" cm="1">
        <f t="array" ref="M41">($D$5/G41)*(C41*Linterp($D$6,atmos_h,atmos_vela)/L41)</f>
        <v>2714.1632531332384</v>
      </c>
      <c r="N41" s="55">
        <f t="shared" si="8"/>
        <v>10.636660037996363</v>
      </c>
      <c r="O41" s="426">
        <f t="shared" si="9"/>
        <v>0.27141632531332383</v>
      </c>
      <c r="P41" s="12"/>
      <c r="Q41" s="7">
        <f t="shared" si="10"/>
        <v>0.4</v>
      </c>
      <c r="R41" s="314" cm="1">
        <f t="array" ref="R41">numeng*InterpolateXY($D$6,$Q41,Tmil_h,Tmil_M,Tmil_table)</f>
        <v>3160.6734008824264</v>
      </c>
      <c r="S41" s="12" cm="1">
        <f t="array" ref="S41">numeng*InterpolateXY($D$6,$Q41,Tmax_h,Tmax_M,Tmax_table)</f>
        <v>5125.0171500289816</v>
      </c>
      <c r="T41" s="16">
        <f t="shared" si="11"/>
        <v>893.79048421869231</v>
      </c>
      <c r="U41" s="55">
        <f t="shared" si="12"/>
        <v>2266.8829166637342</v>
      </c>
      <c r="V41" s="426">
        <f t="shared" si="13"/>
        <v>4231.226665810289</v>
      </c>
    </row>
    <row r="42" spans="2:22">
      <c r="B42" s="120">
        <f t="shared" si="14"/>
        <v>10000</v>
      </c>
      <c r="C42" s="7">
        <v>0.41</v>
      </c>
      <c r="D42" s="7">
        <f t="shared" si="15"/>
        <v>441.72871447280858</v>
      </c>
      <c r="E42" s="11">
        <f t="shared" si="1"/>
        <v>0.34349752192692362</v>
      </c>
      <c r="F42" s="19">
        <f t="shared" si="5"/>
        <v>3.0164173656562543E-2</v>
      </c>
      <c r="G42" s="16">
        <f t="shared" si="2"/>
        <v>878.14821741216883</v>
      </c>
      <c r="H42" s="12">
        <f t="shared" si="3"/>
        <v>2977.5319653345318</v>
      </c>
      <c r="I42" s="12">
        <f t="shared" si="4"/>
        <v>3131.95437719147</v>
      </c>
      <c r="J42" s="141">
        <f t="shared" si="6"/>
        <v>0.29492486651222471</v>
      </c>
      <c r="K42" s="267" cm="1">
        <f t="array" ref="K42">InterpolateXYZ(J42,C42,B42,FFnorm_PS,FFnorm_M,FFnorm_h,FFnorm_table)*numeng</f>
        <v>923.69122661557208</v>
      </c>
      <c r="L42" s="11">
        <f t="shared" si="7"/>
        <v>1.0518625538381376</v>
      </c>
      <c r="M42" s="425" cm="1">
        <f t="array" ref="M42">($D$5/G42)*(C42*Linterp($D$6,atmos_h,atmos_vela)/L42)</f>
        <v>2831.572815578711</v>
      </c>
      <c r="N42" s="55">
        <f t="shared" si="8"/>
        <v>10.826128593469759</v>
      </c>
      <c r="O42" s="426">
        <f t="shared" si="9"/>
        <v>0.28315728155787112</v>
      </c>
      <c r="P42" s="12"/>
      <c r="Q42" s="7">
        <f t="shared" si="10"/>
        <v>0.41</v>
      </c>
      <c r="R42" s="314" cm="1">
        <f t="array" ref="R42">numeng*InterpolateXY($D$6,$Q42,Tmil_h,Tmil_M,Tmil_table)</f>
        <v>3169.5351020063958</v>
      </c>
      <c r="S42" s="12" cm="1">
        <f t="array" ref="S42">numeng*InterpolateXY($D$6,$Q42,Tmax_h,Tmax_M,Tmax_table)</f>
        <v>5151.6022534008898</v>
      </c>
      <c r="T42" s="16">
        <f t="shared" si="11"/>
        <v>878.14821741216883</v>
      </c>
      <c r="U42" s="55">
        <f t="shared" si="12"/>
        <v>2291.386884594227</v>
      </c>
      <c r="V42" s="426">
        <f t="shared" si="13"/>
        <v>4273.4540359887214</v>
      </c>
    </row>
    <row r="43" spans="2:22">
      <c r="B43" s="120">
        <f t="shared" si="14"/>
        <v>10000</v>
      </c>
      <c r="C43" s="7">
        <v>0.42</v>
      </c>
      <c r="D43" s="7">
        <f t="shared" si="15"/>
        <v>452.50258555751122</v>
      </c>
      <c r="E43" s="11">
        <f t="shared" si="1"/>
        <v>0.3273352235596137</v>
      </c>
      <c r="F43" s="19">
        <f t="shared" si="5"/>
        <v>2.8830986914218613E-2</v>
      </c>
      <c r="G43" s="16">
        <f t="shared" si="2"/>
        <v>880.77862811998796</v>
      </c>
      <c r="H43" s="12">
        <f t="shared" si="3"/>
        <v>2986.3936676123135</v>
      </c>
      <c r="I43" s="12">
        <f t="shared" ref="I43:I74" si="16">_xlfn.SINGLE(InterpolateXYZ($I$8,C43,B43,FFnorm_PS,FFnorm_M,FFnorm_h,FFnorm_table))*_xlfn.SINGLE(numeng)</f>
        <v>3141.2756699807301</v>
      </c>
      <c r="J43" s="141">
        <f t="shared" si="6"/>
        <v>0.29493051692149802</v>
      </c>
      <c r="K43" s="267" cm="1">
        <f t="array" ref="K43">InterpolateXYZ(J43,C43,B43,FFnorm_PS,FFnorm_M,FFnorm_h,FFnorm_table)*numeng</f>
        <v>926.45805714034168</v>
      </c>
      <c r="L43" s="11">
        <f t="shared" si="7"/>
        <v>1.0518625538381374</v>
      </c>
      <c r="M43" s="425" cm="1">
        <f t="array" ref="M43">($D$5/G43)*(C43*Linterp($D$6,atmos_h,atmos_vela)/L43)</f>
        <v>2891.9729332179741</v>
      </c>
      <c r="N43" s="55">
        <f t="shared" si="8"/>
        <v>10.793796786512464</v>
      </c>
      <c r="O43" s="426">
        <f t="shared" si="9"/>
        <v>0.28919729332179739</v>
      </c>
      <c r="P43" s="12"/>
      <c r="Q43" s="7">
        <f t="shared" si="10"/>
        <v>0.42</v>
      </c>
      <c r="R43" s="314" cm="1">
        <f t="array" ref="R43">numeng*InterpolateXY($D$6,$Q43,Tmil_h,Tmil_M,Tmil_table)</f>
        <v>3178.3968031303652</v>
      </c>
      <c r="S43" s="12" cm="1">
        <f t="array" ref="S43">numeng*InterpolateXY($D$6,$Q43,Tmax_h,Tmax_M,Tmax_table)</f>
        <v>5178.187356772798</v>
      </c>
      <c r="T43" s="16">
        <f t="shared" si="11"/>
        <v>880.77862811998796</v>
      </c>
      <c r="U43" s="55">
        <f t="shared" si="12"/>
        <v>2297.6181750103774</v>
      </c>
      <c r="V43" s="426">
        <f t="shared" si="13"/>
        <v>4297.4087286528102</v>
      </c>
    </row>
    <row r="44" spans="2:22">
      <c r="B44" s="120">
        <f t="shared" si="14"/>
        <v>10000</v>
      </c>
      <c r="C44" s="7">
        <v>0.43</v>
      </c>
      <c r="D44" s="7">
        <f t="shared" si="15"/>
        <v>463.27645664221387</v>
      </c>
      <c r="E44" s="11">
        <f t="shared" si="1"/>
        <v>0.31228736309310906</v>
      </c>
      <c r="F44" s="19">
        <f t="shared" si="5"/>
        <v>2.758834825131511E-2</v>
      </c>
      <c r="G44" s="16">
        <f t="shared" si="2"/>
        <v>883.42826229217587</v>
      </c>
      <c r="H44" s="12">
        <f t="shared" si="3"/>
        <v>2995.2553698900947</v>
      </c>
      <c r="I44" s="12">
        <f t="shared" si="16"/>
        <v>3150.5969627699906</v>
      </c>
      <c r="J44" s="141">
        <f t="shared" si="6"/>
        <v>0.29494255186815393</v>
      </c>
      <c r="K44" s="267" cm="1">
        <f t="array" ref="K44">InterpolateXYZ(J44,C44,B44,FFnorm_PS,FFnorm_M,FFnorm_h,FFnorm_table)*numeng</f>
        <v>929.24510810743607</v>
      </c>
      <c r="L44" s="11">
        <f t="shared" si="7"/>
        <v>1.0518625538381374</v>
      </c>
      <c r="M44" s="425" cm="1">
        <f t="array" ref="M44">($D$5/G44)*(C44*Linterp($D$6,atmos_h,atmos_vela)/L44)</f>
        <v>2951.949123882614</v>
      </c>
      <c r="N44" s="55">
        <f t="shared" si="8"/>
        <v>10.761423345414949</v>
      </c>
      <c r="O44" s="426">
        <f t="shared" si="9"/>
        <v>0.2951949123882614</v>
      </c>
      <c r="P44" s="12"/>
      <c r="Q44" s="7">
        <f t="shared" si="10"/>
        <v>0.43</v>
      </c>
      <c r="R44" s="314" cm="1">
        <f t="array" ref="R44">numeng*InterpolateXY($D$6,$Q44,Tmil_h,Tmil_M,Tmil_table)</f>
        <v>3187.2585042543346</v>
      </c>
      <c r="S44" s="12" cm="1">
        <f t="array" ref="S44">numeng*InterpolateXY($D$6,$Q44,Tmax_h,Tmax_M,Tmax_table)</f>
        <v>5204.7724601447062</v>
      </c>
      <c r="T44" s="16">
        <f t="shared" si="11"/>
        <v>883.42826229217587</v>
      </c>
      <c r="U44" s="55">
        <f t="shared" si="12"/>
        <v>2303.8302419621587</v>
      </c>
      <c r="V44" s="426">
        <f t="shared" si="13"/>
        <v>4321.3441978525307</v>
      </c>
    </row>
    <row r="45" spans="2:22">
      <c r="B45" s="120">
        <f t="shared" si="14"/>
        <v>10000</v>
      </c>
      <c r="C45" s="7">
        <v>0.44</v>
      </c>
      <c r="D45" s="7">
        <f t="shared" si="15"/>
        <v>474.05032772691652</v>
      </c>
      <c r="E45" s="11">
        <f t="shared" si="1"/>
        <v>0.2982537884086563</v>
      </c>
      <c r="F45" s="19">
        <f t="shared" si="5"/>
        <v>2.6460861775541019E-2</v>
      </c>
      <c r="G45" s="16">
        <f t="shared" si="2"/>
        <v>887.19281376856566</v>
      </c>
      <c r="H45" s="12">
        <f t="shared" si="3"/>
        <v>3004.1170721678759</v>
      </c>
      <c r="I45" s="12">
        <f t="shared" si="16"/>
        <v>3159.9182555592506</v>
      </c>
      <c r="J45" s="141">
        <f t="shared" si="6"/>
        <v>0.29532564559088115</v>
      </c>
      <c r="K45" s="267" cm="1">
        <f t="array" ref="K45">InterpolateXYZ(J45,C45,B45,FFnorm_PS,FFnorm_M,FFnorm_h,FFnorm_table)*numeng</f>
        <v>933.20489883744676</v>
      </c>
      <c r="L45" s="11">
        <f t="shared" si="7"/>
        <v>1.0518625538381376</v>
      </c>
      <c r="M45" s="425" cm="1">
        <f t="array" ref="M45">($D$5/G45)*(C45*Linterp($D$6,atmos_h,atmos_vela)/L45)</f>
        <v>3007.7820465634381</v>
      </c>
      <c r="N45" s="55">
        <f t="shared" si="8"/>
        <v>10.715760292790621</v>
      </c>
      <c r="O45" s="426">
        <f t="shared" si="9"/>
        <v>0.30077820465634381</v>
      </c>
      <c r="P45" s="12"/>
      <c r="Q45" s="7">
        <f t="shared" si="10"/>
        <v>0.44</v>
      </c>
      <c r="R45" s="314" cm="1">
        <f t="array" ref="R45">numeng*InterpolateXY($D$6,$Q45,Tmil_h,Tmil_M,Tmil_table)</f>
        <v>3196.120205378304</v>
      </c>
      <c r="S45" s="12" cm="1">
        <f t="array" ref="S45">numeng*InterpolateXY($D$6,$Q45,Tmax_h,Tmax_M,Tmax_table)</f>
        <v>5231.3575635166144</v>
      </c>
      <c r="T45" s="16">
        <f t="shared" si="11"/>
        <v>887.19281376856566</v>
      </c>
      <c r="U45" s="55">
        <f t="shared" si="12"/>
        <v>2308.9273916097382</v>
      </c>
      <c r="V45" s="426">
        <f t="shared" si="13"/>
        <v>4344.164749748049</v>
      </c>
    </row>
    <row r="46" spans="2:22">
      <c r="B46" s="120">
        <f t="shared" si="14"/>
        <v>10000</v>
      </c>
      <c r="C46" s="7">
        <v>0.45</v>
      </c>
      <c r="D46" s="7">
        <f t="shared" si="15"/>
        <v>484.82419881161917</v>
      </c>
      <c r="E46" s="11">
        <f t="shared" si="1"/>
        <v>0.28514535030081906</v>
      </c>
      <c r="F46" s="19">
        <f t="shared" si="5"/>
        <v>2.5621584393801192E-2</v>
      </c>
      <c r="G46" s="16">
        <f t="shared" si="2"/>
        <v>898.54470243934384</v>
      </c>
      <c r="H46" s="12">
        <f t="shared" si="3"/>
        <v>3012.9787744456571</v>
      </c>
      <c r="I46" s="12">
        <f t="shared" si="16"/>
        <v>3169.2395483485111</v>
      </c>
      <c r="J46" s="141">
        <f t="shared" si="6"/>
        <v>0.29822470375838028</v>
      </c>
      <c r="K46" s="267" cm="1">
        <f t="array" ref="K46">InterpolateXYZ(J46,C46,B46,FFnorm_PS,FFnorm_M,FFnorm_h,FFnorm_table)*numeng</f>
        <v>945.14552544557762</v>
      </c>
      <c r="L46" s="11">
        <f t="shared" si="7"/>
        <v>1.0518625538381376</v>
      </c>
      <c r="M46" s="425" cm="1">
        <f t="array" ref="M46">($D$5/G46)*(C46*Linterp($D$6,atmos_h,atmos_vela)/L46)</f>
        <v>3037.2778804336499</v>
      </c>
      <c r="N46" s="55">
        <f t="shared" si="8"/>
        <v>10.580381254289511</v>
      </c>
      <c r="O46" s="426">
        <f t="shared" si="9"/>
        <v>0.30372778804336498</v>
      </c>
      <c r="P46" s="12"/>
      <c r="Q46" s="7">
        <f t="shared" si="10"/>
        <v>0.45</v>
      </c>
      <c r="R46" s="314" cm="1">
        <f t="array" ref="R46">numeng*InterpolateXY($D$6,$Q46,Tmil_h,Tmil_M,Tmil_table)</f>
        <v>3204.9819065022739</v>
      </c>
      <c r="S46" s="12" cm="1">
        <f t="array" ref="S46">numeng*InterpolateXY($D$6,$Q46,Tmax_h,Tmax_M,Tmax_table)</f>
        <v>5257.9426668885226</v>
      </c>
      <c r="T46" s="16">
        <f t="shared" si="11"/>
        <v>898.54470243934384</v>
      </c>
      <c r="U46" s="55">
        <f t="shared" si="12"/>
        <v>2306.43720406293</v>
      </c>
      <c r="V46" s="426">
        <f t="shared" si="13"/>
        <v>4359.3979644491792</v>
      </c>
    </row>
    <row r="47" spans="2:22">
      <c r="B47" s="120">
        <f t="shared" si="14"/>
        <v>10000</v>
      </c>
      <c r="C47" s="7">
        <v>0.46</v>
      </c>
      <c r="D47" s="7">
        <f t="shared" si="15"/>
        <v>495.59806989632182</v>
      </c>
      <c r="E47" s="11">
        <f t="shared" si="1"/>
        <v>0.27288248315650215</v>
      </c>
      <c r="F47" s="19">
        <f t="shared" si="5"/>
        <v>2.4835155197281387E-2</v>
      </c>
      <c r="G47" s="16">
        <f t="shared" si="2"/>
        <v>910.1044123465432</v>
      </c>
      <c r="H47" s="12">
        <f t="shared" si="3"/>
        <v>3021.8404767234388</v>
      </c>
      <c r="I47" s="12">
        <f t="shared" si="16"/>
        <v>3178.5608411377716</v>
      </c>
      <c r="J47" s="141">
        <f t="shared" si="6"/>
        <v>0.30117553171878991</v>
      </c>
      <c r="K47" s="267" cm="1">
        <f t="array" ref="K47">InterpolateXYZ(J47,C47,B47,FFnorm_PS,FFnorm_M,FFnorm_h,FFnorm_table)*numeng</f>
        <v>957.30475143019237</v>
      </c>
      <c r="L47" s="11">
        <f t="shared" si="7"/>
        <v>1.0518625538381376</v>
      </c>
      <c r="M47" s="425" cm="1">
        <f t="array" ref="M47">($D$5/G47)*(C47*Linterp($D$6,atmos_h,atmos_vela)/L47)</f>
        <v>3065.3376070483732</v>
      </c>
      <c r="N47" s="55">
        <f t="shared" si="8"/>
        <v>10.445994324231879</v>
      </c>
      <c r="O47" s="426">
        <f t="shared" si="9"/>
        <v>0.30653376070483734</v>
      </c>
      <c r="P47" s="12"/>
      <c r="Q47" s="7">
        <f t="shared" si="10"/>
        <v>0.46</v>
      </c>
      <c r="R47" s="314" cm="1">
        <f t="array" ref="R47">numeng*InterpolateXY($D$6,$Q47,Tmil_h,Tmil_M,Tmil_table)</f>
        <v>3213.8436076262433</v>
      </c>
      <c r="S47" s="12" cm="1">
        <f t="array" ref="S47">numeng*InterpolateXY($D$6,$Q47,Tmax_h,Tmax_M,Tmax_table)</f>
        <v>5284.5277702604308</v>
      </c>
      <c r="T47" s="16">
        <f t="shared" si="11"/>
        <v>910.1044123465432</v>
      </c>
      <c r="U47" s="55">
        <f t="shared" si="12"/>
        <v>2303.7391952797002</v>
      </c>
      <c r="V47" s="426">
        <f t="shared" si="13"/>
        <v>4374.4233579138872</v>
      </c>
    </row>
    <row r="48" spans="2:22">
      <c r="B48" s="120">
        <f t="shared" si="14"/>
        <v>10000</v>
      </c>
      <c r="C48" s="7">
        <v>0.47</v>
      </c>
      <c r="D48" s="7">
        <f t="shared" si="15"/>
        <v>506.37194098102441</v>
      </c>
      <c r="E48" s="11">
        <f t="shared" si="1"/>
        <v>0.26139399473026648</v>
      </c>
      <c r="F48" s="19">
        <f t="shared" si="5"/>
        <v>2.4097124670641658E-2</v>
      </c>
      <c r="G48" s="16">
        <f t="shared" si="2"/>
        <v>921.86986527779936</v>
      </c>
      <c r="H48" s="12">
        <f t="shared" si="3"/>
        <v>3030.70217900122</v>
      </c>
      <c r="I48" s="12">
        <f t="shared" si="16"/>
        <v>3187.8821339270316</v>
      </c>
      <c r="J48" s="141">
        <f t="shared" si="6"/>
        <v>0.30417698963136169</v>
      </c>
      <c r="K48" s="267" cm="1">
        <f t="array" ref="K48">InterpolateXYZ(J48,C48,B48,FFnorm_PS,FFnorm_M,FFnorm_h,FFnorm_table)*numeng</f>
        <v>969.68039079752589</v>
      </c>
      <c r="L48" s="11">
        <f t="shared" si="7"/>
        <v>1.0518625538381376</v>
      </c>
      <c r="M48" s="425" cm="1">
        <f t="array" ref="M48">($D$5/G48)*(C48*Linterp($D$6,atmos_h,atmos_vela)/L48)</f>
        <v>3092.0032437053628</v>
      </c>
      <c r="N48" s="55">
        <f t="shared" si="8"/>
        <v>10.312676315724373</v>
      </c>
      <c r="O48" s="426">
        <f t="shared" si="9"/>
        <v>0.30920032437053629</v>
      </c>
      <c r="P48" s="12"/>
      <c r="Q48" s="7">
        <f t="shared" si="10"/>
        <v>0.47</v>
      </c>
      <c r="R48" s="314" cm="1">
        <f t="array" ref="R48">numeng*InterpolateXY($D$6,$Q48,Tmil_h,Tmil_M,Tmil_table)</f>
        <v>3222.7053087502127</v>
      </c>
      <c r="S48" s="12" cm="1">
        <f t="array" ref="S48">numeng*InterpolateXY($D$6,$Q48,Tmax_h,Tmax_M,Tmax_table)</f>
        <v>5311.112873632339</v>
      </c>
      <c r="T48" s="16">
        <f t="shared" si="11"/>
        <v>921.86986527779936</v>
      </c>
      <c r="U48" s="55">
        <f t="shared" si="12"/>
        <v>2300.8354434724133</v>
      </c>
      <c r="V48" s="426">
        <f t="shared" si="13"/>
        <v>4389.2430083545396</v>
      </c>
    </row>
    <row r="49" spans="2:22">
      <c r="B49" s="120">
        <f t="shared" si="14"/>
        <v>10000</v>
      </c>
      <c r="C49" s="7">
        <v>0.48</v>
      </c>
      <c r="D49" s="7">
        <f t="shared" si="15"/>
        <v>517.14581206572711</v>
      </c>
      <c r="E49" s="11">
        <f t="shared" si="1"/>
        <v>0.25061603053782927</v>
      </c>
      <c r="F49" s="19">
        <f t="shared" si="5"/>
        <v>2.340350190861433E-2</v>
      </c>
      <c r="G49" s="16">
        <f t="shared" si="2"/>
        <v>933.83898302074829</v>
      </c>
      <c r="H49" s="12">
        <f t="shared" si="3"/>
        <v>3039.5638812790012</v>
      </c>
      <c r="I49" s="12">
        <f t="shared" si="16"/>
        <v>3197.2034267162921</v>
      </c>
      <c r="J49" s="141">
        <f t="shared" si="6"/>
        <v>0.30722795094795091</v>
      </c>
      <c r="K49" s="267" cm="1">
        <f t="array" ref="K49">InterpolateXYZ(J49,C49,B49,FFnorm_PS,FFnorm_M,FFnorm_h,FFnorm_table)*numeng</f>
        <v>982.27025755381351</v>
      </c>
      <c r="L49" s="11">
        <f t="shared" si="7"/>
        <v>1.0518625538381376</v>
      </c>
      <c r="M49" s="425" cm="1">
        <f t="array" ref="M49">($D$5/G49)*(C49*Linterp($D$6,atmos_h,atmos_vela)/L49)</f>
        <v>3117.3167953464695</v>
      </c>
      <c r="N49" s="55">
        <f t="shared" si="8"/>
        <v>10.180497600429636</v>
      </c>
      <c r="O49" s="426">
        <f t="shared" si="9"/>
        <v>0.31173167953464692</v>
      </c>
      <c r="P49" s="12"/>
      <c r="Q49" s="7">
        <f t="shared" si="10"/>
        <v>0.48</v>
      </c>
      <c r="R49" s="314" cm="1">
        <f t="array" ref="R49">numeng*InterpolateXY($D$6,$Q49,Tmil_h,Tmil_M,Tmil_table)</f>
        <v>3231.5670098741821</v>
      </c>
      <c r="S49" s="12" cm="1">
        <f t="array" ref="S49">numeng*InterpolateXY($D$6,$Q49,Tmax_h,Tmax_M,Tmax_table)</f>
        <v>5337.6979770042472</v>
      </c>
      <c r="T49" s="16">
        <f t="shared" si="11"/>
        <v>933.83898302074829</v>
      </c>
      <c r="U49" s="55">
        <f t="shared" si="12"/>
        <v>2297.7280268534337</v>
      </c>
      <c r="V49" s="426">
        <f t="shared" si="13"/>
        <v>4403.8589939834992</v>
      </c>
    </row>
    <row r="50" spans="2:22">
      <c r="B50" s="120">
        <f t="shared" si="14"/>
        <v>10000</v>
      </c>
      <c r="C50" s="7">
        <v>0.49</v>
      </c>
      <c r="D50" s="7">
        <f t="shared" si="15"/>
        <v>527.91968315042971</v>
      </c>
      <c r="E50" s="11">
        <f t="shared" si="1"/>
        <v>0.24049118465604274</v>
      </c>
      <c r="F50" s="19">
        <f t="shared" si="5"/>
        <v>2.2750699041002673E-2</v>
      </c>
      <c r="G50" s="16">
        <f t="shared" si="2"/>
        <v>946.00968736302605</v>
      </c>
      <c r="H50" s="12">
        <f t="shared" si="3"/>
        <v>3048.4255835567828</v>
      </c>
      <c r="I50" s="12">
        <f t="shared" si="16"/>
        <v>3206.5247195055522</v>
      </c>
      <c r="J50" s="141">
        <f t="shared" si="6"/>
        <v>0.31032730221980986</v>
      </c>
      <c r="K50" s="267" cm="1">
        <f t="array" ref="K50">InterpolateXYZ(J50,C50,B50,FFnorm_PS,FFnorm_M,FFnorm_h,FFnorm_table)*numeng</f>
        <v>995.07216570529056</v>
      </c>
      <c r="L50" s="11">
        <f t="shared" si="7"/>
        <v>1.0518625538381374</v>
      </c>
      <c r="M50" s="425" cm="1">
        <f t="array" ref="M50">($D$5/G50)*(C50*Linterp($D$6,atmos_h,atmos_vela)/L50)</f>
        <v>3141.3201342684852</v>
      </c>
      <c r="N50" s="55">
        <f t="shared" si="8"/>
        <v>10.049522381034713</v>
      </c>
      <c r="O50" s="426">
        <f t="shared" si="9"/>
        <v>0.31413201342684849</v>
      </c>
      <c r="P50" s="12"/>
      <c r="Q50" s="7">
        <f t="shared" si="10"/>
        <v>0.49</v>
      </c>
      <c r="R50" s="314" cm="1">
        <f t="array" ref="R50">numeng*InterpolateXY($D$6,$Q50,Tmil_h,Tmil_M,Tmil_table)</f>
        <v>3240.4287109981515</v>
      </c>
      <c r="S50" s="12" cm="1">
        <f t="array" ref="S50">numeng*InterpolateXY($D$6,$Q50,Tmax_h,Tmax_M,Tmax_table)</f>
        <v>5364.2830803761553</v>
      </c>
      <c r="T50" s="16">
        <f t="shared" si="11"/>
        <v>946.00968736302605</v>
      </c>
      <c r="U50" s="55">
        <f t="shared" si="12"/>
        <v>2294.4190236351255</v>
      </c>
      <c r="V50" s="426">
        <f t="shared" si="13"/>
        <v>4418.273393013129</v>
      </c>
    </row>
    <row r="51" spans="2:22">
      <c r="B51" s="120">
        <f t="shared" si="14"/>
        <v>10000</v>
      </c>
      <c r="C51" s="7">
        <v>0.5</v>
      </c>
      <c r="D51" s="7">
        <f t="shared" si="15"/>
        <v>538.69355423513241</v>
      </c>
      <c r="E51" s="11">
        <f t="shared" si="1"/>
        <v>0.23096773374366344</v>
      </c>
      <c r="F51" s="19">
        <f t="shared" si="5"/>
        <v>2.2135483358978966E-2</v>
      </c>
      <c r="G51" s="16">
        <f t="shared" si="2"/>
        <v>958.37990009226769</v>
      </c>
      <c r="H51" s="12">
        <f t="shared" si="3"/>
        <v>3057.287285834564</v>
      </c>
      <c r="I51" s="12">
        <f t="shared" si="16"/>
        <v>3215.8460122948127</v>
      </c>
      <c r="J51" s="141">
        <f t="shared" si="6"/>
        <v>0.31347394290774139</v>
      </c>
      <c r="K51" s="267" cm="1">
        <f t="array" ref="K51">InterpolateXYZ(J51,C51,B51,FFnorm_PS,FFnorm_M,FFnorm_h,FFnorm_table)*numeng</f>
        <v>1008.0839292581919</v>
      </c>
      <c r="L51" s="11">
        <f t="shared" si="7"/>
        <v>1.0518625538381376</v>
      </c>
      <c r="M51" s="425" cm="1">
        <f t="array" ref="M51">($D$5/G51)*(C51*Linterp($D$6,atmos_h,atmos_vela)/L51)</f>
        <v>3164.0548910105813</v>
      </c>
      <c r="N51" s="55">
        <f t="shared" si="8"/>
        <v>9.9198089660635649</v>
      </c>
      <c r="O51" s="426">
        <f t="shared" si="9"/>
        <v>0.31640548910105815</v>
      </c>
      <c r="P51" s="12"/>
      <c r="Q51" s="7">
        <f t="shared" si="10"/>
        <v>0.5</v>
      </c>
      <c r="R51" s="314" cm="1">
        <f t="array" ref="R51">numeng*InterpolateXY($D$6,$Q51,Tmil_h,Tmil_M,Tmil_table)</f>
        <v>3249.2904121221209</v>
      </c>
      <c r="S51" s="12" cm="1">
        <f t="array" ref="S51">numeng*InterpolateXY($D$6,$Q51,Tmax_h,Tmax_M,Tmax_table)</f>
        <v>5390.8681837480635</v>
      </c>
      <c r="T51" s="16">
        <f t="shared" si="11"/>
        <v>958.37990009226769</v>
      </c>
      <c r="U51" s="55">
        <f t="shared" si="12"/>
        <v>2290.9105120298532</v>
      </c>
      <c r="V51" s="426">
        <f t="shared" si="13"/>
        <v>4432.4882836557954</v>
      </c>
    </row>
    <row r="52" spans="2:22">
      <c r="B52" s="120">
        <f t="shared" si="14"/>
        <v>10000</v>
      </c>
      <c r="C52" s="7">
        <v>0.51</v>
      </c>
      <c r="D52" s="7">
        <f t="shared" si="15"/>
        <v>549.46742531983512</v>
      </c>
      <c r="E52" s="11">
        <f t="shared" si="1"/>
        <v>0.22199897514769645</v>
      </c>
      <c r="F52" s="19">
        <f t="shared" si="5"/>
        <v>2.1554935946731031E-2</v>
      </c>
      <c r="G52" s="16">
        <f t="shared" si="2"/>
        <v>970.94754299610963</v>
      </c>
      <c r="H52" s="12">
        <f t="shared" si="3"/>
        <v>3066.1489881123453</v>
      </c>
      <c r="I52" s="12">
        <f t="shared" si="16"/>
        <v>3225.1673050840732</v>
      </c>
      <c r="J52" s="141">
        <f t="shared" si="6"/>
        <v>0.31666678519554498</v>
      </c>
      <c r="K52" s="267" cm="1">
        <f t="array" ref="K52">InterpolateXYZ(J52,C52,B52,FFnorm_PS,FFnorm_M,FFnorm_h,FFnorm_table)*numeng</f>
        <v>1021.3033622187528</v>
      </c>
      <c r="L52" s="11">
        <f t="shared" si="7"/>
        <v>1.0518625538381376</v>
      </c>
      <c r="M52" s="425" cm="1">
        <f t="array" ref="M52">($D$5/G52)*(C52*Linterp($D$6,atmos_h,atmos_vela)/L52)</f>
        <v>3185.5623559183659</v>
      </c>
      <c r="N52" s="55">
        <f t="shared" si="8"/>
        <v>9.7914100451752955</v>
      </c>
      <c r="O52" s="426">
        <f t="shared" si="9"/>
        <v>0.3185562355918366</v>
      </c>
      <c r="P52" s="12"/>
      <c r="Q52" s="7">
        <f t="shared" si="10"/>
        <v>0.51</v>
      </c>
      <c r="R52" s="314" cm="1">
        <f t="array" ref="R52">numeng*InterpolateXY($D$6,$Q52,Tmil_h,Tmil_M,Tmil_table)</f>
        <v>3258.1521132460903</v>
      </c>
      <c r="S52" s="12" cm="1">
        <f t="array" ref="S52">numeng*InterpolateXY($D$6,$Q52,Tmax_h,Tmax_M,Tmax_table)</f>
        <v>5417.4532871199717</v>
      </c>
      <c r="T52" s="16">
        <f t="shared" si="11"/>
        <v>970.94754299610963</v>
      </c>
      <c r="U52" s="55">
        <f t="shared" si="12"/>
        <v>2287.2045702499809</v>
      </c>
      <c r="V52" s="426">
        <f t="shared" si="13"/>
        <v>4446.5057441238623</v>
      </c>
    </row>
    <row r="53" spans="2:22">
      <c r="B53" s="120">
        <f t="shared" si="14"/>
        <v>10000</v>
      </c>
      <c r="C53" s="7">
        <v>0.52</v>
      </c>
      <c r="D53" s="7">
        <f t="shared" si="15"/>
        <v>560.24129640453771</v>
      </c>
      <c r="E53" s="11">
        <f t="shared" si="1"/>
        <v>0.21354265323933375</v>
      </c>
      <c r="F53" s="19">
        <f t="shared" si="5"/>
        <v>2.1006415827458359E-2</v>
      </c>
      <c r="G53" s="16">
        <f t="shared" si="2"/>
        <v>983.71053786218727</v>
      </c>
      <c r="H53" s="12">
        <f t="shared" si="3"/>
        <v>3075.0106903901269</v>
      </c>
      <c r="I53" s="12">
        <f t="shared" si="16"/>
        <v>3234.4885978733332</v>
      </c>
      <c r="J53" s="141">
        <f t="shared" si="6"/>
        <v>0.31990475380668798</v>
      </c>
      <c r="K53" s="267" cm="1">
        <f t="array" ref="K53">InterpolateXYZ(J53,C53,B53,FFnorm_PS,FFnorm_M,FFnorm_h,FFnorm_table)*numeng</f>
        <v>1034.7282785932082</v>
      </c>
      <c r="L53" s="11">
        <f t="shared" si="7"/>
        <v>1.0518625538381376</v>
      </c>
      <c r="M53" s="425" cm="1">
        <f t="array" ref="M53">($D$5/G53)*(C53*Linterp($D$6,atmos_h,atmos_vela)/L53)</f>
        <v>3205.8833908601578</v>
      </c>
      <c r="N53" s="55">
        <f t="shared" si="8"/>
        <v>9.6643729633017852</v>
      </c>
      <c r="O53" s="426">
        <f t="shared" si="9"/>
        <v>0.32058833908601575</v>
      </c>
      <c r="P53" s="12"/>
      <c r="Q53" s="7">
        <f t="shared" si="10"/>
        <v>0.52</v>
      </c>
      <c r="R53" s="314" cm="1">
        <f t="array" ref="R53">numeng*InterpolateXY($D$6,$Q53,Tmil_h,Tmil_M,Tmil_table)</f>
        <v>3267.0138143700597</v>
      </c>
      <c r="S53" s="12" cm="1">
        <f t="array" ref="S53">numeng*InterpolateXY($D$6,$Q53,Tmax_h,Tmax_M,Tmax_table)</f>
        <v>5444.0383904918799</v>
      </c>
      <c r="T53" s="16">
        <f t="shared" si="11"/>
        <v>983.71053786218727</v>
      </c>
      <c r="U53" s="55">
        <f t="shared" si="12"/>
        <v>2283.3032765078724</v>
      </c>
      <c r="V53" s="426">
        <f t="shared" si="13"/>
        <v>4460.3278526296926</v>
      </c>
    </row>
    <row r="54" spans="2:22">
      <c r="B54" s="120">
        <f t="shared" si="14"/>
        <v>10000</v>
      </c>
      <c r="C54" s="7">
        <v>0.53</v>
      </c>
      <c r="D54" s="7">
        <f t="shared" si="15"/>
        <v>571.01516748924041</v>
      </c>
      <c r="E54" s="11">
        <f t="shared" si="1"/>
        <v>0.20556046079001722</v>
      </c>
      <c r="F54" s="19">
        <f t="shared" si="5"/>
        <v>2.0487528799376077E-2</v>
      </c>
      <c r="G54" s="16">
        <f t="shared" si="2"/>
        <v>996.66680647813689</v>
      </c>
      <c r="H54" s="12">
        <f t="shared" si="3"/>
        <v>3083.8723926679081</v>
      </c>
      <c r="I54" s="12">
        <f t="shared" si="16"/>
        <v>3243.8098906625937</v>
      </c>
      <c r="J54" s="141">
        <f t="shared" si="6"/>
        <v>0.32318678582413857</v>
      </c>
      <c r="K54" s="267" cm="1">
        <f t="array" ref="K54">InterpolateXYZ(J54,C54,B54,FFnorm_PS,FFnorm_M,FFnorm_h,FFnorm_table)*numeng</f>
        <v>1048.3564923877939</v>
      </c>
      <c r="L54" s="11">
        <f t="shared" si="7"/>
        <v>1.0518625538381376</v>
      </c>
      <c r="M54" s="425" cm="1">
        <f t="array" ref="M54">($D$5/G54)*(C54*Linterp($D$6,atmos_h,atmos_vela)/L54)</f>
        <v>3225.058350554863</v>
      </c>
      <c r="N54" s="55">
        <f t="shared" si="8"/>
        <v>9.5387399921790479</v>
      </c>
      <c r="O54" s="426">
        <f t="shared" si="9"/>
        <v>0.3225058350554863</v>
      </c>
      <c r="P54" s="12"/>
      <c r="Q54" s="7">
        <f t="shared" si="10"/>
        <v>0.53</v>
      </c>
      <c r="R54" s="314" cm="1">
        <f t="array" ref="R54">numeng*InterpolateXY($D$6,$Q54,Tmil_h,Tmil_M,Tmil_table)</f>
        <v>3275.8755154940291</v>
      </c>
      <c r="S54" s="12" cm="1">
        <f t="array" ref="S54">numeng*InterpolateXY($D$6,$Q54,Tmax_h,Tmax_M,Tmax_table)</f>
        <v>5470.6234938637881</v>
      </c>
      <c r="T54" s="16">
        <f t="shared" si="11"/>
        <v>996.66680647813689</v>
      </c>
      <c r="U54" s="55">
        <f t="shared" si="12"/>
        <v>2279.2087090158921</v>
      </c>
      <c r="V54" s="426">
        <f t="shared" si="13"/>
        <v>4473.9566873856511</v>
      </c>
    </row>
    <row r="55" spans="2:22">
      <c r="B55" s="120">
        <f t="shared" si="14"/>
        <v>10000</v>
      </c>
      <c r="C55" s="7">
        <v>0.54</v>
      </c>
      <c r="D55" s="7">
        <f t="shared" si="15"/>
        <v>581.789038573943</v>
      </c>
      <c r="E55" s="11">
        <f t="shared" si="1"/>
        <v>0.19801760437556878</v>
      </c>
      <c r="F55" s="19">
        <f t="shared" si="5"/>
        <v>2.0045660164083833E-2</v>
      </c>
      <c r="G55" s="16">
        <f t="shared" si="2"/>
        <v>1012.317072883296</v>
      </c>
      <c r="H55" s="12">
        <f t="shared" si="3"/>
        <v>3092.7340949456893</v>
      </c>
      <c r="I55" s="12">
        <f t="shared" si="16"/>
        <v>3253.1311834518538</v>
      </c>
      <c r="J55" s="141">
        <f t="shared" si="6"/>
        <v>0.32732108283660027</v>
      </c>
      <c r="K55" s="267" cm="1">
        <f t="array" ref="K55">InterpolateXYZ(J55,C55,B55,FFnorm_PS,FFnorm_M,FFnorm_h,FFnorm_table)*numeng</f>
        <v>1064.8184215769718</v>
      </c>
      <c r="L55" s="11">
        <f t="shared" si="7"/>
        <v>1.0518625538381376</v>
      </c>
      <c r="M55" s="425" cm="1">
        <f t="array" ref="M55">($D$5/G55)*(C55*Linterp($D$6,atmos_h,atmos_vela)/L55)</f>
        <v>3235.1088674539983</v>
      </c>
      <c r="N55" s="55">
        <f t="shared" si="8"/>
        <v>9.3912725375188639</v>
      </c>
      <c r="O55" s="426">
        <f t="shared" si="9"/>
        <v>0.32351088674539985</v>
      </c>
      <c r="P55" s="12"/>
      <c r="Q55" s="7">
        <f t="shared" si="10"/>
        <v>0.54</v>
      </c>
      <c r="R55" s="314" cm="1">
        <f t="array" ref="R55">numeng*InterpolateXY($D$6,$Q55,Tmil_h,Tmil_M,Tmil_table)</f>
        <v>3284.7372166179985</v>
      </c>
      <c r="S55" s="12" cm="1">
        <f t="array" ref="S55">numeng*InterpolateXY($D$6,$Q55,Tmax_h,Tmax_M,Tmax_table)</f>
        <v>5497.2085972356972</v>
      </c>
      <c r="T55" s="16">
        <f t="shared" si="11"/>
        <v>1012.317072883296</v>
      </c>
      <c r="U55" s="55">
        <f t="shared" si="12"/>
        <v>2272.4201437347024</v>
      </c>
      <c r="V55" s="426">
        <f t="shared" si="13"/>
        <v>4484.8915243524016</v>
      </c>
    </row>
    <row r="56" spans="2:22">
      <c r="B56" s="120">
        <f t="shared" si="14"/>
        <v>10000</v>
      </c>
      <c r="C56" s="7">
        <v>0.55000000000000004</v>
      </c>
      <c r="D56" s="7">
        <f t="shared" si="15"/>
        <v>592.56290965864571</v>
      </c>
      <c r="E56" s="11">
        <f t="shared" si="1"/>
        <v>0.19088242458153998</v>
      </c>
      <c r="F56" s="19">
        <f t="shared" si="5"/>
        <v>1.9758090921807747E-2</v>
      </c>
      <c r="G56" s="16">
        <f t="shared" si="2"/>
        <v>1035.09220218269</v>
      </c>
      <c r="H56" s="12">
        <f t="shared" si="3"/>
        <v>3101.595797223471</v>
      </c>
      <c r="I56" s="12">
        <f t="shared" si="16"/>
        <v>3262.4524762411143</v>
      </c>
      <c r="J56" s="141">
        <f t="shared" si="6"/>
        <v>0.33372891564700274</v>
      </c>
      <c r="K56" s="267" cm="1">
        <f t="array" ref="K56">InterpolateXYZ(J56,C56,B56,FFnorm_PS,FFnorm_M,FFnorm_h,FFnorm_table)*numeng</f>
        <v>1088.7747272458262</v>
      </c>
      <c r="L56" s="11">
        <f t="shared" si="7"/>
        <v>1.0518625538381376</v>
      </c>
      <c r="M56" s="425" cm="1">
        <f t="array" ref="M56">($D$5/G56)*(C56*Linterp($D$6,atmos_h,atmos_vela)/L56)</f>
        <v>3222.5180175570172</v>
      </c>
      <c r="N56" s="55">
        <f t="shared" si="8"/>
        <v>9.1846364080254563</v>
      </c>
      <c r="O56" s="426">
        <f t="shared" si="9"/>
        <v>0.32225180175570173</v>
      </c>
      <c r="P56" s="12"/>
      <c r="Q56" s="7">
        <f t="shared" si="10"/>
        <v>0.55000000000000004</v>
      </c>
      <c r="R56" s="314" cm="1">
        <f t="array" ref="R56">numeng*InterpolateXY($D$6,$Q56,Tmil_h,Tmil_M,Tmil_table)</f>
        <v>3293.5989177419679</v>
      </c>
      <c r="S56" s="12" cm="1">
        <f t="array" ref="S56">numeng*InterpolateXY($D$6,$Q56,Tmax_h,Tmax_M,Tmax_table)</f>
        <v>5523.7937006076054</v>
      </c>
      <c r="T56" s="16">
        <f t="shared" si="11"/>
        <v>1035.09220218269</v>
      </c>
      <c r="U56" s="55">
        <f t="shared" si="12"/>
        <v>2258.5067155592778</v>
      </c>
      <c r="V56" s="426">
        <f t="shared" si="13"/>
        <v>4488.7014984249154</v>
      </c>
    </row>
    <row r="57" spans="2:22">
      <c r="B57" s="120">
        <f t="shared" si="14"/>
        <v>10000</v>
      </c>
      <c r="C57" s="7">
        <v>0.56000000000000005</v>
      </c>
      <c r="D57" s="7">
        <f t="shared" si="15"/>
        <v>603.33678074334841</v>
      </c>
      <c r="E57" s="11">
        <f t="shared" si="1"/>
        <v>0.18412606325228267</v>
      </c>
      <c r="F57" s="19">
        <f t="shared" si="5"/>
        <v>1.9484727371960602E-2</v>
      </c>
      <c r="G57" s="16">
        <f t="shared" si="2"/>
        <v>1058.2275549585479</v>
      </c>
      <c r="H57" s="12">
        <f t="shared" si="3"/>
        <v>3110.4574995012522</v>
      </c>
      <c r="I57" s="12">
        <f t="shared" si="16"/>
        <v>3271.7737690303748</v>
      </c>
      <c r="J57" s="141">
        <f t="shared" si="6"/>
        <v>0.34021604703752739</v>
      </c>
      <c r="K57" s="267" cm="1">
        <f t="array" ref="K57">InterpolateXYZ(J57,C57,B57,FFnorm_PS,FFnorm_M,FFnorm_h,FFnorm_table)*numeng</f>
        <v>1113.1099385005862</v>
      </c>
      <c r="L57" s="11">
        <f t="shared" si="7"/>
        <v>1.0518625538381374</v>
      </c>
      <c r="M57" s="425" cm="1">
        <f t="array" ref="M57">($D$5/G57)*(C57*Linterp($D$6,atmos_h,atmos_vela)/L57)</f>
        <v>3209.376459400728</v>
      </c>
      <c r="N57" s="55">
        <f t="shared" si="8"/>
        <v>8.9838385716603106</v>
      </c>
      <c r="O57" s="426">
        <f t="shared" si="9"/>
        <v>0.32093764594007279</v>
      </c>
      <c r="P57" s="12"/>
      <c r="Q57" s="7">
        <f t="shared" si="10"/>
        <v>0.56000000000000005</v>
      </c>
      <c r="R57" s="314" cm="1">
        <f t="array" ref="R57">numeng*InterpolateXY($D$6,$Q57,Tmil_h,Tmil_M,Tmil_table)</f>
        <v>3302.4606188659372</v>
      </c>
      <c r="S57" s="12" cm="1">
        <f t="array" ref="S57">numeng*InterpolateXY($D$6,$Q57,Tmax_h,Tmax_M,Tmax_table)</f>
        <v>5550.3788039795136</v>
      </c>
      <c r="T57" s="16">
        <f t="shared" si="11"/>
        <v>1058.2275549585479</v>
      </c>
      <c r="U57" s="55">
        <f t="shared" si="12"/>
        <v>2244.2330639073894</v>
      </c>
      <c r="V57" s="426">
        <f t="shared" si="13"/>
        <v>4492.1512490209661</v>
      </c>
    </row>
    <row r="58" spans="2:22">
      <c r="B58" s="120">
        <f t="shared" si="14"/>
        <v>10000</v>
      </c>
      <c r="C58" s="7">
        <v>0.56999999999999995</v>
      </c>
      <c r="D58" s="7">
        <f t="shared" si="15"/>
        <v>614.11065182805089</v>
      </c>
      <c r="E58" s="11">
        <f t="shared" si="1"/>
        <v>0.17772217124012271</v>
      </c>
      <c r="F58" s="19">
        <f t="shared" si="5"/>
        <v>1.9224581421504603E-2</v>
      </c>
      <c r="G58" s="16">
        <f t="shared" si="2"/>
        <v>1081.7210529985041</v>
      </c>
      <c r="H58" s="12">
        <f t="shared" si="3"/>
        <v>3119.3192017790334</v>
      </c>
      <c r="I58" s="12">
        <f t="shared" si="16"/>
        <v>3281.0950618196348</v>
      </c>
      <c r="J58" s="141">
        <f t="shared" si="6"/>
        <v>0.34678113492891938</v>
      </c>
      <c r="K58" s="267" cm="1">
        <f t="array" ref="K58">InterpolateXYZ(J58,C58,B58,FFnorm_PS,FFnorm_M,FFnorm_h,FFnorm_table)*numeng</f>
        <v>1137.8218693474857</v>
      </c>
      <c r="L58" s="11">
        <f t="shared" si="7"/>
        <v>1.0518625538381374</v>
      </c>
      <c r="M58" s="425" cm="1">
        <f t="array" ref="M58">($D$5/G58)*(C58*Linterp($D$6,atmos_h,atmos_vela)/L58)</f>
        <v>3195.7387962426915</v>
      </c>
      <c r="N58" s="55">
        <f t="shared" si="8"/>
        <v>8.788721916317856</v>
      </c>
      <c r="O58" s="426">
        <f t="shared" si="9"/>
        <v>0.31957387962426914</v>
      </c>
      <c r="P58" s="12"/>
      <c r="Q58" s="7">
        <f t="shared" si="10"/>
        <v>0.56999999999999995</v>
      </c>
      <c r="R58" s="314" cm="1">
        <f t="array" ref="R58">numeng*InterpolateXY($D$6,$Q58,Tmil_h,Tmil_M,Tmil_table)</f>
        <v>3311.3223199899066</v>
      </c>
      <c r="S58" s="12" cm="1">
        <f t="array" ref="S58">numeng*InterpolateXY($D$6,$Q58,Tmax_h,Tmax_M,Tmax_table)</f>
        <v>5576.9639073514218</v>
      </c>
      <c r="T58" s="16">
        <f t="shared" si="11"/>
        <v>1081.7210529985041</v>
      </c>
      <c r="U58" s="55">
        <f t="shared" si="12"/>
        <v>2229.6012669914026</v>
      </c>
      <c r="V58" s="426">
        <f t="shared" si="13"/>
        <v>4495.2428543529177</v>
      </c>
    </row>
    <row r="59" spans="2:22">
      <c r="B59" s="120">
        <f t="shared" si="14"/>
        <v>10000</v>
      </c>
      <c r="C59" s="7">
        <v>0.57999999999999996</v>
      </c>
      <c r="D59" s="7">
        <f t="shared" si="15"/>
        <v>624.8845229127536</v>
      </c>
      <c r="E59" s="11">
        <f t="shared" si="1"/>
        <v>0.17164665111746691</v>
      </c>
      <c r="F59" s="19">
        <f t="shared" si="5"/>
        <v>1.8976749416905012E-2</v>
      </c>
      <c r="G59" s="16">
        <f t="shared" si="2"/>
        <v>1105.5706180901959</v>
      </c>
      <c r="H59" s="12">
        <f t="shared" si="3"/>
        <v>3128.1809040568146</v>
      </c>
      <c r="I59" s="12">
        <f t="shared" si="16"/>
        <v>3290.4163546088953</v>
      </c>
      <c r="J59" s="141">
        <f t="shared" si="6"/>
        <v>0.35342285244962174</v>
      </c>
      <c r="K59" s="267" cm="1">
        <f t="array" ref="K59">InterpolateXYZ(J59,C59,B59,FFnorm_PS,FFnorm_M,FFnorm_h,FFnorm_table)*numeng</f>
        <v>1162.9083337927618</v>
      </c>
      <c r="L59" s="11">
        <f t="shared" si="7"/>
        <v>1.0518625538381376</v>
      </c>
      <c r="M59" s="425" cm="1">
        <f t="array" ref="M59">($D$5/G59)*(C59*Linterp($D$6,atmos_h,atmos_vela)/L59)</f>
        <v>3181.6558892120511</v>
      </c>
      <c r="N59" s="55">
        <f t="shared" si="8"/>
        <v>8.5991300512788893</v>
      </c>
      <c r="O59" s="426">
        <f t="shared" si="9"/>
        <v>0.31816558892120511</v>
      </c>
      <c r="P59" s="12"/>
      <c r="Q59" s="7">
        <f t="shared" si="10"/>
        <v>0.57999999999999996</v>
      </c>
      <c r="R59" s="314" cm="1">
        <f t="array" ref="R59">numeng*InterpolateXY($D$6,$Q59,Tmil_h,Tmil_M,Tmil_table)</f>
        <v>3320.184021113876</v>
      </c>
      <c r="S59" s="12" cm="1">
        <f t="array" ref="S59">numeng*InterpolateXY($D$6,$Q59,Tmax_h,Tmax_M,Tmax_table)</f>
        <v>5603.54901072333</v>
      </c>
      <c r="T59" s="16">
        <f t="shared" si="11"/>
        <v>1105.5706180901959</v>
      </c>
      <c r="U59" s="55">
        <f t="shared" si="12"/>
        <v>2214.6134030236799</v>
      </c>
      <c r="V59" s="426">
        <f t="shared" si="13"/>
        <v>4497.9783926331338</v>
      </c>
    </row>
    <row r="60" spans="2:22">
      <c r="B60" s="120">
        <f t="shared" si="14"/>
        <v>10000</v>
      </c>
      <c r="C60" s="7">
        <v>0.59</v>
      </c>
      <c r="D60" s="7">
        <f t="shared" si="15"/>
        <v>635.65839399745619</v>
      </c>
      <c r="E60" s="11">
        <f t="shared" si="1"/>
        <v>0.16587743015201339</v>
      </c>
      <c r="F60" s="19">
        <f t="shared" si="5"/>
        <v>1.8740403630700501E-2</v>
      </c>
      <c r="G60" s="16">
        <f t="shared" si="2"/>
        <v>1129.7741720212582</v>
      </c>
      <c r="H60" s="12">
        <f t="shared" si="3"/>
        <v>3137.0426063345963</v>
      </c>
      <c r="I60" s="12">
        <f t="shared" si="16"/>
        <v>3299.7376473981553</v>
      </c>
      <c r="J60" s="141">
        <f t="shared" si="6"/>
        <v>0.3601398877209756</v>
      </c>
      <c r="K60" s="267" cm="1">
        <f t="array" ref="K60">InterpolateXYZ(J60,C60,B60,FFnorm_PS,FFnorm_M,FFnorm_h,FFnorm_table)*numeng</f>
        <v>1188.3671458426479</v>
      </c>
      <c r="L60" s="11">
        <f t="shared" si="7"/>
        <v>1.0518625538381374</v>
      </c>
      <c r="M60" s="425" cm="1">
        <f t="array" ref="M60">($D$5/G60)*(C60*Linterp($D$6,atmos_h,atmos_vela)/L60)</f>
        <v>3167.1750769372475</v>
      </c>
      <c r="N60" s="55">
        <f t="shared" si="8"/>
        <v>8.4149078296078237</v>
      </c>
      <c r="O60" s="426">
        <f t="shared" si="9"/>
        <v>0.31671750769372475</v>
      </c>
      <c r="P60" s="12"/>
      <c r="Q60" s="7">
        <f t="shared" si="10"/>
        <v>0.59</v>
      </c>
      <c r="R60" s="314" cm="1">
        <f t="array" ref="R60">numeng*InterpolateXY($D$6,$Q60,Tmil_h,Tmil_M,Tmil_table)</f>
        <v>3329.0457222378454</v>
      </c>
      <c r="S60" s="12" cm="1">
        <f t="array" ref="S60">numeng*InterpolateXY($D$6,$Q60,Tmax_h,Tmax_M,Tmax_table)</f>
        <v>5630.1341140952381</v>
      </c>
      <c r="T60" s="16">
        <f t="shared" si="11"/>
        <v>1129.7741720212582</v>
      </c>
      <c r="U60" s="55">
        <f t="shared" si="12"/>
        <v>2199.2715502165875</v>
      </c>
      <c r="V60" s="426">
        <f t="shared" si="13"/>
        <v>4500.3599420739802</v>
      </c>
    </row>
    <row r="61" spans="2:22">
      <c r="B61" s="120">
        <f t="shared" si="14"/>
        <v>10000</v>
      </c>
      <c r="C61" s="7">
        <v>0.6</v>
      </c>
      <c r="D61" s="7">
        <f t="shared" si="15"/>
        <v>646.43226508215889</v>
      </c>
      <c r="E61" s="11">
        <f t="shared" si="1"/>
        <v>0.16039425954421074</v>
      </c>
      <c r="F61" s="19">
        <f t="shared" si="5"/>
        <v>1.8514784732907904E-2</v>
      </c>
      <c r="G61" s="16">
        <f t="shared" si="2"/>
        <v>1154.3296365793274</v>
      </c>
      <c r="H61" s="12">
        <f t="shared" si="3"/>
        <v>3145.9043086123775</v>
      </c>
      <c r="I61" s="12">
        <f t="shared" si="16"/>
        <v>3309.0589401874158</v>
      </c>
      <c r="J61" s="141">
        <f t="shared" si="6"/>
        <v>0.36693094364605422</v>
      </c>
      <c r="K61" s="267" cm="1">
        <f t="array" ref="K61">InterpolateXYZ(J61,C61,B61,FFnorm_PS,FFnorm_M,FFnorm_h,FFnorm_table)*numeng</f>
        <v>1214.1961195033807</v>
      </c>
      <c r="L61" s="11">
        <f t="shared" si="7"/>
        <v>1.0518625538381376</v>
      </c>
      <c r="M61" s="425" cm="1">
        <f t="array" ref="M61">($D$5/G61)*(C61*Linterp($D$6,atmos_h,atmos_vela)/L61)</f>
        <v>3152.3403862201189</v>
      </c>
      <c r="N61" s="55">
        <f t="shared" si="8"/>
        <v>8.2359017949177016</v>
      </c>
      <c r="O61" s="426">
        <f t="shared" si="9"/>
        <v>0.31523403862201188</v>
      </c>
      <c r="P61" s="12"/>
      <c r="Q61" s="7">
        <f t="shared" si="10"/>
        <v>0.6</v>
      </c>
      <c r="R61" s="314" cm="1">
        <f t="array" ref="R61">numeng*InterpolateXY($D$6,$Q61,Tmil_h,Tmil_M,Tmil_table)</f>
        <v>3337.9074233618148</v>
      </c>
      <c r="S61" s="12" cm="1">
        <f t="array" ref="S61">numeng*InterpolateXY($D$6,$Q61,Tmax_h,Tmax_M,Tmax_table)</f>
        <v>5656.7192174671463</v>
      </c>
      <c r="T61" s="16">
        <f t="shared" si="11"/>
        <v>1154.3296365793274</v>
      </c>
      <c r="U61" s="55">
        <f t="shared" si="12"/>
        <v>2183.5777867824872</v>
      </c>
      <c r="V61" s="426">
        <f t="shared" si="13"/>
        <v>4502.3895808878187</v>
      </c>
    </row>
    <row r="62" spans="2:22">
      <c r="B62" s="120">
        <f t="shared" si="14"/>
        <v>10000</v>
      </c>
      <c r="C62" s="7">
        <v>0.61</v>
      </c>
      <c r="D62" s="7">
        <f t="shared" si="15"/>
        <v>657.20613616686148</v>
      </c>
      <c r="E62" s="11">
        <f t="shared" si="1"/>
        <v>0.15517853651146429</v>
      </c>
      <c r="F62" s="19">
        <f t="shared" si="5"/>
        <v>1.8299195119179913E-2</v>
      </c>
      <c r="G62" s="16">
        <f t="shared" si="2"/>
        <v>1179.2349335520382</v>
      </c>
      <c r="H62" s="12">
        <f t="shared" si="3"/>
        <v>3154.7660108901587</v>
      </c>
      <c r="I62" s="12">
        <f t="shared" si="16"/>
        <v>3318.3802329766763</v>
      </c>
      <c r="J62" s="141">
        <f t="shared" si="6"/>
        <v>0.37379473770205279</v>
      </c>
      <c r="K62" s="267" cm="1">
        <f t="array" ref="K62">InterpolateXYZ(J62,C62,B62,FFnorm_PS,FFnorm_M,FFnorm_h,FFnorm_table)*numeng</f>
        <v>1240.3930687811935</v>
      </c>
      <c r="L62" s="11">
        <f t="shared" si="7"/>
        <v>1.0518625538381376</v>
      </c>
      <c r="M62" s="425" cm="1">
        <f t="array" ref="M62">($D$5/G62)*(C62*Linterp($D$6,atmos_h,atmos_vela)/L62)</f>
        <v>3137.1927334810557</v>
      </c>
      <c r="N62" s="55">
        <f t="shared" si="8"/>
        <v>8.0619605604745672</v>
      </c>
      <c r="O62" s="426">
        <f t="shared" si="9"/>
        <v>0.31371927334810557</v>
      </c>
      <c r="P62" s="12"/>
      <c r="Q62" s="7">
        <f t="shared" si="10"/>
        <v>0.61</v>
      </c>
      <c r="R62" s="314" cm="1">
        <f t="array" ref="R62">numeng*InterpolateXY($D$6,$Q62,Tmil_h,Tmil_M,Tmil_table)</f>
        <v>3346.7691244857842</v>
      </c>
      <c r="S62" s="12" cm="1">
        <f t="array" ref="S62">numeng*InterpolateXY($D$6,$Q62,Tmax_h,Tmax_M,Tmax_table)</f>
        <v>5683.3043208390545</v>
      </c>
      <c r="T62" s="16">
        <f t="shared" si="11"/>
        <v>1179.2349335520382</v>
      </c>
      <c r="U62" s="55">
        <f t="shared" si="12"/>
        <v>2167.5341909337458</v>
      </c>
      <c r="V62" s="426">
        <f t="shared" si="13"/>
        <v>4504.0693872870161</v>
      </c>
    </row>
    <row r="63" spans="2:22">
      <c r="B63" s="120">
        <f t="shared" si="14"/>
        <v>10000</v>
      </c>
      <c r="C63" s="7">
        <v>0.62</v>
      </c>
      <c r="D63" s="7">
        <f t="shared" si="15"/>
        <v>667.98000725156419</v>
      </c>
      <c r="E63" s="11">
        <f t="shared" si="1"/>
        <v>0.1502131462953066</v>
      </c>
      <c r="F63" s="19">
        <f t="shared" si="5"/>
        <v>1.8092992986073999E-2</v>
      </c>
      <c r="G63" s="16">
        <f t="shared" si="2"/>
        <v>1204.4879847270274</v>
      </c>
      <c r="H63" s="12">
        <f t="shared" si="3"/>
        <v>3163.6277131679403</v>
      </c>
      <c r="I63" s="12">
        <f t="shared" si="16"/>
        <v>3327.7015257659364</v>
      </c>
      <c r="J63" s="141">
        <f t="shared" si="6"/>
        <v>0.38073000173617061</v>
      </c>
      <c r="K63" s="267" cm="1">
        <f t="array" ref="K63">InterpolateXYZ(J63,C63,B63,FFnorm_PS,FFnorm_M,FFnorm_h,FFnorm_table)*numeng</f>
        <v>1266.9558076823225</v>
      </c>
      <c r="L63" s="11">
        <f t="shared" si="7"/>
        <v>1.0518625538381374</v>
      </c>
      <c r="M63" s="425" cm="1">
        <f t="array" ref="M63">($D$5/G63)*(C63*Linterp($D$6,atmos_h,atmos_vela)/L63)</f>
        <v>3121.7701168395561</v>
      </c>
      <c r="N63" s="55">
        <f t="shared" si="8"/>
        <v>7.8929351279373172</v>
      </c>
      <c r="O63" s="426">
        <f t="shared" si="9"/>
        <v>0.31217701168395562</v>
      </c>
      <c r="P63" s="12"/>
      <c r="Q63" s="7">
        <f t="shared" si="10"/>
        <v>0.62</v>
      </c>
      <c r="R63" s="314" cm="1">
        <f t="array" ref="R63">numeng*InterpolateXY($D$6,$Q63,Tmil_h,Tmil_M,Tmil_table)</f>
        <v>3355.6308256097536</v>
      </c>
      <c r="S63" s="12" cm="1">
        <f t="array" ref="S63">numeng*InterpolateXY($D$6,$Q63,Tmax_h,Tmax_M,Tmax_table)</f>
        <v>5709.8894242109627</v>
      </c>
      <c r="T63" s="16">
        <f t="shared" si="11"/>
        <v>1204.4879847270274</v>
      </c>
      <c r="U63" s="55">
        <f t="shared" si="12"/>
        <v>2151.142840882726</v>
      </c>
      <c r="V63" s="426">
        <f t="shared" si="13"/>
        <v>4505.4014394839351</v>
      </c>
    </row>
    <row r="64" spans="2:22">
      <c r="B64" s="120">
        <f t="shared" si="14"/>
        <v>10000</v>
      </c>
      <c r="C64" s="7">
        <v>0.63</v>
      </c>
      <c r="D64" s="7">
        <f t="shared" si="15"/>
        <v>678.75387833626689</v>
      </c>
      <c r="E64" s="11">
        <f t="shared" si="1"/>
        <v>0.14548232158205054</v>
      </c>
      <c r="F64" s="19">
        <f t="shared" si="5"/>
        <v>1.7895587059326895E-2</v>
      </c>
      <c r="G64" s="16">
        <f t="shared" si="2"/>
        <v>1230.0867118919302</v>
      </c>
      <c r="H64" s="12">
        <f t="shared" si="3"/>
        <v>3172.4894154457215</v>
      </c>
      <c r="I64" s="12">
        <f t="shared" si="16"/>
        <v>3337.0228185551969</v>
      </c>
      <c r="J64" s="141">
        <f t="shared" si="6"/>
        <v>0.38773548176491179</v>
      </c>
      <c r="K64" s="267" cm="1">
        <f t="array" ref="K64">InterpolateXYZ(J64,C64,B64,FFnorm_PS,FFnorm_M,FFnorm_h,FFnorm_table)*numeng</f>
        <v>1293.8821502130031</v>
      </c>
      <c r="L64" s="11">
        <f t="shared" si="7"/>
        <v>1.0518625538381376</v>
      </c>
      <c r="M64" s="425" cm="1">
        <f t="array" ref="M64">($D$5/G64)*(C64*Linterp($D$6,atmos_h,atmos_vela)/L64)</f>
        <v>3106.1077988097745</v>
      </c>
      <c r="N64" s="55">
        <f t="shared" si="8"/>
        <v>7.7286791523893941</v>
      </c>
      <c r="O64" s="426">
        <f t="shared" si="9"/>
        <v>0.31061077988097746</v>
      </c>
      <c r="P64" s="12"/>
      <c r="Q64" s="7">
        <f t="shared" si="10"/>
        <v>0.63</v>
      </c>
      <c r="R64" s="314" cm="1">
        <f t="array" ref="R64">numeng*InterpolateXY($D$6,$Q64,Tmil_h,Tmil_M,Tmil_table)</f>
        <v>3364.492526733723</v>
      </c>
      <c r="S64" s="12" cm="1">
        <f t="array" ref="S64">numeng*InterpolateXY($D$6,$Q64,Tmax_h,Tmax_M,Tmax_table)</f>
        <v>5736.4745275828709</v>
      </c>
      <c r="T64" s="16">
        <f t="shared" si="11"/>
        <v>1230.0867118919302</v>
      </c>
      <c r="U64" s="55">
        <f t="shared" si="12"/>
        <v>2134.4058148417926</v>
      </c>
      <c r="V64" s="426">
        <f t="shared" si="13"/>
        <v>4506.3878156909404</v>
      </c>
    </row>
    <row r="65" spans="2:22">
      <c r="B65" s="120">
        <f t="shared" si="14"/>
        <v>10000</v>
      </c>
      <c r="C65" s="7">
        <v>0.64</v>
      </c>
      <c r="D65" s="7">
        <f t="shared" si="15"/>
        <v>689.52774942096949</v>
      </c>
      <c r="E65" s="11">
        <f t="shared" si="1"/>
        <v>0.14097151717752895</v>
      </c>
      <c r="F65" s="19">
        <f t="shared" si="5"/>
        <v>1.7706431894157337E-2</v>
      </c>
      <c r="G65" s="16">
        <f t="shared" si="2"/>
        <v>1256.0290368343829</v>
      </c>
      <c r="H65" s="12">
        <f t="shared" si="3"/>
        <v>3181.3511177235027</v>
      </c>
      <c r="I65" s="12">
        <f t="shared" si="16"/>
        <v>3346.3441113444569</v>
      </c>
      <c r="J65" s="141">
        <f t="shared" si="6"/>
        <v>0.39480993777674139</v>
      </c>
      <c r="K65" s="267" cm="1">
        <f t="array" ref="K65">InterpolateXYZ(J65,C65,B65,FFnorm_PS,FFnorm_M,FFnorm_h,FFnorm_table)*numeng</f>
        <v>1321.1699103794701</v>
      </c>
      <c r="L65" s="11">
        <f t="shared" si="7"/>
        <v>1.0518625538381376</v>
      </c>
      <c r="M65" s="425" cm="1">
        <f t="array" ref="M65">($D$5/G65)*(C65*Linterp($D$6,atmos_h,atmos_vela)/L65)</f>
        <v>3090.238479684333</v>
      </c>
      <c r="N65" s="55">
        <f t="shared" si="8"/>
        <v>7.5690491597161573</v>
      </c>
      <c r="O65" s="426">
        <f t="shared" si="9"/>
        <v>0.3090238479684333</v>
      </c>
      <c r="P65" s="12"/>
      <c r="Q65" s="7">
        <f t="shared" si="10"/>
        <v>0.64</v>
      </c>
      <c r="R65" s="314" cm="1">
        <f t="array" ref="R65">numeng*InterpolateXY($D$6,$Q65,Tmil_h,Tmil_M,Tmil_table)</f>
        <v>3373.3542278576924</v>
      </c>
      <c r="S65" s="12" cm="1">
        <f t="array" ref="S65">numeng*InterpolateXY($D$6,$Q65,Tmax_h,Tmax_M,Tmax_table)</f>
        <v>5763.05963095478</v>
      </c>
      <c r="T65" s="16">
        <f t="shared" si="11"/>
        <v>1256.0290368343829</v>
      </c>
      <c r="U65" s="55">
        <f t="shared" si="12"/>
        <v>2117.3251910233093</v>
      </c>
      <c r="V65" s="426">
        <f t="shared" si="13"/>
        <v>4507.0305941203969</v>
      </c>
    </row>
    <row r="66" spans="2:22">
      <c r="B66" s="120">
        <f t="shared" si="14"/>
        <v>10000</v>
      </c>
      <c r="C66" s="7">
        <v>0.65</v>
      </c>
      <c r="D66" s="7">
        <f t="shared" si="15"/>
        <v>700.30162050567219</v>
      </c>
      <c r="E66" s="11">
        <f t="shared" si="1"/>
        <v>0.13666729807317363</v>
      </c>
      <c r="F66" s="19">
        <f t="shared" si="5"/>
        <v>1.7525023677744011E-2</v>
      </c>
      <c r="G66" s="16">
        <f t="shared" si="2"/>
        <v>1282.312881342021</v>
      </c>
      <c r="H66" s="12">
        <f t="shared" si="3"/>
        <v>3190.2128200012844</v>
      </c>
      <c r="I66" s="12">
        <f t="shared" si="16"/>
        <v>3355.6654041337174</v>
      </c>
      <c r="J66" s="141">
        <f t="shared" si="6"/>
        <v>0.40195214353803038</v>
      </c>
      <c r="K66" s="267" cm="1">
        <f t="array" ref="K66">InterpolateXYZ(J66,C66,B66,FFnorm_PS,FFnorm_M,FFnorm_h,FFnorm_table)*numeng</f>
        <v>1348.8169021879589</v>
      </c>
      <c r="L66" s="11">
        <f t="shared" si="7"/>
        <v>1.0518625538381376</v>
      </c>
      <c r="M66" s="425" cm="1">
        <f t="array" ref="M66">($D$5/G66)*(C66*Linterp($D$6,atmos_h,atmos_vela)/L66)</f>
        <v>3074.1924617551163</v>
      </c>
      <c r="N66" s="55">
        <f t="shared" si="8"/>
        <v>7.4139047218185663</v>
      </c>
      <c r="O66" s="426">
        <f t="shared" si="9"/>
        <v>0.30741924617551164</v>
      </c>
      <c r="P66" s="12"/>
      <c r="Q66" s="7">
        <f t="shared" si="10"/>
        <v>0.65</v>
      </c>
      <c r="R66" s="314" cm="1">
        <f t="array" ref="R66">numeng*InterpolateXY($D$6,$Q66,Tmil_h,Tmil_M,Tmil_table)</f>
        <v>3382.2159289816623</v>
      </c>
      <c r="S66" s="12" cm="1">
        <f t="array" ref="S66">numeng*InterpolateXY($D$6,$Q66,Tmax_h,Tmax_M,Tmax_table)</f>
        <v>5789.6447343266882</v>
      </c>
      <c r="T66" s="16">
        <f t="shared" si="11"/>
        <v>1282.312881342021</v>
      </c>
      <c r="U66" s="55">
        <f t="shared" si="12"/>
        <v>2099.903047639641</v>
      </c>
      <c r="V66" s="426">
        <f t="shared" si="13"/>
        <v>4507.3318529846674</v>
      </c>
    </row>
    <row r="67" spans="2:22">
      <c r="B67" s="120">
        <f t="shared" si="14"/>
        <v>10000</v>
      </c>
      <c r="C67" s="7">
        <v>0.66</v>
      </c>
      <c r="D67" s="7">
        <f t="shared" si="15"/>
        <v>711.07549159037478</v>
      </c>
      <c r="E67" s="11">
        <f t="shared" si="1"/>
        <v>0.13255723929273613</v>
      </c>
      <c r="F67" s="19">
        <f t="shared" si="5"/>
        <v>1.7350896473477605E-2</v>
      </c>
      <c r="G67" s="16">
        <f t="shared" si="2"/>
        <v>1308.9361672024804</v>
      </c>
      <c r="H67" s="12">
        <f t="shared" si="3"/>
        <v>3199.0745222790656</v>
      </c>
      <c r="I67" s="12">
        <f t="shared" si="16"/>
        <v>3364.9866969229779</v>
      </c>
      <c r="J67" s="141">
        <f t="shared" si="6"/>
        <v>0.40916088640222609</v>
      </c>
      <c r="K67" s="267" cm="1">
        <f t="array" ref="K67">InterpolateXYZ(J67,C67,B67,FFnorm_PS,FFnorm_M,FFnorm_h,FFnorm_table)*numeng</f>
        <v>1376.8209396447046</v>
      </c>
      <c r="L67" s="11">
        <f t="shared" si="7"/>
        <v>1.0518625538381376</v>
      </c>
      <c r="M67" s="425" cm="1">
        <f t="array" ref="M67">($D$5/G67)*(C67*Linterp($D$6,atmos_h,atmos_vela)/L67)</f>
        <v>3057.997804579421</v>
      </c>
      <c r="N67" s="55">
        <f t="shared" si="8"/>
        <v>7.2631085946299949</v>
      </c>
      <c r="O67" s="426">
        <f t="shared" si="9"/>
        <v>0.30579978045794209</v>
      </c>
      <c r="P67" s="12"/>
      <c r="Q67" s="7">
        <f t="shared" si="10"/>
        <v>0.66</v>
      </c>
      <c r="R67" s="314" cm="1">
        <f t="array" ref="R67">numeng*InterpolateXY($D$6,$Q67,Tmil_h,Tmil_M,Tmil_table)</f>
        <v>3391.0776301056317</v>
      </c>
      <c r="S67" s="12" cm="1">
        <f t="array" ref="S67">numeng*InterpolateXY($D$6,$Q67,Tmax_h,Tmax_M,Tmax_table)</f>
        <v>5816.2298376985964</v>
      </c>
      <c r="T67" s="16">
        <f t="shared" si="11"/>
        <v>1308.9361672024804</v>
      </c>
      <c r="U67" s="55">
        <f t="shared" si="12"/>
        <v>2082.1414629031515</v>
      </c>
      <c r="V67" s="426">
        <f t="shared" si="13"/>
        <v>4507.2936704961157</v>
      </c>
    </row>
    <row r="68" spans="2:22">
      <c r="B68" s="120">
        <f t="shared" si="14"/>
        <v>10000</v>
      </c>
      <c r="C68" s="7">
        <v>0.67</v>
      </c>
      <c r="D68" s="7">
        <f t="shared" si="15"/>
        <v>721.84936267507749</v>
      </c>
      <c r="E68" s="11">
        <f t="shared" si="1"/>
        <v>0.12862983612367088</v>
      </c>
      <c r="F68" s="19">
        <f t="shared" si="5"/>
        <v>1.718361885463766E-2</v>
      </c>
      <c r="G68" s="16">
        <f t="shared" si="2"/>
        <v>1335.8968162033968</v>
      </c>
      <c r="H68" s="12">
        <f t="shared" si="3"/>
        <v>3207.9362245568468</v>
      </c>
      <c r="I68" s="12">
        <f t="shared" si="16"/>
        <v>3374.3079897122379</v>
      </c>
      <c r="J68" s="141">
        <f t="shared" si="6"/>
        <v>0.41643496712218503</v>
      </c>
      <c r="K68" s="267" cm="1">
        <f t="array" ref="K68">InterpolateXYZ(J68,C68,B68,FFnorm_PS,FFnorm_M,FFnorm_h,FFnorm_table)*numeng</f>
        <v>1405.1798367559422</v>
      </c>
      <c r="L68" s="11">
        <f t="shared" si="7"/>
        <v>1.0518625538381376</v>
      </c>
      <c r="M68" s="425" cm="1">
        <f t="array" ref="M68">($D$5/G68)*(C68*Linterp($D$6,atmos_h,atmos_vela)/L68)</f>
        <v>3041.6804715460771</v>
      </c>
      <c r="N68" s="55">
        <f t="shared" si="8"/>
        <v>7.1165268234181509</v>
      </c>
      <c r="O68" s="426">
        <f t="shared" si="9"/>
        <v>0.30416804715460771</v>
      </c>
      <c r="P68" s="12"/>
      <c r="Q68" s="7">
        <f t="shared" si="10"/>
        <v>0.67</v>
      </c>
      <c r="R68" s="314" cm="1">
        <f t="array" ref="R68">numeng*InterpolateXY($D$6,$Q68,Tmil_h,Tmil_M,Tmil_table)</f>
        <v>3399.9393312296011</v>
      </c>
      <c r="S68" s="12" cm="1">
        <f t="array" ref="S68">numeng*InterpolateXY($D$6,$Q68,Tmax_h,Tmax_M,Tmax_table)</f>
        <v>5842.8149410705046</v>
      </c>
      <c r="T68" s="16">
        <f t="shared" si="11"/>
        <v>1335.8968162033968</v>
      </c>
      <c r="U68" s="55">
        <f t="shared" si="12"/>
        <v>2064.0425150262045</v>
      </c>
      <c r="V68" s="426">
        <f t="shared" si="13"/>
        <v>4506.9181248671075</v>
      </c>
    </row>
    <row r="69" spans="2:22">
      <c r="B69" s="120">
        <f t="shared" si="14"/>
        <v>10000</v>
      </c>
      <c r="C69" s="7">
        <v>0.68</v>
      </c>
      <c r="D69" s="7">
        <f t="shared" si="15"/>
        <v>732.62323375978008</v>
      </c>
      <c r="E69" s="11">
        <f t="shared" si="1"/>
        <v>0.12487442352057926</v>
      </c>
      <c r="F69" s="19">
        <f t="shared" si="5"/>
        <v>1.7022790882021722E-2</v>
      </c>
      <c r="G69" s="16">
        <f t="shared" si="2"/>
        <v>1363.1927501324058</v>
      </c>
      <c r="H69" s="12">
        <f t="shared" si="3"/>
        <v>3216.7979268346285</v>
      </c>
      <c r="I69" s="12">
        <f t="shared" si="16"/>
        <v>3383.6292825014984</v>
      </c>
      <c r="J69" s="141">
        <f t="shared" si="6"/>
        <v>0.42377319966560828</v>
      </c>
      <c r="K69" s="267" cm="1">
        <f t="array" ref="K69">InterpolateXYZ(J69,C69,B69,FFnorm_PS,FFnorm_M,FFnorm_h,FFnorm_table)*numeng</f>
        <v>1433.8914075279065</v>
      </c>
      <c r="L69" s="11">
        <f t="shared" si="7"/>
        <v>1.0518625538381376</v>
      </c>
      <c r="M69" s="425" cm="1">
        <f t="array" ref="M69">($D$5/G69)*(C69*Linterp($D$6,atmos_h,atmos_vela)/L69)</f>
        <v>3025.2644680310632</v>
      </c>
      <c r="N69" s="55">
        <f t="shared" si="8"/>
        <v>6.9740288194072182</v>
      </c>
      <c r="O69" s="426">
        <f t="shared" si="9"/>
        <v>0.30252644680310631</v>
      </c>
      <c r="P69" s="12"/>
      <c r="Q69" s="7">
        <f t="shared" si="10"/>
        <v>0.68</v>
      </c>
      <c r="R69" s="314" cm="1">
        <f t="array" ref="R69">numeng*InterpolateXY($D$6,$Q69,Tmil_h,Tmil_M,Tmil_table)</f>
        <v>3408.8010323535705</v>
      </c>
      <c r="S69" s="12" cm="1">
        <f t="array" ref="S69">numeng*InterpolateXY($D$6,$Q69,Tmax_h,Tmax_M,Tmax_table)</f>
        <v>5869.4000444424128</v>
      </c>
      <c r="T69" s="16">
        <f t="shared" si="11"/>
        <v>1363.1927501324058</v>
      </c>
      <c r="U69" s="55">
        <f t="shared" si="12"/>
        <v>2045.6082822211647</v>
      </c>
      <c r="V69" s="426">
        <f t="shared" si="13"/>
        <v>4506.2072943100065</v>
      </c>
    </row>
    <row r="70" spans="2:22">
      <c r="B70" s="120">
        <f t="shared" si="14"/>
        <v>10000</v>
      </c>
      <c r="C70" s="7">
        <v>0.69</v>
      </c>
      <c r="D70" s="7">
        <f t="shared" si="15"/>
        <v>743.39710484448267</v>
      </c>
      <c r="E70" s="11">
        <f t="shared" si="1"/>
        <v>0.12128110362511209</v>
      </c>
      <c r="F70" s="19">
        <f t="shared" si="5"/>
        <v>1.6868041385941702E-2</v>
      </c>
      <c r="G70" s="16">
        <f t="shared" si="2"/>
        <v>1390.8218907771432</v>
      </c>
      <c r="H70" s="12">
        <f t="shared" si="3"/>
        <v>3225.6596291124097</v>
      </c>
      <c r="I70" s="12">
        <f t="shared" si="16"/>
        <v>3392.9505752907585</v>
      </c>
      <c r="J70" s="141">
        <f t="shared" si="6"/>
        <v>0.43117441103351917</v>
      </c>
      <c r="K70" s="267" cm="1">
        <f t="array" ref="K70">InterpolateXYZ(J70,C70,B70,FFnorm_PS,FFnorm_M,FFnorm_h,FFnorm_table)*numeng</f>
        <v>1462.9534659668329</v>
      </c>
      <c r="L70" s="11">
        <f t="shared" si="7"/>
        <v>1.0518625538381374</v>
      </c>
      <c r="M70" s="425" cm="1">
        <f t="array" ref="M70">($D$5/G70)*(C70*Linterp($D$6,atmos_h,atmos_vela)/L70)</f>
        <v>3008.7719714574891</v>
      </c>
      <c r="N70" s="55">
        <f t="shared" si="8"/>
        <v>6.8354874113451221</v>
      </c>
      <c r="O70" s="426">
        <f t="shared" si="9"/>
        <v>0.3008771971457489</v>
      </c>
      <c r="P70" s="12"/>
      <c r="Q70" s="7">
        <f t="shared" si="10"/>
        <v>0.69</v>
      </c>
      <c r="R70" s="314" cm="1">
        <f t="array" ref="R70">numeng*InterpolateXY($D$6,$Q70,Tmil_h,Tmil_M,Tmil_table)</f>
        <v>3417.6627334775399</v>
      </c>
      <c r="S70" s="12" cm="1">
        <f t="array" ref="S70">numeng*InterpolateXY($D$6,$Q70,Tmax_h,Tmax_M,Tmax_table)</f>
        <v>5895.985147814321</v>
      </c>
      <c r="T70" s="16">
        <f t="shared" si="11"/>
        <v>1390.8218907771432</v>
      </c>
      <c r="U70" s="55">
        <f t="shared" si="12"/>
        <v>2026.8408427003967</v>
      </c>
      <c r="V70" s="426">
        <f t="shared" si="13"/>
        <v>4505.1632570371776</v>
      </c>
    </row>
    <row r="71" spans="2:22">
      <c r="B71" s="120">
        <f t="shared" si="14"/>
        <v>10000</v>
      </c>
      <c r="C71" s="7">
        <v>0.7</v>
      </c>
      <c r="D71" s="7">
        <f t="shared" si="15"/>
        <v>754.17097592918537</v>
      </c>
      <c r="E71" s="11">
        <f t="shared" si="1"/>
        <v>0.11784068048146094</v>
      </c>
      <c r="F71" s="19">
        <f t="shared" si="5"/>
        <v>1.6719025518054789E-2</v>
      </c>
      <c r="G71" s="16">
        <f t="shared" si="2"/>
        <v>1418.7821599252452</v>
      </c>
      <c r="H71" s="12">
        <f t="shared" si="3"/>
        <v>3234.5213313901909</v>
      </c>
      <c r="I71" s="12">
        <f t="shared" si="16"/>
        <v>3402.271868080019</v>
      </c>
      <c r="J71" s="141">
        <f t="shared" si="6"/>
        <v>0.43863744108172426</v>
      </c>
      <c r="K71" s="267" cm="1">
        <f t="array" ref="K71">InterpolateXYZ(J71,C71,B71,FFnorm_PS,FFnorm_M,FFnorm_h,FFnorm_table)*numeng</f>
        <v>1492.3638260789573</v>
      </c>
      <c r="L71" s="11">
        <f t="shared" si="7"/>
        <v>1.0518625538381376</v>
      </c>
      <c r="M71" s="425" cm="1">
        <f t="array" ref="M71">($D$5/G71)*(C71*Linterp($D$6,atmos_h,atmos_vela)/L71)</f>
        <v>2992.2234535921457</v>
      </c>
      <c r="N71" s="55">
        <f t="shared" si="8"/>
        <v>6.7007788752653159</v>
      </c>
      <c r="O71" s="426">
        <f t="shared" si="9"/>
        <v>0.29922234535921455</v>
      </c>
      <c r="P71" s="12"/>
      <c r="Q71" s="7">
        <f t="shared" si="10"/>
        <v>0.7</v>
      </c>
      <c r="R71" s="314" cm="1">
        <f t="array" ref="R71">numeng*InterpolateXY($D$6,$Q71,Tmil_h,Tmil_M,Tmil_table)</f>
        <v>3426.5244346015093</v>
      </c>
      <c r="S71" s="12" cm="1">
        <f t="array" ref="S71">numeng*InterpolateXY($D$6,$Q71,Tmax_h,Tmax_M,Tmax_table)</f>
        <v>5922.5702511862291</v>
      </c>
      <c r="T71" s="16">
        <f t="shared" si="11"/>
        <v>1418.7821599252452</v>
      </c>
      <c r="U71" s="55">
        <f t="shared" si="12"/>
        <v>2007.7422746762641</v>
      </c>
      <c r="V71" s="426">
        <f t="shared" si="13"/>
        <v>4503.7880912609835</v>
      </c>
    </row>
    <row r="72" spans="2:22">
      <c r="B72" s="120">
        <f t="shared" si="14"/>
        <v>10000</v>
      </c>
      <c r="C72" s="7">
        <v>0.71</v>
      </c>
      <c r="D72" s="7">
        <f t="shared" si="15"/>
        <v>764.94484701388797</v>
      </c>
      <c r="E72" s="11">
        <f t="shared" si="1"/>
        <v>0.11454460114246352</v>
      </c>
      <c r="F72" s="19">
        <f t="shared" si="5"/>
        <v>1.6575422542842385E-2</v>
      </c>
      <c r="G72" s="16">
        <f t="shared" si="2"/>
        <v>1447.0714793643479</v>
      </c>
      <c r="H72" s="12">
        <f t="shared" si="3"/>
        <v>3243.3830336679721</v>
      </c>
      <c r="I72" s="12">
        <f t="shared" si="16"/>
        <v>3411.5931608692795</v>
      </c>
      <c r="J72" s="141">
        <f t="shared" si="6"/>
        <v>0.4461611423452016</v>
      </c>
      <c r="K72" s="267" cm="1">
        <f t="array" ref="K72">InterpolateXYZ(J72,C72,B72,FFnorm_PS,FFnorm_M,FFnorm_h,FFnorm_table)*numeng</f>
        <v>1522.1203018705148</v>
      </c>
      <c r="L72" s="11">
        <f t="shared" si="7"/>
        <v>1.0518625538381376</v>
      </c>
      <c r="M72" s="425" cm="1">
        <f t="array" ref="M72">($D$5/G72)*(C72*Linterp($D$6,atmos_h,atmos_vela)/L72)</f>
        <v>2975.6377954215327</v>
      </c>
      <c r="N72" s="55">
        <f t="shared" si="8"/>
        <v>6.5697829453500649</v>
      </c>
      <c r="O72" s="426">
        <f t="shared" si="9"/>
        <v>0.29756377954215329</v>
      </c>
      <c r="P72" s="12"/>
      <c r="Q72" s="7">
        <f t="shared" si="10"/>
        <v>0.71</v>
      </c>
      <c r="R72" s="314" cm="1">
        <f t="array" ref="R72">numeng*InterpolateXY($D$6,$Q72,Tmil_h,Tmil_M,Tmil_table)</f>
        <v>3435.3861357254787</v>
      </c>
      <c r="S72" s="12" cm="1">
        <f t="array" ref="S72">numeng*InterpolateXY($D$6,$Q72,Tmax_h,Tmax_M,Tmax_table)</f>
        <v>5949.1553545581373</v>
      </c>
      <c r="T72" s="16">
        <f t="shared" si="11"/>
        <v>1447.0714793643479</v>
      </c>
      <c r="U72" s="55">
        <f t="shared" si="12"/>
        <v>1988.3146563611308</v>
      </c>
      <c r="V72" s="426">
        <f t="shared" si="13"/>
        <v>4502.0838751937899</v>
      </c>
    </row>
    <row r="73" spans="2:22">
      <c r="B73" s="120">
        <f t="shared" si="14"/>
        <v>10000</v>
      </c>
      <c r="C73" s="7">
        <v>0.72</v>
      </c>
      <c r="D73" s="7">
        <f t="shared" si="15"/>
        <v>775.71871809859067</v>
      </c>
      <c r="E73" s="11">
        <f t="shared" si="1"/>
        <v>0.11138490246125746</v>
      </c>
      <c r="F73" s="19">
        <f t="shared" si="5"/>
        <v>1.6436933842297153E-2</v>
      </c>
      <c r="G73" s="16">
        <f t="shared" si="2"/>
        <v>1475.6877708820855</v>
      </c>
      <c r="H73" s="12">
        <f t="shared" si="3"/>
        <v>3252.2447359457537</v>
      </c>
      <c r="I73" s="12">
        <f t="shared" si="16"/>
        <v>3420.9144536585395</v>
      </c>
      <c r="J73" s="141">
        <f t="shared" si="6"/>
        <v>0.45374437986535937</v>
      </c>
      <c r="K73" s="267" cm="1">
        <f t="array" ref="K73">InterpolateXYZ(J73,C73,B73,FFnorm_PS,FFnorm_M,FFnorm_h,FFnorm_table)*numeng</f>
        <v>1552.2207073477389</v>
      </c>
      <c r="L73" s="11">
        <f t="shared" si="7"/>
        <v>1.0518625538381376</v>
      </c>
      <c r="M73" s="425" cm="1">
        <f t="array" ref="M73">($D$5/G73)*(C73*Linterp($D$6,atmos_h,atmos_vela)/L73)</f>
        <v>2959.0323949555045</v>
      </c>
      <c r="N73" s="55">
        <f t="shared" si="8"/>
        <v>6.4423828084904757</v>
      </c>
      <c r="O73" s="426">
        <f t="shared" si="9"/>
        <v>0.29590323949555047</v>
      </c>
      <c r="P73" s="12"/>
      <c r="Q73" s="7">
        <f t="shared" si="10"/>
        <v>0.72</v>
      </c>
      <c r="R73" s="314" cm="1">
        <f t="array" ref="R73">numeng*InterpolateXY($D$6,$Q73,Tmil_h,Tmil_M,Tmil_table)</f>
        <v>3444.247836849448</v>
      </c>
      <c r="S73" s="12" cm="1">
        <f t="array" ref="S73">numeng*InterpolateXY($D$6,$Q73,Tmax_h,Tmax_M,Tmax_table)</f>
        <v>5975.7404579300455</v>
      </c>
      <c r="T73" s="16">
        <f t="shared" si="11"/>
        <v>1475.6877708820855</v>
      </c>
      <c r="U73" s="55">
        <f t="shared" si="12"/>
        <v>1968.5600659673626</v>
      </c>
      <c r="V73" s="426">
        <f t="shared" si="13"/>
        <v>4500.0526870479598</v>
      </c>
    </row>
    <row r="74" spans="2:22">
      <c r="B74" s="120">
        <f t="shared" si="14"/>
        <v>10000</v>
      </c>
      <c r="C74" s="7">
        <v>0.73</v>
      </c>
      <c r="D74" s="7">
        <f t="shared" si="15"/>
        <v>786.49258918329326</v>
      </c>
      <c r="E74" s="11">
        <f t="shared" si="1"/>
        <v>0.10835416294973892</v>
      </c>
      <c r="F74" s="19">
        <f t="shared" si="5"/>
        <v>1.6303281110615211E-2</v>
      </c>
      <c r="G74" s="16">
        <f t="shared" si="2"/>
        <v>1504.6289562660959</v>
      </c>
      <c r="H74" s="12">
        <f t="shared" si="3"/>
        <v>3261.106438223535</v>
      </c>
      <c r="I74" s="12">
        <f t="shared" si="16"/>
        <v>3430.2357464478</v>
      </c>
      <c r="J74" s="141">
        <f t="shared" si="6"/>
        <v>0.46138603102011355</v>
      </c>
      <c r="K74" s="267" cm="1">
        <f t="array" ref="K74">InterpolateXYZ(J74,C74,B74,FFnorm_PS,FFnorm_M,FFnorm_h,FFnorm_table)*numeng</f>
        <v>1582.6628565168669</v>
      </c>
      <c r="L74" s="11">
        <f t="shared" si="7"/>
        <v>1.0518625538381374</v>
      </c>
      <c r="M74" s="425" cm="1">
        <f t="array" ref="M74">($D$5/G74)*(C74*Linterp($D$6,atmos_h,atmos_vela)/L74)</f>
        <v>2942.423268307396</v>
      </c>
      <c r="N74" s="55">
        <f t="shared" si="8"/>
        <v>6.3184650848558208</v>
      </c>
      <c r="O74" s="426">
        <f t="shared" si="9"/>
        <v>0.29424232683073959</v>
      </c>
      <c r="P74" s="12"/>
      <c r="Q74" s="7">
        <f t="shared" si="10"/>
        <v>0.73</v>
      </c>
      <c r="R74" s="314" cm="1">
        <f t="array" ref="R74">numeng*InterpolateXY($D$6,$Q74,Tmil_h,Tmil_M,Tmil_table)</f>
        <v>3453.1095379734174</v>
      </c>
      <c r="S74" s="12" cm="1">
        <f t="array" ref="S74">numeng*InterpolateXY($D$6,$Q74,Tmax_h,Tmax_M,Tmax_table)</f>
        <v>6002.3255613019537</v>
      </c>
      <c r="T74" s="16">
        <f t="shared" si="11"/>
        <v>1504.6289562660959</v>
      </c>
      <c r="U74" s="55">
        <f t="shared" si="12"/>
        <v>1948.4805817073216</v>
      </c>
      <c r="V74" s="426">
        <f t="shared" si="13"/>
        <v>4497.6966050358578</v>
      </c>
    </row>
    <row r="75" spans="2:22">
      <c r="B75" s="120">
        <f t="shared" si="14"/>
        <v>10000</v>
      </c>
      <c r="C75" s="7">
        <v>0.74</v>
      </c>
      <c r="D75" s="7">
        <f t="shared" si="15"/>
        <v>797.26646026799597</v>
      </c>
      <c r="E75" s="11">
        <f t="shared" ref="E75:E101" si="17">D$5/(H$5*C75*C75*_xlfn.SINGLE(S))</f>
        <v>0.10544545915981715</v>
      </c>
      <c r="F75" s="19">
        <f t="shared" si="5"/>
        <v>1.6174204718493145E-2</v>
      </c>
      <c r="G75" s="16">
        <f t="shared" ref="G75:G101" si="18">F75*$H$5*C75*C75*_xlfn.SINGLE(S)</f>
        <v>1533.8929573040134</v>
      </c>
      <c r="H75" s="12">
        <f t="shared" ref="H75:H101" si="19">_xlfn.SINGLE(InterpolateXY(B75,C75,Tnorm_h,Tnorm_M,Tnorm_table))*_xlfn.SINGLE(numeng)</f>
        <v>3269.9681405013162</v>
      </c>
      <c r="I75" s="12">
        <f t="shared" ref="I75:I101" si="20">_xlfn.SINGLE(InterpolateXYZ($I$8,C75,B75,FFnorm_PS,FFnorm_M,FFnorm_h,FFnorm_table))*_xlfn.SINGLE(numeng)</f>
        <v>3439.5570392370605</v>
      </c>
      <c r="J75" s="141">
        <f t="shared" si="6"/>
        <v>0.46908498535672383</v>
      </c>
      <c r="K75" s="267" cm="1">
        <f t="array" ref="K75">InterpolateXYZ(J75,C75,B75,FFnorm_PS,FFnorm_M,FFnorm_h,FFnorm_table)*numeng</f>
        <v>1613.4445633841328</v>
      </c>
      <c r="L75" s="11">
        <f t="shared" si="7"/>
        <v>1.0518625538381376</v>
      </c>
      <c r="M75" s="425" cm="1">
        <f t="array" ref="M75">($D$5/G75)*(C75*Linterp($D$6,atmos_h,atmos_vela)/L75)</f>
        <v>2925.8251443966988</v>
      </c>
      <c r="N75" s="55">
        <f t="shared" si="8"/>
        <v>6.1979197965286241</v>
      </c>
      <c r="O75" s="426">
        <f t="shared" si="9"/>
        <v>0.29258251443966987</v>
      </c>
      <c r="P75" s="12"/>
      <c r="Q75" s="7">
        <f t="shared" si="10"/>
        <v>0.74</v>
      </c>
      <c r="R75" s="314" cm="1">
        <f t="array" ref="R75">numeng*InterpolateXY($D$6,$Q75,Tmil_h,Tmil_M,Tmil_table)</f>
        <v>3461.9712390973868</v>
      </c>
      <c r="S75" s="12" cm="1">
        <f t="array" ref="S75">numeng*InterpolateXY($D$6,$Q75,Tmax_h,Tmax_M,Tmax_table)</f>
        <v>6028.9106646738619</v>
      </c>
      <c r="T75" s="16">
        <f t="shared" si="11"/>
        <v>1533.8929573040134</v>
      </c>
      <c r="U75" s="55">
        <f t="shared" si="12"/>
        <v>1928.0782817933734</v>
      </c>
      <c r="V75" s="426">
        <f t="shared" si="13"/>
        <v>4495.0177073698487</v>
      </c>
    </row>
    <row r="76" spans="2:22">
      <c r="B76" s="120">
        <f t="shared" si="14"/>
        <v>10000</v>
      </c>
      <c r="C76" s="7">
        <v>0.75</v>
      </c>
      <c r="D76" s="7">
        <f t="shared" si="15"/>
        <v>808.04033135269856</v>
      </c>
      <c r="E76" s="11">
        <f t="shared" si="17"/>
        <v>0.10265232610829486</v>
      </c>
      <c r="F76" s="19">
        <f t="shared" ref="F76:F101" si="21">InterpolateXY(E76,C76,CD_CL,CD_M,CD_table)</f>
        <v>1.6049462229061055E-2</v>
      </c>
      <c r="G76" s="16">
        <f t="shared" si="18"/>
        <v>1563.4776957834738</v>
      </c>
      <c r="H76" s="12">
        <f t="shared" si="19"/>
        <v>3278.8298427790978</v>
      </c>
      <c r="I76" s="12">
        <f t="shared" si="20"/>
        <v>3448.878332026321</v>
      </c>
      <c r="J76" s="141">
        <f t="shared" ref="J76:J101" si="22">G76/H76</f>
        <v>0.47684014442734496</v>
      </c>
      <c r="K76" s="267" cm="1">
        <f t="array" ref="K76">InterpolateXYZ(J76,C76,B76,FFnorm_PS,FFnorm_M,FFnorm_h,FFnorm_table)*numeng</f>
        <v>1644.5636419557713</v>
      </c>
      <c r="L76" s="11">
        <f t="shared" ref="L76:L101" si="23">K76/G76</f>
        <v>1.0518625538381374</v>
      </c>
      <c r="M76" s="425" cm="1">
        <f t="array" ref="M76">($D$5/G76)*(C76*Linterp($D$6,atmos_h,atmos_vela)/L76)</f>
        <v>2909.2515536145443</v>
      </c>
      <c r="N76" s="55">
        <f t="shared" ref="N76:N121" si="24">($D$5/G76)*(1/L76)</f>
        <v>6.0806403260305935</v>
      </c>
      <c r="O76" s="426">
        <f t="shared" ref="O76:O121" si="25">M76/$D$5</f>
        <v>0.29092515536145441</v>
      </c>
      <c r="P76" s="12"/>
      <c r="Q76" s="7">
        <f t="shared" ref="Q76:Q121" si="26">C76</f>
        <v>0.75</v>
      </c>
      <c r="R76" s="314" cm="1">
        <f t="array" ref="R76">numeng*InterpolateXY($D$6,$Q76,Tmil_h,Tmil_M,Tmil_table)</f>
        <v>3470.8329402213562</v>
      </c>
      <c r="S76" s="12" cm="1">
        <f t="array" ref="S76">numeng*InterpolateXY($D$6,$Q76,Tmax_h,Tmax_M,Tmax_table)</f>
        <v>6055.4957680457701</v>
      </c>
      <c r="T76" s="16">
        <f t="shared" ref="T76:T121" si="27">G76</f>
        <v>1563.4776957834738</v>
      </c>
      <c r="U76" s="55">
        <f t="shared" ref="U76:U121" si="28">R76-T76</f>
        <v>1907.3552444378824</v>
      </c>
      <c r="V76" s="426">
        <f t="shared" ref="V76:V121" si="29">S76-T76</f>
        <v>4492.0180722622963</v>
      </c>
    </row>
    <row r="77" spans="2:22">
      <c r="B77" s="120">
        <f t="shared" ref="B77:B121" si="30">B76</f>
        <v>10000</v>
      </c>
      <c r="C77" s="7">
        <v>0.76</v>
      </c>
      <c r="D77" s="7">
        <f t="shared" si="15"/>
        <v>818.81420243740126</v>
      </c>
      <c r="E77" s="11">
        <f t="shared" si="17"/>
        <v>9.996872132256901E-2</v>
      </c>
      <c r="F77" s="19">
        <f t="shared" si="21"/>
        <v>1.5929609016532113E-2</v>
      </c>
      <c r="G77" s="16">
        <f t="shared" si="18"/>
        <v>1593.4593146522357</v>
      </c>
      <c r="H77" s="12">
        <f t="shared" si="19"/>
        <v>3287.691545056879</v>
      </c>
      <c r="I77" s="12">
        <f t="shared" si="20"/>
        <v>3458.199624815581</v>
      </c>
      <c r="J77" s="141">
        <f t="shared" si="22"/>
        <v>0.48467421374977798</v>
      </c>
      <c r="K77" s="267" cm="1">
        <f t="array" ref="K77">InterpolateXYZ(J77,C77,B77,FFnorm_PS,FFnorm_M,FFnorm_h,FFnorm_table)*numeng</f>
        <v>1676.1001841472689</v>
      </c>
      <c r="L77" s="11">
        <f t="shared" si="23"/>
        <v>1.0518625538381374</v>
      </c>
      <c r="M77" s="425" cm="1">
        <f t="array" ref="M77">($D$5/G77)*(C77*Linterp($D$6,atmos_h,atmos_vela)/L77)</f>
        <v>2892.5729106000776</v>
      </c>
      <c r="N77" s="55">
        <f t="shared" si="24"/>
        <v>5.9662304763050855</v>
      </c>
      <c r="O77" s="426">
        <f t="shared" si="25"/>
        <v>0.28925729106000775</v>
      </c>
      <c r="P77" s="12"/>
      <c r="Q77" s="7">
        <f t="shared" si="26"/>
        <v>0.76</v>
      </c>
      <c r="R77" s="314" cm="1">
        <f t="array" ref="R77">numeng*InterpolateXY($D$6,$Q77,Tmil_h,Tmil_M,Tmil_table)</f>
        <v>3479.6946413453256</v>
      </c>
      <c r="S77" s="12" cm="1">
        <f t="array" ref="S77">numeng*InterpolateXY($D$6,$Q77,Tmax_h,Tmax_M,Tmax_table)</f>
        <v>6082.0808714176792</v>
      </c>
      <c r="T77" s="16">
        <f t="shared" si="27"/>
        <v>1593.4593146522357</v>
      </c>
      <c r="U77" s="55">
        <f t="shared" si="28"/>
        <v>1886.23532669309</v>
      </c>
      <c r="V77" s="426">
        <f t="shared" si="29"/>
        <v>4488.6215567654435</v>
      </c>
    </row>
    <row r="78" spans="2:22">
      <c r="B78" s="120">
        <f t="shared" si="30"/>
        <v>10000</v>
      </c>
      <c r="C78" s="7">
        <v>0.77</v>
      </c>
      <c r="D78" s="7">
        <f t="shared" si="15"/>
        <v>829.58807352210397</v>
      </c>
      <c r="E78" s="11">
        <f t="shared" si="17"/>
        <v>9.7388992133438768E-2</v>
      </c>
      <c r="F78" s="19">
        <f t="shared" si="21"/>
        <v>1.5877362401667986E-2</v>
      </c>
      <c r="G78" s="16">
        <f t="shared" si="18"/>
        <v>1630.3035952886144</v>
      </c>
      <c r="H78" s="12">
        <f t="shared" si="19"/>
        <v>3296.5532473346602</v>
      </c>
      <c r="I78" s="12">
        <f t="shared" si="20"/>
        <v>3467.5209176048415</v>
      </c>
      <c r="J78" s="141">
        <f t="shared" si="22"/>
        <v>0.49454793324110646</v>
      </c>
      <c r="K78" s="267" cm="1">
        <f t="array" ref="K78">InterpolateXYZ(J78,C78,B78,FFnorm_PS,FFnorm_M,FFnorm_h,FFnorm_table)*numeng</f>
        <v>1714.8553032717793</v>
      </c>
      <c r="L78" s="11">
        <f t="shared" si="23"/>
        <v>1.0518625538381376</v>
      </c>
      <c r="M78" s="425" cm="1">
        <f t="array" ref="M78">($D$5/G78)*(C78*Linterp($D$6,atmos_h,atmos_vela)/L78)</f>
        <v>2864.4018165747693</v>
      </c>
      <c r="N78" s="55">
        <f t="shared" si="24"/>
        <v>5.8313957923569175</v>
      </c>
      <c r="O78" s="426">
        <f t="shared" si="25"/>
        <v>0.28644018165747692</v>
      </c>
      <c r="P78" s="12"/>
      <c r="Q78" s="7">
        <f t="shared" si="26"/>
        <v>0.77</v>
      </c>
      <c r="R78" s="314" cm="1">
        <f t="array" ref="R78">numeng*InterpolateXY($D$6,$Q78,Tmil_h,Tmil_M,Tmil_table)</f>
        <v>3488.556342469295</v>
      </c>
      <c r="S78" s="12" cm="1">
        <f t="array" ref="S78">numeng*InterpolateXY($D$6,$Q78,Tmax_h,Tmax_M,Tmax_table)</f>
        <v>6108.6659747895874</v>
      </c>
      <c r="T78" s="16">
        <f t="shared" si="27"/>
        <v>1630.3035952886144</v>
      </c>
      <c r="U78" s="55">
        <f t="shared" si="28"/>
        <v>1858.2527471806807</v>
      </c>
      <c r="V78" s="426">
        <f t="shared" si="29"/>
        <v>4478.3623795009735</v>
      </c>
    </row>
    <row r="79" spans="2:22">
      <c r="B79" s="120">
        <f t="shared" si="30"/>
        <v>10000</v>
      </c>
      <c r="C79" s="7">
        <v>0.78</v>
      </c>
      <c r="D79" s="7">
        <f t="shared" si="15"/>
        <v>840.36194460680656</v>
      </c>
      <c r="E79" s="11">
        <f t="shared" si="17"/>
        <v>9.4907845884148342E-2</v>
      </c>
      <c r="F79" s="19">
        <f t="shared" si="21"/>
        <v>1.5826348073551856E-2</v>
      </c>
      <c r="G79" s="16">
        <f t="shared" si="18"/>
        <v>1667.5489709112862</v>
      </c>
      <c r="H79" s="12">
        <f t="shared" si="19"/>
        <v>3305.4149496124414</v>
      </c>
      <c r="I79" s="12">
        <f t="shared" si="20"/>
        <v>3476.842210394102</v>
      </c>
      <c r="J79" s="141">
        <f t="shared" si="22"/>
        <v>0.50449005535804381</v>
      </c>
      <c r="K79" s="267" cm="1">
        <f t="array" ref="K79">InterpolateXYZ(J79,C79,B79,FFnorm_PS,FFnorm_M,FFnorm_h,FFnorm_table)*numeng</f>
        <v>1754.0323191929037</v>
      </c>
      <c r="L79" s="11">
        <f t="shared" si="23"/>
        <v>1.0518625538381376</v>
      </c>
      <c r="M79" s="425" cm="1">
        <f t="array" ref="M79">($D$5/G79)*(C79*Linterp($D$6,atmos_h,atmos_vela)/L79)</f>
        <v>2836.7933983579615</v>
      </c>
      <c r="N79" s="55">
        <f t="shared" si="24"/>
        <v>5.7011492266011246</v>
      </c>
      <c r="O79" s="426">
        <f t="shared" si="25"/>
        <v>0.28367933983579613</v>
      </c>
      <c r="P79" s="12"/>
      <c r="Q79" s="7">
        <f t="shared" si="26"/>
        <v>0.78</v>
      </c>
      <c r="R79" s="314" cm="1">
        <f t="array" ref="R79">numeng*InterpolateXY($D$6,$Q79,Tmil_h,Tmil_M,Tmil_table)</f>
        <v>3497.4180435932644</v>
      </c>
      <c r="S79" s="12" cm="1">
        <f t="array" ref="S79">numeng*InterpolateXY($D$6,$Q79,Tmax_h,Tmax_M,Tmax_table)</f>
        <v>6135.2510781614956</v>
      </c>
      <c r="T79" s="16">
        <f t="shared" si="27"/>
        <v>1667.5489709112862</v>
      </c>
      <c r="U79" s="55">
        <f t="shared" si="28"/>
        <v>1829.8690726819782</v>
      </c>
      <c r="V79" s="426">
        <f t="shared" si="29"/>
        <v>4467.7021072502093</v>
      </c>
    </row>
    <row r="80" spans="2:22">
      <c r="B80" s="120">
        <f t="shared" si="30"/>
        <v>10000</v>
      </c>
      <c r="C80" s="7">
        <v>0.79</v>
      </c>
      <c r="D80" s="7">
        <f t="shared" si="15"/>
        <v>851.13581569150926</v>
      </c>
      <c r="E80" s="11">
        <f t="shared" si="17"/>
        <v>9.2520322762243007E-2</v>
      </c>
      <c r="F80" s="19">
        <f t="shared" si="21"/>
        <v>1.5776504034528037E-2</v>
      </c>
      <c r="G80" s="16">
        <f t="shared" si="18"/>
        <v>1705.1933633078868</v>
      </c>
      <c r="H80" s="12">
        <f t="shared" si="19"/>
        <v>3314.2766518902231</v>
      </c>
      <c r="I80" s="12">
        <f t="shared" si="20"/>
        <v>3486.1635031833621</v>
      </c>
      <c r="J80" s="141">
        <f t="shared" si="22"/>
        <v>0.51449940436787867</v>
      </c>
      <c r="K80" s="267" cm="1">
        <f t="array" ref="K80">InterpolateXYZ(J80,C80,B80,FFnorm_PS,FFnorm_M,FFnorm_h,FFnorm_table)*numeng</f>
        <v>1793.6290459168772</v>
      </c>
      <c r="L80" s="11">
        <f t="shared" si="23"/>
        <v>1.0518625538381376</v>
      </c>
      <c r="M80" s="425" cm="1">
        <f t="array" ref="M80">($D$5/G80)*(C80*Linterp($D$6,atmos_h,atmos_vela)/L80)</f>
        <v>2809.7336920383805</v>
      </c>
      <c r="N80" s="55">
        <f t="shared" si="24"/>
        <v>5.5752888384388006</v>
      </c>
      <c r="O80" s="426">
        <f t="shared" si="25"/>
        <v>0.28097336920383803</v>
      </c>
      <c r="P80" s="12"/>
      <c r="Q80" s="7">
        <f t="shared" si="26"/>
        <v>0.79</v>
      </c>
      <c r="R80" s="314" cm="1">
        <f t="array" ref="R80">numeng*InterpolateXY($D$6,$Q80,Tmil_h,Tmil_M,Tmil_table)</f>
        <v>3506.2797447172338</v>
      </c>
      <c r="S80" s="12" cm="1">
        <f t="array" ref="S80">numeng*InterpolateXY($D$6,$Q80,Tmax_h,Tmax_M,Tmax_table)</f>
        <v>6161.8361815334038</v>
      </c>
      <c r="T80" s="16">
        <f t="shared" si="27"/>
        <v>1705.1933633078868</v>
      </c>
      <c r="U80" s="55">
        <f t="shared" si="28"/>
        <v>1801.086381409347</v>
      </c>
      <c r="V80" s="426">
        <f t="shared" si="29"/>
        <v>4456.6428182255167</v>
      </c>
    </row>
    <row r="81" spans="2:22">
      <c r="B81" s="120">
        <f t="shared" si="30"/>
        <v>10000</v>
      </c>
      <c r="C81" s="7">
        <v>0.8</v>
      </c>
      <c r="D81" s="7">
        <f t="shared" si="15"/>
        <v>861.90968677621186</v>
      </c>
      <c r="E81" s="11">
        <f t="shared" si="17"/>
        <v>9.0221770993618527E-2</v>
      </c>
      <c r="F81" s="19">
        <f t="shared" si="21"/>
        <v>1.5727772137420232E-2</v>
      </c>
      <c r="G81" s="16">
        <f t="shared" si="18"/>
        <v>1743.2346942660517</v>
      </c>
      <c r="H81" s="12">
        <f t="shared" si="19"/>
        <v>3323.1383541680043</v>
      </c>
      <c r="I81" s="12">
        <f t="shared" si="20"/>
        <v>3495.4847959726226</v>
      </c>
      <c r="J81" s="141">
        <f t="shared" si="22"/>
        <v>0.52457481707904863</v>
      </c>
      <c r="K81" s="267" cm="1">
        <f t="array" ref="K81">InterpolateXYZ(J81,C81,B81,FFnorm_PS,FFnorm_M,FFnorm_h,FFnorm_table)*numeng</f>
        <v>1833.6432974499342</v>
      </c>
      <c r="L81" s="11">
        <f t="shared" si="23"/>
        <v>1.0518625538381376</v>
      </c>
      <c r="M81" s="425" cm="1">
        <f t="array" ref="M81">($D$5/G81)*(C81*Linterp($D$6,atmos_h,atmos_vela)/L81)</f>
        <v>2783.2090495283578</v>
      </c>
      <c r="N81" s="55">
        <f t="shared" si="24"/>
        <v>5.4536234031488551</v>
      </c>
      <c r="O81" s="426">
        <f t="shared" si="25"/>
        <v>0.27832090495283579</v>
      </c>
      <c r="P81" s="12"/>
      <c r="Q81" s="7">
        <f t="shared" si="26"/>
        <v>0.8</v>
      </c>
      <c r="R81" s="314" cm="1">
        <f t="array" ref="R81">numeng*InterpolateXY($D$6,$Q81,Tmil_h,Tmil_M,Tmil_table)</f>
        <v>3515.1414458412032</v>
      </c>
      <c r="S81" s="12" cm="1">
        <f t="array" ref="S81">numeng*InterpolateXY($D$6,$Q81,Tmax_h,Tmax_M,Tmax_table)</f>
        <v>6188.4212849053119</v>
      </c>
      <c r="T81" s="16">
        <f t="shared" si="27"/>
        <v>1743.2346942660517</v>
      </c>
      <c r="U81" s="55">
        <f t="shared" si="28"/>
        <v>1771.9067515751515</v>
      </c>
      <c r="V81" s="426">
        <f t="shared" si="29"/>
        <v>4445.1865906392604</v>
      </c>
    </row>
    <row r="82" spans="2:22">
      <c r="B82" s="120">
        <f t="shared" si="30"/>
        <v>10000</v>
      </c>
      <c r="C82" s="7">
        <v>0.81</v>
      </c>
      <c r="D82" s="7">
        <f t="shared" si="15"/>
        <v>872.68355786091456</v>
      </c>
      <c r="E82" s="11">
        <f t="shared" si="17"/>
        <v>8.8007824166919449E-2</v>
      </c>
      <c r="F82" s="19">
        <f t="shared" si="21"/>
        <v>1.5780097802086494E-2</v>
      </c>
      <c r="G82" s="16">
        <f t="shared" si="18"/>
        <v>1793.0335116747435</v>
      </c>
      <c r="H82" s="12">
        <f t="shared" si="19"/>
        <v>3332.0000564457855</v>
      </c>
      <c r="I82" s="12">
        <f t="shared" si="20"/>
        <v>3504.8060887618831</v>
      </c>
      <c r="J82" s="141">
        <f t="shared" si="22"/>
        <v>0.5381252945077547</v>
      </c>
      <c r="K82" s="267" cm="1">
        <f t="array" ref="K82">InterpolateXYZ(J82,C82,B82,FFnorm_PS,FFnorm_M,FFnorm_h,FFnorm_table)*numeng</f>
        <v>1886.0248087075602</v>
      </c>
      <c r="L82" s="11">
        <f t="shared" si="23"/>
        <v>1.0518625538381379</v>
      </c>
      <c r="M82" s="425" cm="1">
        <f t="array" ref="M82">($D$5/G82)*(C82*Linterp($D$6,atmos_h,atmos_vela)/L82)</f>
        <v>2739.7334610614089</v>
      </c>
      <c r="N82" s="55">
        <f t="shared" si="24"/>
        <v>5.3021571899962003</v>
      </c>
      <c r="O82" s="426">
        <f t="shared" si="25"/>
        <v>0.27397334610614088</v>
      </c>
      <c r="P82" s="12"/>
      <c r="Q82" s="7">
        <f t="shared" si="26"/>
        <v>0.81</v>
      </c>
      <c r="R82" s="314" cm="1">
        <f t="array" ref="R82">numeng*InterpolateXY($D$6,$Q82,Tmil_h,Tmil_M,Tmil_table)</f>
        <v>3524.0031469651726</v>
      </c>
      <c r="S82" s="12" cm="1">
        <f t="array" ref="S82">numeng*InterpolateXY($D$6,$Q82,Tmax_h,Tmax_M,Tmax_table)</f>
        <v>6215.0063882772201</v>
      </c>
      <c r="T82" s="16">
        <f t="shared" si="27"/>
        <v>1793.0335116747435</v>
      </c>
      <c r="U82" s="55">
        <f t="shared" si="28"/>
        <v>1730.9696352904291</v>
      </c>
      <c r="V82" s="426">
        <f t="shared" si="29"/>
        <v>4421.9728766024764</v>
      </c>
    </row>
    <row r="83" spans="2:22">
      <c r="B83" s="120">
        <f t="shared" si="30"/>
        <v>10000</v>
      </c>
      <c r="C83" s="7">
        <v>0.82</v>
      </c>
      <c r="D83" s="7">
        <f t="shared" si="15"/>
        <v>883.45742894561715</v>
      </c>
      <c r="E83" s="11">
        <f t="shared" si="17"/>
        <v>8.5874380481730905E-2</v>
      </c>
      <c r="F83" s="19">
        <f t="shared" si="21"/>
        <v>1.5833429756021637E-2</v>
      </c>
      <c r="G83" s="16">
        <f t="shared" si="18"/>
        <v>1843.7896922458815</v>
      </c>
      <c r="H83" s="12">
        <f t="shared" si="19"/>
        <v>3340.8617587235667</v>
      </c>
      <c r="I83" s="12">
        <f t="shared" si="20"/>
        <v>3514.1273815511431</v>
      </c>
      <c r="J83" s="141">
        <f t="shared" si="22"/>
        <v>0.5518904478556852</v>
      </c>
      <c r="K83" s="267" cm="1">
        <f t="array" ref="K83">InterpolateXYZ(J83,C83,B83,FFnorm_PS,FFnorm_M,FFnorm_h,FFnorm_table)*numeng</f>
        <v>1939.4133344261868</v>
      </c>
      <c r="L83" s="11">
        <f t="shared" si="23"/>
        <v>1.0518625538381376</v>
      </c>
      <c r="M83" s="425" cm="1">
        <f t="array" ref="M83">($D$5/G83)*(C83*Linterp($D$6,atmos_h,atmos_vela)/L83)</f>
        <v>2697.2063364172495</v>
      </c>
      <c r="N83" s="55">
        <f t="shared" si="24"/>
        <v>5.1561984351101176</v>
      </c>
      <c r="O83" s="426">
        <f t="shared" si="25"/>
        <v>0.26972063364172494</v>
      </c>
      <c r="P83" s="12"/>
      <c r="Q83" s="7">
        <f t="shared" si="26"/>
        <v>0.82</v>
      </c>
      <c r="R83" s="314" cm="1">
        <f t="array" ref="R83">numeng*InterpolateXY($D$6,$Q83,Tmil_h,Tmil_M,Tmil_table)</f>
        <v>3532.864848089142</v>
      </c>
      <c r="S83" s="12" cm="1">
        <f t="array" ref="S83">numeng*InterpolateXY($D$6,$Q83,Tmax_h,Tmax_M,Tmax_table)</f>
        <v>6241.5914916491283</v>
      </c>
      <c r="T83" s="16">
        <f t="shared" si="27"/>
        <v>1843.7896922458815</v>
      </c>
      <c r="U83" s="55">
        <f t="shared" si="28"/>
        <v>1689.0751558432605</v>
      </c>
      <c r="V83" s="426">
        <f t="shared" si="29"/>
        <v>4397.8017994032471</v>
      </c>
    </row>
    <row r="84" spans="2:22">
      <c r="B84" s="120">
        <f t="shared" si="30"/>
        <v>10000</v>
      </c>
      <c r="C84" s="7">
        <v>0.83</v>
      </c>
      <c r="D84" s="7">
        <f t="shared" si="15"/>
        <v>894.23130003031974</v>
      </c>
      <c r="E84" s="11">
        <f t="shared" si="17"/>
        <v>8.3817583736269213E-2</v>
      </c>
      <c r="F84" s="19">
        <f t="shared" si="21"/>
        <v>1.5887719796703365E-2</v>
      </c>
      <c r="G84" s="16">
        <f t="shared" si="18"/>
        <v>1895.5115488289234</v>
      </c>
      <c r="H84" s="12">
        <f t="shared" si="19"/>
        <v>3349.7234610013484</v>
      </c>
      <c r="I84" s="12">
        <f t="shared" si="20"/>
        <v>3523.4486743404036</v>
      </c>
      <c r="J84" s="141">
        <f t="shared" si="22"/>
        <v>0.56587105499816082</v>
      </c>
      <c r="K84" s="267" cm="1">
        <f t="array" ref="K84">InterpolateXYZ(J84,C84,B84,FFnorm_PS,FFnorm_M,FFnorm_h,FFnorm_table)*numeng</f>
        <v>1993.8176185808752</v>
      </c>
      <c r="L84" s="11">
        <f t="shared" si="23"/>
        <v>1.0518625538381376</v>
      </c>
      <c r="M84" s="425" cm="1">
        <f t="array" ref="M84">($D$5/G84)*(C84*Linterp($D$6,atmos_h,atmos_vela)/L84)</f>
        <v>2655.6042754068062</v>
      </c>
      <c r="N84" s="55">
        <f t="shared" si="24"/>
        <v>5.0155038789945223</v>
      </c>
      <c r="O84" s="426">
        <f t="shared" si="25"/>
        <v>0.2655604275406806</v>
      </c>
      <c r="P84" s="12"/>
      <c r="Q84" s="7">
        <f t="shared" si="26"/>
        <v>0.83</v>
      </c>
      <c r="R84" s="314" cm="1">
        <f t="array" ref="R84">numeng*InterpolateXY($D$6,$Q84,Tmil_h,Tmil_M,Tmil_table)</f>
        <v>3541.7265492131114</v>
      </c>
      <c r="S84" s="12" cm="1">
        <f t="array" ref="S84">numeng*InterpolateXY($D$6,$Q84,Tmax_h,Tmax_M,Tmax_table)</f>
        <v>6268.1765950210365</v>
      </c>
      <c r="T84" s="16">
        <f t="shared" si="27"/>
        <v>1895.5115488289234</v>
      </c>
      <c r="U84" s="55">
        <f t="shared" si="28"/>
        <v>1646.215000384188</v>
      </c>
      <c r="V84" s="426">
        <f t="shared" si="29"/>
        <v>4372.6650461921126</v>
      </c>
    </row>
    <row r="85" spans="2:22">
      <c r="B85" s="120">
        <f t="shared" si="30"/>
        <v>10000</v>
      </c>
      <c r="C85" s="7">
        <v>0.84</v>
      </c>
      <c r="D85" s="7">
        <f t="shared" ref="D85:D101" si="31">C85*H$6</f>
        <v>905.00517111502245</v>
      </c>
      <c r="E85" s="11">
        <f t="shared" si="17"/>
        <v>8.1833805889903424E-2</v>
      </c>
      <c r="F85" s="19">
        <f t="shared" si="21"/>
        <v>1.5942922573623793E-2</v>
      </c>
      <c r="G85" s="16">
        <f t="shared" si="18"/>
        <v>1948.2073942733257</v>
      </c>
      <c r="H85" s="12">
        <f t="shared" si="19"/>
        <v>3358.5851632791296</v>
      </c>
      <c r="I85" s="12">
        <f t="shared" si="20"/>
        <v>3532.7699671296637</v>
      </c>
      <c r="J85" s="141">
        <f t="shared" si="22"/>
        <v>0.58006788560073552</v>
      </c>
      <c r="K85" s="267" cm="1">
        <f t="array" ref="K85">InterpolateXYZ(J85,C85,B85,FFnorm_PS,FFnorm_M,FFnorm_h,FFnorm_table)*numeng</f>
        <v>2049.2464051466841</v>
      </c>
      <c r="L85" s="11">
        <f t="shared" si="23"/>
        <v>1.0518625538381376</v>
      </c>
      <c r="M85" s="425" cm="1">
        <f t="array" ref="M85">($D$5/G85)*(C85*Linterp($D$6,atmos_h,atmos_vela)/L85)</f>
        <v>2614.9043065612182</v>
      </c>
      <c r="N85" s="55">
        <f t="shared" si="24"/>
        <v>4.8798426460014728</v>
      </c>
      <c r="O85" s="426">
        <f t="shared" si="25"/>
        <v>0.26149043065612182</v>
      </c>
      <c r="P85" s="12"/>
      <c r="Q85" s="7">
        <f t="shared" si="26"/>
        <v>0.84</v>
      </c>
      <c r="R85" s="314" cm="1">
        <f t="array" ref="R85">numeng*InterpolateXY($D$6,$Q85,Tmil_h,Tmil_M,Tmil_table)</f>
        <v>3550.5882503370808</v>
      </c>
      <c r="S85" s="12" cm="1">
        <f t="array" ref="S85">numeng*InterpolateXY($D$6,$Q85,Tmax_h,Tmax_M,Tmax_table)</f>
        <v>6294.7616983929447</v>
      </c>
      <c r="T85" s="16">
        <f t="shared" si="27"/>
        <v>1948.2073942733257</v>
      </c>
      <c r="U85" s="55">
        <f t="shared" si="28"/>
        <v>1602.3808560637551</v>
      </c>
      <c r="V85" s="426">
        <f t="shared" si="29"/>
        <v>4346.5543041196188</v>
      </c>
    </row>
    <row r="86" spans="2:22">
      <c r="B86" s="120">
        <f t="shared" si="30"/>
        <v>10000</v>
      </c>
      <c r="C86" s="7">
        <v>0.85</v>
      </c>
      <c r="D86" s="7">
        <f t="shared" si="31"/>
        <v>915.77904219972504</v>
      </c>
      <c r="E86" s="11">
        <f t="shared" si="17"/>
        <v>7.991963105317075E-2</v>
      </c>
      <c r="F86" s="19">
        <f t="shared" si="21"/>
        <v>1.5998995388164634E-2</v>
      </c>
      <c r="G86" s="16">
        <f t="shared" si="18"/>
        <v>2001.885541428546</v>
      </c>
      <c r="H86" s="12">
        <f t="shared" si="19"/>
        <v>3367.4468655569108</v>
      </c>
      <c r="I86" s="12">
        <f t="shared" si="20"/>
        <v>3542.0912599189242</v>
      </c>
      <c r="J86" s="141">
        <f t="shared" si="22"/>
        <v>0.59448170122722122</v>
      </c>
      <c r="K86" s="267" cm="1">
        <f t="array" ref="K86">InterpolateXYZ(J86,C86,B86,FFnorm_PS,FFnorm_M,FFnorm_h,FFnorm_table)*numeng</f>
        <v>2105.7084380986735</v>
      </c>
      <c r="L86" s="11">
        <f t="shared" si="23"/>
        <v>1.0518625538381376</v>
      </c>
      <c r="M86" s="425" cm="1">
        <f t="array" ref="M86">($D$5/G86)*(C86*Linterp($D$6,atmos_h,atmos_vela)/L86)</f>
        <v>2575.0839050906802</v>
      </c>
      <c r="N86" s="55">
        <f t="shared" si="24"/>
        <v>4.7489955489893898</v>
      </c>
      <c r="O86" s="426">
        <f t="shared" si="25"/>
        <v>0.25750839050906804</v>
      </c>
      <c r="P86" s="12"/>
      <c r="Q86" s="7">
        <f t="shared" si="26"/>
        <v>0.85</v>
      </c>
      <c r="R86" s="314" cm="1">
        <f t="array" ref="R86">numeng*InterpolateXY($D$6,$Q86,Tmil_h,Tmil_M,Tmil_table)</f>
        <v>3559.4499514610502</v>
      </c>
      <c r="S86" s="12" cm="1">
        <f t="array" ref="S86">numeng*InterpolateXY($D$6,$Q86,Tmax_h,Tmax_M,Tmax_table)</f>
        <v>6321.3468017648529</v>
      </c>
      <c r="T86" s="16">
        <f t="shared" si="27"/>
        <v>2001.885541428546</v>
      </c>
      <c r="U86" s="55">
        <f t="shared" si="28"/>
        <v>1557.5644100325042</v>
      </c>
      <c r="V86" s="426">
        <f t="shared" si="29"/>
        <v>4319.4612603363066</v>
      </c>
    </row>
    <row r="87" spans="2:22">
      <c r="B87" s="120">
        <f t="shared" si="30"/>
        <v>10000</v>
      </c>
      <c r="C87" s="7">
        <v>0.86</v>
      </c>
      <c r="D87" s="7">
        <f t="shared" si="31"/>
        <v>926.55291328442775</v>
      </c>
      <c r="E87" s="11">
        <f t="shared" si="17"/>
        <v>7.8071840773277265E-2</v>
      </c>
      <c r="F87" s="19">
        <f t="shared" si="21"/>
        <v>1.617745944648143E-2</v>
      </c>
      <c r="G87" s="16">
        <f t="shared" si="18"/>
        <v>2072.1247617897479</v>
      </c>
      <c r="H87" s="12">
        <f t="shared" si="19"/>
        <v>3376.3085678346924</v>
      </c>
      <c r="I87" s="12">
        <f t="shared" si="20"/>
        <v>3551.4125527081846</v>
      </c>
      <c r="J87" s="141">
        <f t="shared" si="22"/>
        <v>0.61372493661580563</v>
      </c>
      <c r="K87" s="267" cm="1">
        <f t="array" ref="K87">InterpolateXYZ(J87,C87,B87,FFnorm_PS,FFnorm_M,FFnorm_h,FFnorm_table)*numeng</f>
        <v>2179.5904438074072</v>
      </c>
      <c r="L87" s="11">
        <f t="shared" si="23"/>
        <v>1.0518625538381379</v>
      </c>
      <c r="M87" s="425" cm="1">
        <f t="array" ref="M87">($D$5/G87)*(C87*Linterp($D$6,atmos_h,atmos_vela)/L87)</f>
        <v>2517.0639654284837</v>
      </c>
      <c r="N87" s="55">
        <f t="shared" si="24"/>
        <v>4.5880179133707104</v>
      </c>
      <c r="O87" s="426">
        <f t="shared" si="25"/>
        <v>0.25170639654284838</v>
      </c>
      <c r="P87" s="12"/>
      <c r="Q87" s="7">
        <f t="shared" si="26"/>
        <v>0.86</v>
      </c>
      <c r="R87" s="314" cm="1">
        <f t="array" ref="R87">numeng*InterpolateXY($D$6,$Q87,Tmil_h,Tmil_M,Tmil_table)</f>
        <v>3568.3116525850201</v>
      </c>
      <c r="S87" s="12" cm="1">
        <f t="array" ref="S87">numeng*InterpolateXY($D$6,$Q87,Tmax_h,Tmax_M,Tmax_table)</f>
        <v>6347.9319051367611</v>
      </c>
      <c r="T87" s="16">
        <f t="shared" si="27"/>
        <v>2072.1247617897479</v>
      </c>
      <c r="U87" s="55">
        <f t="shared" si="28"/>
        <v>1496.1868907952721</v>
      </c>
      <c r="V87" s="426">
        <f t="shared" si="29"/>
        <v>4275.8071433470132</v>
      </c>
    </row>
    <row r="88" spans="2:22">
      <c r="B88" s="120">
        <f t="shared" si="30"/>
        <v>10000</v>
      </c>
      <c r="C88" s="7">
        <v>0.87</v>
      </c>
      <c r="D88" s="7">
        <f t="shared" si="31"/>
        <v>937.32678436913034</v>
      </c>
      <c r="E88" s="11">
        <f t="shared" si="17"/>
        <v>7.6287400496651933E-2</v>
      </c>
      <c r="F88" s="19">
        <f t="shared" si="21"/>
        <v>1.6356644002228016E-2</v>
      </c>
      <c r="G88" s="16">
        <f t="shared" si="18"/>
        <v>2144.0819710386991</v>
      </c>
      <c r="H88" s="12">
        <f t="shared" si="19"/>
        <v>3385.1702701124736</v>
      </c>
      <c r="I88" s="12">
        <f t="shared" si="20"/>
        <v>3560.7338454974447</v>
      </c>
      <c r="J88" s="141">
        <f t="shared" si="22"/>
        <v>0.63337492650479321</v>
      </c>
      <c r="K88" s="267" cm="1">
        <f t="array" ref="K88">InterpolateXYZ(J88,C88,B88,FFnorm_PS,FFnorm_M,FFnorm_h,FFnorm_table)*numeng</f>
        <v>2255.2795376950735</v>
      </c>
      <c r="L88" s="11">
        <f t="shared" si="23"/>
        <v>1.0518625538381374</v>
      </c>
      <c r="M88" s="425" cm="1">
        <f t="array" ref="M88">($D$5/G88)*(C88*Linterp($D$6,atmos_h,atmos_vela)/L88)</f>
        <v>2460.8750846515495</v>
      </c>
      <c r="N88" s="55">
        <f t="shared" si="24"/>
        <v>4.4340401413033428</v>
      </c>
      <c r="O88" s="426">
        <f t="shared" si="25"/>
        <v>0.24608750846515495</v>
      </c>
      <c r="P88" s="12"/>
      <c r="Q88" s="7">
        <f t="shared" si="26"/>
        <v>0.87</v>
      </c>
      <c r="R88" s="314" cm="1">
        <f t="array" ref="R88">numeng*InterpolateXY($D$6,$Q88,Tmil_h,Tmil_M,Tmil_table)</f>
        <v>3577.1733537089895</v>
      </c>
      <c r="S88" s="12" cm="1">
        <f t="array" ref="S88">numeng*InterpolateXY($D$6,$Q88,Tmax_h,Tmax_M,Tmax_table)</f>
        <v>6374.5170085086702</v>
      </c>
      <c r="T88" s="16">
        <f t="shared" si="27"/>
        <v>2144.0819710386991</v>
      </c>
      <c r="U88" s="55">
        <f t="shared" si="28"/>
        <v>1433.0913826702904</v>
      </c>
      <c r="V88" s="426">
        <f t="shared" si="29"/>
        <v>4230.4350374699716</v>
      </c>
    </row>
    <row r="89" spans="2:22">
      <c r="B89" s="120">
        <f t="shared" si="30"/>
        <v>10000</v>
      </c>
      <c r="C89" s="7">
        <v>0.88</v>
      </c>
      <c r="D89" s="7">
        <f t="shared" si="31"/>
        <v>948.10065545383304</v>
      </c>
      <c r="E89" s="11">
        <f t="shared" si="17"/>
        <v>7.4563447102164074E-2</v>
      </c>
      <c r="F89" s="19">
        <f t="shared" si="21"/>
        <v>1.653651689560318E-2</v>
      </c>
      <c r="G89" s="16">
        <f t="shared" si="18"/>
        <v>2217.7779512990405</v>
      </c>
      <c r="H89" s="12">
        <f t="shared" si="19"/>
        <v>3394.0319723902549</v>
      </c>
      <c r="I89" s="12">
        <f t="shared" si="20"/>
        <v>3570.0551382867052</v>
      </c>
      <c r="J89" s="141">
        <f t="shared" si="22"/>
        <v>0.65343460796486408</v>
      </c>
      <c r="K89" s="267" cm="1">
        <f t="array" ref="K89">InterpolateXYZ(J89,C89,B89,FFnorm_PS,FFnorm_M,FFnorm_h,FFnorm_table)*numeng</f>
        <v>2332.7975796993214</v>
      </c>
      <c r="L89" s="11">
        <f t="shared" si="23"/>
        <v>1.0518625538381376</v>
      </c>
      <c r="M89" s="425" cm="1">
        <f t="array" ref="M89">($D$5/G89)*(C89*Linterp($D$6,atmos_h,atmos_vela)/L89)</f>
        <v>2406.4470616006943</v>
      </c>
      <c r="N89" s="55">
        <f t="shared" si="24"/>
        <v>4.2866985489966591</v>
      </c>
      <c r="O89" s="426">
        <f t="shared" si="25"/>
        <v>0.24064470616006942</v>
      </c>
      <c r="P89" s="12"/>
      <c r="Q89" s="7">
        <f t="shared" si="26"/>
        <v>0.88</v>
      </c>
      <c r="R89" s="314" cm="1">
        <f t="array" ref="R89">numeng*InterpolateXY($D$6,$Q89,Tmil_h,Tmil_M,Tmil_table)</f>
        <v>3586.0350548329588</v>
      </c>
      <c r="S89" s="12" cm="1">
        <f t="array" ref="S89">numeng*InterpolateXY($D$6,$Q89,Tmax_h,Tmax_M,Tmax_table)</f>
        <v>6401.1021118805784</v>
      </c>
      <c r="T89" s="16">
        <f t="shared" si="27"/>
        <v>2217.7779512990405</v>
      </c>
      <c r="U89" s="55">
        <f t="shared" si="28"/>
        <v>1368.2571035339183</v>
      </c>
      <c r="V89" s="426">
        <f t="shared" si="29"/>
        <v>4183.3241605815383</v>
      </c>
    </row>
    <row r="90" spans="2:22">
      <c r="B90" s="120">
        <f t="shared" si="30"/>
        <v>10000</v>
      </c>
      <c r="C90" s="7">
        <v>0.89</v>
      </c>
      <c r="D90" s="7">
        <f t="shared" si="31"/>
        <v>958.87452653853575</v>
      </c>
      <c r="E90" s="11">
        <f t="shared" si="17"/>
        <v>7.2897277409311761E-2</v>
      </c>
      <c r="F90" s="19">
        <f t="shared" si="21"/>
        <v>1.6717047749809141E-2</v>
      </c>
      <c r="G90" s="16">
        <f t="shared" si="18"/>
        <v>2293.2334846944136</v>
      </c>
      <c r="H90" s="12">
        <f t="shared" si="19"/>
        <v>3402.8936746680365</v>
      </c>
      <c r="I90" s="12">
        <f t="shared" si="20"/>
        <v>3579.3764310759652</v>
      </c>
      <c r="J90" s="141">
        <f t="shared" si="22"/>
        <v>0.67390688747221172</v>
      </c>
      <c r="K90" s="267" cm="1">
        <f t="array" ref="K90">InterpolateXYZ(J90,C90,B90,FFnorm_PS,FFnorm_M,FFnorm_h,FFnorm_table)*numeng</f>
        <v>2412.1664297577972</v>
      </c>
      <c r="L90" s="11">
        <f t="shared" si="23"/>
        <v>1.0518625538381374</v>
      </c>
      <c r="M90" s="425" cm="1">
        <f t="array" ref="M90">($D$5/G90)*(C90*Linterp($D$6,atmos_h,atmos_vela)/L90)</f>
        <v>2353.7126081657179</v>
      </c>
      <c r="N90" s="55">
        <f t="shared" si="24"/>
        <v>4.1456509288225556</v>
      </c>
      <c r="O90" s="426">
        <f t="shared" si="25"/>
        <v>0.23537126081657178</v>
      </c>
      <c r="P90" s="12"/>
      <c r="Q90" s="7">
        <f t="shared" si="26"/>
        <v>0.89</v>
      </c>
      <c r="R90" s="314" cm="1">
        <f t="array" ref="R90">numeng*InterpolateXY($D$6,$Q90,Tmil_h,Tmil_M,Tmil_table)</f>
        <v>3594.8967559569282</v>
      </c>
      <c r="S90" s="12" cm="1">
        <f t="array" ref="S90">numeng*InterpolateXY($D$6,$Q90,Tmax_h,Tmax_M,Tmax_table)</f>
        <v>6427.6872152524866</v>
      </c>
      <c r="T90" s="16">
        <f t="shared" si="27"/>
        <v>2293.2334846944136</v>
      </c>
      <c r="U90" s="55">
        <f t="shared" si="28"/>
        <v>1301.6632712625146</v>
      </c>
      <c r="V90" s="426">
        <f t="shared" si="29"/>
        <v>4134.4537305580725</v>
      </c>
    </row>
    <row r="91" spans="2:22">
      <c r="B91" s="120">
        <f t="shared" si="30"/>
        <v>10000</v>
      </c>
      <c r="C91" s="7">
        <v>0.9</v>
      </c>
      <c r="D91" s="7">
        <f t="shared" si="31"/>
        <v>969.64839762323834</v>
      </c>
      <c r="E91" s="11">
        <f t="shared" si="17"/>
        <v>7.1286337575204764E-2</v>
      </c>
      <c r="F91" s="19">
        <f t="shared" si="21"/>
        <v>1.6898207853447582E-2</v>
      </c>
      <c r="G91" s="16">
        <f t="shared" si="18"/>
        <v>2370.4693533484624</v>
      </c>
      <c r="H91" s="12">
        <f t="shared" si="19"/>
        <v>3411.7553769458177</v>
      </c>
      <c r="I91" s="12">
        <f t="shared" si="20"/>
        <v>3588.6977238652257</v>
      </c>
      <c r="J91" s="141">
        <f t="shared" si="22"/>
        <v>0.69479464130587576</v>
      </c>
      <c r="K91" s="267" cm="1">
        <f t="array" ref="K91">InterpolateXYZ(J91,C91,B91,FFnorm_PS,FFnorm_M,FFnorm_h,FFnorm_table)*numeng</f>
        <v>2493.4079478081521</v>
      </c>
      <c r="L91" s="11">
        <f t="shared" si="23"/>
        <v>1.0518625538381376</v>
      </c>
      <c r="M91" s="425" cm="1">
        <f t="array" ref="M91">($D$5/G91)*(C91*Linterp($D$6,atmos_h,atmos_vela)/L91)</f>
        <v>2302.6072414264777</v>
      </c>
      <c r="N91" s="55">
        <f t="shared" si="24"/>
        <v>4.010575168331588</v>
      </c>
      <c r="O91" s="426">
        <f t="shared" si="25"/>
        <v>0.23026072414264775</v>
      </c>
      <c r="P91" s="12"/>
      <c r="Q91" s="7">
        <f t="shared" si="26"/>
        <v>0.9</v>
      </c>
      <c r="R91" s="314" cm="1">
        <f t="array" ref="R91">numeng*InterpolateXY($D$6,$Q91,Tmil_h,Tmil_M,Tmil_table)</f>
        <v>3603.7584570808976</v>
      </c>
      <c r="S91" s="12" cm="1">
        <f t="array" ref="S91">numeng*InterpolateXY($D$6,$Q91,Tmax_h,Tmax_M,Tmax_table)</f>
        <v>6454.2723186243948</v>
      </c>
      <c r="T91" s="16">
        <f t="shared" si="27"/>
        <v>2370.4693533484624</v>
      </c>
      <c r="U91" s="55">
        <f t="shared" si="28"/>
        <v>1233.2891037324353</v>
      </c>
      <c r="V91" s="426">
        <f t="shared" si="29"/>
        <v>4083.8029652759324</v>
      </c>
    </row>
    <row r="92" spans="2:22">
      <c r="B92" s="120">
        <f t="shared" si="30"/>
        <v>10000</v>
      </c>
      <c r="C92" s="7">
        <v>0.91</v>
      </c>
      <c r="D92" s="7">
        <f t="shared" si="31"/>
        <v>980.42226870794104</v>
      </c>
      <c r="E92" s="11">
        <f t="shared" si="17"/>
        <v>6.9728213302639605E-2</v>
      </c>
      <c r="F92" s="19">
        <f t="shared" si="21"/>
        <v>1.7132061898278393E-2</v>
      </c>
      <c r="G92" s="16">
        <f t="shared" si="18"/>
        <v>2456.9770379631755</v>
      </c>
      <c r="H92" s="12">
        <f t="shared" si="19"/>
        <v>3420.6170792235989</v>
      </c>
      <c r="I92" s="12">
        <f t="shared" si="20"/>
        <v>3598.0190166544862</v>
      </c>
      <c r="J92" s="141">
        <f t="shared" si="22"/>
        <v>0.71828473665951886</v>
      </c>
      <c r="K92" s="267" cm="1">
        <f t="array" ref="K92">InterpolateXYZ(J92,C92,B92,FFnorm_PS,FFnorm_M,FFnorm_h,FFnorm_table)*numeng</f>
        <v>2584.4021418736083</v>
      </c>
      <c r="L92" s="11">
        <f t="shared" si="23"/>
        <v>1.0518625538381374</v>
      </c>
      <c r="M92" s="425" cm="1">
        <f t="array" ref="M92">($D$5/G92)*(C92*Linterp($D$6,atmos_h,atmos_vela)/L92)</f>
        <v>2246.2184813015292</v>
      </c>
      <c r="N92" s="55">
        <f t="shared" si="24"/>
        <v>3.8693668597373638</v>
      </c>
      <c r="O92" s="426">
        <f t="shared" si="25"/>
        <v>0.22462184813015293</v>
      </c>
      <c r="P92" s="12"/>
      <c r="Q92" s="7">
        <f t="shared" si="26"/>
        <v>0.91</v>
      </c>
      <c r="R92" s="314" cm="1">
        <f t="array" ref="R92">numeng*InterpolateXY($D$6,$Q92,Tmil_h,Tmil_M,Tmil_table)</f>
        <v>3612.620158204867</v>
      </c>
      <c r="S92" s="12" cm="1">
        <f t="array" ref="S92">numeng*InterpolateXY($D$6,$Q92,Tmax_h,Tmax_M,Tmax_table)</f>
        <v>6480.8574219963029</v>
      </c>
      <c r="T92" s="16">
        <f t="shared" si="27"/>
        <v>2456.9770379631755</v>
      </c>
      <c r="U92" s="55">
        <f t="shared" si="28"/>
        <v>1155.6431202416916</v>
      </c>
      <c r="V92" s="426">
        <f t="shared" si="29"/>
        <v>4023.8803840331275</v>
      </c>
    </row>
    <row r="93" spans="2:22">
      <c r="B93" s="120">
        <f t="shared" si="30"/>
        <v>10000</v>
      </c>
      <c r="C93" s="7">
        <v>0.92</v>
      </c>
      <c r="D93" s="7">
        <f t="shared" si="31"/>
        <v>991.19613979264363</v>
      </c>
      <c r="E93" s="11">
        <f t="shared" si="17"/>
        <v>6.8220620789125538E-2</v>
      </c>
      <c r="F93" s="19">
        <f t="shared" si="21"/>
        <v>1.7366401884021894E-2</v>
      </c>
      <c r="G93" s="16">
        <f t="shared" si="18"/>
        <v>2545.6235494693888</v>
      </c>
      <c r="H93" s="12">
        <f t="shared" si="19"/>
        <v>3429.4787815013806</v>
      </c>
      <c r="I93" s="12">
        <f t="shared" si="20"/>
        <v>3607.3403094437463</v>
      </c>
      <c r="J93" s="141">
        <f t="shared" si="22"/>
        <v>0.74227709563345023</v>
      </c>
      <c r="K93" s="267" cm="1">
        <f t="array" ref="K93">InterpolateXYZ(J93,C93,B93,FFnorm_PS,FFnorm_M,FFnorm_h,FFnorm_table)*numeng</f>
        <v>2677.6460878553758</v>
      </c>
      <c r="L93" s="11">
        <f t="shared" si="23"/>
        <v>1.0518625538381376</v>
      </c>
      <c r="M93" s="425" cm="1">
        <f t="array" ref="M93">($D$5/G93)*(C93*Linterp($D$6,atmos_h,atmos_vela)/L93)</f>
        <v>2191.8223392363111</v>
      </c>
      <c r="N93" s="55">
        <f t="shared" si="24"/>
        <v>3.7346234983613402</v>
      </c>
      <c r="O93" s="426">
        <f t="shared" si="25"/>
        <v>0.21918223392363112</v>
      </c>
      <c r="P93" s="12"/>
      <c r="Q93" s="7">
        <f t="shared" si="26"/>
        <v>0.92</v>
      </c>
      <c r="R93" s="314" cm="1">
        <f t="array" ref="R93">numeng*InterpolateXY($D$6,$Q93,Tmil_h,Tmil_M,Tmil_table)</f>
        <v>3621.4818593288364</v>
      </c>
      <c r="S93" s="12" cm="1">
        <f t="array" ref="S93">numeng*InterpolateXY($D$6,$Q93,Tmax_h,Tmax_M,Tmax_table)</f>
        <v>6507.4425253682111</v>
      </c>
      <c r="T93" s="16">
        <f t="shared" si="27"/>
        <v>2545.6235494693888</v>
      </c>
      <c r="U93" s="55">
        <f t="shared" si="28"/>
        <v>1075.8583098594477</v>
      </c>
      <c r="V93" s="426">
        <f t="shared" si="29"/>
        <v>3961.8189758988224</v>
      </c>
    </row>
    <row r="94" spans="2:22">
      <c r="B94" s="120">
        <f t="shared" si="30"/>
        <v>10000</v>
      </c>
      <c r="C94" s="7">
        <v>0.93</v>
      </c>
      <c r="D94" s="7">
        <f t="shared" si="31"/>
        <v>1001.9700108773463</v>
      </c>
      <c r="E94" s="11">
        <f t="shared" si="17"/>
        <v>6.6761398353469587E-2</v>
      </c>
      <c r="F94" s="19">
        <f t="shared" si="21"/>
        <v>1.7851207829006743E-2</v>
      </c>
      <c r="G94" s="16">
        <f t="shared" si="18"/>
        <v>2673.8816545592945</v>
      </c>
      <c r="H94" s="12">
        <f t="shared" si="19"/>
        <v>3438.3404837791618</v>
      </c>
      <c r="I94" s="12">
        <f t="shared" si="20"/>
        <v>3616.6616022330068</v>
      </c>
      <c r="J94" s="141">
        <f t="shared" si="22"/>
        <v>0.777666338506525</v>
      </c>
      <c r="K94" s="267" cm="1">
        <f t="array" ref="K94">InterpolateXYZ(J94,C94,B94,FFnorm_PS,FFnorm_M,FFnorm_h,FFnorm_table)*numeng</f>
        <v>2812.5559858256843</v>
      </c>
      <c r="L94" s="11">
        <f t="shared" si="23"/>
        <v>1.0518625538381376</v>
      </c>
      <c r="M94" s="425" cm="1">
        <f t="array" ref="M94">($D$5/G94)*(C94*Linterp($D$6,atmos_h,atmos_vela)/L94)</f>
        <v>2109.3685599743981</v>
      </c>
      <c r="N94" s="55">
        <f t="shared" si="24"/>
        <v>3.5554847798218288</v>
      </c>
      <c r="O94" s="426">
        <f t="shared" si="25"/>
        <v>0.2109368559974398</v>
      </c>
      <c r="P94" s="12"/>
      <c r="Q94" s="7">
        <f t="shared" si="26"/>
        <v>0.93</v>
      </c>
      <c r="R94" s="314" cm="1">
        <f t="array" ref="R94">numeng*InterpolateXY($D$6,$Q94,Tmil_h,Tmil_M,Tmil_table)</f>
        <v>3630.3435604528058</v>
      </c>
      <c r="S94" s="12" cm="1">
        <f t="array" ref="S94">numeng*InterpolateXY($D$6,$Q94,Tmax_h,Tmax_M,Tmax_table)</f>
        <v>6534.0276287401193</v>
      </c>
      <c r="T94" s="16">
        <f t="shared" si="27"/>
        <v>2673.8816545592945</v>
      </c>
      <c r="U94" s="55">
        <f t="shared" si="28"/>
        <v>956.46190589351136</v>
      </c>
      <c r="V94" s="426">
        <f t="shared" si="29"/>
        <v>3860.1459741808249</v>
      </c>
    </row>
    <row r="95" spans="2:22">
      <c r="B95" s="120">
        <f t="shared" si="30"/>
        <v>10000</v>
      </c>
      <c r="C95" s="7">
        <v>0.94</v>
      </c>
      <c r="D95" s="7">
        <f t="shared" si="31"/>
        <v>1012.7438819620488</v>
      </c>
      <c r="E95" s="11">
        <f t="shared" si="17"/>
        <v>6.5348498682566619E-2</v>
      </c>
      <c r="F95" s="19">
        <f t="shared" si="21"/>
        <v>1.8336460783136853E-2</v>
      </c>
      <c r="G95" s="16">
        <f t="shared" si="18"/>
        <v>2805.9498156502518</v>
      </c>
      <c r="H95" s="12">
        <f t="shared" si="19"/>
        <v>3447.202186056943</v>
      </c>
      <c r="I95" s="12">
        <f t="shared" si="20"/>
        <v>3625.9828950222668</v>
      </c>
      <c r="J95" s="141">
        <f t="shared" si="22"/>
        <v>0.81397889192563344</v>
      </c>
      <c r="K95" s="267" cm="1">
        <f t="array" ref="K95">InterpolateXYZ(J95,C95,B95,FFnorm_PS,FFnorm_M,FFnorm_h,FFnorm_table)*numeng</f>
        <v>2951.473539031525</v>
      </c>
      <c r="L95" s="11">
        <f t="shared" si="23"/>
        <v>1.0518625538381374</v>
      </c>
      <c r="M95" s="425" cm="1">
        <f t="array" ref="M95">($D$5/G95)*(C95*Linterp($D$6,atmos_h,atmos_vela)/L95)</f>
        <v>2031.7003517417675</v>
      </c>
      <c r="N95" s="55">
        <f t="shared" si="24"/>
        <v>3.388138117369444</v>
      </c>
      <c r="O95" s="426">
        <f t="shared" si="25"/>
        <v>0.20317003517417676</v>
      </c>
      <c r="P95" s="12"/>
      <c r="Q95" s="7">
        <f t="shared" si="26"/>
        <v>0.94</v>
      </c>
      <c r="R95" s="314" cm="1">
        <f t="array" ref="R95">numeng*InterpolateXY($D$6,$Q95,Tmil_h,Tmil_M,Tmil_table)</f>
        <v>3639.2052615767752</v>
      </c>
      <c r="S95" s="12" cm="1">
        <f t="array" ref="S95">numeng*InterpolateXY($D$6,$Q95,Tmax_h,Tmax_M,Tmax_table)</f>
        <v>6560.6127321120275</v>
      </c>
      <c r="T95" s="16">
        <f t="shared" si="27"/>
        <v>2805.9498156502518</v>
      </c>
      <c r="U95" s="55">
        <f t="shared" si="28"/>
        <v>833.25544592652341</v>
      </c>
      <c r="V95" s="426">
        <f t="shared" si="29"/>
        <v>3754.6629164617757</v>
      </c>
    </row>
    <row r="96" spans="2:22">
      <c r="B96" s="120">
        <f t="shared" si="30"/>
        <v>10000</v>
      </c>
      <c r="C96" s="7">
        <v>0.95</v>
      </c>
      <c r="D96" s="7">
        <f t="shared" si="31"/>
        <v>1023.5177530467515</v>
      </c>
      <c r="E96" s="11">
        <f t="shared" si="17"/>
        <v>6.3979981646444167E-2</v>
      </c>
      <c r="F96" s="19">
        <f t="shared" si="21"/>
        <v>1.9822142764156808E-2</v>
      </c>
      <c r="G96" s="16">
        <f t="shared" si="18"/>
        <v>3098.1788762764468</v>
      </c>
      <c r="H96" s="12">
        <f t="shared" si="19"/>
        <v>3456.0638883347242</v>
      </c>
      <c r="I96" s="12">
        <f t="shared" si="20"/>
        <v>3635.3041878115268</v>
      </c>
      <c r="J96" s="141">
        <f t="shared" si="22"/>
        <v>0.89644722330908022</v>
      </c>
      <c r="K96" s="267" cm="1">
        <f t="array" ref="K96">InterpolateXYZ(J96,C96,B96,FFnorm_PS,FFnorm_M,FFnorm_h,FFnorm_table)*numeng</f>
        <v>3258.8583450475144</v>
      </c>
      <c r="L96" s="11">
        <f t="shared" si="23"/>
        <v>1.0518625538381374</v>
      </c>
      <c r="M96" s="425" cm="1">
        <f t="array" ref="M96">($D$5/G96)*(C96*Linterp($D$6,atmos_h,atmos_vela)/L96)</f>
        <v>1859.639739896973</v>
      </c>
      <c r="N96" s="55">
        <f t="shared" si="24"/>
        <v>3.0685592748138308</v>
      </c>
      <c r="O96" s="426">
        <f t="shared" si="25"/>
        <v>0.1859639739896973</v>
      </c>
      <c r="P96" s="12"/>
      <c r="Q96" s="7">
        <f t="shared" si="26"/>
        <v>0.95</v>
      </c>
      <c r="R96" s="314" cm="1">
        <f t="array" ref="R96">numeng*InterpolateXY($D$6,$Q96,Tmil_h,Tmil_M,Tmil_table)</f>
        <v>3648.0669627007446</v>
      </c>
      <c r="S96" s="12" cm="1">
        <f t="array" ref="S96">numeng*InterpolateXY($D$6,$Q96,Tmax_h,Tmax_M,Tmax_table)</f>
        <v>6587.1978354839357</v>
      </c>
      <c r="T96" s="16">
        <f t="shared" si="27"/>
        <v>3098.1788762764468</v>
      </c>
      <c r="U96" s="55">
        <f t="shared" si="28"/>
        <v>549.88808642429785</v>
      </c>
      <c r="V96" s="426">
        <f t="shared" si="29"/>
        <v>3489.0189592074889</v>
      </c>
    </row>
    <row r="97" spans="2:22">
      <c r="B97" s="120">
        <f t="shared" si="30"/>
        <v>10000</v>
      </c>
      <c r="C97" s="7">
        <v>0.96</v>
      </c>
      <c r="D97" s="7">
        <f t="shared" si="31"/>
        <v>1034.2916241314542</v>
      </c>
      <c r="E97" s="11">
        <f t="shared" si="17"/>
        <v>6.2654007634457318E-2</v>
      </c>
      <c r="F97" s="19">
        <f t="shared" si="21"/>
        <v>2.1308236698484501E-2</v>
      </c>
      <c r="G97" s="16">
        <f t="shared" si="18"/>
        <v>3400.9375462146468</v>
      </c>
      <c r="H97" s="12">
        <f t="shared" si="19"/>
        <v>3464.9255906125059</v>
      </c>
      <c r="I97" s="12">
        <f t="shared" si="20"/>
        <v>3644.6254806007873</v>
      </c>
      <c r="J97" s="141">
        <f t="shared" si="22"/>
        <v>0.98153263534108171</v>
      </c>
      <c r="K97" s="267" cm="1">
        <f t="array" ref="K97">InterpolateXYZ(J97,C97,B97,FFnorm_PS,FFnorm_M,FFnorm_h,FFnorm_table)*numeng</f>
        <v>3577.3188528053474</v>
      </c>
      <c r="L97" s="11">
        <f t="shared" si="23"/>
        <v>1.0518625538381376</v>
      </c>
      <c r="M97" s="425" cm="1">
        <f t="array" ref="M97">($D$5/G97)*(C97*Linterp($D$6,atmos_h,atmos_vela)/L97)</f>
        <v>1711.9232013889593</v>
      </c>
      <c r="N97" s="55">
        <f t="shared" si="24"/>
        <v>2.7953896231972615</v>
      </c>
      <c r="O97" s="426">
        <f t="shared" si="25"/>
        <v>0.17119232013889593</v>
      </c>
      <c r="P97" s="12"/>
      <c r="Q97" s="7">
        <f t="shared" si="26"/>
        <v>0.96</v>
      </c>
      <c r="R97" s="314" cm="1">
        <f t="array" ref="R97">numeng*InterpolateXY($D$6,$Q97,Tmil_h,Tmil_M,Tmil_table)</f>
        <v>3656.928663824714</v>
      </c>
      <c r="S97" s="12" cm="1">
        <f t="array" ref="S97">numeng*InterpolateXY($D$6,$Q97,Tmax_h,Tmax_M,Tmax_table)</f>
        <v>6613.7829388558439</v>
      </c>
      <c r="T97" s="16">
        <f t="shared" si="27"/>
        <v>3400.9375462146468</v>
      </c>
      <c r="U97" s="55">
        <f t="shared" si="28"/>
        <v>255.99111761006725</v>
      </c>
      <c r="V97" s="426">
        <f t="shared" si="29"/>
        <v>3212.8453926411971</v>
      </c>
    </row>
    <row r="98" spans="2:22">
      <c r="B98" s="120">
        <f t="shared" si="30"/>
        <v>10000</v>
      </c>
      <c r="C98" s="7">
        <v>0.97</v>
      </c>
      <c r="D98" s="7">
        <f t="shared" si="31"/>
        <v>1045.0654952161569</v>
      </c>
      <c r="E98" s="11">
        <f t="shared" si="17"/>
        <v>6.1368831369875504E-2</v>
      </c>
      <c r="F98" s="19">
        <f t="shared" si="21"/>
        <v>2.5547794807808381E-2</v>
      </c>
      <c r="G98" s="16">
        <f t="shared" si="18"/>
        <v>4162.9919028161885</v>
      </c>
      <c r="H98" s="12">
        <f t="shared" si="19"/>
        <v>3473.7872928902871</v>
      </c>
      <c r="I98" s="12">
        <f t="shared" si="20"/>
        <v>3653.9467733900474</v>
      </c>
      <c r="J98" s="141">
        <f t="shared" si="22"/>
        <v>1.1984015000965889</v>
      </c>
      <c r="K98" s="267" t="e" cm="1">
        <f t="array" ref="K98">InterpolateXYZ(J98,C98,B98,FFnorm_PS,FFnorm_M,FFnorm_h,FFnorm_table)*numeng</f>
        <v>#VALUE!</v>
      </c>
      <c r="L98" s="11" t="e">
        <f t="shared" si="23"/>
        <v>#VALUE!</v>
      </c>
      <c r="M98" s="425" t="e" cm="1">
        <f t="array" ref="M98">($D$5/G98)*(C98*Linterp($D$6,atmos_h,atmos_vela)/L98)</f>
        <v>#VALUE!</v>
      </c>
      <c r="N98" s="55" t="e">
        <f t="shared" si="24"/>
        <v>#VALUE!</v>
      </c>
      <c r="O98" s="426" t="e">
        <f t="shared" si="25"/>
        <v>#VALUE!</v>
      </c>
      <c r="P98" s="12"/>
      <c r="Q98" s="7">
        <f t="shared" si="26"/>
        <v>0.97</v>
      </c>
      <c r="R98" s="314" cm="1">
        <f t="array" ref="R98">numeng*InterpolateXY($D$6,$Q98,Tmil_h,Tmil_M,Tmil_table)</f>
        <v>3665.7903649486834</v>
      </c>
      <c r="S98" s="12" cm="1">
        <f t="array" ref="S98">numeng*InterpolateXY($D$6,$Q98,Tmax_h,Tmax_M,Tmax_table)</f>
        <v>6640.3680422277521</v>
      </c>
      <c r="T98" s="16">
        <f t="shared" si="27"/>
        <v>4162.9919028161885</v>
      </c>
      <c r="U98" s="55">
        <f t="shared" si="28"/>
        <v>-497.20153786750507</v>
      </c>
      <c r="V98" s="426">
        <f t="shared" si="29"/>
        <v>2477.3761394115636</v>
      </c>
    </row>
    <row r="99" spans="2:22">
      <c r="B99" s="120">
        <f t="shared" si="30"/>
        <v>10000</v>
      </c>
      <c r="C99" s="7">
        <v>0.98</v>
      </c>
      <c r="D99" s="7">
        <f t="shared" si="31"/>
        <v>1055.8393663008594</v>
      </c>
      <c r="E99" s="11">
        <f t="shared" si="17"/>
        <v>6.0122796164010686E-2</v>
      </c>
      <c r="F99" s="19">
        <f t="shared" si="21"/>
        <v>2.9787608629748542E-2</v>
      </c>
      <c r="G99" s="16">
        <f t="shared" si="18"/>
        <v>4954.4616235895082</v>
      </c>
      <c r="H99" s="12">
        <f t="shared" si="19"/>
        <v>3482.6489951680683</v>
      </c>
      <c r="I99" s="12">
        <f t="shared" si="20"/>
        <v>3663.2680661793079</v>
      </c>
      <c r="J99" s="141">
        <f t="shared" si="22"/>
        <v>1.4226129680204571</v>
      </c>
      <c r="K99" s="267" t="e" cm="1">
        <f t="array" ref="K99">InterpolateXYZ(J99,C99,B99,FFnorm_PS,FFnorm_M,FFnorm_h,FFnorm_table)*numeng</f>
        <v>#VALUE!</v>
      </c>
      <c r="L99" s="11" t="e">
        <f t="shared" si="23"/>
        <v>#VALUE!</v>
      </c>
      <c r="M99" s="425" t="e" cm="1">
        <f t="array" ref="M99">($D$5/G99)*(C99*Linterp($D$6,atmos_h,atmos_vela)/L99)</f>
        <v>#VALUE!</v>
      </c>
      <c r="N99" s="55" t="e">
        <f t="shared" si="24"/>
        <v>#VALUE!</v>
      </c>
      <c r="O99" s="426" t="e">
        <f t="shared" si="25"/>
        <v>#VALUE!</v>
      </c>
      <c r="P99" s="12"/>
      <c r="Q99" s="7">
        <f t="shared" si="26"/>
        <v>0.98</v>
      </c>
      <c r="R99" s="314" cm="1">
        <f t="array" ref="R99">numeng*InterpolateXY($D$6,$Q99,Tmil_h,Tmil_M,Tmil_table)</f>
        <v>3674.6520660726528</v>
      </c>
      <c r="S99" s="12" cm="1">
        <f t="array" ref="S99">numeng*InterpolateXY($D$6,$Q99,Tmax_h,Tmax_M,Tmax_table)</f>
        <v>6666.9531455996603</v>
      </c>
      <c r="T99" s="16">
        <f t="shared" si="27"/>
        <v>4954.4616235895082</v>
      </c>
      <c r="U99" s="55">
        <f t="shared" si="28"/>
        <v>-1279.8095575168554</v>
      </c>
      <c r="V99" s="426">
        <f t="shared" si="29"/>
        <v>1712.491522010152</v>
      </c>
    </row>
    <row r="100" spans="2:22">
      <c r="B100" s="120">
        <f t="shared" si="30"/>
        <v>10000</v>
      </c>
      <c r="C100" s="7">
        <v>0.99</v>
      </c>
      <c r="D100" s="7">
        <f t="shared" si="31"/>
        <v>1066.6132373855621</v>
      </c>
      <c r="E100" s="11">
        <f t="shared" si="17"/>
        <v>5.8914328574549389E-2</v>
      </c>
      <c r="F100" s="19">
        <f t="shared" si="21"/>
        <v>3.1780614853612776E-2</v>
      </c>
      <c r="G100" s="16">
        <f t="shared" si="18"/>
        <v>5394.3778402562994</v>
      </c>
      <c r="H100" s="12">
        <f t="shared" si="19"/>
        <v>3491.5106974458499</v>
      </c>
      <c r="I100" s="12">
        <f t="shared" si="20"/>
        <v>3672.5893589685679</v>
      </c>
      <c r="J100" s="141">
        <f t="shared" si="22"/>
        <v>1.5449982279024539</v>
      </c>
      <c r="K100" s="267" t="e" cm="1">
        <f t="array" ref="K100">InterpolateXYZ(J100,C100,B100,FFnorm_PS,FFnorm_M,FFnorm_h,FFnorm_table)*numeng</f>
        <v>#VALUE!</v>
      </c>
      <c r="L100" s="11" t="e">
        <f t="shared" si="23"/>
        <v>#VALUE!</v>
      </c>
      <c r="M100" s="425" t="e" cm="1">
        <f t="array" ref="M100">($D$5/G100)*(C100*Linterp($D$6,atmos_h,atmos_vela)/L100)</f>
        <v>#VALUE!</v>
      </c>
      <c r="N100" s="55" t="e">
        <f t="shared" si="24"/>
        <v>#VALUE!</v>
      </c>
      <c r="O100" s="426" t="e">
        <f t="shared" si="25"/>
        <v>#VALUE!</v>
      </c>
      <c r="P100" s="12"/>
      <c r="Q100" s="7">
        <f t="shared" si="26"/>
        <v>0.99</v>
      </c>
      <c r="R100" s="314" cm="1">
        <f t="array" ref="R100">numeng*InterpolateXY($D$6,$Q100,Tmil_h,Tmil_M,Tmil_table)</f>
        <v>3683.5137671966222</v>
      </c>
      <c r="S100" s="12" cm="1">
        <f t="array" ref="S100">numeng*InterpolateXY($D$6,$Q100,Tmax_h,Tmax_M,Tmax_table)</f>
        <v>6693.5382489715685</v>
      </c>
      <c r="T100" s="16">
        <f t="shared" si="27"/>
        <v>5394.3778402562994</v>
      </c>
      <c r="U100" s="55">
        <f t="shared" si="28"/>
        <v>-1710.8640730596771</v>
      </c>
      <c r="V100" s="426">
        <f t="shared" si="29"/>
        <v>1299.1604087152691</v>
      </c>
    </row>
    <row r="101" spans="2:22">
      <c r="B101" s="120">
        <f t="shared" si="30"/>
        <v>10000</v>
      </c>
      <c r="C101" s="7">
        <v>1</v>
      </c>
      <c r="D101" s="7">
        <f t="shared" si="31"/>
        <v>1077.3871084702648</v>
      </c>
      <c r="E101" s="11">
        <f t="shared" si="17"/>
        <v>5.7741933435915861E-2</v>
      </c>
      <c r="F101" s="19">
        <f t="shared" si="21"/>
        <v>3.3773741908041277E-2</v>
      </c>
      <c r="G101" s="16">
        <f t="shared" si="18"/>
        <v>5849.0840015817321</v>
      </c>
      <c r="H101" s="12">
        <f t="shared" si="19"/>
        <v>3500.3723997236311</v>
      </c>
      <c r="I101" s="12">
        <f t="shared" si="20"/>
        <v>3681.9106517578284</v>
      </c>
      <c r="J101" s="141">
        <f t="shared" si="22"/>
        <v>1.6709890644902643</v>
      </c>
      <c r="K101" s="267" t="e" cm="1">
        <f t="array" ref="K101">InterpolateXYZ(J101,C101,B101,FFnorm_PS,FFnorm_M,FFnorm_h,FFnorm_table)*numeng</f>
        <v>#VALUE!</v>
      </c>
      <c r="L101" s="11" t="e">
        <f t="shared" si="23"/>
        <v>#VALUE!</v>
      </c>
      <c r="M101" s="425" t="e" cm="1">
        <f t="array" ref="M101">($D$5/G101)*(C101*Linterp($D$6,atmos_h,atmos_vela)/L101)</f>
        <v>#VALUE!</v>
      </c>
      <c r="N101" s="55" t="e">
        <f t="shared" si="24"/>
        <v>#VALUE!</v>
      </c>
      <c r="O101" s="426" t="e">
        <f t="shared" si="25"/>
        <v>#VALUE!</v>
      </c>
      <c r="P101" s="12"/>
      <c r="Q101" s="7">
        <f t="shared" si="26"/>
        <v>1</v>
      </c>
      <c r="R101" s="314" cm="1">
        <f t="array" ref="R101">numeng*InterpolateXY($D$6,$Q101,Tmil_h,Tmil_M,Tmil_table)</f>
        <v>3692.3754683205916</v>
      </c>
      <c r="S101" s="12" cm="1">
        <f t="array" ref="S101">numeng*InterpolateXY($D$6,$Q101,Tmax_h,Tmax_M,Tmax_table)</f>
        <v>6720.1233523434767</v>
      </c>
      <c r="T101" s="16">
        <f t="shared" si="27"/>
        <v>5849.0840015817321</v>
      </c>
      <c r="U101" s="55">
        <f t="shared" si="28"/>
        <v>-2156.7085332611405</v>
      </c>
      <c r="V101" s="426">
        <f t="shared" si="29"/>
        <v>871.03935076174457</v>
      </c>
    </row>
    <row r="102" spans="2:22">
      <c r="B102" s="120">
        <f t="shared" si="30"/>
        <v>10000</v>
      </c>
      <c r="C102" s="7">
        <v>1.01</v>
      </c>
      <c r="D102" s="7">
        <f t="shared" ref="D102:D121" si="32">C102*H$6</f>
        <v>1088.1609795549675</v>
      </c>
      <c r="E102" s="11">
        <f t="shared" ref="E102:E121" si="33">D$5/(H$5*C102*C102*_xlfn.SINGLE(S))</f>
        <v>5.6604189232345718E-2</v>
      </c>
      <c r="F102" s="19">
        <f t="shared" ref="F102:F121" si="34">InterpolateXY(E102,C102,CD_CL,CD_M,CD_table)</f>
        <v>3.4769816973559908E-2</v>
      </c>
      <c r="G102" s="16">
        <f t="shared" ref="G102:G121" si="35">F102*$H$5*C102*C102*_xlfn.SINGLE(S)</f>
        <v>6142.6225594078751</v>
      </c>
      <c r="H102" s="12"/>
      <c r="I102" s="12"/>
      <c r="J102" s="141"/>
      <c r="K102" s="267"/>
      <c r="L102" s="11"/>
      <c r="M102" s="425" t="e" cm="1">
        <f t="array" ref="M102">($D$5/G102)*(C102*Linterp($D$6,atmos_h,atmos_vela)/L102)</f>
        <v>#DIV/0!</v>
      </c>
      <c r="N102" s="55" t="e">
        <f t="shared" si="24"/>
        <v>#DIV/0!</v>
      </c>
      <c r="O102" s="426" t="e">
        <f t="shared" si="25"/>
        <v>#DIV/0!</v>
      </c>
      <c r="P102" s="12"/>
      <c r="Q102" s="7">
        <f t="shared" si="26"/>
        <v>1.01</v>
      </c>
      <c r="R102" s="314" t="e" cm="1">
        <f t="array" ref="R102">numeng*InterpolateXY($D$6,$Q102,Tmil_h,Tmil_M,Tmil_table)</f>
        <v>#VALUE!</v>
      </c>
      <c r="S102" s="12" cm="1">
        <f t="array" ref="S102">numeng*InterpolateXY($D$6,$Q102,Tmax_h,Tmax_M,Tmax_table)</f>
        <v>6746.7084557153848</v>
      </c>
      <c r="T102" s="16">
        <f t="shared" si="27"/>
        <v>6142.6225594078751</v>
      </c>
      <c r="U102" s="55" t="e">
        <f t="shared" si="28"/>
        <v>#VALUE!</v>
      </c>
      <c r="V102" s="426">
        <f t="shared" si="29"/>
        <v>604.08589630750976</v>
      </c>
    </row>
    <row r="103" spans="2:22">
      <c r="B103" s="120">
        <f t="shared" si="30"/>
        <v>10000</v>
      </c>
      <c r="C103" s="7">
        <v>1.02</v>
      </c>
      <c r="D103" s="7">
        <f t="shared" si="32"/>
        <v>1098.9348506396702</v>
      </c>
      <c r="E103" s="11">
        <f t="shared" si="33"/>
        <v>5.5499743786924113E-2</v>
      </c>
      <c r="F103" s="19">
        <f t="shared" si="34"/>
        <v>3.5765896464259553E-2</v>
      </c>
      <c r="G103" s="16">
        <f t="shared" si="35"/>
        <v>6444.335419199916</v>
      </c>
      <c r="H103" s="12"/>
      <c r="I103" s="12"/>
      <c r="J103" s="141"/>
      <c r="K103" s="267"/>
      <c r="L103" s="11"/>
      <c r="M103" s="425" t="e" cm="1">
        <f t="array" ref="M103">($D$5/G103)*(C103*Linterp($D$6,atmos_h,atmos_vela)/L103)</f>
        <v>#DIV/0!</v>
      </c>
      <c r="N103" s="55" t="e">
        <f t="shared" si="24"/>
        <v>#DIV/0!</v>
      </c>
      <c r="O103" s="426" t="e">
        <f t="shared" si="25"/>
        <v>#DIV/0!</v>
      </c>
      <c r="P103" s="12"/>
      <c r="Q103" s="7">
        <f t="shared" si="26"/>
        <v>1.02</v>
      </c>
      <c r="R103" s="314" t="e" cm="1">
        <f t="array" ref="R103">numeng*InterpolateXY($D$6,$Q103,Tmil_h,Tmil_M,Tmil_table)</f>
        <v>#VALUE!</v>
      </c>
      <c r="S103" s="12" cm="1">
        <f t="array" ref="S103">numeng*InterpolateXY($D$6,$Q103,Tmax_h,Tmax_M,Tmax_table)</f>
        <v>6773.293559087293</v>
      </c>
      <c r="T103" s="16">
        <f t="shared" si="27"/>
        <v>6444.335419199916</v>
      </c>
      <c r="U103" s="55" t="e">
        <f t="shared" si="28"/>
        <v>#VALUE!</v>
      </c>
      <c r="V103" s="426">
        <f t="shared" si="29"/>
        <v>328.958139887377</v>
      </c>
    </row>
    <row r="104" spans="2:22">
      <c r="B104" s="120">
        <f t="shared" si="30"/>
        <v>10000</v>
      </c>
      <c r="C104" s="7">
        <v>1.03</v>
      </c>
      <c r="D104" s="7">
        <f t="shared" si="32"/>
        <v>1109.7087217243727</v>
      </c>
      <c r="E104" s="11">
        <f t="shared" si="33"/>
        <v>5.4427310242167834E-2</v>
      </c>
      <c r="F104" s="19">
        <f t="shared" si="34"/>
        <v>3.651470370890246E-2</v>
      </c>
      <c r="G104" s="16">
        <f t="shared" si="35"/>
        <v>6708.8936687178975</v>
      </c>
      <c r="H104" s="12"/>
      <c r="I104" s="12"/>
      <c r="J104" s="141"/>
      <c r="K104" s="267"/>
      <c r="L104" s="11"/>
      <c r="M104" s="425" t="e" cm="1">
        <f t="array" ref="M104">($D$5/G104)*(C104*Linterp($D$6,atmos_h,atmos_vela)/L104)</f>
        <v>#DIV/0!</v>
      </c>
      <c r="N104" s="55" t="e">
        <f t="shared" si="24"/>
        <v>#DIV/0!</v>
      </c>
      <c r="O104" s="426" t="e">
        <f t="shared" si="25"/>
        <v>#DIV/0!</v>
      </c>
      <c r="P104" s="12"/>
      <c r="Q104" s="7">
        <f t="shared" si="26"/>
        <v>1.03</v>
      </c>
      <c r="R104" s="314" t="e" cm="1">
        <f t="array" ref="R104">numeng*InterpolateXY($D$6,$Q104,Tmil_h,Tmil_M,Tmil_table)</f>
        <v>#VALUE!</v>
      </c>
      <c r="S104" s="12" cm="1">
        <f t="array" ref="S104">numeng*InterpolateXY($D$6,$Q104,Tmax_h,Tmax_M,Tmax_table)</f>
        <v>6799.8786624592012</v>
      </c>
      <c r="T104" s="16">
        <f t="shared" si="27"/>
        <v>6708.8936687178975</v>
      </c>
      <c r="U104" s="55" t="e">
        <f t="shared" si="28"/>
        <v>#VALUE!</v>
      </c>
      <c r="V104" s="426">
        <f t="shared" si="29"/>
        <v>90.984993741303697</v>
      </c>
    </row>
    <row r="105" spans="2:22">
      <c r="B105" s="120">
        <f t="shared" si="30"/>
        <v>10000</v>
      </c>
      <c r="C105" s="7">
        <v>1.04</v>
      </c>
      <c r="D105" s="7">
        <f t="shared" si="32"/>
        <v>1120.4825928090754</v>
      </c>
      <c r="E105" s="11">
        <f t="shared" si="33"/>
        <v>5.3385663309833437E-2</v>
      </c>
      <c r="F105" s="19">
        <f t="shared" si="34"/>
        <v>3.7263414985330617E-2</v>
      </c>
      <c r="G105" s="16">
        <f t="shared" si="35"/>
        <v>6980.0415832740682</v>
      </c>
      <c r="H105" s="12"/>
      <c r="I105" s="12"/>
      <c r="J105" s="141"/>
      <c r="K105" s="267"/>
      <c r="L105" s="11"/>
      <c r="M105" s="425" t="e" cm="1">
        <f t="array" ref="M105">($D$5/G105)*(C105*Linterp($D$6,atmos_h,atmos_vela)/L105)</f>
        <v>#DIV/0!</v>
      </c>
      <c r="N105" s="55" t="e">
        <f t="shared" si="24"/>
        <v>#DIV/0!</v>
      </c>
      <c r="O105" s="426" t="e">
        <f t="shared" si="25"/>
        <v>#DIV/0!</v>
      </c>
      <c r="P105" s="12"/>
      <c r="Q105" s="7">
        <f t="shared" si="26"/>
        <v>1.04</v>
      </c>
      <c r="R105" s="314" t="e" cm="1">
        <f t="array" ref="R105">numeng*InterpolateXY($D$6,$Q105,Tmil_h,Tmil_M,Tmil_table)</f>
        <v>#VALUE!</v>
      </c>
      <c r="S105" s="12" cm="1">
        <f t="array" ref="S105">numeng*InterpolateXY($D$6,$Q105,Tmax_h,Tmax_M,Tmax_table)</f>
        <v>6826.4637658311094</v>
      </c>
      <c r="T105" s="16">
        <f t="shared" si="27"/>
        <v>6980.0415832740682</v>
      </c>
      <c r="U105" s="55" t="e">
        <f t="shared" si="28"/>
        <v>#VALUE!</v>
      </c>
      <c r="V105" s="426">
        <f t="shared" si="29"/>
        <v>-153.5778174429588</v>
      </c>
    </row>
    <row r="106" spans="2:22">
      <c r="B106" s="120">
        <f t="shared" si="30"/>
        <v>10000</v>
      </c>
      <c r="C106" s="7">
        <v>1.05</v>
      </c>
      <c r="D106" s="7">
        <f t="shared" si="32"/>
        <v>1131.2564638937781</v>
      </c>
      <c r="E106" s="11">
        <f t="shared" si="33"/>
        <v>5.2373635769538192E-2</v>
      </c>
      <c r="F106" s="19">
        <f t="shared" si="34"/>
        <v>3.7767273764023737E-2</v>
      </c>
      <c r="G106" s="16">
        <f t="shared" si="35"/>
        <v>7211.1231555916002</v>
      </c>
      <c r="H106" s="12"/>
      <c r="I106" s="12"/>
      <c r="J106" s="141"/>
      <c r="K106" s="267"/>
      <c r="L106" s="11"/>
      <c r="M106" s="425" t="e" cm="1">
        <f t="array" ref="M106">($D$5/G106)*(C106*Linterp($D$6,atmos_h,atmos_vela)/L106)</f>
        <v>#DIV/0!</v>
      </c>
      <c r="N106" s="55" t="e">
        <f t="shared" si="24"/>
        <v>#DIV/0!</v>
      </c>
      <c r="O106" s="426" t="e">
        <f t="shared" si="25"/>
        <v>#DIV/0!</v>
      </c>
      <c r="P106" s="12"/>
      <c r="Q106" s="7">
        <f t="shared" si="26"/>
        <v>1.05</v>
      </c>
      <c r="R106" s="314" t="e" cm="1">
        <f t="array" ref="R106">numeng*InterpolateXY($D$6,$Q106,Tmil_h,Tmil_M,Tmil_table)</f>
        <v>#VALUE!</v>
      </c>
      <c r="S106" s="12" cm="1">
        <f t="array" ref="S106">numeng*InterpolateXY($D$6,$Q106,Tmax_h,Tmax_M,Tmax_table)</f>
        <v>6853.0488692030176</v>
      </c>
      <c r="T106" s="16">
        <f t="shared" si="27"/>
        <v>7211.1231555916002</v>
      </c>
      <c r="U106" s="55" t="e">
        <f t="shared" si="28"/>
        <v>#VALUE!</v>
      </c>
      <c r="V106" s="426">
        <f t="shared" si="29"/>
        <v>-358.07428638858255</v>
      </c>
    </row>
    <row r="107" spans="2:22">
      <c r="B107" s="120">
        <f t="shared" si="30"/>
        <v>10000</v>
      </c>
      <c r="C107" s="7">
        <v>1.06</v>
      </c>
      <c r="D107" s="7">
        <f t="shared" si="32"/>
        <v>1142.0303349784808</v>
      </c>
      <c r="E107" s="11">
        <f t="shared" si="33"/>
        <v>5.1390115197504305E-2</v>
      </c>
      <c r="F107" s="19">
        <f t="shared" si="34"/>
        <v>3.8270851727962567E-2</v>
      </c>
      <c r="G107" s="16">
        <f t="shared" si="35"/>
        <v>7447.1231638377667</v>
      </c>
      <c r="H107" s="12"/>
      <c r="I107" s="12"/>
      <c r="J107" s="141"/>
      <c r="K107" s="267"/>
      <c r="L107" s="11"/>
      <c r="M107" s="425" t="e" cm="1">
        <f t="array" ref="M107">($D$5/G107)*(C107*Linterp($D$6,atmos_h,atmos_vela)/L107)</f>
        <v>#DIV/0!</v>
      </c>
      <c r="N107" s="55" t="e">
        <f t="shared" si="24"/>
        <v>#DIV/0!</v>
      </c>
      <c r="O107" s="426" t="e">
        <f t="shared" si="25"/>
        <v>#DIV/0!</v>
      </c>
      <c r="P107" s="12"/>
      <c r="Q107" s="7">
        <f t="shared" si="26"/>
        <v>1.06</v>
      </c>
      <c r="R107" s="314" t="e" cm="1">
        <f t="array" ref="R107">numeng*InterpolateXY($D$6,$Q107,Tmil_h,Tmil_M,Tmil_table)</f>
        <v>#VALUE!</v>
      </c>
      <c r="S107" s="12" cm="1">
        <f t="array" ref="S107">numeng*InterpolateXY($D$6,$Q107,Tmax_h,Tmax_M,Tmax_table)</f>
        <v>6879.6339725749267</v>
      </c>
      <c r="T107" s="16">
        <f t="shared" si="27"/>
        <v>7447.1231638377667</v>
      </c>
      <c r="U107" s="55" t="e">
        <f t="shared" si="28"/>
        <v>#VALUE!</v>
      </c>
      <c r="V107" s="426">
        <f t="shared" si="29"/>
        <v>-567.48919126284</v>
      </c>
    </row>
    <row r="108" spans="2:22">
      <c r="B108" s="120">
        <f t="shared" si="30"/>
        <v>10000</v>
      </c>
      <c r="C108" s="7">
        <v>1.07</v>
      </c>
      <c r="D108" s="7">
        <f t="shared" si="32"/>
        <v>1152.8042060631835</v>
      </c>
      <c r="E108" s="11">
        <f t="shared" si="33"/>
        <v>5.043404090830278E-2</v>
      </c>
      <c r="F108" s="19">
        <f t="shared" si="34"/>
        <v>3.8776684229987861E-2</v>
      </c>
      <c r="G108" s="16">
        <f t="shared" si="35"/>
        <v>7688.5935633216695</v>
      </c>
      <c r="H108" s="12"/>
      <c r="I108" s="12"/>
      <c r="J108" s="141"/>
      <c r="K108" s="267"/>
      <c r="L108" s="11"/>
      <c r="M108" s="425" t="e" cm="1">
        <f t="array" ref="M108">($D$5/G108)*(C108*Linterp($D$6,atmos_h,atmos_vela)/L108)</f>
        <v>#DIV/0!</v>
      </c>
      <c r="N108" s="55" t="e">
        <f t="shared" si="24"/>
        <v>#DIV/0!</v>
      </c>
      <c r="O108" s="426" t="e">
        <f t="shared" si="25"/>
        <v>#DIV/0!</v>
      </c>
      <c r="P108" s="12"/>
      <c r="Q108" s="7">
        <f t="shared" si="26"/>
        <v>1.07</v>
      </c>
      <c r="R108" s="314" t="e" cm="1">
        <f t="array" ref="R108">numeng*InterpolateXY($D$6,$Q108,Tmil_h,Tmil_M,Tmil_table)</f>
        <v>#VALUE!</v>
      </c>
      <c r="S108" s="12" cm="1">
        <f t="array" ref="S108">numeng*InterpolateXY($D$6,$Q108,Tmax_h,Tmax_M,Tmax_table)</f>
        <v>6906.2190759468349</v>
      </c>
      <c r="T108" s="16">
        <f t="shared" si="27"/>
        <v>7688.5935633216695</v>
      </c>
      <c r="U108" s="55" t="e">
        <f t="shared" si="28"/>
        <v>#VALUE!</v>
      </c>
      <c r="V108" s="426">
        <f t="shared" si="29"/>
        <v>-782.37448737483464</v>
      </c>
    </row>
    <row r="109" spans="2:22">
      <c r="B109" s="120">
        <f t="shared" si="30"/>
        <v>10000</v>
      </c>
      <c r="C109" s="7">
        <v>1.08</v>
      </c>
      <c r="D109" s="7">
        <f t="shared" si="32"/>
        <v>1163.578077147886</v>
      </c>
      <c r="E109" s="11">
        <f t="shared" si="33"/>
        <v>4.9504401093892196E-2</v>
      </c>
      <c r="F109" s="19">
        <f t="shared" si="34"/>
        <v>3.9282169537283494E-2</v>
      </c>
      <c r="G109" s="16">
        <f t="shared" si="35"/>
        <v>7935.0863093524204</v>
      </c>
      <c r="H109" s="12"/>
      <c r="I109" s="12"/>
      <c r="J109" s="141"/>
      <c r="K109" s="267"/>
      <c r="L109" s="11"/>
      <c r="M109" s="425" t="e" cm="1">
        <f t="array" ref="M109">($D$5/G109)*(C109*Linterp($D$6,atmos_h,atmos_vela)/L109)</f>
        <v>#DIV/0!</v>
      </c>
      <c r="N109" s="55" t="e">
        <f t="shared" si="24"/>
        <v>#DIV/0!</v>
      </c>
      <c r="O109" s="426" t="e">
        <f t="shared" si="25"/>
        <v>#DIV/0!</v>
      </c>
      <c r="P109" s="12"/>
      <c r="Q109" s="7">
        <f t="shared" si="26"/>
        <v>1.08</v>
      </c>
      <c r="R109" s="314" t="e" cm="1">
        <f t="array" ref="R109">numeng*InterpolateXY($D$6,$Q109,Tmil_h,Tmil_M,Tmil_table)</f>
        <v>#VALUE!</v>
      </c>
      <c r="S109" s="12" cm="1">
        <f t="array" ref="S109">numeng*InterpolateXY($D$6,$Q109,Tmax_h,Tmax_M,Tmax_table)</f>
        <v>6932.8041793187431</v>
      </c>
      <c r="T109" s="16">
        <f t="shared" si="27"/>
        <v>7935.0863093524204</v>
      </c>
      <c r="U109" s="55" t="e">
        <f t="shared" si="28"/>
        <v>#VALUE!</v>
      </c>
      <c r="V109" s="426">
        <f t="shared" si="29"/>
        <v>-1002.2821300336773</v>
      </c>
    </row>
    <row r="110" spans="2:22">
      <c r="B110" s="120">
        <f t="shared" si="30"/>
        <v>10000</v>
      </c>
      <c r="C110" s="7">
        <v>1.0900000000000001</v>
      </c>
      <c r="D110" s="7">
        <f t="shared" si="32"/>
        <v>1174.3519482325887</v>
      </c>
      <c r="E110" s="11">
        <f t="shared" si="33"/>
        <v>4.8600230145539811E-2</v>
      </c>
      <c r="F110" s="19">
        <f t="shared" si="34"/>
        <v>3.9687323728357746E-2</v>
      </c>
      <c r="G110" s="16">
        <f t="shared" si="35"/>
        <v>8166.0773229897895</v>
      </c>
      <c r="H110" s="12"/>
      <c r="I110" s="12"/>
      <c r="J110" s="141"/>
      <c r="K110" s="267"/>
      <c r="L110" s="11"/>
      <c r="M110" s="425" t="e" cm="1">
        <f t="array" ref="M110">($D$5/G110)*(C110*Linterp($D$6,atmos_h,atmos_vela)/L110)</f>
        <v>#DIV/0!</v>
      </c>
      <c r="N110" s="55" t="e">
        <f t="shared" si="24"/>
        <v>#DIV/0!</v>
      </c>
      <c r="O110" s="426" t="e">
        <f t="shared" si="25"/>
        <v>#DIV/0!</v>
      </c>
      <c r="P110" s="12"/>
      <c r="Q110" s="7">
        <f t="shared" si="26"/>
        <v>1.0900000000000001</v>
      </c>
      <c r="R110" s="314" t="e" cm="1">
        <f t="array" ref="R110">numeng*InterpolateXY($D$6,$Q110,Tmil_h,Tmil_M,Tmil_table)</f>
        <v>#VALUE!</v>
      </c>
      <c r="S110" s="12" cm="1">
        <f t="array" ref="S110">numeng*InterpolateXY($D$6,$Q110,Tmax_h,Tmax_M,Tmax_table)</f>
        <v>6959.3892826906513</v>
      </c>
      <c r="T110" s="16">
        <f t="shared" si="27"/>
        <v>8166.0773229897895</v>
      </c>
      <c r="U110" s="55" t="e">
        <f t="shared" si="28"/>
        <v>#VALUE!</v>
      </c>
      <c r="V110" s="426">
        <f t="shared" si="29"/>
        <v>-1206.6880402991383</v>
      </c>
    </row>
    <row r="111" spans="2:22">
      <c r="B111" s="120">
        <f t="shared" si="30"/>
        <v>10000</v>
      </c>
      <c r="C111" s="7">
        <v>1.1000000000000001</v>
      </c>
      <c r="D111" s="7">
        <f t="shared" si="32"/>
        <v>1185.1258193172914</v>
      </c>
      <c r="E111" s="11">
        <f t="shared" si="33"/>
        <v>4.7720606145384994E-2</v>
      </c>
      <c r="F111" s="19">
        <f t="shared" si="34"/>
        <v>4.0092162062013395E-2</v>
      </c>
      <c r="G111" s="16">
        <f t="shared" si="35"/>
        <v>8401.4360462792774</v>
      </c>
      <c r="H111" s="12"/>
      <c r="I111" s="12"/>
      <c r="J111" s="141"/>
      <c r="K111" s="267"/>
      <c r="L111" s="11"/>
      <c r="M111" s="425" t="e" cm="1">
        <f t="array" ref="M111">($D$5/G111)*(C111*Linterp($D$6,atmos_h,atmos_vela)/L111)</f>
        <v>#DIV/0!</v>
      </c>
      <c r="N111" s="55" t="e">
        <f t="shared" si="24"/>
        <v>#DIV/0!</v>
      </c>
      <c r="O111" s="426" t="e">
        <f t="shared" si="25"/>
        <v>#DIV/0!</v>
      </c>
      <c r="P111" s="12"/>
      <c r="Q111" s="7">
        <f t="shared" si="26"/>
        <v>1.1000000000000001</v>
      </c>
      <c r="R111" s="314" t="e" cm="1">
        <f t="array" ref="R111">numeng*InterpolateXY($D$6,$Q111,Tmil_h,Tmil_M,Tmil_table)</f>
        <v>#VALUE!</v>
      </c>
      <c r="S111" s="12" cm="1">
        <f t="array" ref="S111">numeng*InterpolateXY($D$6,$Q111,Tmax_h,Tmax_M,Tmax_table)</f>
        <v>6985.9743860625595</v>
      </c>
      <c r="T111" s="16">
        <f t="shared" si="27"/>
        <v>8401.4360462792774</v>
      </c>
      <c r="U111" s="55" t="e">
        <f t="shared" si="28"/>
        <v>#VALUE!</v>
      </c>
      <c r="V111" s="426">
        <f t="shared" si="29"/>
        <v>-1415.461660216718</v>
      </c>
    </row>
    <row r="112" spans="2:22">
      <c r="B112" s="120">
        <f t="shared" si="30"/>
        <v>10000</v>
      </c>
      <c r="C112" s="7">
        <v>1.1100000000000001</v>
      </c>
      <c r="D112" s="7">
        <f t="shared" si="32"/>
        <v>1195.8996904019941</v>
      </c>
      <c r="E112" s="11">
        <f t="shared" si="33"/>
        <v>4.6864648515474269E-2</v>
      </c>
      <c r="F112" s="19">
        <f t="shared" si="34"/>
        <v>4.0395761731792754E-2</v>
      </c>
      <c r="G112" s="16">
        <f t="shared" si="35"/>
        <v>8619.6659980186232</v>
      </c>
      <c r="H112" s="12"/>
      <c r="I112" s="12"/>
      <c r="J112" s="141"/>
      <c r="K112" s="267"/>
      <c r="L112" s="11"/>
      <c r="M112" s="425" t="e" cm="1">
        <f t="array" ref="M112">($D$5/G112)*(C112*Linterp($D$6,atmos_h,atmos_vela)/L112)</f>
        <v>#DIV/0!</v>
      </c>
      <c r="N112" s="55" t="e">
        <f t="shared" si="24"/>
        <v>#DIV/0!</v>
      </c>
      <c r="O112" s="426" t="e">
        <f t="shared" si="25"/>
        <v>#DIV/0!</v>
      </c>
      <c r="P112" s="12"/>
      <c r="Q112" s="7">
        <f t="shared" si="26"/>
        <v>1.1100000000000001</v>
      </c>
      <c r="R112" s="314" t="e" cm="1">
        <f t="array" ref="R112">numeng*InterpolateXY($D$6,$Q112,Tmil_h,Tmil_M,Tmil_table)</f>
        <v>#VALUE!</v>
      </c>
      <c r="S112" s="12" cm="1">
        <f t="array" ref="S112">numeng*InterpolateXY($D$6,$Q112,Tmax_h,Tmax_M,Tmax_table)</f>
        <v>7012.5594894344677</v>
      </c>
      <c r="T112" s="16">
        <f t="shared" si="27"/>
        <v>8619.6659980186232</v>
      </c>
      <c r="U112" s="55" t="e">
        <f t="shared" si="28"/>
        <v>#VALUE!</v>
      </c>
      <c r="V112" s="426">
        <f t="shared" si="29"/>
        <v>-1607.1065085841556</v>
      </c>
    </row>
    <row r="113" spans="2:22">
      <c r="B113" s="120">
        <f t="shared" si="30"/>
        <v>10000</v>
      </c>
      <c r="C113" s="7">
        <v>1.1200000000000001</v>
      </c>
      <c r="D113" s="7">
        <f t="shared" si="32"/>
        <v>1206.6735614866968</v>
      </c>
      <c r="E113" s="11">
        <f t="shared" si="33"/>
        <v>4.6031515813070668E-2</v>
      </c>
      <c r="F113" s="19">
        <f t="shared" si="34"/>
        <v>4.069910711451491E-2</v>
      </c>
      <c r="G113" s="16">
        <f t="shared" si="35"/>
        <v>8841.5743856426252</v>
      </c>
      <c r="H113" s="12"/>
      <c r="I113" s="12"/>
      <c r="J113" s="141"/>
      <c r="K113" s="267"/>
      <c r="L113" s="11"/>
      <c r="M113" s="425" t="e" cm="1">
        <f t="array" ref="M113">($D$5/G113)*(C113*Linterp($D$6,atmos_h,atmos_vela)/L113)</f>
        <v>#DIV/0!</v>
      </c>
      <c r="N113" s="55" t="e">
        <f t="shared" si="24"/>
        <v>#DIV/0!</v>
      </c>
      <c r="O113" s="426" t="e">
        <f t="shared" si="25"/>
        <v>#DIV/0!</v>
      </c>
      <c r="P113" s="12"/>
      <c r="Q113" s="7">
        <f t="shared" si="26"/>
        <v>1.1200000000000001</v>
      </c>
      <c r="R113" s="314" t="e" cm="1">
        <f t="array" ref="R113">numeng*InterpolateXY($D$6,$Q113,Tmil_h,Tmil_M,Tmil_table)</f>
        <v>#VALUE!</v>
      </c>
      <c r="S113" s="12" cm="1">
        <f t="array" ref="S113">numeng*InterpolateXY($D$6,$Q113,Tmax_h,Tmax_M,Tmax_table)</f>
        <v>7039.1445928063758</v>
      </c>
      <c r="T113" s="16">
        <f t="shared" si="27"/>
        <v>8841.5743856426252</v>
      </c>
      <c r="U113" s="55" t="e">
        <f t="shared" si="28"/>
        <v>#VALUE!</v>
      </c>
      <c r="V113" s="426">
        <f t="shared" si="29"/>
        <v>-1802.4297928362494</v>
      </c>
    </row>
    <row r="114" spans="2:22">
      <c r="B114" s="120">
        <f t="shared" si="30"/>
        <v>10000</v>
      </c>
      <c r="C114" s="7">
        <v>1.1299999999999999</v>
      </c>
      <c r="D114" s="7">
        <f t="shared" si="32"/>
        <v>1217.4474325713991</v>
      </c>
      <c r="E114" s="11">
        <f t="shared" si="33"/>
        <v>4.5220403661928005E-2</v>
      </c>
      <c r="F114" s="19">
        <f t="shared" si="34"/>
        <v>4.1002209960962599E-2</v>
      </c>
      <c r="G114" s="16">
        <f t="shared" si="35"/>
        <v>9067.1923823367397</v>
      </c>
      <c r="H114" s="12"/>
      <c r="I114" s="12"/>
      <c r="J114" s="141"/>
      <c r="K114" s="267"/>
      <c r="L114" s="11"/>
      <c r="M114" s="425" t="e" cm="1">
        <f t="array" ref="M114">($D$5/G114)*(C114*Linterp($D$6,atmos_h,atmos_vela)/L114)</f>
        <v>#DIV/0!</v>
      </c>
      <c r="N114" s="55" t="e">
        <f t="shared" si="24"/>
        <v>#DIV/0!</v>
      </c>
      <c r="O114" s="426" t="e">
        <f t="shared" si="25"/>
        <v>#DIV/0!</v>
      </c>
      <c r="P114" s="12"/>
      <c r="Q114" s="7">
        <f t="shared" si="26"/>
        <v>1.1299999999999999</v>
      </c>
      <c r="R114" s="314" t="e" cm="1">
        <f t="array" ref="R114">numeng*InterpolateXY($D$6,$Q114,Tmil_h,Tmil_M,Tmil_table)</f>
        <v>#VALUE!</v>
      </c>
      <c r="S114" s="12" cm="1">
        <f t="array" ref="S114">numeng*InterpolateXY($D$6,$Q114,Tmax_h,Tmax_M,Tmax_table)</f>
        <v>7065.729696178284</v>
      </c>
      <c r="T114" s="16">
        <f t="shared" si="27"/>
        <v>9067.1923823367397</v>
      </c>
      <c r="U114" s="55" t="e">
        <f t="shared" si="28"/>
        <v>#VALUE!</v>
      </c>
      <c r="V114" s="426">
        <f t="shared" si="29"/>
        <v>-2001.4626861584557</v>
      </c>
    </row>
    <row r="115" spans="2:22">
      <c r="B115" s="120">
        <f t="shared" si="30"/>
        <v>10000</v>
      </c>
      <c r="C115" s="7">
        <v>1.1399999999999999</v>
      </c>
      <c r="D115" s="7">
        <f t="shared" si="32"/>
        <v>1228.2213036561018</v>
      </c>
      <c r="E115" s="11">
        <f t="shared" si="33"/>
        <v>4.4430542810030678E-2</v>
      </c>
      <c r="F115" s="19">
        <f t="shared" si="34"/>
        <v>4.1305081435717761E-2</v>
      </c>
      <c r="G115" s="16">
        <f t="shared" si="35"/>
        <v>9296.5511612864393</v>
      </c>
      <c r="H115" s="12"/>
      <c r="I115" s="12"/>
      <c r="J115" s="141"/>
      <c r="K115" s="267"/>
      <c r="L115" s="11"/>
      <c r="M115" s="425" t="e" cm="1">
        <f t="array" ref="M115">($D$5/G115)*(C115*Linterp($D$6,atmos_h,atmos_vela)/L115)</f>
        <v>#DIV/0!</v>
      </c>
      <c r="N115" s="55" t="e">
        <f t="shared" si="24"/>
        <v>#DIV/0!</v>
      </c>
      <c r="O115" s="426" t="e">
        <f t="shared" si="25"/>
        <v>#DIV/0!</v>
      </c>
      <c r="P115" s="12"/>
      <c r="Q115" s="7">
        <f t="shared" si="26"/>
        <v>1.1399999999999999</v>
      </c>
      <c r="R115" s="314" t="e" cm="1">
        <f t="array" ref="R115">numeng*InterpolateXY($D$6,$Q115,Tmil_h,Tmil_M,Tmil_table)</f>
        <v>#VALUE!</v>
      </c>
      <c r="S115" s="12" cm="1">
        <f t="array" ref="S115">numeng*InterpolateXY($D$6,$Q115,Tmax_h,Tmax_M,Tmax_table)</f>
        <v>7092.3147995501922</v>
      </c>
      <c r="T115" s="16">
        <f t="shared" si="27"/>
        <v>9296.5511612864393</v>
      </c>
      <c r="U115" s="55" t="e">
        <f t="shared" si="28"/>
        <v>#VALUE!</v>
      </c>
      <c r="V115" s="426">
        <f t="shared" si="29"/>
        <v>-2204.2363617362471</v>
      </c>
    </row>
    <row r="116" spans="2:22">
      <c r="B116" s="120">
        <f t="shared" si="30"/>
        <v>10000</v>
      </c>
      <c r="C116" s="7">
        <v>1.1499999999999999</v>
      </c>
      <c r="D116" s="7">
        <f t="shared" si="32"/>
        <v>1238.9951747408045</v>
      </c>
      <c r="E116" s="11">
        <f t="shared" si="33"/>
        <v>4.366119730504036E-2</v>
      </c>
      <c r="F116" s="19">
        <f t="shared" si="34"/>
        <v>4.1607732150143246E-2</v>
      </c>
      <c r="G116" s="16">
        <f t="shared" si="35"/>
        <v>9529.6818956771822</v>
      </c>
      <c r="H116" s="12"/>
      <c r="I116" s="12"/>
      <c r="J116" s="141"/>
      <c r="K116" s="267"/>
      <c r="L116" s="11"/>
      <c r="M116" s="425" t="e" cm="1">
        <f t="array" ref="M116">($D$5/G116)*(C116*Linterp($D$6,atmos_h,atmos_vela)/L116)</f>
        <v>#DIV/0!</v>
      </c>
      <c r="N116" s="55" t="e">
        <f t="shared" si="24"/>
        <v>#DIV/0!</v>
      </c>
      <c r="O116" s="426" t="e">
        <f t="shared" si="25"/>
        <v>#DIV/0!</v>
      </c>
      <c r="P116" s="12"/>
      <c r="Q116" s="7">
        <f t="shared" si="26"/>
        <v>1.1499999999999999</v>
      </c>
      <c r="R116" s="314" t="e" cm="1">
        <f t="array" ref="R116">numeng*InterpolateXY($D$6,$Q116,Tmil_h,Tmil_M,Tmil_table)</f>
        <v>#VALUE!</v>
      </c>
      <c r="S116" s="12" cm="1">
        <f t="array" ref="S116">numeng*InterpolateXY($D$6,$Q116,Tmax_h,Tmax_M,Tmax_table)</f>
        <v>7118.8999029221004</v>
      </c>
      <c r="T116" s="16">
        <f t="shared" si="27"/>
        <v>9529.6818956771822</v>
      </c>
      <c r="U116" s="55" t="e">
        <f t="shared" si="28"/>
        <v>#VALUE!</v>
      </c>
      <c r="V116" s="426">
        <f t="shared" si="29"/>
        <v>-2410.7819927550818</v>
      </c>
    </row>
    <row r="117" spans="2:22">
      <c r="B117" s="120">
        <f t="shared" si="30"/>
        <v>10000</v>
      </c>
      <c r="C117" s="7">
        <v>1.1599999999999999</v>
      </c>
      <c r="D117" s="7">
        <f t="shared" si="32"/>
        <v>1249.7690458255072</v>
      </c>
      <c r="E117" s="11">
        <f t="shared" si="33"/>
        <v>4.2911662779366727E-2</v>
      </c>
      <c r="F117" s="19">
        <f t="shared" si="34"/>
        <v>4.1846739260252092E-2</v>
      </c>
      <c r="G117" s="16">
        <f t="shared" si="35"/>
        <v>9751.8335459080172</v>
      </c>
      <c r="H117" s="12"/>
      <c r="I117" s="12"/>
      <c r="J117" s="141"/>
      <c r="K117" s="267"/>
      <c r="L117" s="11"/>
      <c r="M117" s="425" t="e" cm="1">
        <f t="array" ref="M117">($D$5/G117)*(C117*Linterp($D$6,atmos_h,atmos_vela)/L117)</f>
        <v>#DIV/0!</v>
      </c>
      <c r="N117" s="55" t="e">
        <f t="shared" si="24"/>
        <v>#DIV/0!</v>
      </c>
      <c r="O117" s="426" t="e">
        <f t="shared" si="25"/>
        <v>#DIV/0!</v>
      </c>
      <c r="P117" s="12"/>
      <c r="Q117" s="7">
        <f t="shared" si="26"/>
        <v>1.1599999999999999</v>
      </c>
      <c r="R117" s="314" t="e" cm="1">
        <f t="array" ref="R117">numeng*InterpolateXY($D$6,$Q117,Tmil_h,Tmil_M,Tmil_table)</f>
        <v>#VALUE!</v>
      </c>
      <c r="S117" s="12" cm="1">
        <f t="array" ref="S117">numeng*InterpolateXY($D$6,$Q117,Tmax_h,Tmax_M,Tmax_table)</f>
        <v>7145.4850062940086</v>
      </c>
      <c r="T117" s="16">
        <f t="shared" si="27"/>
        <v>9751.8335459080172</v>
      </c>
      <c r="U117" s="55" t="e">
        <f t="shared" si="28"/>
        <v>#VALUE!</v>
      </c>
      <c r="V117" s="426">
        <f t="shared" si="29"/>
        <v>-2606.3485396140086</v>
      </c>
    </row>
    <row r="118" spans="2:22">
      <c r="B118" s="120">
        <f t="shared" si="30"/>
        <v>10000</v>
      </c>
      <c r="C118" s="7">
        <v>1.17</v>
      </c>
      <c r="D118" s="7">
        <f t="shared" si="32"/>
        <v>1260.5429169102097</v>
      </c>
      <c r="E118" s="11">
        <f t="shared" si="33"/>
        <v>4.2181264837399271E-2</v>
      </c>
      <c r="F118" s="19">
        <f t="shared" si="34"/>
        <v>4.2085662158394328E-2</v>
      </c>
      <c r="G118" s="16">
        <f t="shared" si="35"/>
        <v>9977.3352744699641</v>
      </c>
      <c r="H118" s="12"/>
      <c r="I118" s="12"/>
      <c r="J118" s="141"/>
      <c r="K118" s="267"/>
      <c r="L118" s="11"/>
      <c r="M118" s="425" t="e" cm="1">
        <f t="array" ref="M118">($D$5/G118)*(C118*Linterp($D$6,atmos_h,atmos_vela)/L118)</f>
        <v>#DIV/0!</v>
      </c>
      <c r="N118" s="55" t="e">
        <f t="shared" si="24"/>
        <v>#DIV/0!</v>
      </c>
      <c r="O118" s="426" t="e">
        <f t="shared" si="25"/>
        <v>#DIV/0!</v>
      </c>
      <c r="P118" s="12"/>
      <c r="Q118" s="7">
        <f t="shared" si="26"/>
        <v>1.17</v>
      </c>
      <c r="R118" s="314" t="e" cm="1">
        <f t="array" ref="R118">numeng*InterpolateXY($D$6,$Q118,Tmil_h,Tmil_M,Tmil_table)</f>
        <v>#VALUE!</v>
      </c>
      <c r="S118" s="12" cm="1">
        <f t="array" ref="S118">numeng*InterpolateXY($D$6,$Q118,Tmax_h,Tmax_M,Tmax_table)</f>
        <v>7172.0701096659168</v>
      </c>
      <c r="T118" s="16">
        <f t="shared" si="27"/>
        <v>9977.3352744699641</v>
      </c>
      <c r="U118" s="55" t="e">
        <f t="shared" si="28"/>
        <v>#VALUE!</v>
      </c>
      <c r="V118" s="426">
        <f t="shared" si="29"/>
        <v>-2805.2651648040473</v>
      </c>
    </row>
    <row r="119" spans="2:22">
      <c r="B119" s="120">
        <f t="shared" si="30"/>
        <v>10000</v>
      </c>
      <c r="C119" s="7">
        <v>1.18</v>
      </c>
      <c r="D119" s="7">
        <f t="shared" si="32"/>
        <v>1271.3167879949124</v>
      </c>
      <c r="E119" s="11">
        <f t="shared" si="33"/>
        <v>4.1469357538003349E-2</v>
      </c>
      <c r="F119" s="19">
        <f t="shared" si="34"/>
        <v>4.2324505536237268E-2</v>
      </c>
      <c r="G119" s="16">
        <f t="shared" si="35"/>
        <v>10206.212019911387</v>
      </c>
      <c r="H119" s="12"/>
      <c r="I119" s="12"/>
      <c r="J119" s="141"/>
      <c r="K119" s="267"/>
      <c r="L119" s="11"/>
      <c r="M119" s="425" t="e" cm="1">
        <f t="array" ref="M119">($D$5/G119)*(C119*Linterp($D$6,atmos_h,atmos_vela)/L119)</f>
        <v>#DIV/0!</v>
      </c>
      <c r="N119" s="55" t="e">
        <f t="shared" si="24"/>
        <v>#DIV/0!</v>
      </c>
      <c r="O119" s="426" t="e">
        <f t="shared" si="25"/>
        <v>#DIV/0!</v>
      </c>
      <c r="P119" s="12"/>
      <c r="Q119" s="7">
        <f t="shared" si="26"/>
        <v>1.18</v>
      </c>
      <c r="R119" s="314" t="e" cm="1">
        <f t="array" ref="R119">numeng*InterpolateXY($D$6,$Q119,Tmil_h,Tmil_M,Tmil_table)</f>
        <v>#VALUE!</v>
      </c>
      <c r="S119" s="12" cm="1">
        <f t="array" ref="S119">numeng*InterpolateXY($D$6,$Q119,Tmax_h,Tmax_M,Tmax_table)</f>
        <v>7198.6552130378259</v>
      </c>
      <c r="T119" s="16">
        <f t="shared" si="27"/>
        <v>10206.212019911387</v>
      </c>
      <c r="U119" s="55" t="e">
        <f t="shared" si="28"/>
        <v>#VALUE!</v>
      </c>
      <c r="V119" s="426">
        <f t="shared" si="29"/>
        <v>-3007.5568068735611</v>
      </c>
    </row>
    <row r="120" spans="2:22">
      <c r="B120" s="120">
        <f t="shared" si="30"/>
        <v>10000</v>
      </c>
      <c r="C120" s="7">
        <v>1.19</v>
      </c>
      <c r="D120" s="7">
        <f t="shared" si="32"/>
        <v>1282.0906590796151</v>
      </c>
      <c r="E120" s="11">
        <f t="shared" si="33"/>
        <v>4.0775321965903444E-2</v>
      </c>
      <c r="F120" s="19">
        <f t="shared" si="34"/>
        <v>4.2563273842728302E-2</v>
      </c>
      <c r="G120" s="16">
        <f t="shared" si="35"/>
        <v>10438.488720780662</v>
      </c>
      <c r="H120" s="12"/>
      <c r="I120" s="12"/>
      <c r="J120" s="141"/>
      <c r="K120" s="267"/>
      <c r="L120" s="11"/>
      <c r="M120" s="425" t="e" cm="1">
        <f t="array" ref="M120">($D$5/G120)*(C120*Linterp($D$6,atmos_h,atmos_vela)/L120)</f>
        <v>#DIV/0!</v>
      </c>
      <c r="N120" s="55" t="e">
        <f t="shared" si="24"/>
        <v>#DIV/0!</v>
      </c>
      <c r="O120" s="426" t="e">
        <f t="shared" si="25"/>
        <v>#DIV/0!</v>
      </c>
      <c r="P120" s="12"/>
      <c r="Q120" s="7">
        <f t="shared" si="26"/>
        <v>1.19</v>
      </c>
      <c r="R120" s="314" t="e" cm="1">
        <f t="array" ref="R120">numeng*InterpolateXY($D$6,$Q120,Tmil_h,Tmil_M,Tmil_table)</f>
        <v>#VALUE!</v>
      </c>
      <c r="S120" s="12" cm="1">
        <f t="array" ref="S120">numeng*InterpolateXY($D$6,$Q120,Tmax_h,Tmax_M,Tmax_table)</f>
        <v>7225.2403164097341</v>
      </c>
      <c r="T120" s="16">
        <f t="shared" si="27"/>
        <v>10438.488720780662</v>
      </c>
      <c r="U120" s="55" t="e">
        <f t="shared" si="28"/>
        <v>#VALUE!</v>
      </c>
      <c r="V120" s="426">
        <f t="shared" si="29"/>
        <v>-3213.2484043709283</v>
      </c>
    </row>
    <row r="121" spans="2:22">
      <c r="B121" s="120">
        <f t="shared" si="30"/>
        <v>10000</v>
      </c>
      <c r="C121" s="7">
        <v>1.2</v>
      </c>
      <c r="D121" s="7">
        <f t="shared" si="32"/>
        <v>1292.8645301643178</v>
      </c>
      <c r="E121" s="11">
        <f t="shared" si="33"/>
        <v>4.0098564886052686E-2</v>
      </c>
      <c r="F121" s="19">
        <f t="shared" si="34"/>
        <v>4.2801971297721057E-2</v>
      </c>
      <c r="G121" s="16">
        <f t="shared" si="35"/>
        <v>10674.190315626154</v>
      </c>
      <c r="H121" s="12"/>
      <c r="I121" s="12"/>
      <c r="J121" s="141"/>
      <c r="K121" s="267"/>
      <c r="L121" s="11"/>
      <c r="M121" s="425" t="e" cm="1">
        <f t="array" ref="M121">($D$5/G121)*(C121*Linterp($D$6,atmos_h,atmos_vela)/L121)</f>
        <v>#DIV/0!</v>
      </c>
      <c r="N121" s="55" t="e">
        <f t="shared" si="24"/>
        <v>#DIV/0!</v>
      </c>
      <c r="O121" s="426" t="e">
        <f t="shared" si="25"/>
        <v>#DIV/0!</v>
      </c>
      <c r="P121" s="12"/>
      <c r="Q121" s="7">
        <f t="shared" si="26"/>
        <v>1.2</v>
      </c>
      <c r="R121" s="314" t="e" cm="1">
        <f t="array" ref="R121">numeng*InterpolateXY($D$6,$Q121,Tmil_h,Tmil_M,Tmil_table)</f>
        <v>#VALUE!</v>
      </c>
      <c r="S121" s="12" cm="1">
        <f t="array" ref="S121">numeng*InterpolateXY($D$6,$Q121,Tmax_h,Tmax_M,Tmax_table)</f>
        <v>7251.8254197816423</v>
      </c>
      <c r="T121" s="16">
        <f t="shared" si="27"/>
        <v>10674.190315626154</v>
      </c>
      <c r="U121" s="55" t="e">
        <f t="shared" si="28"/>
        <v>#VALUE!</v>
      </c>
      <c r="V121" s="426">
        <f t="shared" si="29"/>
        <v>-3422.3648958445119</v>
      </c>
    </row>
    <row r="122" spans="2:22">
      <c r="B122" s="120"/>
      <c r="C122" s="7"/>
      <c r="D122" s="7"/>
      <c r="E122" s="11"/>
      <c r="F122" s="19"/>
      <c r="G122" s="16"/>
      <c r="H122" s="12"/>
      <c r="I122" s="12"/>
      <c r="J122" s="141"/>
      <c r="K122" s="267"/>
      <c r="L122" s="121"/>
      <c r="M122" s="12"/>
      <c r="N122" s="12"/>
      <c r="O122" s="12"/>
      <c r="Q122" s="12"/>
      <c r="R122" s="12"/>
      <c r="S122" s="12"/>
      <c r="T122" s="16"/>
      <c r="U122" s="16"/>
      <c r="V122" s="16"/>
    </row>
    <row r="123" spans="2:22" ht="15" thickBot="1">
      <c r="C123" s="7"/>
      <c r="D123" s="7"/>
      <c r="E123" s="11"/>
      <c r="F123" s="19"/>
      <c r="G123" s="16"/>
      <c r="H123" s="12"/>
      <c r="I123" s="12"/>
      <c r="J123" s="141"/>
      <c r="K123" s="11"/>
      <c r="L123" s="121"/>
      <c r="M123" s="11"/>
      <c r="N123" s="12"/>
      <c r="O123" s="12"/>
    </row>
    <row r="124" spans="2:22" ht="15" thickBot="1">
      <c r="C124" t="s">
        <v>237</v>
      </c>
      <c r="E124" s="7" t="s">
        <v>356</v>
      </c>
      <c r="F124" s="189" cm="1">
        <f t="array" ref="F124">x_at_ymax(C28:C97,M28:M97)</f>
        <v>0.53943900626213936</v>
      </c>
      <c r="G124" s="4"/>
      <c r="L124" s="55"/>
      <c r="M124" s="55"/>
      <c r="N124" s="12"/>
      <c r="O124" s="12"/>
      <c r="R124" s="276" t="s">
        <v>51</v>
      </c>
      <c r="S124" s="55" t="s">
        <v>358</v>
      </c>
      <c r="T124" t="s">
        <v>383</v>
      </c>
      <c r="U124" s="192" cm="1">
        <f t="array" ref="U124">x_at_y0(Q28:Q101,U28:U101)</f>
        <v>0.96413835836240824</v>
      </c>
    </row>
    <row r="125" spans="2:22" ht="15" thickBot="1">
      <c r="E125" s="7" t="s">
        <v>357</v>
      </c>
      <c r="F125" s="175" cm="1">
        <f t="array" ref="F125">y_max(C51:C61,M51:M61)</f>
        <v>3235.1444952265992</v>
      </c>
      <c r="G125" s="14"/>
      <c r="M125" s="12"/>
      <c r="N125" s="12"/>
      <c r="O125" s="12"/>
      <c r="U125" s="55"/>
    </row>
    <row r="126" spans="2:22" ht="15" thickBot="1">
      <c r="C126" s="7"/>
      <c r="M126" s="12"/>
      <c r="N126" s="12"/>
      <c r="O126" s="12"/>
      <c r="S126" s="55" t="s">
        <v>358</v>
      </c>
      <c r="T126" t="s">
        <v>175</v>
      </c>
      <c r="V126" s="192" cm="1">
        <f t="array" ref="V126">x_at_y0(Q28:Q121,V28:V121)</f>
        <v>1.0337518940662411</v>
      </c>
    </row>
    <row r="127" spans="2:22">
      <c r="C127" s="7"/>
      <c r="D127" s="7"/>
      <c r="E127" s="4"/>
      <c r="F127" s="2"/>
      <c r="M127" s="12"/>
      <c r="N127" s="12"/>
      <c r="O127" s="12"/>
    </row>
    <row r="128" spans="2:22">
      <c r="C128" s="7"/>
      <c r="D128" s="7"/>
      <c r="E128" s="4"/>
      <c r="F128" s="1"/>
      <c r="L128" s="12"/>
      <c r="M128" s="12"/>
      <c r="N128" s="12"/>
      <c r="O128" s="12"/>
    </row>
    <row r="129" spans="3:16" ht="15" thickBot="1">
      <c r="C129" s="7"/>
      <c r="D129" s="7"/>
      <c r="E129" s="11"/>
      <c r="F129" s="19"/>
      <c r="G129" s="16"/>
      <c r="J129" s="12"/>
      <c r="K129" s="12"/>
      <c r="L129" s="12"/>
      <c r="M129" s="12"/>
      <c r="N129" s="12"/>
      <c r="O129" s="12"/>
    </row>
    <row r="130" spans="3:16">
      <c r="C130" t="s">
        <v>238</v>
      </c>
      <c r="D130" s="7"/>
      <c r="E130" s="7" t="s">
        <v>356</v>
      </c>
      <c r="F130" s="189" cm="1">
        <f t="array" ref="F130">x_at_ymax(C28:C97,N28:N97)</f>
        <v>0.41354230143706833</v>
      </c>
      <c r="G130" s="4"/>
      <c r="J130" s="12"/>
      <c r="K130" s="12"/>
      <c r="L130" s="12"/>
      <c r="M130" s="12"/>
      <c r="N130" s="12"/>
      <c r="O130" s="12"/>
    </row>
    <row r="131" spans="3:16" ht="15" thickBot="1">
      <c r="C131" s="7"/>
      <c r="D131" s="7"/>
      <c r="E131" s="7" t="s">
        <v>357</v>
      </c>
      <c r="F131" s="174" cm="1">
        <f t="array" ref="F131">y_max(C28:C96,N28:N96)</f>
        <v>10.840044236721866</v>
      </c>
      <c r="G131" s="14"/>
      <c r="J131" s="12"/>
      <c r="K131" s="12"/>
      <c r="L131" s="12"/>
      <c r="M131" s="12"/>
      <c r="N131" s="12"/>
      <c r="O131" s="12"/>
    </row>
    <row r="132" spans="3:16">
      <c r="C132" s="7"/>
      <c r="D132" s="7"/>
      <c r="J132" s="12"/>
      <c r="K132" s="12"/>
      <c r="L132" s="12"/>
      <c r="M132" s="12"/>
      <c r="N132" s="12"/>
      <c r="O132" s="12"/>
    </row>
    <row r="133" spans="3:16">
      <c r="C133" s="7"/>
      <c r="D133" s="7"/>
      <c r="E133" s="4"/>
      <c r="F133" s="2"/>
      <c r="J133" s="12"/>
      <c r="K133" s="12"/>
      <c r="L133" s="12"/>
      <c r="M133" s="12"/>
      <c r="N133" s="12"/>
      <c r="O133" s="12"/>
    </row>
    <row r="134" spans="3:16">
      <c r="C134" s="7"/>
      <c r="D134" s="7"/>
      <c r="E134" s="4"/>
      <c r="F134" s="2"/>
      <c r="J134" s="12"/>
      <c r="K134" s="12"/>
      <c r="L134" s="12"/>
      <c r="M134" s="12"/>
      <c r="N134" s="12"/>
      <c r="O134" s="12"/>
      <c r="P134" s="12"/>
    </row>
    <row r="135" spans="3:16" ht="15" thickBot="1">
      <c r="C135" s="7"/>
      <c r="D135" s="7" t="s">
        <v>549</v>
      </c>
      <c r="E135" s="12">
        <v>1000</v>
      </c>
      <c r="F135" s="19" t="s">
        <v>547</v>
      </c>
      <c r="G135" s="16"/>
      <c r="H135" s="16"/>
      <c r="I135" s="12"/>
      <c r="J135" s="12"/>
      <c r="K135" s="12"/>
      <c r="L135" s="12"/>
      <c r="M135" s="12"/>
      <c r="N135" s="12"/>
      <c r="O135" s="12"/>
      <c r="P135" s="12"/>
    </row>
    <row r="136" spans="3:16" ht="15" thickBot="1">
      <c r="C136" s="7"/>
      <c r="D136" s="7"/>
      <c r="E136" s="143" t="s">
        <v>239</v>
      </c>
      <c r="F136" s="269">
        <f>F125*LN($D$5/($D$5-E135))</f>
        <v>340.85649224465283</v>
      </c>
      <c r="G136" s="144" t="s">
        <v>183</v>
      </c>
      <c r="H136" s="272" t="s">
        <v>376</v>
      </c>
      <c r="I136" s="190" cm="1">
        <f t="array" ref="I136">(F136/(F124*Linterp(D6,atmos_h,atmos_vela)))*(60/1)</f>
        <v>59.430553899789594</v>
      </c>
      <c r="J136" s="145" t="s">
        <v>201</v>
      </c>
      <c r="K136" s="12"/>
      <c r="L136" s="12"/>
      <c r="M136" s="12"/>
      <c r="N136" s="12"/>
      <c r="O136" s="12"/>
      <c r="P136" s="12"/>
    </row>
    <row r="137" spans="3:16" ht="15" thickBot="1">
      <c r="C137" s="7"/>
      <c r="D137" s="7"/>
      <c r="E137" s="143"/>
      <c r="F137" s="270"/>
      <c r="G137" s="144"/>
      <c r="H137" s="144"/>
      <c r="I137" s="271"/>
      <c r="J137" s="145"/>
      <c r="K137" s="12"/>
      <c r="L137" s="12"/>
      <c r="M137" s="12"/>
      <c r="N137" s="12"/>
      <c r="O137" s="12"/>
      <c r="P137" s="12"/>
    </row>
    <row r="138" spans="3:16" ht="15" thickBot="1">
      <c r="C138" s="7"/>
      <c r="D138" s="7"/>
      <c r="E138" s="143" t="s">
        <v>240</v>
      </c>
      <c r="F138" s="268">
        <f>F131*60*LN($D$5/($D$5-E135))</f>
        <v>68.526759032079866</v>
      </c>
      <c r="G138" s="144" t="s">
        <v>201</v>
      </c>
      <c r="H138" s="272" t="s">
        <v>377</v>
      </c>
      <c r="I138" s="269" cm="1">
        <f t="array" ref="I138">F138*F130*Linterp(D6,atmos_h,atmos_vela)/60</f>
        <v>301.30030999862913</v>
      </c>
      <c r="J138" s="145" t="s">
        <v>183</v>
      </c>
      <c r="K138" s="12"/>
      <c r="L138" s="12"/>
      <c r="M138" s="12"/>
      <c r="N138" s="12"/>
      <c r="O138" s="12"/>
      <c r="P138" s="12"/>
    </row>
    <row r="139" spans="3:16">
      <c r="C139" s="7"/>
      <c r="D139" s="7"/>
      <c r="E139" s="11"/>
      <c r="F139" s="19"/>
      <c r="G139" s="16"/>
      <c r="H139" s="16"/>
      <c r="I139" s="12"/>
      <c r="J139" s="12"/>
      <c r="K139" s="12"/>
    </row>
    <row r="140" spans="3:16">
      <c r="E140" t="s">
        <v>374</v>
      </c>
    </row>
    <row r="141" spans="3:16">
      <c r="E141" t="s">
        <v>375</v>
      </c>
    </row>
  </sheetData>
  <mergeCells count="2">
    <mergeCell ref="B2:D2"/>
    <mergeCell ref="B3:D3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ECAF8-D801-4450-A5CE-5065CD6706E0}">
  <sheetPr codeName="Sheet23">
    <tabColor rgb="FFFFCCFF"/>
  </sheetPr>
  <dimension ref="B1:V141"/>
  <sheetViews>
    <sheetView topLeftCell="A109" zoomScale="85" zoomScaleNormal="85" workbookViewId="0">
      <selection activeCell="I129" sqref="I129"/>
    </sheetView>
  </sheetViews>
  <sheetFormatPr defaultRowHeight="14.5"/>
  <cols>
    <col min="1" max="1" width="2.7265625" customWidth="1"/>
    <col min="2" max="13" width="12.7265625" customWidth="1"/>
    <col min="14" max="16" width="10.7265625" customWidth="1"/>
    <col min="17" max="22" width="12.7265625" customWidth="1"/>
    <col min="23" max="66" width="10.7265625" customWidth="1"/>
  </cols>
  <sheetData>
    <row r="1" spans="2:22" ht="15" thickBot="1"/>
    <row r="2" spans="2:22">
      <c r="B2" s="601" t="s">
        <v>331</v>
      </c>
      <c r="C2" s="605"/>
      <c r="D2" s="606"/>
    </row>
    <row r="3" spans="2:22" ht="15" thickBot="1">
      <c r="B3" s="602" t="s">
        <v>380</v>
      </c>
      <c r="C3" s="607"/>
      <c r="D3" s="608"/>
    </row>
    <row r="5" spans="2:22">
      <c r="C5" t="s">
        <v>6</v>
      </c>
      <c r="D5" s="8">
        <v>10000</v>
      </c>
      <c r="E5" t="s">
        <v>5</v>
      </c>
      <c r="G5" t="s">
        <v>0</v>
      </c>
      <c r="H5" s="1">
        <f>Linterp(D6,atmos_h,atmos_qms)</f>
        <v>680.74470004439161</v>
      </c>
      <c r="I5" t="s">
        <v>19</v>
      </c>
    </row>
    <row r="6" spans="2:22">
      <c r="C6" t="s">
        <v>1</v>
      </c>
      <c r="D6" s="8">
        <v>20000</v>
      </c>
      <c r="E6" t="s">
        <v>2</v>
      </c>
      <c r="G6" t="s">
        <v>153</v>
      </c>
      <c r="H6" s="3">
        <f>Linterp(D6,atmos_h,atmos_aspeed)</f>
        <v>1036.8535868172689</v>
      </c>
      <c r="I6" t="s">
        <v>20</v>
      </c>
    </row>
    <row r="7" spans="2:22">
      <c r="D7" s="8"/>
      <c r="G7" t="s">
        <v>155</v>
      </c>
      <c r="H7" s="9">
        <f>Linterp(D6,atmos_h,atmos_rho)</f>
        <v>1.2664159101060197E-3</v>
      </c>
      <c r="I7" t="s">
        <v>156</v>
      </c>
    </row>
    <row r="8" spans="2:22" ht="15" thickBot="1">
      <c r="H8" s="2"/>
      <c r="I8" s="1">
        <v>1</v>
      </c>
      <c r="L8" s="4"/>
      <c r="M8" s="4"/>
      <c r="N8" s="4"/>
      <c r="O8" s="4"/>
    </row>
    <row r="9" spans="2:22">
      <c r="B9" s="6" t="s">
        <v>1</v>
      </c>
      <c r="C9" s="6" t="s">
        <v>72</v>
      </c>
      <c r="D9" s="6" t="s">
        <v>232</v>
      </c>
      <c r="E9" s="6" t="s">
        <v>74</v>
      </c>
      <c r="F9" s="6" t="s">
        <v>75</v>
      </c>
      <c r="G9" s="6" t="s">
        <v>186</v>
      </c>
      <c r="H9" s="6" t="s">
        <v>294</v>
      </c>
      <c r="I9" s="6" t="s">
        <v>295</v>
      </c>
      <c r="J9" s="6" t="s">
        <v>233</v>
      </c>
      <c r="K9" s="6" t="s">
        <v>85</v>
      </c>
      <c r="L9" s="6" t="s">
        <v>234</v>
      </c>
      <c r="M9" s="312" t="s">
        <v>235</v>
      </c>
      <c r="N9" s="301" t="s">
        <v>236</v>
      </c>
      <c r="O9" s="310" t="s">
        <v>402</v>
      </c>
      <c r="P9" s="6"/>
      <c r="Q9" s="6" t="s">
        <v>72</v>
      </c>
      <c r="R9" s="312" t="s">
        <v>187</v>
      </c>
      <c r="S9" s="301" t="s">
        <v>202</v>
      </c>
      <c r="T9" s="301" t="s">
        <v>186</v>
      </c>
      <c r="U9" s="301" t="s">
        <v>381</v>
      </c>
      <c r="V9" s="310" t="s">
        <v>382</v>
      </c>
    </row>
    <row r="10" spans="2:22">
      <c r="B10" s="6" t="s">
        <v>30</v>
      </c>
      <c r="C10" s="6" t="s">
        <v>77</v>
      </c>
      <c r="D10" s="6" t="s">
        <v>69</v>
      </c>
      <c r="E10" s="6"/>
      <c r="F10" s="6"/>
      <c r="G10" s="6" t="s">
        <v>78</v>
      </c>
      <c r="H10" s="6" t="s">
        <v>78</v>
      </c>
      <c r="I10" s="6" t="s">
        <v>86</v>
      </c>
      <c r="J10" s="6" t="s">
        <v>87</v>
      </c>
      <c r="K10" s="6" t="s">
        <v>86</v>
      </c>
      <c r="L10" s="6" t="s">
        <v>414</v>
      </c>
      <c r="M10" s="317" t="s">
        <v>203</v>
      </c>
      <c r="N10" s="316" t="s">
        <v>415</v>
      </c>
      <c r="O10" s="318" t="s">
        <v>416</v>
      </c>
      <c r="P10" s="6"/>
      <c r="Q10" s="6" t="s">
        <v>77</v>
      </c>
      <c r="R10" s="317" t="s">
        <v>78</v>
      </c>
      <c r="S10" s="316" t="s">
        <v>78</v>
      </c>
      <c r="T10" s="316" t="s">
        <v>78</v>
      </c>
      <c r="U10" s="316" t="s">
        <v>78</v>
      </c>
      <c r="V10" s="318" t="s">
        <v>78</v>
      </c>
    </row>
    <row r="11" spans="2:22">
      <c r="B11" s="120">
        <f>D6</f>
        <v>20000</v>
      </c>
      <c r="C11" s="7">
        <v>0.1</v>
      </c>
      <c r="D11" s="7">
        <f t="shared" ref="D11:D19" si="0">C11*H$6</f>
        <v>103.6853586817269</v>
      </c>
      <c r="E11" s="11">
        <f t="shared" ref="E11:E74" si="1">D$5/(H$5*C11*C11*_xlfn.SINGLE(S))</f>
        <v>8.6410558037291807</v>
      </c>
      <c r="F11" s="19" t="e">
        <f>InterpolateXY(E11,C11,CD_CL,CD_M,CD_table)</f>
        <v>#VALUE!</v>
      </c>
      <c r="G11" t="e">
        <f t="shared" ref="G11:G74" si="2">F11*$H$5*C11*C11*_xlfn.SINGLE(S)</f>
        <v>#VALUE!</v>
      </c>
      <c r="H11" s="12">
        <f t="shared" ref="H11:H74" si="3">_xlfn.SINGLE(InterpolateXY(B11,C11,Tnorm_h,Tnorm_M,Tnorm_table))*_xlfn.SINGLE(numeng)</f>
        <v>1971.3821763792332</v>
      </c>
      <c r="I11" s="12">
        <f t="shared" ref="I11:I42" si="4">_xlfn.SINGLE(InterpolateXYZ($I$8,C11,B11,FFnorm_PS,FFnorm_M,FFnorm_h,FFnorm_table))*_xlfn.SINGLE(numeng)</f>
        <v>1995.6091198149682</v>
      </c>
      <c r="J11" s="141" t="e">
        <f>G11/H11</f>
        <v>#VALUE!</v>
      </c>
      <c r="K11" s="267" t="e" cm="1">
        <f t="array" ref="K11">InterpolateXYZ(J11,C11,B11,FFnorm_PS,FFnorm_M,FFnorm_h,FFnorm_table)*numeng</f>
        <v>#VALUE!</v>
      </c>
      <c r="L11" s="11" t="e">
        <f>K11/G11</f>
        <v>#VALUE!</v>
      </c>
      <c r="M11" s="425" t="e" cm="1">
        <f t="array" ref="M11">($D$5/G11)*(C11*Linterp($D$6,atmos_h,atmos_vela)/L11)</f>
        <v>#VALUE!</v>
      </c>
      <c r="N11" s="55" t="e">
        <f>($D$5/G11)*(1/L11)</f>
        <v>#VALUE!</v>
      </c>
      <c r="O11" s="426" t="e">
        <f>M11/$D$5</f>
        <v>#VALUE!</v>
      </c>
      <c r="P11" s="3"/>
      <c r="Q11" s="7">
        <f>C11</f>
        <v>0.1</v>
      </c>
      <c r="R11" s="314" cm="1">
        <f t="array" ref="R11">numeng*InterpolateXY($D$6,$Q11,Tmil_h,Tmil_M,Tmil_table)</f>
        <v>2109.9111414925355</v>
      </c>
      <c r="S11" s="12" cm="1">
        <f t="array" ref="S11">numeng*InterpolateXY($D$6,$Q11,Tmax_h,Tmax_M,Tmax_table)</f>
        <v>3164.8667122388038</v>
      </c>
      <c r="T11" s="16" t="e">
        <f>G11</f>
        <v>#VALUE!</v>
      </c>
      <c r="U11" s="55" t="e">
        <f>R11-T11</f>
        <v>#VALUE!</v>
      </c>
      <c r="V11" s="426" t="e">
        <f>S11-T11</f>
        <v>#VALUE!</v>
      </c>
    </row>
    <row r="12" spans="2:22">
      <c r="B12" s="120">
        <f>B11</f>
        <v>20000</v>
      </c>
      <c r="C12" s="7">
        <v>0.11</v>
      </c>
      <c r="D12" s="7">
        <f t="shared" si="0"/>
        <v>114.05389454989958</v>
      </c>
      <c r="E12" s="11">
        <f t="shared" si="1"/>
        <v>7.1413684328340334</v>
      </c>
      <c r="F12" s="19" t="e">
        <f t="shared" ref="F12:F75" si="5">InterpolateXY(E12,C12,CD_CL,CD_M,CD_table)</f>
        <v>#VALUE!</v>
      </c>
      <c r="G12" t="e">
        <f t="shared" si="2"/>
        <v>#VALUE!</v>
      </c>
      <c r="H12" s="12">
        <f t="shared" si="3"/>
        <v>1979.9070722770894</v>
      </c>
      <c r="I12" s="12">
        <f t="shared" si="4"/>
        <v>2004.2387808736275</v>
      </c>
      <c r="J12" s="141" t="e">
        <f t="shared" ref="J12:J75" si="6">G12/H12</f>
        <v>#VALUE!</v>
      </c>
      <c r="K12" s="267" t="e" cm="1">
        <f t="array" ref="K12">InterpolateXYZ(J12,C12,B12,FFnorm_PS,FFnorm_M,FFnorm_h,FFnorm_table)*numeng</f>
        <v>#VALUE!</v>
      </c>
      <c r="L12" s="11" t="e">
        <f t="shared" ref="L12:L75" si="7">K12/G12</f>
        <v>#VALUE!</v>
      </c>
      <c r="M12" s="425" t="e" cm="1">
        <f t="array" ref="M12">($D$5/G12)*(C12*Linterp($D$6,atmos_h,atmos_vela)/L12)</f>
        <v>#VALUE!</v>
      </c>
      <c r="N12" s="55" t="e">
        <f t="shared" ref="N12:N75" si="8">($D$5/G12)*(1/L12)</f>
        <v>#VALUE!</v>
      </c>
      <c r="O12" s="426" t="e">
        <f t="shared" ref="O12:O75" si="9">M12/$D$5</f>
        <v>#VALUE!</v>
      </c>
      <c r="P12" s="12"/>
      <c r="Q12" s="7">
        <f t="shared" ref="Q12:Q75" si="10">C12</f>
        <v>0.11</v>
      </c>
      <c r="R12" s="314" cm="1">
        <f t="array" ref="R12">numeng*InterpolateXY($D$6,$Q12,Tmil_h,Tmil_M,Tmil_table)</f>
        <v>2118.4360349935155</v>
      </c>
      <c r="S12" s="12" cm="1">
        <f t="array" ref="S12">numeng*InterpolateXY($D$6,$Q12,Tmax_h,Tmax_M,Tmax_table)</f>
        <v>3188.3101693664985</v>
      </c>
      <c r="T12" s="16" t="e">
        <f t="shared" ref="T12:T75" si="11">G12</f>
        <v>#VALUE!</v>
      </c>
      <c r="U12" s="55" t="e">
        <f t="shared" ref="U12:U75" si="12">R12-T12</f>
        <v>#VALUE!</v>
      </c>
      <c r="V12" s="426" t="e">
        <f t="shared" ref="V12:V75" si="13">S12-T12</f>
        <v>#VALUE!</v>
      </c>
    </row>
    <row r="13" spans="2:22">
      <c r="B13" s="120">
        <f t="shared" ref="B13:B76" si="14">B12</f>
        <v>20000</v>
      </c>
      <c r="C13" s="7">
        <v>0.12</v>
      </c>
      <c r="D13" s="7">
        <f t="shared" si="0"/>
        <v>124.42243041807227</v>
      </c>
      <c r="E13" s="11">
        <f t="shared" si="1"/>
        <v>6.0007331970341529</v>
      </c>
      <c r="F13" s="19" t="e">
        <f t="shared" si="5"/>
        <v>#VALUE!</v>
      </c>
      <c r="G13" t="e">
        <f t="shared" si="2"/>
        <v>#VALUE!</v>
      </c>
      <c r="H13" s="12">
        <f t="shared" si="3"/>
        <v>1988.4319681749455</v>
      </c>
      <c r="I13" s="12">
        <f t="shared" si="4"/>
        <v>2012.8684419322869</v>
      </c>
      <c r="J13" s="141" t="e">
        <f t="shared" si="6"/>
        <v>#VALUE!</v>
      </c>
      <c r="K13" s="267" t="e" cm="1">
        <f t="array" ref="K13">InterpolateXYZ(J13,C13,B13,FFnorm_PS,FFnorm_M,FFnorm_h,FFnorm_table)*numeng</f>
        <v>#VALUE!</v>
      </c>
      <c r="L13" s="11" t="e">
        <f t="shared" si="7"/>
        <v>#VALUE!</v>
      </c>
      <c r="M13" s="425" t="e" cm="1">
        <f t="array" ref="M13">($D$5/G13)*(C13*Linterp($D$6,atmos_h,atmos_vela)/L13)</f>
        <v>#VALUE!</v>
      </c>
      <c r="N13" s="55" t="e">
        <f t="shared" si="8"/>
        <v>#VALUE!</v>
      </c>
      <c r="O13" s="426" t="e">
        <f t="shared" si="9"/>
        <v>#VALUE!</v>
      </c>
      <c r="P13" s="12"/>
      <c r="Q13" s="7">
        <f t="shared" si="10"/>
        <v>0.12</v>
      </c>
      <c r="R13" s="314" cm="1">
        <f t="array" ref="R13">numeng*InterpolateXY($D$6,$Q13,Tmil_h,Tmil_M,Tmil_table)</f>
        <v>2126.9609284944954</v>
      </c>
      <c r="S13" s="12" cm="1">
        <f t="array" ref="S13">numeng*InterpolateXY($D$6,$Q13,Tmax_h,Tmax_M,Tmax_table)</f>
        <v>3211.7536264941932</v>
      </c>
      <c r="T13" s="16" t="e">
        <f t="shared" si="11"/>
        <v>#VALUE!</v>
      </c>
      <c r="U13" s="55" t="e">
        <f t="shared" si="12"/>
        <v>#VALUE!</v>
      </c>
      <c r="V13" s="426" t="e">
        <f t="shared" si="13"/>
        <v>#VALUE!</v>
      </c>
    </row>
    <row r="14" spans="2:22">
      <c r="B14" s="120">
        <f t="shared" si="14"/>
        <v>20000</v>
      </c>
      <c r="C14" s="7">
        <v>0.13</v>
      </c>
      <c r="D14" s="7">
        <f t="shared" si="0"/>
        <v>134.79096628624495</v>
      </c>
      <c r="E14" s="11">
        <f t="shared" si="1"/>
        <v>5.1130507714373854</v>
      </c>
      <c r="F14" s="19" t="e">
        <f t="shared" si="5"/>
        <v>#VALUE!</v>
      </c>
      <c r="G14" t="e">
        <f t="shared" si="2"/>
        <v>#VALUE!</v>
      </c>
      <c r="H14" s="12">
        <f t="shared" si="3"/>
        <v>1996.9568640728016</v>
      </c>
      <c r="I14" s="12">
        <f t="shared" si="4"/>
        <v>2021.4981029909463</v>
      </c>
      <c r="J14" s="141" t="e">
        <f t="shared" si="6"/>
        <v>#VALUE!</v>
      </c>
      <c r="K14" s="267" t="e" cm="1">
        <f t="array" ref="K14">InterpolateXYZ(J14,C14,B14,FFnorm_PS,FFnorm_M,FFnorm_h,FFnorm_table)*numeng</f>
        <v>#VALUE!</v>
      </c>
      <c r="L14" s="11" t="e">
        <f t="shared" si="7"/>
        <v>#VALUE!</v>
      </c>
      <c r="M14" s="425" t="e" cm="1">
        <f t="array" ref="M14">($D$5/G14)*(C14*Linterp($D$6,atmos_h,atmos_vela)/L14)</f>
        <v>#VALUE!</v>
      </c>
      <c r="N14" s="55" t="e">
        <f t="shared" si="8"/>
        <v>#VALUE!</v>
      </c>
      <c r="O14" s="426" t="e">
        <f t="shared" si="9"/>
        <v>#VALUE!</v>
      </c>
      <c r="P14" s="12"/>
      <c r="Q14" s="7">
        <f t="shared" si="10"/>
        <v>0.13</v>
      </c>
      <c r="R14" s="314" cm="1">
        <f t="array" ref="R14">numeng*InterpolateXY($D$6,$Q14,Tmil_h,Tmil_M,Tmil_table)</f>
        <v>2135.4858219954754</v>
      </c>
      <c r="S14" s="12" cm="1">
        <f t="array" ref="S14">numeng*InterpolateXY($D$6,$Q14,Tmax_h,Tmax_M,Tmax_table)</f>
        <v>3235.1970836218884</v>
      </c>
      <c r="T14" s="16" t="e">
        <f t="shared" si="11"/>
        <v>#VALUE!</v>
      </c>
      <c r="U14" s="55" t="e">
        <f t="shared" si="12"/>
        <v>#VALUE!</v>
      </c>
      <c r="V14" s="426" t="e">
        <f t="shared" si="13"/>
        <v>#VALUE!</v>
      </c>
    </row>
    <row r="15" spans="2:22">
      <c r="B15" s="120">
        <f t="shared" si="14"/>
        <v>20000</v>
      </c>
      <c r="C15" s="7">
        <v>0.14000000000000001</v>
      </c>
      <c r="D15" s="7">
        <f t="shared" si="0"/>
        <v>145.15950215441765</v>
      </c>
      <c r="E15" s="11">
        <f t="shared" si="1"/>
        <v>4.4087019406781529</v>
      </c>
      <c r="F15" s="19" t="e">
        <f t="shared" si="5"/>
        <v>#VALUE!</v>
      </c>
      <c r="G15" t="e">
        <f t="shared" si="2"/>
        <v>#VALUE!</v>
      </c>
      <c r="H15" s="12">
        <f t="shared" si="3"/>
        <v>2005.4817599706578</v>
      </c>
      <c r="I15" s="12">
        <f t="shared" si="4"/>
        <v>2030.1277640496057</v>
      </c>
      <c r="J15" s="141" t="e">
        <f t="shared" si="6"/>
        <v>#VALUE!</v>
      </c>
      <c r="K15" s="267" t="e" cm="1">
        <f t="array" ref="K15">InterpolateXYZ(J15,C15,B15,FFnorm_PS,FFnorm_M,FFnorm_h,FFnorm_table)*numeng</f>
        <v>#VALUE!</v>
      </c>
      <c r="L15" s="11" t="e">
        <f t="shared" si="7"/>
        <v>#VALUE!</v>
      </c>
      <c r="M15" s="425" t="e" cm="1">
        <f t="array" ref="M15">($D$5/G15)*(C15*Linterp($D$6,atmos_h,atmos_vela)/L15)</f>
        <v>#VALUE!</v>
      </c>
      <c r="N15" s="55" t="e">
        <f t="shared" si="8"/>
        <v>#VALUE!</v>
      </c>
      <c r="O15" s="426" t="e">
        <f t="shared" si="9"/>
        <v>#VALUE!</v>
      </c>
      <c r="P15" s="12"/>
      <c r="Q15" s="7">
        <f t="shared" si="10"/>
        <v>0.14000000000000001</v>
      </c>
      <c r="R15" s="314" cm="1">
        <f t="array" ref="R15">numeng*InterpolateXY($D$6,$Q15,Tmil_h,Tmil_M,Tmil_table)</f>
        <v>2144.0107154964553</v>
      </c>
      <c r="S15" s="12" cm="1">
        <f t="array" ref="S15">numeng*InterpolateXY($D$6,$Q15,Tmax_h,Tmax_M,Tmax_table)</f>
        <v>3258.6405407495831</v>
      </c>
      <c r="T15" s="16" t="e">
        <f t="shared" si="11"/>
        <v>#VALUE!</v>
      </c>
      <c r="U15" s="55" t="e">
        <f t="shared" si="12"/>
        <v>#VALUE!</v>
      </c>
      <c r="V15" s="426" t="e">
        <f t="shared" si="13"/>
        <v>#VALUE!</v>
      </c>
    </row>
    <row r="16" spans="2:22">
      <c r="B16" s="120">
        <f t="shared" si="14"/>
        <v>20000</v>
      </c>
      <c r="C16" s="7">
        <v>0.15</v>
      </c>
      <c r="D16" s="7">
        <f t="shared" si="0"/>
        <v>155.52803802259032</v>
      </c>
      <c r="E16" s="11">
        <f t="shared" si="1"/>
        <v>3.8404692461018581</v>
      </c>
      <c r="F16" s="19" t="e">
        <f t="shared" si="5"/>
        <v>#VALUE!</v>
      </c>
      <c r="G16" t="e">
        <f t="shared" si="2"/>
        <v>#VALUE!</v>
      </c>
      <c r="H16" s="12">
        <f t="shared" si="3"/>
        <v>2014.0066558685139</v>
      </c>
      <c r="I16" s="12">
        <f t="shared" si="4"/>
        <v>2038.7574251082649</v>
      </c>
      <c r="J16" s="141" t="e">
        <f t="shared" si="6"/>
        <v>#VALUE!</v>
      </c>
      <c r="K16" s="267" t="e" cm="1">
        <f t="array" ref="K16">InterpolateXYZ(J16,C16,B16,FFnorm_PS,FFnorm_M,FFnorm_h,FFnorm_table)*numeng</f>
        <v>#VALUE!</v>
      </c>
      <c r="L16" s="11" t="e">
        <f t="shared" si="7"/>
        <v>#VALUE!</v>
      </c>
      <c r="M16" s="425" t="e" cm="1">
        <f t="array" ref="M16">($D$5/G16)*(C16*Linterp($D$6,atmos_h,atmos_vela)/L16)</f>
        <v>#VALUE!</v>
      </c>
      <c r="N16" s="55" t="e">
        <f t="shared" si="8"/>
        <v>#VALUE!</v>
      </c>
      <c r="O16" s="426" t="e">
        <f t="shared" si="9"/>
        <v>#VALUE!</v>
      </c>
      <c r="P16" s="12"/>
      <c r="Q16" s="7">
        <f t="shared" si="10"/>
        <v>0.15</v>
      </c>
      <c r="R16" s="314" cm="1">
        <f t="array" ref="R16">numeng*InterpolateXY($D$6,$Q16,Tmil_h,Tmil_M,Tmil_table)</f>
        <v>2152.5356089974352</v>
      </c>
      <c r="S16" s="12" cm="1">
        <f t="array" ref="S16">numeng*InterpolateXY($D$6,$Q16,Tmax_h,Tmax_M,Tmax_table)</f>
        <v>3282.0839978772779</v>
      </c>
      <c r="T16" s="16" t="e">
        <f t="shared" si="11"/>
        <v>#VALUE!</v>
      </c>
      <c r="U16" s="55" t="e">
        <f t="shared" si="12"/>
        <v>#VALUE!</v>
      </c>
      <c r="V16" s="426" t="e">
        <f t="shared" si="13"/>
        <v>#VALUE!</v>
      </c>
    </row>
    <row r="17" spans="2:22">
      <c r="B17" s="120">
        <f t="shared" si="14"/>
        <v>20000</v>
      </c>
      <c r="C17" s="7">
        <v>0.16</v>
      </c>
      <c r="D17" s="7">
        <f t="shared" si="0"/>
        <v>165.89657389076302</v>
      </c>
      <c r="E17" s="11">
        <f t="shared" si="1"/>
        <v>3.3754124233317118</v>
      </c>
      <c r="F17" s="19" t="e">
        <f t="shared" si="5"/>
        <v>#VALUE!</v>
      </c>
      <c r="G17" t="e">
        <f t="shared" si="2"/>
        <v>#VALUE!</v>
      </c>
      <c r="H17" s="12">
        <f t="shared" si="3"/>
        <v>2022.5315517663703</v>
      </c>
      <c r="I17" s="12">
        <f t="shared" si="4"/>
        <v>2047.3870861669243</v>
      </c>
      <c r="J17" s="141" t="e">
        <f t="shared" si="6"/>
        <v>#VALUE!</v>
      </c>
      <c r="K17" s="267" t="e" cm="1">
        <f t="array" ref="K17">InterpolateXYZ(J17,C17,B17,FFnorm_PS,FFnorm_M,FFnorm_h,FFnorm_table)*numeng</f>
        <v>#VALUE!</v>
      </c>
      <c r="L17" s="11" t="e">
        <f t="shared" si="7"/>
        <v>#VALUE!</v>
      </c>
      <c r="M17" s="425" t="e" cm="1">
        <f t="array" ref="M17">($D$5/G17)*(C17*Linterp($D$6,atmos_h,atmos_vela)/L17)</f>
        <v>#VALUE!</v>
      </c>
      <c r="N17" s="55" t="e">
        <f t="shared" si="8"/>
        <v>#VALUE!</v>
      </c>
      <c r="O17" s="426" t="e">
        <f t="shared" si="9"/>
        <v>#VALUE!</v>
      </c>
      <c r="P17" s="12"/>
      <c r="Q17" s="7">
        <f t="shared" si="10"/>
        <v>0.16</v>
      </c>
      <c r="R17" s="314" cm="1">
        <f t="array" ref="R17">numeng*InterpolateXY($D$6,$Q17,Tmil_h,Tmil_M,Tmil_table)</f>
        <v>2161.0605024984152</v>
      </c>
      <c r="S17" s="12" cm="1">
        <f t="array" ref="S17">numeng*InterpolateXY($D$6,$Q17,Tmax_h,Tmax_M,Tmax_table)</f>
        <v>3305.5274550049726</v>
      </c>
      <c r="T17" s="16" t="e">
        <f t="shared" si="11"/>
        <v>#VALUE!</v>
      </c>
      <c r="U17" s="55" t="e">
        <f t="shared" si="12"/>
        <v>#VALUE!</v>
      </c>
      <c r="V17" s="426" t="e">
        <f t="shared" si="13"/>
        <v>#VALUE!</v>
      </c>
    </row>
    <row r="18" spans="2:22">
      <c r="B18" s="120">
        <f t="shared" si="14"/>
        <v>20000</v>
      </c>
      <c r="C18" s="7">
        <v>0.17</v>
      </c>
      <c r="D18" s="7">
        <f t="shared" si="0"/>
        <v>176.26510975893572</v>
      </c>
      <c r="E18" s="11">
        <f t="shared" si="1"/>
        <v>2.9899847071727268</v>
      </c>
      <c r="F18" s="19" t="e">
        <f t="shared" si="5"/>
        <v>#VALUE!</v>
      </c>
      <c r="G18" t="e">
        <f t="shared" si="2"/>
        <v>#VALUE!</v>
      </c>
      <c r="H18" s="12">
        <f t="shared" si="3"/>
        <v>2031.0564476642264</v>
      </c>
      <c r="I18" s="12">
        <f t="shared" si="4"/>
        <v>2056.0167472255839</v>
      </c>
      <c r="J18" s="141" t="e">
        <f t="shared" si="6"/>
        <v>#VALUE!</v>
      </c>
      <c r="K18" s="267" t="e" cm="1">
        <f t="array" ref="K18">InterpolateXYZ(J18,C18,B18,FFnorm_PS,FFnorm_M,FFnorm_h,FFnorm_table)*numeng</f>
        <v>#VALUE!</v>
      </c>
      <c r="L18" s="11" t="e">
        <f t="shared" si="7"/>
        <v>#VALUE!</v>
      </c>
      <c r="M18" s="425" t="e" cm="1">
        <f t="array" ref="M18">($D$5/G18)*(C18*Linterp($D$6,atmos_h,atmos_vela)/L18)</f>
        <v>#VALUE!</v>
      </c>
      <c r="N18" s="55" t="e">
        <f t="shared" si="8"/>
        <v>#VALUE!</v>
      </c>
      <c r="O18" s="426" t="e">
        <f t="shared" si="9"/>
        <v>#VALUE!</v>
      </c>
      <c r="P18" s="12"/>
      <c r="Q18" s="7">
        <f t="shared" si="10"/>
        <v>0.17</v>
      </c>
      <c r="R18" s="314" cm="1">
        <f t="array" ref="R18">numeng*InterpolateXY($D$6,$Q18,Tmil_h,Tmil_M,Tmil_table)</f>
        <v>2169.5853959993951</v>
      </c>
      <c r="S18" s="12" cm="1">
        <f t="array" ref="S18">numeng*InterpolateXY($D$6,$Q18,Tmax_h,Tmax_M,Tmax_table)</f>
        <v>3328.9709121326673</v>
      </c>
      <c r="T18" s="16" t="e">
        <f t="shared" si="11"/>
        <v>#VALUE!</v>
      </c>
      <c r="U18" s="55" t="e">
        <f t="shared" si="12"/>
        <v>#VALUE!</v>
      </c>
      <c r="V18" s="426" t="e">
        <f t="shared" si="13"/>
        <v>#VALUE!</v>
      </c>
    </row>
    <row r="19" spans="2:22">
      <c r="B19" s="120">
        <f t="shared" si="14"/>
        <v>20000</v>
      </c>
      <c r="C19" s="7">
        <v>0.18</v>
      </c>
      <c r="D19" s="7">
        <f t="shared" si="0"/>
        <v>186.63364562710839</v>
      </c>
      <c r="E19" s="11">
        <f t="shared" si="1"/>
        <v>2.6669925320151795</v>
      </c>
      <c r="F19" s="19" t="e">
        <f t="shared" si="5"/>
        <v>#VALUE!</v>
      </c>
      <c r="G19" t="e">
        <f t="shared" si="2"/>
        <v>#VALUE!</v>
      </c>
      <c r="H19" s="12">
        <f t="shared" si="3"/>
        <v>2039.5813435620826</v>
      </c>
      <c r="I19" s="12">
        <f t="shared" si="4"/>
        <v>2064.6464082842431</v>
      </c>
      <c r="J19" s="141" t="e">
        <f t="shared" si="6"/>
        <v>#VALUE!</v>
      </c>
      <c r="K19" s="267" t="e" cm="1">
        <f t="array" ref="K19">InterpolateXYZ(J19,C19,B19,FFnorm_PS,FFnorm_M,FFnorm_h,FFnorm_table)*numeng</f>
        <v>#VALUE!</v>
      </c>
      <c r="L19" s="11" t="e">
        <f t="shared" si="7"/>
        <v>#VALUE!</v>
      </c>
      <c r="M19" s="425" t="e" cm="1">
        <f t="array" ref="M19">($D$5/G19)*(C19*Linterp($D$6,atmos_h,atmos_vela)/L19)</f>
        <v>#VALUE!</v>
      </c>
      <c r="N19" s="55" t="e">
        <f t="shared" si="8"/>
        <v>#VALUE!</v>
      </c>
      <c r="O19" s="426" t="e">
        <f t="shared" si="9"/>
        <v>#VALUE!</v>
      </c>
      <c r="P19" s="12"/>
      <c r="Q19" s="7">
        <f t="shared" si="10"/>
        <v>0.18</v>
      </c>
      <c r="R19" s="314" cm="1">
        <f t="array" ref="R19">numeng*InterpolateXY($D$6,$Q19,Tmil_h,Tmil_M,Tmil_table)</f>
        <v>2178.1102895003751</v>
      </c>
      <c r="S19" s="12" cm="1">
        <f t="array" ref="S19">numeng*InterpolateXY($D$6,$Q19,Tmax_h,Tmax_M,Tmax_table)</f>
        <v>3352.4143692603625</v>
      </c>
      <c r="T19" s="16" t="e">
        <f t="shared" si="11"/>
        <v>#VALUE!</v>
      </c>
      <c r="U19" s="55" t="e">
        <f t="shared" si="12"/>
        <v>#VALUE!</v>
      </c>
      <c r="V19" s="426" t="e">
        <f t="shared" si="13"/>
        <v>#VALUE!</v>
      </c>
    </row>
    <row r="20" spans="2:22">
      <c r="B20" s="120">
        <f t="shared" si="14"/>
        <v>20000</v>
      </c>
      <c r="C20" s="7">
        <v>0.19</v>
      </c>
      <c r="D20" s="7">
        <f>C20*H$6</f>
        <v>197.00218149528109</v>
      </c>
      <c r="E20" s="11">
        <f t="shared" si="1"/>
        <v>2.3936442669609916</v>
      </c>
      <c r="F20" s="19" t="e">
        <f t="shared" si="5"/>
        <v>#VALUE!</v>
      </c>
      <c r="G20" t="e">
        <f t="shared" si="2"/>
        <v>#VALUE!</v>
      </c>
      <c r="H20" s="12">
        <f t="shared" si="3"/>
        <v>2048.1062394599385</v>
      </c>
      <c r="I20" s="12">
        <f t="shared" si="4"/>
        <v>2073.2760693429027</v>
      </c>
      <c r="J20" s="141" t="e">
        <f t="shared" si="6"/>
        <v>#VALUE!</v>
      </c>
      <c r="K20" s="267" t="e" cm="1">
        <f t="array" ref="K20">InterpolateXYZ(J20,C20,B20,FFnorm_PS,FFnorm_M,FFnorm_h,FFnorm_table)*numeng</f>
        <v>#VALUE!</v>
      </c>
      <c r="L20" s="11" t="e">
        <f t="shared" si="7"/>
        <v>#VALUE!</v>
      </c>
      <c r="M20" s="425" t="e" cm="1">
        <f t="array" ref="M20">($D$5/G20)*(C20*Linterp($D$6,atmos_h,atmos_vela)/L20)</f>
        <v>#VALUE!</v>
      </c>
      <c r="N20" s="55" t="e">
        <f t="shared" si="8"/>
        <v>#VALUE!</v>
      </c>
      <c r="O20" s="426" t="e">
        <f t="shared" si="9"/>
        <v>#VALUE!</v>
      </c>
      <c r="P20" s="12"/>
      <c r="Q20" s="7">
        <f t="shared" si="10"/>
        <v>0.19</v>
      </c>
      <c r="R20" s="314" cm="1">
        <f t="array" ref="R20">numeng*InterpolateXY($D$6,$Q20,Tmil_h,Tmil_M,Tmil_table)</f>
        <v>2186.635183001355</v>
      </c>
      <c r="S20" s="12" cm="1">
        <f t="array" ref="S20">numeng*InterpolateXY($D$6,$Q20,Tmax_h,Tmax_M,Tmax_table)</f>
        <v>3375.8578263880572</v>
      </c>
      <c r="T20" s="16" t="e">
        <f t="shared" si="11"/>
        <v>#VALUE!</v>
      </c>
      <c r="U20" s="55" t="e">
        <f t="shared" si="12"/>
        <v>#VALUE!</v>
      </c>
      <c r="V20" s="426" t="e">
        <f t="shared" si="13"/>
        <v>#VALUE!</v>
      </c>
    </row>
    <row r="21" spans="2:22">
      <c r="B21" s="120">
        <f t="shared" si="14"/>
        <v>20000</v>
      </c>
      <c r="C21" s="7">
        <v>0.2</v>
      </c>
      <c r="D21" s="7">
        <f t="shared" ref="D21:D84" si="15">C21*H$6</f>
        <v>207.37071736345379</v>
      </c>
      <c r="E21" s="11">
        <f t="shared" si="1"/>
        <v>2.1602639509322952</v>
      </c>
      <c r="F21" s="19" t="e">
        <f t="shared" si="5"/>
        <v>#VALUE!</v>
      </c>
      <c r="G21" t="e">
        <f t="shared" si="2"/>
        <v>#VALUE!</v>
      </c>
      <c r="H21" s="12">
        <f t="shared" si="3"/>
        <v>2056.6311353577948</v>
      </c>
      <c r="I21" s="12">
        <f t="shared" si="4"/>
        <v>2081.9057304015619</v>
      </c>
      <c r="J21" s="141" t="e">
        <f t="shared" si="6"/>
        <v>#VALUE!</v>
      </c>
      <c r="K21" s="267" t="e" cm="1">
        <f t="array" ref="K21">InterpolateXYZ(J21,C21,B21,FFnorm_PS,FFnorm_M,FFnorm_h,FFnorm_table)*numeng</f>
        <v>#VALUE!</v>
      </c>
      <c r="L21" s="11" t="e">
        <f t="shared" si="7"/>
        <v>#VALUE!</v>
      </c>
      <c r="M21" s="425" t="e" cm="1">
        <f t="array" ref="M21">($D$5/G21)*(C21*Linterp($D$6,atmos_h,atmos_vela)/L21)</f>
        <v>#VALUE!</v>
      </c>
      <c r="N21" s="55" t="e">
        <f t="shared" si="8"/>
        <v>#VALUE!</v>
      </c>
      <c r="O21" s="426" t="e">
        <f t="shared" si="9"/>
        <v>#VALUE!</v>
      </c>
      <c r="P21" s="12"/>
      <c r="Q21" s="7">
        <f t="shared" si="10"/>
        <v>0.2</v>
      </c>
      <c r="R21" s="314" cm="1">
        <f t="array" ref="R21">numeng*InterpolateXY($D$6,$Q21,Tmil_h,Tmil_M,Tmil_table)</f>
        <v>2195.160076502335</v>
      </c>
      <c r="S21" s="12" cm="1">
        <f t="array" ref="S21">numeng*InterpolateXY($D$6,$Q21,Tmax_h,Tmax_M,Tmax_table)</f>
        <v>3399.3012835157519</v>
      </c>
      <c r="T21" s="16" t="e">
        <f t="shared" si="11"/>
        <v>#VALUE!</v>
      </c>
      <c r="U21" s="55" t="e">
        <f t="shared" si="12"/>
        <v>#VALUE!</v>
      </c>
      <c r="V21" s="426" t="e">
        <f t="shared" si="13"/>
        <v>#VALUE!</v>
      </c>
    </row>
    <row r="22" spans="2:22">
      <c r="B22" s="120">
        <f t="shared" si="14"/>
        <v>20000</v>
      </c>
      <c r="C22" s="7">
        <v>0.21</v>
      </c>
      <c r="D22" s="7">
        <f t="shared" si="15"/>
        <v>217.73925323162646</v>
      </c>
      <c r="E22" s="11">
        <f t="shared" si="1"/>
        <v>1.959423084745846</v>
      </c>
      <c r="F22" s="19" t="e">
        <f t="shared" si="5"/>
        <v>#VALUE!</v>
      </c>
      <c r="G22" t="e">
        <f t="shared" si="2"/>
        <v>#VALUE!</v>
      </c>
      <c r="H22" s="12">
        <f t="shared" si="3"/>
        <v>2065.1560312556508</v>
      </c>
      <c r="I22" s="12">
        <f t="shared" si="4"/>
        <v>2090.535391460221</v>
      </c>
      <c r="J22" s="141" t="e">
        <f t="shared" si="6"/>
        <v>#VALUE!</v>
      </c>
      <c r="K22" s="267" t="e" cm="1">
        <f t="array" ref="K22">InterpolateXYZ(J22,C22,B22,FFnorm_PS,FFnorm_M,FFnorm_h,FFnorm_table)*numeng</f>
        <v>#VALUE!</v>
      </c>
      <c r="L22" s="11" t="e">
        <f t="shared" si="7"/>
        <v>#VALUE!</v>
      </c>
      <c r="M22" s="425" t="e" cm="1">
        <f t="array" ref="M22">($D$5/G22)*(C22*Linterp($D$6,atmos_h,atmos_vela)/L22)</f>
        <v>#VALUE!</v>
      </c>
      <c r="N22" s="55" t="e">
        <f t="shared" si="8"/>
        <v>#VALUE!</v>
      </c>
      <c r="O22" s="426" t="e">
        <f t="shared" si="9"/>
        <v>#VALUE!</v>
      </c>
      <c r="P22" s="12"/>
      <c r="Q22" s="7">
        <f t="shared" si="10"/>
        <v>0.21</v>
      </c>
      <c r="R22" s="314" cm="1">
        <f t="array" ref="R22">numeng*InterpolateXY($D$6,$Q22,Tmil_h,Tmil_M,Tmil_table)</f>
        <v>2203.6849700033149</v>
      </c>
      <c r="S22" s="12" cm="1">
        <f t="array" ref="S22">numeng*InterpolateXY($D$6,$Q22,Tmax_h,Tmax_M,Tmax_table)</f>
        <v>3422.7447406434467</v>
      </c>
      <c r="T22" s="16" t="e">
        <f t="shared" si="11"/>
        <v>#VALUE!</v>
      </c>
      <c r="U22" s="55" t="e">
        <f t="shared" si="12"/>
        <v>#VALUE!</v>
      </c>
      <c r="V22" s="426" t="e">
        <f t="shared" si="13"/>
        <v>#VALUE!</v>
      </c>
    </row>
    <row r="23" spans="2:22">
      <c r="B23" s="120">
        <f t="shared" si="14"/>
        <v>20000</v>
      </c>
      <c r="C23" s="7">
        <v>0.22</v>
      </c>
      <c r="D23" s="7">
        <f t="shared" si="15"/>
        <v>228.10778909979916</v>
      </c>
      <c r="E23" s="11">
        <f t="shared" si="1"/>
        <v>1.7853421082085084</v>
      </c>
      <c r="F23" s="19" t="e">
        <f t="shared" si="5"/>
        <v>#VALUE!</v>
      </c>
      <c r="G23" t="e">
        <f t="shared" si="2"/>
        <v>#VALUE!</v>
      </c>
      <c r="H23" s="12">
        <f t="shared" si="3"/>
        <v>2073.6809271535071</v>
      </c>
      <c r="I23" s="12">
        <f t="shared" si="4"/>
        <v>2099.1650525188807</v>
      </c>
      <c r="J23" s="141" t="e">
        <f t="shared" si="6"/>
        <v>#VALUE!</v>
      </c>
      <c r="K23" s="267" t="e" cm="1">
        <f t="array" ref="K23">InterpolateXYZ(J23,C23,B23,FFnorm_PS,FFnorm_M,FFnorm_h,FFnorm_table)*numeng</f>
        <v>#VALUE!</v>
      </c>
      <c r="L23" s="11" t="e">
        <f t="shared" si="7"/>
        <v>#VALUE!</v>
      </c>
      <c r="M23" s="425" t="e" cm="1">
        <f t="array" ref="M23">($D$5/G23)*(C23*Linterp($D$6,atmos_h,atmos_vela)/L23)</f>
        <v>#VALUE!</v>
      </c>
      <c r="N23" s="55" t="e">
        <f t="shared" si="8"/>
        <v>#VALUE!</v>
      </c>
      <c r="O23" s="426" t="e">
        <f t="shared" si="9"/>
        <v>#VALUE!</v>
      </c>
      <c r="P23" s="12"/>
      <c r="Q23" s="7">
        <f t="shared" si="10"/>
        <v>0.22</v>
      </c>
      <c r="R23" s="314" cm="1">
        <f t="array" ref="R23">numeng*InterpolateXY($D$6,$Q23,Tmil_h,Tmil_M,Tmil_table)</f>
        <v>2212.2098635042948</v>
      </c>
      <c r="S23" s="12" cm="1">
        <f t="array" ref="S23">numeng*InterpolateXY($D$6,$Q23,Tmax_h,Tmax_M,Tmax_table)</f>
        <v>3446.1881977711419</v>
      </c>
      <c r="T23" s="16" t="e">
        <f t="shared" si="11"/>
        <v>#VALUE!</v>
      </c>
      <c r="U23" s="55" t="e">
        <f t="shared" si="12"/>
        <v>#VALUE!</v>
      </c>
      <c r="V23" s="426" t="e">
        <f t="shared" si="13"/>
        <v>#VALUE!</v>
      </c>
    </row>
    <row r="24" spans="2:22">
      <c r="B24" s="120">
        <f t="shared" si="14"/>
        <v>20000</v>
      </c>
      <c r="C24" s="7">
        <v>0.23</v>
      </c>
      <c r="D24" s="7">
        <f t="shared" si="15"/>
        <v>238.47632496797186</v>
      </c>
      <c r="E24" s="11">
        <f t="shared" si="1"/>
        <v>1.6334699061869906</v>
      </c>
      <c r="F24" s="19" t="e">
        <f t="shared" si="5"/>
        <v>#VALUE!</v>
      </c>
      <c r="G24" s="16" t="e">
        <f t="shared" si="2"/>
        <v>#VALUE!</v>
      </c>
      <c r="H24" s="12">
        <f t="shared" si="3"/>
        <v>2082.2058230513635</v>
      </c>
      <c r="I24" s="12">
        <f t="shared" si="4"/>
        <v>2107.7947135775398</v>
      </c>
      <c r="J24" s="141" t="e">
        <f t="shared" si="6"/>
        <v>#VALUE!</v>
      </c>
      <c r="K24" s="267" t="e" cm="1">
        <f t="array" ref="K24">InterpolateXYZ(J24,C24,B24,FFnorm_PS,FFnorm_M,FFnorm_h,FFnorm_table)*numeng</f>
        <v>#VALUE!</v>
      </c>
      <c r="L24" s="11" t="e">
        <f t="shared" si="7"/>
        <v>#VALUE!</v>
      </c>
      <c r="M24" s="425" t="e" cm="1">
        <f t="array" ref="M24">($D$5/G24)*(C24*Linterp($D$6,atmos_h,atmos_vela)/L24)</f>
        <v>#VALUE!</v>
      </c>
      <c r="N24" s="55" t="e">
        <f t="shared" si="8"/>
        <v>#VALUE!</v>
      </c>
      <c r="O24" s="426" t="e">
        <f t="shared" si="9"/>
        <v>#VALUE!</v>
      </c>
      <c r="P24" s="12"/>
      <c r="Q24" s="7">
        <f t="shared" si="10"/>
        <v>0.23</v>
      </c>
      <c r="R24" s="314" cm="1">
        <f t="array" ref="R24">numeng*InterpolateXY($D$6,$Q24,Tmil_h,Tmil_M,Tmil_table)</f>
        <v>2220.7347570052748</v>
      </c>
      <c r="S24" s="12" cm="1">
        <f t="array" ref="S24">numeng*InterpolateXY($D$6,$Q24,Tmax_h,Tmax_M,Tmax_table)</f>
        <v>3469.6316548988366</v>
      </c>
      <c r="T24" s="16" t="e">
        <f t="shared" si="11"/>
        <v>#VALUE!</v>
      </c>
      <c r="U24" s="55" t="e">
        <f t="shared" si="12"/>
        <v>#VALUE!</v>
      </c>
      <c r="V24" s="426" t="e">
        <f t="shared" si="13"/>
        <v>#VALUE!</v>
      </c>
    </row>
    <row r="25" spans="2:22">
      <c r="B25" s="120">
        <f t="shared" si="14"/>
        <v>20000</v>
      </c>
      <c r="C25" s="7">
        <v>0.24</v>
      </c>
      <c r="D25" s="7">
        <f t="shared" si="15"/>
        <v>248.84486083614453</v>
      </c>
      <c r="E25" s="11">
        <f t="shared" si="1"/>
        <v>1.5001832992585382</v>
      </c>
      <c r="F25" s="19" t="e">
        <f t="shared" si="5"/>
        <v>#VALUE!</v>
      </c>
      <c r="G25" s="16" t="e">
        <f t="shared" si="2"/>
        <v>#VALUE!</v>
      </c>
      <c r="H25" s="12">
        <f t="shared" si="3"/>
        <v>2090.7307189492194</v>
      </c>
      <c r="I25" s="12">
        <f t="shared" si="4"/>
        <v>2116.424374636199</v>
      </c>
      <c r="J25" s="141" t="e">
        <f t="shared" si="6"/>
        <v>#VALUE!</v>
      </c>
      <c r="K25" s="267" t="e" cm="1">
        <f t="array" ref="K25">InterpolateXYZ(J25,C25,B25,FFnorm_PS,FFnorm_M,FFnorm_h,FFnorm_table)*numeng</f>
        <v>#VALUE!</v>
      </c>
      <c r="L25" s="11" t="e">
        <f t="shared" si="7"/>
        <v>#VALUE!</v>
      </c>
      <c r="M25" s="425" t="e" cm="1">
        <f t="array" ref="M25">($D$5/G25)*(C25*Linterp($D$6,atmos_h,atmos_vela)/L25)</f>
        <v>#VALUE!</v>
      </c>
      <c r="N25" s="55" t="e">
        <f t="shared" si="8"/>
        <v>#VALUE!</v>
      </c>
      <c r="O25" s="426" t="e">
        <f t="shared" si="9"/>
        <v>#VALUE!</v>
      </c>
      <c r="P25" s="12"/>
      <c r="Q25" s="7">
        <f t="shared" si="10"/>
        <v>0.24</v>
      </c>
      <c r="R25" s="314" cm="1">
        <f t="array" ref="R25">numeng*InterpolateXY($D$6,$Q25,Tmil_h,Tmil_M,Tmil_table)</f>
        <v>2229.2596505062547</v>
      </c>
      <c r="S25" s="12" cm="1">
        <f t="array" ref="S25">numeng*InterpolateXY($D$6,$Q25,Tmax_h,Tmax_M,Tmax_table)</f>
        <v>3493.0751120265313</v>
      </c>
      <c r="T25" s="16" t="e">
        <f t="shared" si="11"/>
        <v>#VALUE!</v>
      </c>
      <c r="U25" s="55" t="e">
        <f t="shared" si="12"/>
        <v>#VALUE!</v>
      </c>
      <c r="V25" s="426" t="e">
        <f t="shared" si="13"/>
        <v>#VALUE!</v>
      </c>
    </row>
    <row r="26" spans="2:22">
      <c r="B26" s="120">
        <f t="shared" si="14"/>
        <v>20000</v>
      </c>
      <c r="C26" s="7">
        <v>0.25</v>
      </c>
      <c r="D26" s="7">
        <f t="shared" si="15"/>
        <v>259.21339670431723</v>
      </c>
      <c r="E26" s="11">
        <f t="shared" si="1"/>
        <v>1.3825689285966691</v>
      </c>
      <c r="F26" s="19" t="e">
        <f t="shared" si="5"/>
        <v>#VALUE!</v>
      </c>
      <c r="G26" s="16" t="e">
        <f t="shared" si="2"/>
        <v>#VALUE!</v>
      </c>
      <c r="H26" s="12">
        <f t="shared" si="3"/>
        <v>2099.2556148470758</v>
      </c>
      <c r="I26" s="12">
        <f t="shared" si="4"/>
        <v>2125.0540356948586</v>
      </c>
      <c r="J26" s="141" t="e">
        <f t="shared" si="6"/>
        <v>#VALUE!</v>
      </c>
      <c r="K26" s="267" t="e" cm="1">
        <f t="array" ref="K26">InterpolateXYZ(J26,C26,B26,FFnorm_PS,FFnorm_M,FFnorm_h,FFnorm_table)*numeng</f>
        <v>#VALUE!</v>
      </c>
      <c r="L26" s="11" t="e">
        <f t="shared" si="7"/>
        <v>#VALUE!</v>
      </c>
      <c r="M26" s="425" t="e" cm="1">
        <f t="array" ref="M26">($D$5/G26)*(C26*Linterp($D$6,atmos_h,atmos_vela)/L26)</f>
        <v>#VALUE!</v>
      </c>
      <c r="N26" s="55" t="e">
        <f t="shared" si="8"/>
        <v>#VALUE!</v>
      </c>
      <c r="O26" s="426" t="e">
        <f t="shared" si="9"/>
        <v>#VALUE!</v>
      </c>
      <c r="P26" s="12"/>
      <c r="Q26" s="7">
        <f t="shared" si="10"/>
        <v>0.25</v>
      </c>
      <c r="R26" s="314" cm="1">
        <f t="array" ref="R26">numeng*InterpolateXY($D$6,$Q26,Tmil_h,Tmil_M,Tmil_table)</f>
        <v>2237.7845440072347</v>
      </c>
      <c r="S26" s="12" cm="1">
        <f t="array" ref="S26">numeng*InterpolateXY($D$6,$Q26,Tmax_h,Tmax_M,Tmax_table)</f>
        <v>3516.5185691542265</v>
      </c>
      <c r="T26" s="16" t="e">
        <f t="shared" si="11"/>
        <v>#VALUE!</v>
      </c>
      <c r="U26" s="55" t="e">
        <f t="shared" si="12"/>
        <v>#VALUE!</v>
      </c>
      <c r="V26" s="426" t="e">
        <f t="shared" si="13"/>
        <v>#VALUE!</v>
      </c>
    </row>
    <row r="27" spans="2:22">
      <c r="B27" s="120">
        <f t="shared" si="14"/>
        <v>20000</v>
      </c>
      <c r="C27" s="7">
        <v>0.26</v>
      </c>
      <c r="D27" s="7">
        <f t="shared" si="15"/>
        <v>269.5819325724899</v>
      </c>
      <c r="E27" s="11">
        <f t="shared" si="1"/>
        <v>1.2782626928593464</v>
      </c>
      <c r="F27" s="19" t="e">
        <f t="shared" si="5"/>
        <v>#VALUE!</v>
      </c>
      <c r="G27" s="16" t="e">
        <f t="shared" si="2"/>
        <v>#VALUE!</v>
      </c>
      <c r="H27" s="12">
        <f t="shared" si="3"/>
        <v>2107.7805107449317</v>
      </c>
      <c r="I27" s="12">
        <f t="shared" si="4"/>
        <v>2133.6836967535178</v>
      </c>
      <c r="J27" s="141" t="e">
        <f t="shared" si="6"/>
        <v>#VALUE!</v>
      </c>
      <c r="K27" s="267" t="e" cm="1">
        <f t="array" ref="K27">InterpolateXYZ(J27,C27,B27,FFnorm_PS,FFnorm_M,FFnorm_h,FFnorm_table)*numeng</f>
        <v>#VALUE!</v>
      </c>
      <c r="L27" s="11" t="e">
        <f t="shared" si="7"/>
        <v>#VALUE!</v>
      </c>
      <c r="M27" s="425" t="e" cm="1">
        <f t="array" ref="M27">($D$5/G27)*(C27*Linterp($D$6,atmos_h,atmos_vela)/L27)</f>
        <v>#VALUE!</v>
      </c>
      <c r="N27" s="55" t="e">
        <f t="shared" si="8"/>
        <v>#VALUE!</v>
      </c>
      <c r="O27" s="426" t="e">
        <f t="shared" si="9"/>
        <v>#VALUE!</v>
      </c>
      <c r="P27" s="12"/>
      <c r="Q27" s="7">
        <f t="shared" si="10"/>
        <v>0.26</v>
      </c>
      <c r="R27" s="314" cm="1">
        <f t="array" ref="R27">numeng*InterpolateXY($D$6,$Q27,Tmil_h,Tmil_M,Tmil_table)</f>
        <v>2246.3094375082146</v>
      </c>
      <c r="S27" s="12" cm="1">
        <f t="array" ref="S27">numeng*InterpolateXY($D$6,$Q27,Tmax_h,Tmax_M,Tmax_table)</f>
        <v>3539.9620262819212</v>
      </c>
      <c r="T27" s="16" t="e">
        <f t="shared" si="11"/>
        <v>#VALUE!</v>
      </c>
      <c r="U27" s="55" t="e">
        <f t="shared" si="12"/>
        <v>#VALUE!</v>
      </c>
      <c r="V27" s="426" t="e">
        <f t="shared" si="13"/>
        <v>#VALUE!</v>
      </c>
    </row>
    <row r="28" spans="2:22">
      <c r="B28" s="120">
        <f t="shared" si="14"/>
        <v>20000</v>
      </c>
      <c r="C28" s="7">
        <v>0.27</v>
      </c>
      <c r="D28" s="7">
        <f t="shared" si="15"/>
        <v>279.95046844066263</v>
      </c>
      <c r="E28" s="11">
        <f t="shared" si="1"/>
        <v>1.1853300142289684</v>
      </c>
      <c r="F28" s="19" t="e">
        <f t="shared" si="5"/>
        <v>#VALUE!</v>
      </c>
      <c r="G28" s="16" t="e">
        <f t="shared" si="2"/>
        <v>#VALUE!</v>
      </c>
      <c r="H28" s="12">
        <f t="shared" si="3"/>
        <v>2116.3054066427881</v>
      </c>
      <c r="I28" s="12">
        <f t="shared" si="4"/>
        <v>2142.3133578121769</v>
      </c>
      <c r="J28" s="141" t="e">
        <f t="shared" si="6"/>
        <v>#VALUE!</v>
      </c>
      <c r="K28" s="267" t="e" cm="1">
        <f t="array" ref="K28">InterpolateXYZ(J28,C28,B28,FFnorm_PS,FFnorm_M,FFnorm_h,FFnorm_table)*numeng</f>
        <v>#VALUE!</v>
      </c>
      <c r="L28" s="11" t="e">
        <f t="shared" si="7"/>
        <v>#VALUE!</v>
      </c>
      <c r="M28" s="425" t="e" cm="1">
        <f t="array" ref="M28">($D$5/G28)*(C28*Linterp($D$6,atmos_h,atmos_vela)/L28)</f>
        <v>#VALUE!</v>
      </c>
      <c r="N28" s="55" t="e">
        <f t="shared" si="8"/>
        <v>#VALUE!</v>
      </c>
      <c r="O28" s="426" t="e">
        <f t="shared" si="9"/>
        <v>#VALUE!</v>
      </c>
      <c r="P28" s="12"/>
      <c r="Q28" s="7">
        <f t="shared" si="10"/>
        <v>0.27</v>
      </c>
      <c r="R28" s="314" cm="1">
        <f t="array" ref="R28">numeng*InterpolateXY($D$6,$Q28,Tmil_h,Tmil_M,Tmil_table)</f>
        <v>2254.8343310091946</v>
      </c>
      <c r="S28" s="12" cm="1">
        <f t="array" ref="S28">numeng*InterpolateXY($D$6,$Q28,Tmax_h,Tmax_M,Tmax_table)</f>
        <v>3563.405483409616</v>
      </c>
      <c r="T28" s="16" t="e">
        <f t="shared" si="11"/>
        <v>#VALUE!</v>
      </c>
      <c r="U28" s="55" t="e">
        <f t="shared" si="12"/>
        <v>#VALUE!</v>
      </c>
      <c r="V28" s="426" t="e">
        <f t="shared" si="13"/>
        <v>#VALUE!</v>
      </c>
    </row>
    <row r="29" spans="2:22">
      <c r="B29" s="120">
        <f t="shared" si="14"/>
        <v>20000</v>
      </c>
      <c r="C29" s="7">
        <v>0.28000000000000003</v>
      </c>
      <c r="D29" s="7">
        <f t="shared" si="15"/>
        <v>290.3190043088353</v>
      </c>
      <c r="E29" s="11">
        <f t="shared" si="1"/>
        <v>1.1021754851695382</v>
      </c>
      <c r="F29" s="19" t="e">
        <f t="shared" si="5"/>
        <v>#VALUE!</v>
      </c>
      <c r="G29" s="16" t="e">
        <f t="shared" si="2"/>
        <v>#VALUE!</v>
      </c>
      <c r="H29" s="12">
        <f t="shared" si="3"/>
        <v>2124.830302540644</v>
      </c>
      <c r="I29" s="12">
        <f t="shared" si="4"/>
        <v>2150.9430188708361</v>
      </c>
      <c r="J29" s="141" t="e">
        <f t="shared" si="6"/>
        <v>#VALUE!</v>
      </c>
      <c r="K29" s="267" t="e" cm="1">
        <f t="array" ref="K29">InterpolateXYZ(J29,C29,B29,FFnorm_PS,FFnorm_M,FFnorm_h,FFnorm_table)*numeng</f>
        <v>#VALUE!</v>
      </c>
      <c r="L29" s="11" t="e">
        <f t="shared" si="7"/>
        <v>#VALUE!</v>
      </c>
      <c r="M29" s="425" t="e" cm="1">
        <f t="array" ref="M29">($D$5/G29)*(C29*Linterp($D$6,atmos_h,atmos_vela)/L29)</f>
        <v>#VALUE!</v>
      </c>
      <c r="N29" s="55" t="e">
        <f t="shared" si="8"/>
        <v>#VALUE!</v>
      </c>
      <c r="O29" s="426" t="e">
        <f t="shared" si="9"/>
        <v>#VALUE!</v>
      </c>
      <c r="P29" s="12"/>
      <c r="Q29" s="7">
        <f t="shared" si="10"/>
        <v>0.28000000000000003</v>
      </c>
      <c r="R29" s="314" cm="1">
        <f t="array" ref="R29">numeng*InterpolateXY($D$6,$Q29,Tmil_h,Tmil_M,Tmil_table)</f>
        <v>2263.3592245101745</v>
      </c>
      <c r="S29" s="12" cm="1">
        <f t="array" ref="S29">numeng*InterpolateXY($D$6,$Q29,Tmax_h,Tmax_M,Tmax_table)</f>
        <v>3586.8489405373111</v>
      </c>
      <c r="T29" s="16" t="e">
        <f t="shared" si="11"/>
        <v>#VALUE!</v>
      </c>
      <c r="U29" s="55" t="e">
        <f t="shared" si="12"/>
        <v>#VALUE!</v>
      </c>
      <c r="V29" s="426" t="e">
        <f t="shared" si="13"/>
        <v>#VALUE!</v>
      </c>
    </row>
    <row r="30" spans="2:22">
      <c r="B30" s="120">
        <f t="shared" si="14"/>
        <v>20000</v>
      </c>
      <c r="C30" s="7">
        <v>0.28999999999999998</v>
      </c>
      <c r="D30" s="7">
        <f t="shared" si="15"/>
        <v>300.68754017700797</v>
      </c>
      <c r="E30" s="11">
        <f t="shared" si="1"/>
        <v>1.0274739362341476</v>
      </c>
      <c r="F30" s="19" t="e">
        <f t="shared" si="5"/>
        <v>#VALUE!</v>
      </c>
      <c r="G30" s="16" t="e">
        <f t="shared" si="2"/>
        <v>#VALUE!</v>
      </c>
      <c r="H30" s="12">
        <f t="shared" si="3"/>
        <v>2133.3551984384999</v>
      </c>
      <c r="I30" s="12">
        <f t="shared" si="4"/>
        <v>2159.5726799294957</v>
      </c>
      <c r="J30" s="141" t="e">
        <f t="shared" si="6"/>
        <v>#VALUE!</v>
      </c>
      <c r="K30" s="267" t="e" cm="1">
        <f t="array" ref="K30">InterpolateXYZ(J30,C30,B30,FFnorm_PS,FFnorm_M,FFnorm_h,FFnorm_table)*numeng</f>
        <v>#VALUE!</v>
      </c>
      <c r="L30" s="11" t="e">
        <f t="shared" si="7"/>
        <v>#VALUE!</v>
      </c>
      <c r="M30" s="425" t="e" cm="1">
        <f t="array" ref="M30">($D$5/G30)*(C30*Linterp($D$6,atmos_h,atmos_vela)/L30)</f>
        <v>#VALUE!</v>
      </c>
      <c r="N30" s="55" t="e">
        <f t="shared" si="8"/>
        <v>#VALUE!</v>
      </c>
      <c r="O30" s="426" t="e">
        <f t="shared" si="9"/>
        <v>#VALUE!</v>
      </c>
      <c r="P30" s="12"/>
      <c r="Q30" s="7">
        <f t="shared" si="10"/>
        <v>0.28999999999999998</v>
      </c>
      <c r="R30" s="314" cm="1">
        <f t="array" ref="R30">numeng*InterpolateXY($D$6,$Q30,Tmil_h,Tmil_M,Tmil_table)</f>
        <v>2271.8841180111544</v>
      </c>
      <c r="S30" s="12" cm="1">
        <f t="array" ref="S30">numeng*InterpolateXY($D$6,$Q30,Tmax_h,Tmax_M,Tmax_table)</f>
        <v>3610.2923976650059</v>
      </c>
      <c r="T30" s="16" t="e">
        <f t="shared" si="11"/>
        <v>#VALUE!</v>
      </c>
      <c r="U30" s="55" t="e">
        <f t="shared" si="12"/>
        <v>#VALUE!</v>
      </c>
      <c r="V30" s="426" t="e">
        <f t="shared" si="13"/>
        <v>#VALUE!</v>
      </c>
    </row>
    <row r="31" spans="2:22">
      <c r="B31" s="120">
        <f t="shared" si="14"/>
        <v>20000</v>
      </c>
      <c r="C31" s="7">
        <v>0.3</v>
      </c>
      <c r="D31" s="7">
        <f t="shared" si="15"/>
        <v>311.05607604518065</v>
      </c>
      <c r="E31" s="11">
        <f t="shared" si="1"/>
        <v>0.96011731152546453</v>
      </c>
      <c r="F31" s="19" t="e">
        <f t="shared" si="5"/>
        <v>#VALUE!</v>
      </c>
      <c r="G31" s="16" t="e">
        <f t="shared" si="2"/>
        <v>#VALUE!</v>
      </c>
      <c r="H31" s="12">
        <f t="shared" si="3"/>
        <v>2141.8800943363563</v>
      </c>
      <c r="I31" s="12">
        <f t="shared" si="4"/>
        <v>2168.2023409881549</v>
      </c>
      <c r="J31" s="141" t="e">
        <f t="shared" si="6"/>
        <v>#VALUE!</v>
      </c>
      <c r="K31" s="267" t="e" cm="1">
        <f t="array" ref="K31">InterpolateXYZ(J31,C31,B31,FFnorm_PS,FFnorm_M,FFnorm_h,FFnorm_table)*numeng</f>
        <v>#VALUE!</v>
      </c>
      <c r="L31" s="11" t="e">
        <f t="shared" si="7"/>
        <v>#VALUE!</v>
      </c>
      <c r="M31" s="425" t="e" cm="1">
        <f t="array" ref="M31">($D$5/G31)*(C31*Linterp($D$6,atmos_h,atmos_vela)/L31)</f>
        <v>#VALUE!</v>
      </c>
      <c r="N31" s="55" t="e">
        <f t="shared" si="8"/>
        <v>#VALUE!</v>
      </c>
      <c r="O31" s="426" t="e">
        <f t="shared" si="9"/>
        <v>#VALUE!</v>
      </c>
      <c r="P31" s="12"/>
      <c r="Q31" s="7">
        <f t="shared" si="10"/>
        <v>0.3</v>
      </c>
      <c r="R31" s="314" cm="1">
        <f t="array" ref="R31">numeng*InterpolateXY($D$6,$Q31,Tmil_h,Tmil_M,Tmil_table)</f>
        <v>2280.4090115121344</v>
      </c>
      <c r="S31" s="12" cm="1">
        <f t="array" ref="S31">numeng*InterpolateXY($D$6,$Q31,Tmax_h,Tmax_M,Tmax_table)</f>
        <v>3633.7358547927006</v>
      </c>
      <c r="T31" s="16" t="e">
        <f t="shared" si="11"/>
        <v>#VALUE!</v>
      </c>
      <c r="U31" s="55" t="e">
        <f t="shared" si="12"/>
        <v>#VALUE!</v>
      </c>
      <c r="V31" s="426" t="e">
        <f t="shared" si="13"/>
        <v>#VALUE!</v>
      </c>
    </row>
    <row r="32" spans="2:22">
      <c r="B32" s="120">
        <f t="shared" si="14"/>
        <v>20000</v>
      </c>
      <c r="C32" s="7">
        <v>0.31</v>
      </c>
      <c r="D32" s="7">
        <f t="shared" si="15"/>
        <v>321.42461191335337</v>
      </c>
      <c r="E32" s="11">
        <f t="shared" si="1"/>
        <v>0.89917334065860366</v>
      </c>
      <c r="F32" s="19" t="e">
        <f t="shared" si="5"/>
        <v>#VALUE!</v>
      </c>
      <c r="G32" s="16" t="e">
        <f t="shared" si="2"/>
        <v>#VALUE!</v>
      </c>
      <c r="H32" s="12">
        <f t="shared" si="3"/>
        <v>2150.4049902342126</v>
      </c>
      <c r="I32" s="12">
        <f t="shared" si="4"/>
        <v>2176.8320020468141</v>
      </c>
      <c r="J32" s="141" t="e">
        <f t="shared" si="6"/>
        <v>#VALUE!</v>
      </c>
      <c r="K32" s="267" t="e" cm="1">
        <f t="array" ref="K32">InterpolateXYZ(J32,C32,B32,FFnorm_PS,FFnorm_M,FFnorm_h,FFnorm_table)*numeng</f>
        <v>#VALUE!</v>
      </c>
      <c r="L32" s="11" t="e">
        <f t="shared" si="7"/>
        <v>#VALUE!</v>
      </c>
      <c r="M32" s="425" t="e" cm="1">
        <f t="array" ref="M32">($D$5/G32)*(C32*Linterp($D$6,atmos_h,atmos_vela)/L32)</f>
        <v>#VALUE!</v>
      </c>
      <c r="N32" s="55" t="e">
        <f t="shared" si="8"/>
        <v>#VALUE!</v>
      </c>
      <c r="O32" s="426" t="e">
        <f t="shared" si="9"/>
        <v>#VALUE!</v>
      </c>
      <c r="P32" s="12"/>
      <c r="Q32" s="7">
        <f t="shared" si="10"/>
        <v>0.31</v>
      </c>
      <c r="R32" s="314" cm="1">
        <f t="array" ref="R32">numeng*InterpolateXY($D$6,$Q32,Tmil_h,Tmil_M,Tmil_table)</f>
        <v>2288.9339050131143</v>
      </c>
      <c r="S32" s="12" cm="1">
        <f t="array" ref="S32">numeng*InterpolateXY($D$6,$Q32,Tmax_h,Tmax_M,Tmax_table)</f>
        <v>3657.1793119203953</v>
      </c>
      <c r="T32" s="16" t="e">
        <f t="shared" si="11"/>
        <v>#VALUE!</v>
      </c>
      <c r="U32" s="55" t="e">
        <f t="shared" si="12"/>
        <v>#VALUE!</v>
      </c>
      <c r="V32" s="426" t="e">
        <f t="shared" si="13"/>
        <v>#VALUE!</v>
      </c>
    </row>
    <row r="33" spans="2:22">
      <c r="B33" s="120">
        <f t="shared" si="14"/>
        <v>20000</v>
      </c>
      <c r="C33" s="7">
        <v>0.32</v>
      </c>
      <c r="D33" s="7">
        <f t="shared" si="15"/>
        <v>331.79314778152605</v>
      </c>
      <c r="E33" s="11">
        <f t="shared" si="1"/>
        <v>0.84385310583292794</v>
      </c>
      <c r="F33" s="19" t="e">
        <f t="shared" si="5"/>
        <v>#VALUE!</v>
      </c>
      <c r="G33" s="16" t="e">
        <f t="shared" si="2"/>
        <v>#VALUE!</v>
      </c>
      <c r="H33" s="12">
        <f t="shared" si="3"/>
        <v>2158.9298861320685</v>
      </c>
      <c r="I33" s="12">
        <f t="shared" si="4"/>
        <v>2185.4616631054737</v>
      </c>
      <c r="J33" s="141" t="e">
        <f t="shared" si="6"/>
        <v>#VALUE!</v>
      </c>
      <c r="K33" s="267" t="e" cm="1">
        <f t="array" ref="K33">InterpolateXYZ(J33,C33,B33,FFnorm_PS,FFnorm_M,FFnorm_h,FFnorm_table)*numeng</f>
        <v>#VALUE!</v>
      </c>
      <c r="L33" s="11" t="e">
        <f t="shared" si="7"/>
        <v>#VALUE!</v>
      </c>
      <c r="M33" s="425" t="e" cm="1">
        <f t="array" ref="M33">($D$5/G33)*(C33*Linterp($D$6,atmos_h,atmos_vela)/L33)</f>
        <v>#VALUE!</v>
      </c>
      <c r="N33" s="55" t="e">
        <f t="shared" si="8"/>
        <v>#VALUE!</v>
      </c>
      <c r="O33" s="426" t="e">
        <f t="shared" si="9"/>
        <v>#VALUE!</v>
      </c>
      <c r="P33" s="12"/>
      <c r="Q33" s="7">
        <f t="shared" si="10"/>
        <v>0.32</v>
      </c>
      <c r="R33" s="314" cm="1">
        <f t="array" ref="R33">numeng*InterpolateXY($D$6,$Q33,Tmil_h,Tmil_M,Tmil_table)</f>
        <v>2297.4587985140943</v>
      </c>
      <c r="S33" s="12" cm="1">
        <f t="array" ref="S33">numeng*InterpolateXY($D$6,$Q33,Tmax_h,Tmax_M,Tmax_table)</f>
        <v>3680.62276904809</v>
      </c>
      <c r="T33" s="16" t="e">
        <f t="shared" si="11"/>
        <v>#VALUE!</v>
      </c>
      <c r="U33" s="55" t="e">
        <f t="shared" si="12"/>
        <v>#VALUE!</v>
      </c>
      <c r="V33" s="426" t="e">
        <f t="shared" si="13"/>
        <v>#VALUE!</v>
      </c>
    </row>
    <row r="34" spans="2:22">
      <c r="B34" s="120">
        <f t="shared" si="14"/>
        <v>20000</v>
      </c>
      <c r="C34" s="7">
        <v>0.33</v>
      </c>
      <c r="D34" s="7">
        <f t="shared" si="15"/>
        <v>342.16168364969877</v>
      </c>
      <c r="E34" s="11">
        <f t="shared" si="1"/>
        <v>0.79348538142600356</v>
      </c>
      <c r="F34" s="19">
        <f t="shared" si="5"/>
        <v>0.18773000375241089</v>
      </c>
      <c r="G34" s="16">
        <f t="shared" si="2"/>
        <v>2365.8911449009174</v>
      </c>
      <c r="H34" s="12">
        <f t="shared" si="3"/>
        <v>2167.4547820299249</v>
      </c>
      <c r="I34" s="12">
        <f t="shared" si="4"/>
        <v>2194.0913241641329</v>
      </c>
      <c r="J34" s="141">
        <f t="shared" si="6"/>
        <v>1.0915527117410715</v>
      </c>
      <c r="K34" s="267" t="e" cm="1">
        <f t="array" ref="K34">InterpolateXYZ(J34,C34,B34,FFnorm_PS,FFnorm_M,FFnorm_h,FFnorm_table)*numeng</f>
        <v>#VALUE!</v>
      </c>
      <c r="L34" s="11" t="e">
        <f t="shared" si="7"/>
        <v>#VALUE!</v>
      </c>
      <c r="M34" s="425" t="e" cm="1">
        <f t="array" ref="M34">($D$5/G34)*(C34*Linterp($D$6,atmos_h,atmos_vela)/L34)</f>
        <v>#VALUE!</v>
      </c>
      <c r="N34" s="55" t="e">
        <f t="shared" si="8"/>
        <v>#VALUE!</v>
      </c>
      <c r="O34" s="426" t="e">
        <f t="shared" si="9"/>
        <v>#VALUE!</v>
      </c>
      <c r="P34" s="12"/>
      <c r="Q34" s="7">
        <f t="shared" si="10"/>
        <v>0.33</v>
      </c>
      <c r="R34" s="314" cm="1">
        <f t="array" ref="R34">numeng*InterpolateXY($D$6,$Q34,Tmil_h,Tmil_M,Tmil_table)</f>
        <v>2305.9836920150742</v>
      </c>
      <c r="S34" s="12" cm="1">
        <f t="array" ref="S34">numeng*InterpolateXY($D$6,$Q34,Tmax_h,Tmax_M,Tmax_table)</f>
        <v>3704.0662261757852</v>
      </c>
      <c r="T34" s="16">
        <f t="shared" si="11"/>
        <v>2365.8911449009174</v>
      </c>
      <c r="U34" s="55">
        <f t="shared" si="12"/>
        <v>-59.907452885843213</v>
      </c>
      <c r="V34" s="426">
        <f t="shared" si="13"/>
        <v>1338.1750812748678</v>
      </c>
    </row>
    <row r="35" spans="2:22">
      <c r="B35" s="120">
        <f t="shared" si="14"/>
        <v>20000</v>
      </c>
      <c r="C35" s="7">
        <v>0.34</v>
      </c>
      <c r="D35" s="7">
        <f t="shared" si="15"/>
        <v>352.53021951787144</v>
      </c>
      <c r="E35" s="11">
        <f t="shared" si="1"/>
        <v>0.7474961767931817</v>
      </c>
      <c r="F35" s="19">
        <f t="shared" si="5"/>
        <v>0.16085499374784337</v>
      </c>
      <c r="G35" s="16">
        <f t="shared" si="2"/>
        <v>2151.9172771949707</v>
      </c>
      <c r="H35" s="12">
        <f t="shared" si="3"/>
        <v>2175.9796779277808</v>
      </c>
      <c r="I35" s="12">
        <f t="shared" si="4"/>
        <v>2202.720985222792</v>
      </c>
      <c r="J35" s="141">
        <f t="shared" si="6"/>
        <v>0.98894180815340837</v>
      </c>
      <c r="K35" s="267" cm="1">
        <f t="array" ref="K35">InterpolateXYZ(J35,C35,B35,FFnorm_PS,FFnorm_M,FFnorm_h,FFnorm_table)*numeng</f>
        <v>2178.3628739836849</v>
      </c>
      <c r="L35" s="11">
        <f t="shared" si="7"/>
        <v>1.0122893184923847</v>
      </c>
      <c r="M35" s="425" cm="1">
        <f t="array" ref="M35">($D$5/G35)*(C35*Linterp($D$6,atmos_h,atmos_vela)/L35)</f>
        <v>958.21959183969727</v>
      </c>
      <c r="N35" s="55">
        <f t="shared" si="8"/>
        <v>4.590603392772886</v>
      </c>
      <c r="O35" s="426">
        <f t="shared" si="9"/>
        <v>9.5821959183969727E-2</v>
      </c>
      <c r="P35" s="12"/>
      <c r="Q35" s="7">
        <f t="shared" si="10"/>
        <v>0.34</v>
      </c>
      <c r="R35" s="314" cm="1">
        <f t="array" ref="R35">numeng*InterpolateXY($D$6,$Q35,Tmil_h,Tmil_M,Tmil_table)</f>
        <v>2314.5085855160542</v>
      </c>
      <c r="S35" s="12" cm="1">
        <f t="array" ref="S35">numeng*InterpolateXY($D$6,$Q35,Tmax_h,Tmax_M,Tmax_table)</f>
        <v>3727.50968330348</v>
      </c>
      <c r="T35" s="16">
        <f t="shared" si="11"/>
        <v>2151.9172771949707</v>
      </c>
      <c r="U35" s="55">
        <f t="shared" si="12"/>
        <v>162.59130832108349</v>
      </c>
      <c r="V35" s="426">
        <f t="shared" si="13"/>
        <v>1575.5924061085093</v>
      </c>
    </row>
    <row r="36" spans="2:22">
      <c r="B36" s="120">
        <f t="shared" si="14"/>
        <v>20000</v>
      </c>
      <c r="C36" s="7">
        <v>0.35</v>
      </c>
      <c r="D36" s="7">
        <f t="shared" si="15"/>
        <v>362.89875538604412</v>
      </c>
      <c r="E36" s="11">
        <f t="shared" si="1"/>
        <v>0.70539231050850471</v>
      </c>
      <c r="F36" s="19">
        <f t="shared" si="5"/>
        <v>0.13624879445752103</v>
      </c>
      <c r="G36" s="16">
        <f t="shared" si="2"/>
        <v>1931.5321761772782</v>
      </c>
      <c r="H36" s="12">
        <f t="shared" si="3"/>
        <v>2184.5045738256367</v>
      </c>
      <c r="I36" s="12">
        <f t="shared" si="4"/>
        <v>2211.3506462814512</v>
      </c>
      <c r="J36" s="141">
        <f t="shared" si="6"/>
        <v>0.88419690181497856</v>
      </c>
      <c r="K36" s="267" cm="1">
        <f t="array" ref="K36">InterpolateXYZ(J36,C36,B36,FFnorm_PS,FFnorm_M,FFnorm_h,FFnorm_table)*numeng</f>
        <v>1955.2693902686099</v>
      </c>
      <c r="L36" s="11">
        <f t="shared" si="7"/>
        <v>1.0122893184923849</v>
      </c>
      <c r="M36" s="425" cm="1">
        <f t="array" ref="M36">($D$5/G36)*(C36*Linterp($D$6,atmos_h,atmos_vela)/L36)</f>
        <v>1098.9496594533564</v>
      </c>
      <c r="N36" s="55">
        <f t="shared" si="8"/>
        <v>5.1143847746863287</v>
      </c>
      <c r="O36" s="426">
        <f t="shared" si="9"/>
        <v>0.10989496594533564</v>
      </c>
      <c r="P36" s="12"/>
      <c r="Q36" s="7">
        <f t="shared" si="10"/>
        <v>0.35</v>
      </c>
      <c r="R36" s="314" cm="1">
        <f t="array" ref="R36">numeng*InterpolateXY($D$6,$Q36,Tmil_h,Tmil_M,Tmil_table)</f>
        <v>2323.0334790170341</v>
      </c>
      <c r="S36" s="12" cm="1">
        <f t="array" ref="S36">numeng*InterpolateXY($D$6,$Q36,Tmax_h,Tmax_M,Tmax_table)</f>
        <v>3750.9531404311747</v>
      </c>
      <c r="T36" s="16">
        <f t="shared" si="11"/>
        <v>1931.5321761772782</v>
      </c>
      <c r="U36" s="55">
        <f t="shared" si="12"/>
        <v>391.50130283975591</v>
      </c>
      <c r="V36" s="426">
        <f t="shared" si="13"/>
        <v>1819.4209642538965</v>
      </c>
    </row>
    <row r="37" spans="2:22">
      <c r="B37" s="120">
        <f t="shared" si="14"/>
        <v>20000</v>
      </c>
      <c r="C37" s="7">
        <v>0.36</v>
      </c>
      <c r="D37" s="7">
        <f t="shared" si="15"/>
        <v>373.26729125421679</v>
      </c>
      <c r="E37" s="11">
        <f t="shared" si="1"/>
        <v>0.66674813300379487</v>
      </c>
      <c r="F37" s="19">
        <f t="shared" si="5"/>
        <v>0.11851568225566214</v>
      </c>
      <c r="G37" s="16">
        <f t="shared" si="2"/>
        <v>1777.5180220112834</v>
      </c>
      <c r="H37" s="12">
        <f t="shared" si="3"/>
        <v>2193.0294697234931</v>
      </c>
      <c r="I37" s="12">
        <f t="shared" si="4"/>
        <v>2219.9803073401108</v>
      </c>
      <c r="J37" s="141">
        <f t="shared" si="6"/>
        <v>0.81053084171978806</v>
      </c>
      <c r="K37" s="267" cm="1">
        <f t="array" ref="K37">InterpolateXYZ(J37,C37,B37,FFnorm_PS,FFnorm_M,FFnorm_h,FFnorm_table)*numeng</f>
        <v>1799.3625071097335</v>
      </c>
      <c r="L37" s="11">
        <f t="shared" si="7"/>
        <v>1.0122893184923847</v>
      </c>
      <c r="M37" s="425" cm="1">
        <f t="array" ref="M37">($D$5/G37)*(C37*Linterp($D$6,atmos_h,atmos_vela)/L37)</f>
        <v>1228.2879455531197</v>
      </c>
      <c r="N37" s="55">
        <f t="shared" si="8"/>
        <v>5.5575238232915742</v>
      </c>
      <c r="O37" s="426">
        <f t="shared" si="9"/>
        <v>0.12282879455531197</v>
      </c>
      <c r="P37" s="12"/>
      <c r="Q37" s="7">
        <f t="shared" si="10"/>
        <v>0.36</v>
      </c>
      <c r="R37" s="314" cm="1">
        <f t="array" ref="R37">numeng*InterpolateXY($D$6,$Q37,Tmil_h,Tmil_M,Tmil_table)</f>
        <v>2331.558372518014</v>
      </c>
      <c r="S37" s="12" cm="1">
        <f t="array" ref="S37">numeng*InterpolateXY($D$6,$Q37,Tmax_h,Tmax_M,Tmax_table)</f>
        <v>3774.3965975588694</v>
      </c>
      <c r="T37" s="16">
        <f t="shared" si="11"/>
        <v>1777.5180220112834</v>
      </c>
      <c r="U37" s="55">
        <f t="shared" si="12"/>
        <v>554.04035050673065</v>
      </c>
      <c r="V37" s="426">
        <f t="shared" si="13"/>
        <v>1996.878575547586</v>
      </c>
    </row>
    <row r="38" spans="2:22">
      <c r="B38" s="120">
        <f t="shared" si="14"/>
        <v>20000</v>
      </c>
      <c r="C38" s="7">
        <v>0.37</v>
      </c>
      <c r="D38" s="7">
        <f t="shared" si="15"/>
        <v>383.63582712238951</v>
      </c>
      <c r="E38" s="11">
        <f t="shared" si="1"/>
        <v>0.63119472634983065</v>
      </c>
      <c r="F38" s="19">
        <f t="shared" si="5"/>
        <v>0.10292329014122582</v>
      </c>
      <c r="G38" s="16">
        <f t="shared" si="2"/>
        <v>1630.6107425267373</v>
      </c>
      <c r="H38" s="12">
        <f t="shared" si="3"/>
        <v>2201.554365621349</v>
      </c>
      <c r="I38" s="12">
        <f t="shared" si="4"/>
        <v>2228.60996839877</v>
      </c>
      <c r="J38" s="141">
        <f t="shared" si="6"/>
        <v>0.74066340036373657</v>
      </c>
      <c r="K38" s="267" cm="1">
        <f t="array" ref="K38">InterpolateXYZ(J38,C38,B38,FFnorm_PS,FFnorm_M,FFnorm_h,FFnorm_table)*numeng</f>
        <v>1650.6498372787523</v>
      </c>
      <c r="L38" s="11">
        <f t="shared" si="7"/>
        <v>1.0122893184923847</v>
      </c>
      <c r="M38" s="425" cm="1">
        <f t="array" ref="M38">($D$5/G38)*(C38*Linterp($D$6,atmos_h,atmos_vela)/L38)</f>
        <v>1376.1416094741285</v>
      </c>
      <c r="N38" s="55">
        <f t="shared" si="8"/>
        <v>6.0582200865120601</v>
      </c>
      <c r="O38" s="426">
        <f t="shared" si="9"/>
        <v>0.13761416094741286</v>
      </c>
      <c r="P38" s="12"/>
      <c r="Q38" s="7">
        <f t="shared" si="10"/>
        <v>0.37</v>
      </c>
      <c r="R38" s="314" cm="1">
        <f t="array" ref="R38">numeng*InterpolateXY($D$6,$Q38,Tmil_h,Tmil_M,Tmil_table)</f>
        <v>2340.083266018994</v>
      </c>
      <c r="S38" s="12" cm="1">
        <f t="array" ref="S38">numeng*InterpolateXY($D$6,$Q38,Tmax_h,Tmax_M,Tmax_table)</f>
        <v>3797.8400546865641</v>
      </c>
      <c r="T38" s="16">
        <f t="shared" si="11"/>
        <v>1630.6107425267373</v>
      </c>
      <c r="U38" s="55">
        <f t="shared" si="12"/>
        <v>709.47252349225664</v>
      </c>
      <c r="V38" s="426">
        <f t="shared" si="13"/>
        <v>2167.2293121598268</v>
      </c>
    </row>
    <row r="39" spans="2:22">
      <c r="B39" s="120">
        <f t="shared" si="14"/>
        <v>20000</v>
      </c>
      <c r="C39" s="7">
        <v>0.38</v>
      </c>
      <c r="D39" s="7">
        <f t="shared" si="15"/>
        <v>394.00436299056219</v>
      </c>
      <c r="E39" s="11">
        <f t="shared" si="1"/>
        <v>0.59841106674024791</v>
      </c>
      <c r="F39" s="19">
        <f t="shared" si="5"/>
        <v>8.8742663889697593E-2</v>
      </c>
      <c r="G39" s="16">
        <f t="shared" si="2"/>
        <v>1482.9716364222602</v>
      </c>
      <c r="H39" s="12">
        <f t="shared" si="3"/>
        <v>2210.0792615192054</v>
      </c>
      <c r="I39" s="12">
        <f t="shared" si="4"/>
        <v>2237.2396294574291</v>
      </c>
      <c r="J39" s="141">
        <f t="shared" si="6"/>
        <v>0.67100382427138272</v>
      </c>
      <c r="K39" s="267" cm="1">
        <f t="array" ref="K39">InterpolateXYZ(J39,C39,B39,FFnorm_PS,FFnorm_M,FFnorm_h,FFnorm_table)*numeng</f>
        <v>1501.1963471774263</v>
      </c>
      <c r="L39" s="11">
        <f t="shared" si="7"/>
        <v>1.0122893184923847</v>
      </c>
      <c r="M39" s="425" cm="1">
        <f t="array" ref="M39">($D$5/G39)*(C39*Linterp($D$6,atmos_h,atmos_vela)/L39)</f>
        <v>1554.0409319042444</v>
      </c>
      <c r="N39" s="55">
        <f t="shared" si="8"/>
        <v>6.6613538054513404</v>
      </c>
      <c r="O39" s="426">
        <f t="shared" si="9"/>
        <v>0.15540409319042445</v>
      </c>
      <c r="P39" s="12"/>
      <c r="Q39" s="7">
        <f t="shared" si="10"/>
        <v>0.38</v>
      </c>
      <c r="R39" s="314" cm="1">
        <f t="array" ref="R39">numeng*InterpolateXY($D$6,$Q39,Tmil_h,Tmil_M,Tmil_table)</f>
        <v>2348.6081595199739</v>
      </c>
      <c r="S39" s="12" cm="1">
        <f t="array" ref="S39">numeng*InterpolateXY($D$6,$Q39,Tmax_h,Tmax_M,Tmax_table)</f>
        <v>3821.2835118142593</v>
      </c>
      <c r="T39" s="16">
        <f t="shared" si="11"/>
        <v>1482.9716364222602</v>
      </c>
      <c r="U39" s="55">
        <f t="shared" si="12"/>
        <v>865.63652309771373</v>
      </c>
      <c r="V39" s="426">
        <f t="shared" si="13"/>
        <v>2338.3118753919989</v>
      </c>
    </row>
    <row r="40" spans="2:22">
      <c r="B40" s="120">
        <f t="shared" si="14"/>
        <v>20000</v>
      </c>
      <c r="C40" s="7">
        <v>0.39</v>
      </c>
      <c r="D40" s="7">
        <f t="shared" si="15"/>
        <v>404.37289885873491</v>
      </c>
      <c r="E40" s="11">
        <f t="shared" si="1"/>
        <v>0.5681167523819316</v>
      </c>
      <c r="F40" s="19">
        <f t="shared" si="5"/>
        <v>7.9240543495544588E-2</v>
      </c>
      <c r="G40" s="16">
        <f t="shared" si="2"/>
        <v>1394.7932914020641</v>
      </c>
      <c r="H40" s="12">
        <f t="shared" si="3"/>
        <v>2218.6041574170613</v>
      </c>
      <c r="I40" s="12">
        <f t="shared" si="4"/>
        <v>2245.8692905160888</v>
      </c>
      <c r="J40" s="141">
        <f t="shared" si="6"/>
        <v>0.62868055427512926</v>
      </c>
      <c r="K40" s="267" cm="1">
        <f t="array" ref="K40">InterpolateXYZ(J40,C40,B40,FFnorm_PS,FFnorm_M,FFnorm_h,FFnorm_table)*numeng</f>
        <v>1411.9343503911459</v>
      </c>
      <c r="L40" s="11">
        <f t="shared" si="7"/>
        <v>1.0122893184923849</v>
      </c>
      <c r="M40" s="425" cm="1">
        <f t="array" ref="M40">($D$5/G40)*(C40*Linterp($D$6,atmos_h,atmos_vela)/L40)</f>
        <v>1695.7680902539319</v>
      </c>
      <c r="N40" s="55">
        <f t="shared" si="8"/>
        <v>7.0824822678403674</v>
      </c>
      <c r="O40" s="426">
        <f t="shared" si="9"/>
        <v>0.16957680902539318</v>
      </c>
      <c r="P40" s="12"/>
      <c r="Q40" s="7">
        <f t="shared" si="10"/>
        <v>0.39</v>
      </c>
      <c r="R40" s="314" cm="1">
        <f t="array" ref="R40">numeng*InterpolateXY($D$6,$Q40,Tmil_h,Tmil_M,Tmil_table)</f>
        <v>2357.1330530209539</v>
      </c>
      <c r="S40" s="12" cm="1">
        <f t="array" ref="S40">numeng*InterpolateXY($D$6,$Q40,Tmax_h,Tmax_M,Tmax_table)</f>
        <v>3844.7269689419541</v>
      </c>
      <c r="T40" s="16">
        <f t="shared" si="11"/>
        <v>1394.7932914020641</v>
      </c>
      <c r="U40" s="55">
        <f t="shared" si="12"/>
        <v>962.33976161888972</v>
      </c>
      <c r="V40" s="426">
        <f t="shared" si="13"/>
        <v>2449.9336775398897</v>
      </c>
    </row>
    <row r="41" spans="2:22">
      <c r="B41" s="120">
        <f t="shared" si="14"/>
        <v>20000</v>
      </c>
      <c r="C41" s="7">
        <v>0.4</v>
      </c>
      <c r="D41" s="7">
        <f t="shared" si="15"/>
        <v>414.74143472690758</v>
      </c>
      <c r="E41" s="11">
        <f t="shared" si="1"/>
        <v>0.54006598773307379</v>
      </c>
      <c r="F41" s="19">
        <f t="shared" si="5"/>
        <v>7.0440654160452101E-2</v>
      </c>
      <c r="G41" s="16">
        <f t="shared" si="2"/>
        <v>1304.2971740569453</v>
      </c>
      <c r="H41" s="12">
        <f t="shared" si="3"/>
        <v>2227.1290533149177</v>
      </c>
      <c r="I41" s="12">
        <f t="shared" si="4"/>
        <v>2254.4989515747479</v>
      </c>
      <c r="J41" s="141">
        <f t="shared" si="6"/>
        <v>0.58564059056909834</v>
      </c>
      <c r="K41" s="267" cm="1">
        <f t="array" ref="K41">InterpolateXYZ(J41,C41,B41,FFnorm_PS,FFnorm_M,FFnorm_h,FFnorm_table)*numeng</f>
        <v>1320.3260974376483</v>
      </c>
      <c r="L41" s="11">
        <f t="shared" si="7"/>
        <v>1.0122893184923847</v>
      </c>
      <c r="M41" s="425" cm="1">
        <f t="array" ref="M41">($D$5/G41)*(C41*Linterp($D$6,atmos_h,atmos_vela)/L41)</f>
        <v>1859.9237478380248</v>
      </c>
      <c r="N41" s="55">
        <f t="shared" si="8"/>
        <v>7.573886496227682</v>
      </c>
      <c r="O41" s="426">
        <f t="shared" si="9"/>
        <v>0.18599237478380248</v>
      </c>
      <c r="P41" s="12"/>
      <c r="Q41" s="7">
        <f t="shared" si="10"/>
        <v>0.4</v>
      </c>
      <c r="R41" s="314" cm="1">
        <f t="array" ref="R41">numeng*InterpolateXY($D$6,$Q41,Tmil_h,Tmil_M,Tmil_table)</f>
        <v>2365.6579465219338</v>
      </c>
      <c r="S41" s="12" cm="1">
        <f t="array" ref="S41">numeng*InterpolateXY($D$6,$Q41,Tmax_h,Tmax_M,Tmax_table)</f>
        <v>3868.1704260696488</v>
      </c>
      <c r="T41" s="16">
        <f t="shared" si="11"/>
        <v>1304.2971740569453</v>
      </c>
      <c r="U41" s="55">
        <f t="shared" si="12"/>
        <v>1061.3607724649885</v>
      </c>
      <c r="V41" s="426">
        <f t="shared" si="13"/>
        <v>2563.8732520127032</v>
      </c>
    </row>
    <row r="42" spans="2:22">
      <c r="B42" s="120">
        <f t="shared" si="14"/>
        <v>20000</v>
      </c>
      <c r="C42" s="7">
        <v>0.41</v>
      </c>
      <c r="D42" s="7">
        <f t="shared" si="15"/>
        <v>425.10997059508026</v>
      </c>
      <c r="E42" s="11">
        <f t="shared" si="1"/>
        <v>0.5140425820183927</v>
      </c>
      <c r="F42" s="19">
        <f t="shared" si="5"/>
        <v>6.2275328171756919E-2</v>
      </c>
      <c r="G42" s="16">
        <f t="shared" si="2"/>
        <v>1211.481895667715</v>
      </c>
      <c r="H42" s="12">
        <f t="shared" si="3"/>
        <v>2235.6539492127736</v>
      </c>
      <c r="I42" s="12">
        <f t="shared" si="4"/>
        <v>2263.1286126334071</v>
      </c>
      <c r="J42" s="141">
        <f t="shared" si="6"/>
        <v>0.54189151057761253</v>
      </c>
      <c r="K42" s="267" cm="1">
        <f t="array" ref="K42">InterpolateXYZ(J42,C42,B42,FFnorm_PS,FFnorm_M,FFnorm_h,FFnorm_table)*numeng</f>
        <v>1226.3701825313335</v>
      </c>
      <c r="L42" s="11">
        <f t="shared" si="7"/>
        <v>1.0122893184923847</v>
      </c>
      <c r="M42" s="425" cm="1">
        <f t="array" ref="M42">($D$5/G42)*(C42*Linterp($D$6,atmos_h,atmos_vela)/L42)</f>
        <v>2052.4785631259729</v>
      </c>
      <c r="N42" s="55">
        <f t="shared" si="8"/>
        <v>8.1541447618688352</v>
      </c>
      <c r="O42" s="426">
        <f t="shared" si="9"/>
        <v>0.20524785631259729</v>
      </c>
      <c r="P42" s="12"/>
      <c r="Q42" s="7">
        <f t="shared" si="10"/>
        <v>0.41</v>
      </c>
      <c r="R42" s="314" cm="1">
        <f t="array" ref="R42">numeng*InterpolateXY($D$6,$Q42,Tmil_h,Tmil_M,Tmil_table)</f>
        <v>2374.1828400229138</v>
      </c>
      <c r="S42" s="12" cm="1">
        <f t="array" ref="S42">numeng*InterpolateXY($D$6,$Q42,Tmax_h,Tmax_M,Tmax_table)</f>
        <v>3891.6138831973435</v>
      </c>
      <c r="T42" s="16">
        <f t="shared" si="11"/>
        <v>1211.481895667715</v>
      </c>
      <c r="U42" s="55">
        <f t="shared" si="12"/>
        <v>1162.7009443551988</v>
      </c>
      <c r="V42" s="426">
        <f t="shared" si="13"/>
        <v>2680.1319875296285</v>
      </c>
    </row>
    <row r="43" spans="2:22">
      <c r="B43" s="120">
        <f t="shared" si="14"/>
        <v>20000</v>
      </c>
      <c r="C43" s="7">
        <v>0.42</v>
      </c>
      <c r="D43" s="7">
        <f t="shared" si="15"/>
        <v>435.47850646325293</v>
      </c>
      <c r="E43" s="11">
        <f t="shared" si="1"/>
        <v>0.48985577118646151</v>
      </c>
      <c r="F43" s="19">
        <f t="shared" si="5"/>
        <v>5.5821010008478771E-2</v>
      </c>
      <c r="G43" s="16">
        <f t="shared" si="2"/>
        <v>1139.539703151333</v>
      </c>
      <c r="H43" s="12">
        <f t="shared" si="3"/>
        <v>2244.1788451106299</v>
      </c>
      <c r="I43" s="12">
        <f t="shared" ref="I43:I74" si="16">_xlfn.SINGLE(InterpolateXYZ($I$8,C43,B43,FFnorm_PS,FFnorm_M,FFnorm_h,FFnorm_table))*_xlfn.SINGLE(numeng)</f>
        <v>2271.7582736920667</v>
      </c>
      <c r="J43" s="141">
        <f t="shared" si="6"/>
        <v>0.50777579765268566</v>
      </c>
      <c r="K43" s="267" cm="1">
        <f t="array" ref="K43">InterpolateXYZ(J43,C43,B43,FFnorm_PS,FFnorm_M,FFnorm_h,FFnorm_table)*numeng</f>
        <v>1153.5438694980771</v>
      </c>
      <c r="L43" s="11">
        <f t="shared" si="7"/>
        <v>1.0122893184923847</v>
      </c>
      <c r="M43" s="425" cm="1">
        <f t="array" ref="M43">($D$5/G43)*(C43*Linterp($D$6,atmos_h,atmos_vela)/L43)</f>
        <v>2235.2779333934218</v>
      </c>
      <c r="N43" s="55">
        <f t="shared" si="8"/>
        <v>8.6689377529708835</v>
      </c>
      <c r="O43" s="426">
        <f t="shared" si="9"/>
        <v>0.22352779333934217</v>
      </c>
      <c r="P43" s="12"/>
      <c r="Q43" s="7">
        <f t="shared" si="10"/>
        <v>0.42</v>
      </c>
      <c r="R43" s="314" cm="1">
        <f t="array" ref="R43">numeng*InterpolateXY($D$6,$Q43,Tmil_h,Tmil_M,Tmil_table)</f>
        <v>2382.7077335238937</v>
      </c>
      <c r="S43" s="12" cm="1">
        <f t="array" ref="S43">numeng*InterpolateXY($D$6,$Q43,Tmax_h,Tmax_M,Tmax_table)</f>
        <v>3915.0573403250382</v>
      </c>
      <c r="T43" s="16">
        <f t="shared" si="11"/>
        <v>1139.539703151333</v>
      </c>
      <c r="U43" s="55">
        <f t="shared" si="12"/>
        <v>1243.1680303725607</v>
      </c>
      <c r="V43" s="426">
        <f t="shared" si="13"/>
        <v>2775.5176371737052</v>
      </c>
    </row>
    <row r="44" spans="2:22">
      <c r="B44" s="120">
        <f t="shared" si="14"/>
        <v>20000</v>
      </c>
      <c r="C44" s="7">
        <v>0.43</v>
      </c>
      <c r="D44" s="7">
        <f t="shared" si="15"/>
        <v>445.84704233142565</v>
      </c>
      <c r="E44" s="11">
        <f t="shared" si="1"/>
        <v>0.46733671193775994</v>
      </c>
      <c r="F44" s="19">
        <f t="shared" si="5"/>
        <v>5.1274679099489746E-2</v>
      </c>
      <c r="G44" s="16">
        <f t="shared" si="2"/>
        <v>1097.167797643908</v>
      </c>
      <c r="H44" s="12">
        <f t="shared" si="3"/>
        <v>2252.7037410084858</v>
      </c>
      <c r="I44" s="12">
        <f t="shared" si="16"/>
        <v>2280.3879347507259</v>
      </c>
      <c r="J44" s="141">
        <f t="shared" si="6"/>
        <v>0.48704486864869773</v>
      </c>
      <c r="K44" s="267" cm="1">
        <f t="array" ref="K44">InterpolateXYZ(J44,C44,B44,FFnorm_PS,FFnorm_M,FFnorm_h,FFnorm_table)*numeng</f>
        <v>1110.6512421487423</v>
      </c>
      <c r="L44" s="11">
        <f t="shared" si="7"/>
        <v>1.0122893184923847</v>
      </c>
      <c r="M44" s="425" cm="1">
        <f t="array" ref="M44">($D$5/G44)*(C44*Linterp($D$6,atmos_h,atmos_vela)/L44)</f>
        <v>2376.8791706124393</v>
      </c>
      <c r="N44" s="55">
        <f t="shared" si="8"/>
        <v>9.0037264809188109</v>
      </c>
      <c r="O44" s="426">
        <f t="shared" si="9"/>
        <v>0.23768791706124393</v>
      </c>
      <c r="P44" s="12"/>
      <c r="Q44" s="7">
        <f t="shared" si="10"/>
        <v>0.43</v>
      </c>
      <c r="R44" s="314" cm="1">
        <f t="array" ref="R44">numeng*InterpolateXY($D$6,$Q44,Tmil_h,Tmil_M,Tmil_table)</f>
        <v>2391.2326270248736</v>
      </c>
      <c r="S44" s="12" cm="1">
        <f t="array" ref="S44">numeng*InterpolateXY($D$6,$Q44,Tmax_h,Tmax_M,Tmax_table)</f>
        <v>3938.500797452733</v>
      </c>
      <c r="T44" s="16">
        <f t="shared" si="11"/>
        <v>1097.167797643908</v>
      </c>
      <c r="U44" s="55">
        <f t="shared" si="12"/>
        <v>1294.0648293809656</v>
      </c>
      <c r="V44" s="426">
        <f t="shared" si="13"/>
        <v>2841.3329998088248</v>
      </c>
    </row>
    <row r="45" spans="2:22">
      <c r="B45" s="120">
        <f t="shared" si="14"/>
        <v>20000</v>
      </c>
      <c r="C45" s="7">
        <v>0.44</v>
      </c>
      <c r="D45" s="7">
        <f t="shared" si="15"/>
        <v>456.21557819959833</v>
      </c>
      <c r="E45" s="11">
        <f t="shared" si="1"/>
        <v>0.44633552705212709</v>
      </c>
      <c r="F45" s="19">
        <f t="shared" si="5"/>
        <v>4.703344093747755E-2</v>
      </c>
      <c r="G45" s="16">
        <f t="shared" si="2"/>
        <v>1053.7687028436917</v>
      </c>
      <c r="H45" s="12">
        <f t="shared" si="3"/>
        <v>2261.2286369063422</v>
      </c>
      <c r="I45" s="12">
        <f t="shared" si="16"/>
        <v>2289.0175958093855</v>
      </c>
      <c r="J45" s="141">
        <f t="shared" si="6"/>
        <v>0.46601599044198633</v>
      </c>
      <c r="K45" s="267" cm="1">
        <f t="array" ref="K45">InterpolateXYZ(J45,C45,B45,FFnorm_PS,FFnorm_M,FFnorm_h,FFnorm_table)*numeng</f>
        <v>1066.7188020502451</v>
      </c>
      <c r="L45" s="11">
        <f t="shared" si="7"/>
        <v>1.0122893184923849</v>
      </c>
      <c r="M45" s="425" cm="1">
        <f t="array" ref="M45">($D$5/G45)*(C45*Linterp($D$6,atmos_h,atmos_vela)/L45)</f>
        <v>2532.3228996003068</v>
      </c>
      <c r="N45" s="55">
        <f t="shared" si="8"/>
        <v>9.3745418012506114</v>
      </c>
      <c r="O45" s="426">
        <f t="shared" si="9"/>
        <v>0.25323228996003067</v>
      </c>
      <c r="P45" s="12"/>
      <c r="Q45" s="7">
        <f t="shared" si="10"/>
        <v>0.44</v>
      </c>
      <c r="R45" s="314" cm="1">
        <f t="array" ref="R45">numeng*InterpolateXY($D$6,$Q45,Tmil_h,Tmil_M,Tmil_table)</f>
        <v>2399.7575205258536</v>
      </c>
      <c r="S45" s="12" cm="1">
        <f t="array" ref="S45">numeng*InterpolateXY($D$6,$Q45,Tmax_h,Tmax_M,Tmax_table)</f>
        <v>3961.9442545804282</v>
      </c>
      <c r="T45" s="16">
        <f t="shared" si="11"/>
        <v>1053.7687028436917</v>
      </c>
      <c r="U45" s="55">
        <f t="shared" si="12"/>
        <v>1345.9888176821619</v>
      </c>
      <c r="V45" s="426">
        <f t="shared" si="13"/>
        <v>2908.1755517367365</v>
      </c>
    </row>
    <row r="46" spans="2:22">
      <c r="B46" s="120">
        <f t="shared" si="14"/>
        <v>20000</v>
      </c>
      <c r="C46" s="7">
        <v>0.45</v>
      </c>
      <c r="D46" s="7">
        <f t="shared" si="15"/>
        <v>466.58411406777105</v>
      </c>
      <c r="E46" s="11">
        <f t="shared" si="1"/>
        <v>0.4267188051224286</v>
      </c>
      <c r="F46" s="19">
        <f t="shared" si="5"/>
        <v>4.3070479829608148E-2</v>
      </c>
      <c r="G46" s="16">
        <f t="shared" si="2"/>
        <v>1009.3410300314962</v>
      </c>
      <c r="H46" s="12">
        <f t="shared" si="3"/>
        <v>2269.7535328041986</v>
      </c>
      <c r="I46" s="12">
        <f t="shared" si="16"/>
        <v>2297.6472568680447</v>
      </c>
      <c r="J46" s="141">
        <f t="shared" si="6"/>
        <v>0.44469190836966854</v>
      </c>
      <c r="K46" s="267" cm="1">
        <f t="array" ref="K46">InterpolateXYZ(J46,C46,B46,FFnorm_PS,FFnorm_M,FFnorm_h,FFnorm_table)*numeng</f>
        <v>1021.7451434169848</v>
      </c>
      <c r="L46" s="11">
        <f t="shared" si="7"/>
        <v>1.0122893184923847</v>
      </c>
      <c r="M46" s="425" cm="1">
        <f t="array" ref="M46">($D$5/G46)*(C46*Linterp($D$6,atmos_h,atmos_vela)/L46)</f>
        <v>2703.872990494297</v>
      </c>
      <c r="N46" s="55">
        <f t="shared" si="8"/>
        <v>9.7871764445655849</v>
      </c>
      <c r="O46" s="426">
        <f t="shared" si="9"/>
        <v>0.27038729904942971</v>
      </c>
      <c r="P46" s="12"/>
      <c r="Q46" s="7">
        <f t="shared" si="10"/>
        <v>0.45</v>
      </c>
      <c r="R46" s="314" cm="1">
        <f t="array" ref="R46">numeng*InterpolateXY($D$6,$Q46,Tmil_h,Tmil_M,Tmil_table)</f>
        <v>2408.2824140268335</v>
      </c>
      <c r="S46" s="12" cm="1">
        <f t="array" ref="S46">numeng*InterpolateXY($D$6,$Q46,Tmax_h,Tmax_M,Tmax_table)</f>
        <v>3985.3877117081229</v>
      </c>
      <c r="T46" s="16">
        <f t="shared" si="11"/>
        <v>1009.3410300314962</v>
      </c>
      <c r="U46" s="55">
        <f t="shared" si="12"/>
        <v>1398.9413839953372</v>
      </c>
      <c r="V46" s="426">
        <f t="shared" si="13"/>
        <v>2976.0466816766266</v>
      </c>
    </row>
    <row r="47" spans="2:22">
      <c r="B47" s="120">
        <f t="shared" si="14"/>
        <v>20000</v>
      </c>
      <c r="C47" s="7">
        <v>0.46</v>
      </c>
      <c r="D47" s="7">
        <f t="shared" si="15"/>
        <v>476.95264993594373</v>
      </c>
      <c r="E47" s="11">
        <f t="shared" si="1"/>
        <v>0.40836747654674765</v>
      </c>
      <c r="F47" s="19">
        <f t="shared" si="5"/>
        <v>3.9361862785896276E-2</v>
      </c>
      <c r="G47" s="16">
        <f t="shared" si="2"/>
        <v>963.88339048813441</v>
      </c>
      <c r="H47" s="12">
        <f t="shared" si="3"/>
        <v>2278.2784287020545</v>
      </c>
      <c r="I47" s="12">
        <f t="shared" si="16"/>
        <v>2306.2769179267038</v>
      </c>
      <c r="J47" s="141">
        <f t="shared" si="6"/>
        <v>0.42307532667869008</v>
      </c>
      <c r="K47" s="267" cm="1">
        <f t="array" ref="K47">InterpolateXYZ(J47,C47,B47,FFnorm_PS,FFnorm_M,FFnorm_h,FFnorm_table)*numeng</f>
        <v>975.72886046336282</v>
      </c>
      <c r="L47" s="11">
        <f t="shared" si="7"/>
        <v>1.0122893184923849</v>
      </c>
      <c r="M47" s="425" cm="1">
        <f t="array" ref="M47">($D$5/G47)*(C47*Linterp($D$6,atmos_h,atmos_vela)/L47)</f>
        <v>2894.3099435437998</v>
      </c>
      <c r="N47" s="55">
        <f t="shared" si="8"/>
        <v>10.248748812504234</v>
      </c>
      <c r="O47" s="426">
        <f t="shared" si="9"/>
        <v>0.28943099435437997</v>
      </c>
      <c r="P47" s="12"/>
      <c r="Q47" s="7">
        <f t="shared" si="10"/>
        <v>0.46</v>
      </c>
      <c r="R47" s="314" cm="1">
        <f t="array" ref="R47">numeng*InterpolateXY($D$6,$Q47,Tmil_h,Tmil_M,Tmil_table)</f>
        <v>2416.8073075278135</v>
      </c>
      <c r="S47" s="12" cm="1">
        <f t="array" ref="S47">numeng*InterpolateXY($D$6,$Q47,Tmax_h,Tmax_M,Tmax_table)</f>
        <v>4008.8311688358176</v>
      </c>
      <c r="T47" s="16">
        <f t="shared" si="11"/>
        <v>963.88339048813441</v>
      </c>
      <c r="U47" s="55">
        <f t="shared" si="12"/>
        <v>1452.9239170396791</v>
      </c>
      <c r="V47" s="426">
        <f t="shared" si="13"/>
        <v>3044.9477783476832</v>
      </c>
    </row>
    <row r="48" spans="2:22">
      <c r="B48" s="120">
        <f t="shared" si="14"/>
        <v>20000</v>
      </c>
      <c r="C48" s="7">
        <v>0.47</v>
      </c>
      <c r="D48" s="7">
        <f t="shared" si="15"/>
        <v>487.3211858041164</v>
      </c>
      <c r="E48" s="11">
        <f t="shared" si="1"/>
        <v>0.3911750024322852</v>
      </c>
      <c r="F48" s="19">
        <f t="shared" si="5"/>
        <v>3.6409056594776425E-2</v>
      </c>
      <c r="G48" s="16">
        <f t="shared" si="2"/>
        <v>930.76133107659518</v>
      </c>
      <c r="H48" s="12">
        <f t="shared" si="3"/>
        <v>2286.8033245999104</v>
      </c>
      <c r="I48" s="12">
        <f t="shared" si="16"/>
        <v>2314.9065789853635</v>
      </c>
      <c r="J48" s="141">
        <f t="shared" si="6"/>
        <v>0.40701415861350354</v>
      </c>
      <c r="K48" s="267" cm="1">
        <f t="array" ref="K48">InterpolateXYZ(J48,C48,B48,FFnorm_PS,FFnorm_M,FFnorm_h,FFnorm_table)*numeng</f>
        <v>942.19975351459163</v>
      </c>
      <c r="L48" s="11">
        <f t="shared" si="7"/>
        <v>1.0122893184923849</v>
      </c>
      <c r="M48" s="425" cm="1">
        <f t="array" ref="M48">($D$5/G48)*(C48*Linterp($D$6,atmos_h,atmos_vela)/L48)</f>
        <v>3062.4656596080822</v>
      </c>
      <c r="N48" s="55">
        <f t="shared" si="8"/>
        <v>10.613460641119913</v>
      </c>
      <c r="O48" s="426">
        <f t="shared" si="9"/>
        <v>0.30624656596080824</v>
      </c>
      <c r="P48" s="12"/>
      <c r="Q48" s="7">
        <f t="shared" si="10"/>
        <v>0.47</v>
      </c>
      <c r="R48" s="314" cm="1">
        <f t="array" ref="R48">numeng*InterpolateXY($D$6,$Q48,Tmil_h,Tmil_M,Tmil_table)</f>
        <v>2425.3322010287934</v>
      </c>
      <c r="S48" s="12" cm="1">
        <f t="array" ref="S48">numeng*InterpolateXY($D$6,$Q48,Tmax_h,Tmax_M,Tmax_table)</f>
        <v>4032.2746259635123</v>
      </c>
      <c r="T48" s="16">
        <f t="shared" si="11"/>
        <v>930.76133107659518</v>
      </c>
      <c r="U48" s="55">
        <f t="shared" si="12"/>
        <v>1494.5708699521983</v>
      </c>
      <c r="V48" s="426">
        <f t="shared" si="13"/>
        <v>3101.5132948869173</v>
      </c>
    </row>
    <row r="49" spans="2:22">
      <c r="B49" s="120">
        <f t="shared" si="14"/>
        <v>20000</v>
      </c>
      <c r="C49" s="7">
        <v>0.48</v>
      </c>
      <c r="D49" s="7">
        <f t="shared" si="15"/>
        <v>497.68972167228907</v>
      </c>
      <c r="E49" s="11">
        <f t="shared" si="1"/>
        <v>0.37504582481463455</v>
      </c>
      <c r="F49" s="19">
        <f t="shared" si="5"/>
        <v>3.4102745667474448E-2</v>
      </c>
      <c r="G49" s="16">
        <f t="shared" si="2"/>
        <v>909.29543567988367</v>
      </c>
      <c r="H49" s="12">
        <f t="shared" si="3"/>
        <v>2295.3282204977668</v>
      </c>
      <c r="I49" s="12">
        <f t="shared" si="16"/>
        <v>2323.5362400440226</v>
      </c>
      <c r="J49" s="141">
        <f t="shared" si="6"/>
        <v>0.39615050586651746</v>
      </c>
      <c r="K49" s="267" cm="1">
        <f t="array" ref="K49">InterpolateXYZ(J49,C49,B49,FFnorm_PS,FFnorm_M,FFnorm_h,FFnorm_table)*numeng</f>
        <v>920.47005689262562</v>
      </c>
      <c r="L49" s="11">
        <f t="shared" si="7"/>
        <v>1.0122893184923849</v>
      </c>
      <c r="M49" s="425" cm="1">
        <f t="array" ref="M49">($D$5/G49)*(C49*Linterp($D$6,atmos_h,atmos_vela)/L49)</f>
        <v>3201.4588787012062</v>
      </c>
      <c r="N49" s="55">
        <f t="shared" si="8"/>
        <v>10.864014451223497</v>
      </c>
      <c r="O49" s="426">
        <f t="shared" si="9"/>
        <v>0.3201458878701206</v>
      </c>
      <c r="P49" s="12"/>
      <c r="Q49" s="7">
        <f t="shared" si="10"/>
        <v>0.48</v>
      </c>
      <c r="R49" s="314" cm="1">
        <f t="array" ref="R49">numeng*InterpolateXY($D$6,$Q49,Tmil_h,Tmil_M,Tmil_table)</f>
        <v>2433.8570945297733</v>
      </c>
      <c r="S49" s="12" cm="1">
        <f t="array" ref="S49">numeng*InterpolateXY($D$6,$Q49,Tmax_h,Tmax_M,Tmax_table)</f>
        <v>4055.7180830912075</v>
      </c>
      <c r="T49" s="16">
        <f t="shared" si="11"/>
        <v>909.29543567988367</v>
      </c>
      <c r="U49" s="55">
        <f t="shared" si="12"/>
        <v>1524.5616588498897</v>
      </c>
      <c r="V49" s="426">
        <f t="shared" si="13"/>
        <v>3146.4226474113239</v>
      </c>
    </row>
    <row r="50" spans="2:22">
      <c r="B50" s="120">
        <f t="shared" si="14"/>
        <v>20000</v>
      </c>
      <c r="C50" s="7">
        <v>0.49</v>
      </c>
      <c r="D50" s="7">
        <f t="shared" si="15"/>
        <v>508.0582575404618</v>
      </c>
      <c r="E50" s="11">
        <f t="shared" si="1"/>
        <v>0.35989403597372688</v>
      </c>
      <c r="F50" s="19">
        <f t="shared" si="5"/>
        <v>3.1934979599275784E-2</v>
      </c>
      <c r="G50" s="16">
        <f t="shared" si="2"/>
        <v>887.34395147373652</v>
      </c>
      <c r="H50" s="12">
        <f t="shared" si="3"/>
        <v>2303.8531163956227</v>
      </c>
      <c r="I50" s="12">
        <f t="shared" si="16"/>
        <v>2332.1659011026823</v>
      </c>
      <c r="J50" s="141">
        <f t="shared" si="6"/>
        <v>0.38515647771069095</v>
      </c>
      <c r="K50" s="267" cm="1">
        <f t="array" ref="K50">InterpolateXYZ(J50,C50,B50,FFnorm_PS,FFnorm_M,FFnorm_h,FFnorm_table)*numeng</f>
        <v>898.24880390568876</v>
      </c>
      <c r="L50" s="11">
        <f t="shared" si="7"/>
        <v>1.0122893184923851</v>
      </c>
      <c r="M50" s="425" cm="1">
        <f t="array" ref="M50">($D$5/G50)*(C50*Linterp($D$6,atmos_h,atmos_vela)/L50)</f>
        <v>3349.0049413093502</v>
      </c>
      <c r="N50" s="55">
        <f t="shared" si="8"/>
        <v>11.132772965039143</v>
      </c>
      <c r="O50" s="426">
        <f t="shared" si="9"/>
        <v>0.33490049413093503</v>
      </c>
      <c r="P50" s="12"/>
      <c r="Q50" s="7">
        <f t="shared" si="10"/>
        <v>0.49</v>
      </c>
      <c r="R50" s="314" cm="1">
        <f t="array" ref="R50">numeng*InterpolateXY($D$6,$Q50,Tmil_h,Tmil_M,Tmil_table)</f>
        <v>2442.3819880307533</v>
      </c>
      <c r="S50" s="12" cm="1">
        <f t="array" ref="S50">numeng*InterpolateXY($D$6,$Q50,Tmax_h,Tmax_M,Tmax_table)</f>
        <v>4079.1615402189022</v>
      </c>
      <c r="T50" s="16">
        <f t="shared" si="11"/>
        <v>887.34395147373652</v>
      </c>
      <c r="U50" s="55">
        <f t="shared" si="12"/>
        <v>1555.0380365570168</v>
      </c>
      <c r="V50" s="426">
        <f t="shared" si="13"/>
        <v>3191.8175887451657</v>
      </c>
    </row>
    <row r="51" spans="2:22">
      <c r="B51" s="120">
        <f t="shared" si="14"/>
        <v>20000</v>
      </c>
      <c r="C51" s="7">
        <v>0.5</v>
      </c>
      <c r="D51" s="7">
        <f t="shared" si="15"/>
        <v>518.42679340863447</v>
      </c>
      <c r="E51" s="11">
        <f t="shared" si="1"/>
        <v>0.34564223214916728</v>
      </c>
      <c r="F51" s="19">
        <f t="shared" si="5"/>
        <v>3.015843136211984E-2</v>
      </c>
      <c r="G51" s="16">
        <f t="shared" si="2"/>
        <v>872.53317323516478</v>
      </c>
      <c r="H51" s="12">
        <f t="shared" si="3"/>
        <v>2312.3780122934791</v>
      </c>
      <c r="I51" s="12">
        <f t="shared" si="16"/>
        <v>2340.7955621613414</v>
      </c>
      <c r="J51" s="141">
        <f t="shared" si="6"/>
        <v>0.377331547262795</v>
      </c>
      <c r="K51" s="267" cm="1">
        <f t="array" ref="K51">InterpolateXYZ(J51,C51,B51,FFnorm_PS,FFnorm_M,FFnorm_h,FFnorm_table)*numeng</f>
        <v>883.25601129622305</v>
      </c>
      <c r="L51" s="11">
        <f t="shared" si="7"/>
        <v>1.0122893184923849</v>
      </c>
      <c r="M51" s="425" cm="1">
        <f t="array" ref="M51">($D$5/G51)*(C51*Linterp($D$6,atmos_h,atmos_vela)/L51)</f>
        <v>3475.3596806982259</v>
      </c>
      <c r="N51" s="55">
        <f t="shared" si="8"/>
        <v>11.321745758995167</v>
      </c>
      <c r="O51" s="426">
        <f t="shared" si="9"/>
        <v>0.34753596806982262</v>
      </c>
      <c r="P51" s="12"/>
      <c r="Q51" s="7">
        <f t="shared" si="10"/>
        <v>0.5</v>
      </c>
      <c r="R51" s="314" cm="1">
        <f t="array" ref="R51">numeng*InterpolateXY($D$6,$Q51,Tmil_h,Tmil_M,Tmil_table)</f>
        <v>2450.9068815317332</v>
      </c>
      <c r="S51" s="12" cm="1">
        <f t="array" ref="S51">numeng*InterpolateXY($D$6,$Q51,Tmax_h,Tmax_M,Tmax_table)</f>
        <v>4102.604997346597</v>
      </c>
      <c r="T51" s="16">
        <f t="shared" si="11"/>
        <v>872.53317323516478</v>
      </c>
      <c r="U51" s="55">
        <f t="shared" si="12"/>
        <v>1578.3737082965686</v>
      </c>
      <c r="V51" s="426">
        <f t="shared" si="13"/>
        <v>3230.0718241114323</v>
      </c>
    </row>
    <row r="52" spans="2:22">
      <c r="B52" s="120">
        <f t="shared" si="14"/>
        <v>20000</v>
      </c>
      <c r="C52" s="7">
        <v>0.51</v>
      </c>
      <c r="D52" s="7">
        <f t="shared" si="15"/>
        <v>528.79532927680714</v>
      </c>
      <c r="E52" s="11">
        <f t="shared" si="1"/>
        <v>0.33222052301919192</v>
      </c>
      <c r="F52" s="19">
        <f t="shared" si="5"/>
        <v>2.9047917495309345E-2</v>
      </c>
      <c r="G52" s="16">
        <f t="shared" si="2"/>
        <v>874.35650366582843</v>
      </c>
      <c r="H52" s="12">
        <f t="shared" si="3"/>
        <v>2320.9029081913354</v>
      </c>
      <c r="I52" s="12">
        <f t="shared" si="16"/>
        <v>2349.4252232200006</v>
      </c>
      <c r="J52" s="141">
        <f t="shared" si="6"/>
        <v>0.37673118534166034</v>
      </c>
      <c r="K52" s="267" cm="1">
        <f t="array" ref="K52">InterpolateXYZ(J52,C52,B52,FFnorm_PS,FFnorm_M,FFnorm_h,FFnorm_table)*numeng</f>
        <v>885.10174921526584</v>
      </c>
      <c r="L52" s="11">
        <f t="shared" si="7"/>
        <v>1.0122893184923849</v>
      </c>
      <c r="M52" s="425" cm="1">
        <f t="array" ref="M52">($D$5/G52)*(C52*Linterp($D$6,atmos_h,atmos_vela)/L52)</f>
        <v>3537.4746222759945</v>
      </c>
      <c r="N52" s="55">
        <f t="shared" si="8"/>
        <v>11.298136071774834</v>
      </c>
      <c r="O52" s="426">
        <f t="shared" si="9"/>
        <v>0.35374746222759945</v>
      </c>
      <c r="P52" s="12"/>
      <c r="Q52" s="7">
        <f t="shared" si="10"/>
        <v>0.51</v>
      </c>
      <c r="R52" s="314" cm="1">
        <f t="array" ref="R52">numeng*InterpolateXY($D$6,$Q52,Tmil_h,Tmil_M,Tmil_table)</f>
        <v>2459.4317750327132</v>
      </c>
      <c r="S52" s="12" cm="1">
        <f t="array" ref="S52">numeng*InterpolateXY($D$6,$Q52,Tmax_h,Tmax_M,Tmax_table)</f>
        <v>4126.0484544742922</v>
      </c>
      <c r="T52" s="16">
        <f t="shared" si="11"/>
        <v>874.35650366582843</v>
      </c>
      <c r="U52" s="55">
        <f t="shared" si="12"/>
        <v>1585.0752713668849</v>
      </c>
      <c r="V52" s="426">
        <f t="shared" si="13"/>
        <v>3251.6919508084638</v>
      </c>
    </row>
    <row r="53" spans="2:22">
      <c r="B53" s="120">
        <f t="shared" si="14"/>
        <v>20000</v>
      </c>
      <c r="C53" s="7">
        <v>0.52</v>
      </c>
      <c r="D53" s="7">
        <f t="shared" si="15"/>
        <v>539.16386514497981</v>
      </c>
      <c r="E53" s="11">
        <f t="shared" si="1"/>
        <v>0.31956567321483659</v>
      </c>
      <c r="F53" s="19">
        <f t="shared" si="5"/>
        <v>2.7999710948705472E-2</v>
      </c>
      <c r="G53" s="16">
        <f t="shared" si="2"/>
        <v>876.18018127628864</v>
      </c>
      <c r="H53" s="12">
        <f t="shared" si="3"/>
        <v>2329.4278040891913</v>
      </c>
      <c r="I53" s="12">
        <f t="shared" si="16"/>
        <v>2358.0548842786602</v>
      </c>
      <c r="J53" s="141">
        <f t="shared" si="6"/>
        <v>0.37613536669314207</v>
      </c>
      <c r="K53" s="267" cm="1">
        <f t="array" ref="K53">InterpolateXYZ(J53,C53,B53,FFnorm_PS,FFnorm_M,FFnorm_h,FFnorm_table)*numeng</f>
        <v>886.94783858070855</v>
      </c>
      <c r="L53" s="11">
        <f t="shared" si="7"/>
        <v>1.0122893184923849</v>
      </c>
      <c r="M53" s="425" cm="1">
        <f t="array" ref="M53">($D$5/G53)*(C53*Linterp($D$6,atmos_h,atmos_vela)/L53)</f>
        <v>3599.3296152313278</v>
      </c>
      <c r="N53" s="55">
        <f t="shared" si="8"/>
        <v>11.274620180598188</v>
      </c>
      <c r="O53" s="426">
        <f t="shared" si="9"/>
        <v>0.35993296152313276</v>
      </c>
      <c r="P53" s="12"/>
      <c r="Q53" s="7">
        <f t="shared" si="10"/>
        <v>0.52</v>
      </c>
      <c r="R53" s="314" cm="1">
        <f t="array" ref="R53">numeng*InterpolateXY($D$6,$Q53,Tmil_h,Tmil_M,Tmil_table)</f>
        <v>2467.9566685336931</v>
      </c>
      <c r="S53" s="12" cm="1">
        <f t="array" ref="S53">numeng*InterpolateXY($D$6,$Q53,Tmax_h,Tmax_M,Tmax_table)</f>
        <v>4149.4919116019864</v>
      </c>
      <c r="T53" s="16">
        <f t="shared" si="11"/>
        <v>876.18018127628864</v>
      </c>
      <c r="U53" s="55">
        <f t="shared" si="12"/>
        <v>1591.7764872574044</v>
      </c>
      <c r="V53" s="426">
        <f t="shared" si="13"/>
        <v>3273.3117303256977</v>
      </c>
    </row>
    <row r="54" spans="2:22">
      <c r="B54" s="120">
        <f t="shared" si="14"/>
        <v>20000</v>
      </c>
      <c r="C54" s="7">
        <v>0.53</v>
      </c>
      <c r="D54" s="7">
        <f t="shared" si="15"/>
        <v>549.53240101315259</v>
      </c>
      <c r="E54" s="11">
        <f t="shared" si="1"/>
        <v>0.30762035613133432</v>
      </c>
      <c r="F54" s="19">
        <f t="shared" si="5"/>
        <v>2.7009153935670913E-2</v>
      </c>
      <c r="G54" s="16">
        <f t="shared" si="2"/>
        <v>878.00281734735802</v>
      </c>
      <c r="H54" s="12">
        <f t="shared" si="3"/>
        <v>2337.9526999870477</v>
      </c>
      <c r="I54" s="12">
        <f t="shared" si="16"/>
        <v>2366.6845453373194</v>
      </c>
      <c r="J54" s="141">
        <f t="shared" si="6"/>
        <v>0.37554344762929642</v>
      </c>
      <c r="K54" s="267" cm="1">
        <f t="array" ref="K54">InterpolateXYZ(J54,C54,B54,FFnorm_PS,FFnorm_M,FFnorm_h,FFnorm_table)*numeng</f>
        <v>888.79287360695082</v>
      </c>
      <c r="L54" s="11">
        <f t="shared" si="7"/>
        <v>1.0122893184923847</v>
      </c>
      <c r="M54" s="425" cm="1">
        <f t="array" ref="M54">($D$5/G54)*(C54*Linterp($D$6,atmos_h,atmos_vela)/L54)</f>
        <v>3660.9319963964413</v>
      </c>
      <c r="N54" s="55">
        <f t="shared" si="8"/>
        <v>11.25121532468799</v>
      </c>
      <c r="O54" s="426">
        <f t="shared" si="9"/>
        <v>0.36609319963964415</v>
      </c>
      <c r="P54" s="12"/>
      <c r="Q54" s="7">
        <f t="shared" si="10"/>
        <v>0.53</v>
      </c>
      <c r="R54" s="314" cm="1">
        <f t="array" ref="R54">numeng*InterpolateXY($D$6,$Q54,Tmil_h,Tmil_M,Tmil_table)</f>
        <v>2476.4815620346731</v>
      </c>
      <c r="S54" s="12" cm="1">
        <f t="array" ref="S54">numeng*InterpolateXY($D$6,$Q54,Tmax_h,Tmax_M,Tmax_table)</f>
        <v>4172.9353687296816</v>
      </c>
      <c r="T54" s="16">
        <f t="shared" si="11"/>
        <v>878.00281734735802</v>
      </c>
      <c r="U54" s="55">
        <f t="shared" si="12"/>
        <v>1598.4787446873152</v>
      </c>
      <c r="V54" s="426">
        <f t="shared" si="13"/>
        <v>3294.9325513823237</v>
      </c>
    </row>
    <row r="55" spans="2:22">
      <c r="B55" s="120">
        <f t="shared" si="14"/>
        <v>20000</v>
      </c>
      <c r="C55" s="7">
        <v>0.54</v>
      </c>
      <c r="D55" s="7">
        <f t="shared" si="15"/>
        <v>559.90093688132526</v>
      </c>
      <c r="E55" s="11">
        <f t="shared" si="1"/>
        <v>0.29633250355724211</v>
      </c>
      <c r="F55" s="19">
        <f t="shared" si="5"/>
        <v>2.6140781472327634E-2</v>
      </c>
      <c r="G55" s="16">
        <f t="shared" si="2"/>
        <v>882.14357718197641</v>
      </c>
      <c r="H55" s="12">
        <f t="shared" si="3"/>
        <v>2346.4775958849036</v>
      </c>
      <c r="I55" s="12">
        <f t="shared" si="16"/>
        <v>2375.3142063959785</v>
      </c>
      <c r="J55" s="141">
        <f t="shared" si="6"/>
        <v>0.37594374594883034</v>
      </c>
      <c r="K55" s="267" cm="1">
        <f t="array" ref="K55">InterpolateXYZ(J55,C55,B55,FFnorm_PS,FFnorm_M,FFnorm_h,FFnorm_table)*numeng</f>
        <v>892.98452055797748</v>
      </c>
      <c r="L55" s="11">
        <f t="shared" si="7"/>
        <v>1.0122893184923849</v>
      </c>
      <c r="M55" s="425" cm="1">
        <f t="array" ref="M55">($D$5/G55)*(C55*Linterp($D$6,atmos_h,atmos_vela)/L55)</f>
        <v>3712.4976294921648</v>
      </c>
      <c r="N55" s="55">
        <f t="shared" si="8"/>
        <v>11.198402402038889</v>
      </c>
      <c r="O55" s="426">
        <f t="shared" si="9"/>
        <v>0.37124976294921647</v>
      </c>
      <c r="P55" s="12"/>
      <c r="Q55" s="7">
        <f t="shared" si="10"/>
        <v>0.54</v>
      </c>
      <c r="R55" s="314" cm="1">
        <f t="array" ref="R55">numeng*InterpolateXY($D$6,$Q55,Tmil_h,Tmil_M,Tmil_table)</f>
        <v>2485.006455535653</v>
      </c>
      <c r="S55" s="12" cm="1">
        <f t="array" ref="S55">numeng*InterpolateXY($D$6,$Q55,Tmax_h,Tmax_M,Tmax_table)</f>
        <v>4196.3788258573768</v>
      </c>
      <c r="T55" s="16">
        <f t="shared" si="11"/>
        <v>882.14357718197641</v>
      </c>
      <c r="U55" s="55">
        <f t="shared" si="12"/>
        <v>1602.8628783536765</v>
      </c>
      <c r="V55" s="426">
        <f t="shared" si="13"/>
        <v>3314.2352486754003</v>
      </c>
    </row>
    <row r="56" spans="2:22">
      <c r="B56" s="120">
        <f t="shared" si="14"/>
        <v>20000</v>
      </c>
      <c r="C56" s="7">
        <v>0.55000000000000004</v>
      </c>
      <c r="D56" s="7">
        <f t="shared" si="15"/>
        <v>570.26947274949794</v>
      </c>
      <c r="E56" s="11">
        <f t="shared" si="1"/>
        <v>0.28565473731336127</v>
      </c>
      <c r="F56" s="19">
        <f t="shared" si="5"/>
        <v>2.5453421082085079E-2</v>
      </c>
      <c r="G56" s="16">
        <f t="shared" si="2"/>
        <v>891.05545111834942</v>
      </c>
      <c r="H56" s="12">
        <f t="shared" si="3"/>
        <v>2355.00249178276</v>
      </c>
      <c r="I56" s="12">
        <f t="shared" si="16"/>
        <v>2383.9438674546382</v>
      </c>
      <c r="J56" s="141">
        <f t="shared" si="6"/>
        <v>0.37836709482367115</v>
      </c>
      <c r="K56" s="267" cm="1">
        <f t="array" ref="K56">InterpolateXYZ(J56,C56,B56,FFnorm_PS,FFnorm_M,FFnorm_h,FFnorm_table)*numeng</f>
        <v>902.0059153515183</v>
      </c>
      <c r="L56" s="11">
        <f t="shared" si="7"/>
        <v>1.0122893184923847</v>
      </c>
      <c r="M56" s="425" cm="1">
        <f t="array" ref="M56">($D$5/G56)*(C56*Linterp($D$6,atmos_h,atmos_vela)/L56)</f>
        <v>3743.4295106775094</v>
      </c>
      <c r="N56" s="55">
        <f t="shared" si="8"/>
        <v>11.086401796049115</v>
      </c>
      <c r="O56" s="426">
        <f t="shared" si="9"/>
        <v>0.37434295106775095</v>
      </c>
      <c r="P56" s="12"/>
      <c r="Q56" s="7">
        <f t="shared" si="10"/>
        <v>0.55000000000000004</v>
      </c>
      <c r="R56" s="314" cm="1">
        <f t="array" ref="R56">numeng*InterpolateXY($D$6,$Q56,Tmil_h,Tmil_M,Tmil_table)</f>
        <v>2493.5313490366329</v>
      </c>
      <c r="S56" s="12" cm="1">
        <f t="array" ref="S56">numeng*InterpolateXY($D$6,$Q56,Tmax_h,Tmax_M,Tmax_table)</f>
        <v>4219.822282985072</v>
      </c>
      <c r="T56" s="16">
        <f t="shared" si="11"/>
        <v>891.05545111834942</v>
      </c>
      <c r="U56" s="55">
        <f t="shared" si="12"/>
        <v>1602.4758979182834</v>
      </c>
      <c r="V56" s="426">
        <f t="shared" si="13"/>
        <v>3328.7668318667224</v>
      </c>
    </row>
    <row r="57" spans="2:22">
      <c r="B57" s="120">
        <f t="shared" si="14"/>
        <v>20000</v>
      </c>
      <c r="C57" s="7">
        <v>0.56000000000000005</v>
      </c>
      <c r="D57" s="7">
        <f t="shared" si="15"/>
        <v>580.63800861767061</v>
      </c>
      <c r="E57" s="11">
        <f t="shared" si="1"/>
        <v>0.27554387129238456</v>
      </c>
      <c r="F57" s="19">
        <f t="shared" si="5"/>
        <v>2.4801491955774035E-2</v>
      </c>
      <c r="G57" s="16">
        <f t="shared" si="2"/>
        <v>900.09230978165101</v>
      </c>
      <c r="H57" s="12">
        <f t="shared" si="3"/>
        <v>2363.5273876806159</v>
      </c>
      <c r="I57" s="12">
        <f t="shared" si="16"/>
        <v>2392.5735285132973</v>
      </c>
      <c r="J57" s="141">
        <f t="shared" si="6"/>
        <v>0.38082584296386446</v>
      </c>
      <c r="K57" s="267" cm="1">
        <f t="array" ref="K57">InterpolateXYZ(J57,C57,B57,FFnorm_PS,FFnorm_M,FFnorm_h,FFnorm_table)*numeng</f>
        <v>911.153830849104</v>
      </c>
      <c r="L57" s="11">
        <f t="shared" si="7"/>
        <v>1.0122893184923849</v>
      </c>
      <c r="M57" s="425" cm="1">
        <f t="array" ref="M57">($D$5/G57)*(C57*Linterp($D$6,atmos_h,atmos_vela)/L57)</f>
        <v>3773.2247755755548</v>
      </c>
      <c r="N57" s="55">
        <f t="shared" si="8"/>
        <v>10.97509516113322</v>
      </c>
      <c r="O57" s="426">
        <f t="shared" si="9"/>
        <v>0.37732247755755549</v>
      </c>
      <c r="P57" s="12"/>
      <c r="Q57" s="7">
        <f t="shared" si="10"/>
        <v>0.56000000000000005</v>
      </c>
      <c r="R57" s="314" cm="1">
        <f t="array" ref="R57">numeng*InterpolateXY($D$6,$Q57,Tmil_h,Tmil_M,Tmil_table)</f>
        <v>2502.0562425376129</v>
      </c>
      <c r="S57" s="12" cm="1">
        <f t="array" ref="S57">numeng*InterpolateXY($D$6,$Q57,Tmax_h,Tmax_M,Tmax_table)</f>
        <v>4243.2657401127663</v>
      </c>
      <c r="T57" s="16">
        <f t="shared" si="11"/>
        <v>900.09230978165101</v>
      </c>
      <c r="U57" s="55">
        <f t="shared" si="12"/>
        <v>1601.9639327559619</v>
      </c>
      <c r="V57" s="426">
        <f t="shared" si="13"/>
        <v>3343.173430331115</v>
      </c>
    </row>
    <row r="58" spans="2:22">
      <c r="B58" s="120">
        <f t="shared" si="14"/>
        <v>20000</v>
      </c>
      <c r="C58" s="7">
        <v>0.56999999999999995</v>
      </c>
      <c r="D58" s="7">
        <f t="shared" si="15"/>
        <v>591.00654448584328</v>
      </c>
      <c r="E58" s="11">
        <f t="shared" si="1"/>
        <v>0.26596047410677692</v>
      </c>
      <c r="F58" s="19">
        <f t="shared" si="5"/>
        <v>2.4182529631673558E-2</v>
      </c>
      <c r="G58" s="16">
        <f t="shared" si="2"/>
        <v>909.25276445269208</v>
      </c>
      <c r="H58" s="12">
        <f t="shared" si="3"/>
        <v>2372.0522835784718</v>
      </c>
      <c r="I58" s="12">
        <f t="shared" si="16"/>
        <v>2401.2031895719565</v>
      </c>
      <c r="J58" s="141">
        <f t="shared" si="6"/>
        <v>0.38331902325567452</v>
      </c>
      <c r="K58" s="267" cm="1">
        <f t="array" ref="K58">InterpolateXYZ(J58,C58,B58,FFnorm_PS,FFnorm_M,FFnorm_h,FFnorm_table)*numeng</f>
        <v>920.42686126513263</v>
      </c>
      <c r="L58" s="11">
        <f t="shared" si="7"/>
        <v>1.0122893184923849</v>
      </c>
      <c r="M58" s="425" cm="1">
        <f t="array" ref="M58">($D$5/G58)*(C58*Linterp($D$6,atmos_h,atmos_vela)/L58)</f>
        <v>3801.9108337389898</v>
      </c>
      <c r="N58" s="55">
        <f t="shared" si="8"/>
        <v>10.864524299361424</v>
      </c>
      <c r="O58" s="426">
        <f t="shared" si="9"/>
        <v>0.38019108337389901</v>
      </c>
      <c r="P58" s="12"/>
      <c r="Q58" s="7">
        <f t="shared" si="10"/>
        <v>0.56999999999999995</v>
      </c>
      <c r="R58" s="314" cm="1">
        <f t="array" ref="R58">numeng*InterpolateXY($D$6,$Q58,Tmil_h,Tmil_M,Tmil_table)</f>
        <v>2510.5811360385928</v>
      </c>
      <c r="S58" s="12" cm="1">
        <f t="array" ref="S58">numeng*InterpolateXY($D$6,$Q58,Tmax_h,Tmax_M,Tmax_table)</f>
        <v>4266.7091972404614</v>
      </c>
      <c r="T58" s="16">
        <f t="shared" si="11"/>
        <v>909.25276445269208</v>
      </c>
      <c r="U58" s="55">
        <f t="shared" si="12"/>
        <v>1601.3283715859006</v>
      </c>
      <c r="V58" s="426">
        <f t="shared" si="13"/>
        <v>3357.4564327877692</v>
      </c>
    </row>
    <row r="59" spans="2:22">
      <c r="B59" s="120">
        <f t="shared" si="14"/>
        <v>20000</v>
      </c>
      <c r="C59" s="7">
        <v>0.57999999999999996</v>
      </c>
      <c r="D59" s="7">
        <f t="shared" si="15"/>
        <v>601.37508035401595</v>
      </c>
      <c r="E59" s="11">
        <f t="shared" si="1"/>
        <v>0.25686848405853691</v>
      </c>
      <c r="F59" s="19">
        <f t="shared" si="5"/>
        <v>2.3594280253658558E-2</v>
      </c>
      <c r="G59" s="16">
        <f t="shared" si="2"/>
        <v>918.53542641228569</v>
      </c>
      <c r="H59" s="12">
        <f t="shared" si="3"/>
        <v>2380.5771794763282</v>
      </c>
      <c r="I59" s="12">
        <f t="shared" si="16"/>
        <v>2409.8328506306157</v>
      </c>
      <c r="J59" s="141">
        <f t="shared" si="6"/>
        <v>0.38584568243838335</v>
      </c>
      <c r="K59" s="267" cm="1">
        <f t="array" ref="K59">InterpolateXYZ(J59,C59,B59,FFnorm_PS,FFnorm_M,FFnorm_h,FFnorm_table)*numeng</f>
        <v>929.82360081400464</v>
      </c>
      <c r="L59" s="11">
        <f t="shared" si="7"/>
        <v>1.0122893184923847</v>
      </c>
      <c r="M59" s="425" cm="1">
        <f t="array" ref="M59">($D$5/G59)*(C59*Linterp($D$6,atmos_h,atmos_vela)/L59)</f>
        <v>3829.5150811174331</v>
      </c>
      <c r="N59" s="55">
        <f t="shared" si="8"/>
        <v>10.754728091699976</v>
      </c>
      <c r="O59" s="426">
        <f t="shared" si="9"/>
        <v>0.38295150811174333</v>
      </c>
      <c r="P59" s="12"/>
      <c r="Q59" s="7">
        <f t="shared" si="10"/>
        <v>0.57999999999999996</v>
      </c>
      <c r="R59" s="314" cm="1">
        <f t="array" ref="R59">numeng*InterpolateXY($D$6,$Q59,Tmil_h,Tmil_M,Tmil_table)</f>
        <v>2519.1060295395728</v>
      </c>
      <c r="S59" s="12" cm="1">
        <f t="array" ref="S59">numeng*InterpolateXY($D$6,$Q59,Tmax_h,Tmax_M,Tmax_table)</f>
        <v>4290.1526543681566</v>
      </c>
      <c r="T59" s="16">
        <f t="shared" si="11"/>
        <v>918.53542641228569</v>
      </c>
      <c r="U59" s="55">
        <f t="shared" si="12"/>
        <v>1600.5706031272871</v>
      </c>
      <c r="V59" s="426">
        <f t="shared" si="13"/>
        <v>3371.6172279558709</v>
      </c>
    </row>
    <row r="60" spans="2:22">
      <c r="B60" s="120">
        <f t="shared" si="14"/>
        <v>20000</v>
      </c>
      <c r="C60" s="7">
        <v>0.59</v>
      </c>
      <c r="D60" s="7">
        <f t="shared" si="15"/>
        <v>611.74361622218862</v>
      </c>
      <c r="E60" s="11">
        <f t="shared" si="1"/>
        <v>0.2482348693975634</v>
      </c>
      <c r="F60" s="19">
        <f t="shared" si="5"/>
        <v>2.3034679337347711E-2</v>
      </c>
      <c r="G60" s="16">
        <f t="shared" si="2"/>
        <v>927.93890694124275</v>
      </c>
      <c r="H60" s="12">
        <f t="shared" si="3"/>
        <v>2389.1020753741841</v>
      </c>
      <c r="I60" s="12">
        <f t="shared" si="16"/>
        <v>2418.4625116892753</v>
      </c>
      <c r="J60" s="141">
        <f t="shared" si="6"/>
        <v>0.38840488085713448</v>
      </c>
      <c r="K60" s="267" cm="1">
        <f t="array" ref="K60">InterpolateXYZ(J60,C60,B60,FFnorm_PS,FFnorm_M,FFnorm_h,FFnorm_table)*numeng</f>
        <v>939.34264371011909</v>
      </c>
      <c r="L60" s="11">
        <f t="shared" si="7"/>
        <v>1.0122893184923847</v>
      </c>
      <c r="M60" s="425" cm="1">
        <f t="array" ref="M60">($D$5/G60)*(C60*Linterp($D$6,atmos_h,atmos_vela)/L60)</f>
        <v>3856.0648480490058</v>
      </c>
      <c r="N60" s="55">
        <f t="shared" si="8"/>
        <v>10.645742601978581</v>
      </c>
      <c r="O60" s="426">
        <f t="shared" si="9"/>
        <v>0.38560648480490056</v>
      </c>
      <c r="P60" s="12"/>
      <c r="Q60" s="7">
        <f t="shared" si="10"/>
        <v>0.59</v>
      </c>
      <c r="R60" s="314" cm="1">
        <f t="array" ref="R60">numeng*InterpolateXY($D$6,$Q60,Tmil_h,Tmil_M,Tmil_table)</f>
        <v>2527.6309230405527</v>
      </c>
      <c r="S60" s="12" cm="1">
        <f t="array" ref="S60">numeng*InterpolateXY($D$6,$Q60,Tmax_h,Tmax_M,Tmax_table)</f>
        <v>4313.5961114958509</v>
      </c>
      <c r="T60" s="16">
        <f t="shared" si="11"/>
        <v>927.93890694124275</v>
      </c>
      <c r="U60" s="55">
        <f t="shared" si="12"/>
        <v>1599.69201609931</v>
      </c>
      <c r="V60" s="426">
        <f t="shared" si="13"/>
        <v>3385.6572045546081</v>
      </c>
    </row>
    <row r="61" spans="2:22">
      <c r="B61" s="120">
        <f t="shared" si="14"/>
        <v>20000</v>
      </c>
      <c r="C61" s="7">
        <v>0.6</v>
      </c>
      <c r="D61" s="7">
        <f t="shared" si="15"/>
        <v>622.11215209036129</v>
      </c>
      <c r="E61" s="11">
        <f t="shared" si="1"/>
        <v>0.24002932788136613</v>
      </c>
      <c r="F61" s="19">
        <f t="shared" si="5"/>
        <v>2.2501832992585385E-2</v>
      </c>
      <c r="G61" s="16">
        <f t="shared" si="2"/>
        <v>937.46181732037576</v>
      </c>
      <c r="H61" s="12">
        <f t="shared" si="3"/>
        <v>2397.6269712720405</v>
      </c>
      <c r="I61" s="12">
        <f t="shared" si="16"/>
        <v>2427.0921727479345</v>
      </c>
      <c r="J61" s="141">
        <f t="shared" si="6"/>
        <v>0.39099569222105196</v>
      </c>
      <c r="K61" s="267" cm="1">
        <f t="array" ref="K61">InterpolateXYZ(J61,C61,B61,FFnorm_PS,FFnorm_M,FFnorm_h,FFnorm_table)*numeng</f>
        <v>948.98258416787564</v>
      </c>
      <c r="L61" s="11">
        <f t="shared" si="7"/>
        <v>1.0122893184923847</v>
      </c>
      <c r="M61" s="425" cm="1">
        <f t="array" ref="M61">($D$5/G61)*(C61*Linterp($D$6,atmos_h,atmos_vela)/L61)</f>
        <v>3881.5873512598118</v>
      </c>
      <c r="N61" s="55">
        <f t="shared" si="8"/>
        <v>10.537601181341589</v>
      </c>
      <c r="O61" s="426">
        <f t="shared" si="9"/>
        <v>0.3881587351259812</v>
      </c>
      <c r="P61" s="12"/>
      <c r="Q61" s="7">
        <f t="shared" si="10"/>
        <v>0.6</v>
      </c>
      <c r="R61" s="314" cm="1">
        <f t="array" ref="R61">numeng*InterpolateXY($D$6,$Q61,Tmil_h,Tmil_M,Tmil_table)</f>
        <v>2536.1558165415327</v>
      </c>
      <c r="S61" s="12" cm="1">
        <f t="array" ref="S61">numeng*InterpolateXY($D$6,$Q61,Tmax_h,Tmax_M,Tmax_table)</f>
        <v>4337.0395686235461</v>
      </c>
      <c r="T61" s="16">
        <f t="shared" si="11"/>
        <v>937.46181732037576</v>
      </c>
      <c r="U61" s="55">
        <f t="shared" si="12"/>
        <v>1598.6939992211569</v>
      </c>
      <c r="V61" s="426">
        <f t="shared" si="13"/>
        <v>3399.5777513031703</v>
      </c>
    </row>
    <row r="62" spans="2:22">
      <c r="B62" s="120">
        <f t="shared" si="14"/>
        <v>20000</v>
      </c>
      <c r="C62" s="7">
        <v>0.61</v>
      </c>
      <c r="D62" s="7">
        <f t="shared" si="15"/>
        <v>632.48068795853408</v>
      </c>
      <c r="E62" s="11">
        <f t="shared" si="1"/>
        <v>0.2322240205248369</v>
      </c>
      <c r="F62" s="19">
        <f t="shared" si="5"/>
        <v>2.1994001282802305E-2</v>
      </c>
      <c r="G62" s="16">
        <f t="shared" si="2"/>
        <v>947.1027688304963</v>
      </c>
      <c r="H62" s="12">
        <f t="shared" si="3"/>
        <v>2406.1518671698968</v>
      </c>
      <c r="I62" s="12">
        <f t="shared" si="16"/>
        <v>2435.7218338065936</v>
      </c>
      <c r="J62" s="141">
        <f t="shared" si="6"/>
        <v>0.39361720336649975</v>
      </c>
      <c r="K62" s="267" cm="1">
        <f t="array" ref="K62">InterpolateXYZ(J62,C62,B62,FFnorm_PS,FFnorm_M,FFnorm_h,FFnorm_table)*numeng</f>
        <v>958.7420164016736</v>
      </c>
      <c r="L62" s="11">
        <f t="shared" si="7"/>
        <v>1.0122893184923847</v>
      </c>
      <c r="M62" s="425" cm="1">
        <f t="array" ref="M62">($D$5/G62)*(C62*Linterp($D$6,atmos_h,atmos_vela)/L62)</f>
        <v>3906.1096497212025</v>
      </c>
      <c r="N62" s="55">
        <f t="shared" si="8"/>
        <v>10.430334572726609</v>
      </c>
      <c r="O62" s="426">
        <f t="shared" si="9"/>
        <v>0.39061096497212022</v>
      </c>
      <c r="P62" s="12"/>
      <c r="Q62" s="7">
        <f t="shared" si="10"/>
        <v>0.61</v>
      </c>
      <c r="R62" s="314" cm="1">
        <f t="array" ref="R62">numeng*InterpolateXY($D$6,$Q62,Tmil_h,Tmil_M,Tmil_table)</f>
        <v>2544.6807100425126</v>
      </c>
      <c r="S62" s="12" cm="1">
        <f t="array" ref="S62">numeng*InterpolateXY($D$6,$Q62,Tmax_h,Tmax_M,Tmax_table)</f>
        <v>4360.4830257512413</v>
      </c>
      <c r="T62" s="16">
        <f t="shared" si="11"/>
        <v>947.1027688304963</v>
      </c>
      <c r="U62" s="55">
        <f t="shared" si="12"/>
        <v>1597.5779412120164</v>
      </c>
      <c r="V62" s="426">
        <f t="shared" si="13"/>
        <v>3413.3802569207451</v>
      </c>
    </row>
    <row r="63" spans="2:22">
      <c r="B63" s="120">
        <f t="shared" si="14"/>
        <v>20000</v>
      </c>
      <c r="C63" s="7">
        <v>0.62</v>
      </c>
      <c r="D63" s="7">
        <f t="shared" si="15"/>
        <v>642.84922382670675</v>
      </c>
      <c r="E63" s="11">
        <f t="shared" si="1"/>
        <v>0.22479333516465091</v>
      </c>
      <c r="F63" s="19">
        <f t="shared" si="5"/>
        <v>2.1509583447790685E-2</v>
      </c>
      <c r="G63" s="16">
        <f t="shared" si="2"/>
        <v>956.86037275241677</v>
      </c>
      <c r="H63" s="12">
        <f t="shared" si="3"/>
        <v>2414.6767630677527</v>
      </c>
      <c r="I63" s="12">
        <f t="shared" si="16"/>
        <v>2444.3514948652532</v>
      </c>
      <c r="J63" s="141">
        <f t="shared" si="6"/>
        <v>0.39626851402535673</v>
      </c>
      <c r="K63" s="267" cm="1">
        <f t="array" ref="K63">InterpolateXYZ(J63,C63,B63,FFnorm_PS,FFnorm_M,FFnorm_h,FFnorm_table)*numeng</f>
        <v>968.61953462591316</v>
      </c>
      <c r="L63" s="11">
        <f t="shared" si="7"/>
        <v>1.0122893184923847</v>
      </c>
      <c r="M63" s="425" cm="1">
        <f t="array" ref="M63">($D$5/G63)*(C63*Linterp($D$6,atmos_h,atmos_vela)/L63)</f>
        <v>3929.6586042089671</v>
      </c>
      <c r="N63" s="55">
        <f t="shared" si="8"/>
        <v>10.323971014957964</v>
      </c>
      <c r="O63" s="426">
        <f t="shared" si="9"/>
        <v>0.39296586042089671</v>
      </c>
      <c r="P63" s="12"/>
      <c r="Q63" s="7">
        <f t="shared" si="10"/>
        <v>0.62</v>
      </c>
      <c r="R63" s="314" cm="1">
        <f t="array" ref="R63">numeng*InterpolateXY($D$6,$Q63,Tmil_h,Tmil_M,Tmil_table)</f>
        <v>2553.2056035434925</v>
      </c>
      <c r="S63" s="12" cm="1">
        <f t="array" ref="S63">numeng*InterpolateXY($D$6,$Q63,Tmax_h,Tmax_M,Tmax_table)</f>
        <v>4383.9264828789355</v>
      </c>
      <c r="T63" s="16">
        <f t="shared" si="11"/>
        <v>956.86037275241677</v>
      </c>
      <c r="U63" s="55">
        <f t="shared" si="12"/>
        <v>1596.3452307910757</v>
      </c>
      <c r="V63" s="426">
        <f t="shared" si="13"/>
        <v>3427.0661101265187</v>
      </c>
    </row>
    <row r="64" spans="2:22">
      <c r="B64" s="120">
        <f t="shared" si="14"/>
        <v>20000</v>
      </c>
      <c r="C64" s="7">
        <v>0.63</v>
      </c>
      <c r="D64" s="7">
        <f t="shared" si="15"/>
        <v>653.21775969487942</v>
      </c>
      <c r="E64" s="11">
        <f t="shared" si="1"/>
        <v>0.21771367608287182</v>
      </c>
      <c r="F64" s="19">
        <f t="shared" si="5"/>
        <v>2.1047104755179485E-2</v>
      </c>
      <c r="G64" s="16">
        <f t="shared" si="2"/>
        <v>966.73324036694851</v>
      </c>
      <c r="H64" s="12">
        <f t="shared" si="3"/>
        <v>2423.2016589656091</v>
      </c>
      <c r="I64" s="12">
        <f t="shared" si="16"/>
        <v>2452.9811559239124</v>
      </c>
      <c r="J64" s="141">
        <f t="shared" si="6"/>
        <v>0.39894873659818203</v>
      </c>
      <c r="K64" s="267" cm="1">
        <f t="array" ref="K64">InterpolateXYZ(J64,C64,B64,FFnorm_PS,FFnorm_M,FFnorm_h,FFnorm_table)*numeng</f>
        <v>978.61373305499308</v>
      </c>
      <c r="L64" s="11">
        <f t="shared" si="7"/>
        <v>1.0122893184923847</v>
      </c>
      <c r="M64" s="425" cm="1">
        <f t="array" ref="M64">($D$5/G64)*(C64*Linterp($D$6,atmos_h,atmos_vela)/L64)</f>
        <v>3952.2608404046618</v>
      </c>
      <c r="N64" s="55">
        <f t="shared" si="8"/>
        <v>10.218536346084623</v>
      </c>
      <c r="O64" s="426">
        <f t="shared" si="9"/>
        <v>0.39522608404046616</v>
      </c>
      <c r="P64" s="12"/>
      <c r="Q64" s="7">
        <f t="shared" si="10"/>
        <v>0.63</v>
      </c>
      <c r="R64" s="314" cm="1">
        <f t="array" ref="R64">numeng*InterpolateXY($D$6,$Q64,Tmil_h,Tmil_M,Tmil_table)</f>
        <v>2561.7304970444725</v>
      </c>
      <c r="S64" s="12" cm="1">
        <f t="array" ref="S64">numeng*InterpolateXY($D$6,$Q64,Tmax_h,Tmax_M,Tmax_table)</f>
        <v>4407.3699400066307</v>
      </c>
      <c r="T64" s="16">
        <f t="shared" si="11"/>
        <v>966.73324036694851</v>
      </c>
      <c r="U64" s="55">
        <f t="shared" si="12"/>
        <v>1594.9972566775241</v>
      </c>
      <c r="V64" s="426">
        <f t="shared" si="13"/>
        <v>3440.6366996396823</v>
      </c>
    </row>
    <row r="65" spans="2:22">
      <c r="B65" s="120">
        <f t="shared" si="14"/>
        <v>20000</v>
      </c>
      <c r="C65" s="7">
        <v>0.64</v>
      </c>
      <c r="D65" s="7">
        <f t="shared" si="15"/>
        <v>663.58629556305209</v>
      </c>
      <c r="E65" s="11">
        <f t="shared" si="1"/>
        <v>0.21096327645823199</v>
      </c>
      <c r="F65" s="19">
        <f t="shared" si="5"/>
        <v>2.0605204778639499E-2</v>
      </c>
      <c r="G65" s="16">
        <f t="shared" si="2"/>
        <v>976.7199829549038</v>
      </c>
      <c r="H65" s="12">
        <f t="shared" si="3"/>
        <v>2431.726554863465</v>
      </c>
      <c r="I65" s="12">
        <f t="shared" si="16"/>
        <v>2461.6108169825716</v>
      </c>
      <c r="J65" s="141">
        <f t="shared" si="6"/>
        <v>0.40165699593215326</v>
      </c>
      <c r="K65" s="267" cm="1">
        <f t="array" ref="K65">InterpolateXYZ(J65,C65,B65,FFnorm_PS,FFnorm_M,FFnorm_h,FFnorm_table)*numeng</f>
        <v>988.72320590331321</v>
      </c>
      <c r="L65" s="11">
        <f t="shared" si="7"/>
        <v>1.0122893184923847</v>
      </c>
      <c r="M65" s="425" cm="1">
        <f t="array" ref="M65">($D$5/G65)*(C65*Linterp($D$6,atmos_h,atmos_vela)/L65)</f>
        <v>3973.9427153766655</v>
      </c>
      <c r="N65" s="55">
        <f t="shared" si="8"/>
        <v>10.114054105631963</v>
      </c>
      <c r="O65" s="426">
        <f t="shared" si="9"/>
        <v>0.39739427153766654</v>
      </c>
      <c r="P65" s="12"/>
      <c r="Q65" s="7">
        <f t="shared" si="10"/>
        <v>0.64</v>
      </c>
      <c r="R65" s="314" cm="1">
        <f t="array" ref="R65">numeng*InterpolateXY($D$6,$Q65,Tmil_h,Tmil_M,Tmil_table)</f>
        <v>2570.2553905454524</v>
      </c>
      <c r="S65" s="12" cm="1">
        <f t="array" ref="S65">numeng*InterpolateXY($D$6,$Q65,Tmax_h,Tmax_M,Tmax_table)</f>
        <v>4430.8133971343259</v>
      </c>
      <c r="T65" s="16">
        <f t="shared" si="11"/>
        <v>976.7199829549038</v>
      </c>
      <c r="U65" s="55">
        <f t="shared" si="12"/>
        <v>1593.5354075905486</v>
      </c>
      <c r="V65" s="426">
        <f t="shared" si="13"/>
        <v>3454.0934141794223</v>
      </c>
    </row>
    <row r="66" spans="2:22">
      <c r="B66" s="120">
        <f t="shared" si="14"/>
        <v>20000</v>
      </c>
      <c r="C66" s="7">
        <v>0.65</v>
      </c>
      <c r="D66" s="7">
        <f t="shared" si="15"/>
        <v>673.95483143122487</v>
      </c>
      <c r="E66" s="11">
        <f t="shared" si="1"/>
        <v>0.2045220308574954</v>
      </c>
      <c r="F66" s="19">
        <f t="shared" si="5"/>
        <v>2.0182626928593461E-2</v>
      </c>
      <c r="G66" s="16">
        <f t="shared" si="2"/>
        <v>986.81921179709434</v>
      </c>
      <c r="H66" s="12">
        <f t="shared" si="3"/>
        <v>2440.2514507613214</v>
      </c>
      <c r="I66" s="12">
        <f t="shared" si="16"/>
        <v>2470.2404780412312</v>
      </c>
      <c r="J66" s="141">
        <f t="shared" si="6"/>
        <v>0.40439242910365725</v>
      </c>
      <c r="K66" s="267" cm="1">
        <f t="array" ref="K66">InterpolateXYZ(J66,C66,B66,FFnorm_PS,FFnorm_M,FFnorm_h,FFnorm_table)*numeng</f>
        <v>998.94654738527288</v>
      </c>
      <c r="L66" s="11">
        <f t="shared" si="7"/>
        <v>1.0122893184923847</v>
      </c>
      <c r="M66" s="425" cm="1">
        <f t="array" ref="M66">($D$5/G66)*(C66*Linterp($D$6,atmos_h,atmos_vela)/L66)</f>
        <v>3994.7302872774612</v>
      </c>
      <c r="N66" s="55">
        <f t="shared" si="8"/>
        <v>10.010545635474536</v>
      </c>
      <c r="O66" s="426">
        <f t="shared" si="9"/>
        <v>0.39947302872774615</v>
      </c>
      <c r="P66" s="12"/>
      <c r="Q66" s="7">
        <f t="shared" si="10"/>
        <v>0.65</v>
      </c>
      <c r="R66" s="314" cm="1">
        <f t="array" ref="R66">numeng*InterpolateXY($D$6,$Q66,Tmil_h,Tmil_M,Tmil_table)</f>
        <v>2578.7802840464324</v>
      </c>
      <c r="S66" s="12" cm="1">
        <f t="array" ref="S66">numeng*InterpolateXY($D$6,$Q66,Tmax_h,Tmax_M,Tmax_table)</f>
        <v>4454.2568542620202</v>
      </c>
      <c r="T66" s="16">
        <f t="shared" si="11"/>
        <v>986.81921179709434</v>
      </c>
      <c r="U66" s="55">
        <f t="shared" si="12"/>
        <v>1591.961072249338</v>
      </c>
      <c r="V66" s="426">
        <f t="shared" si="13"/>
        <v>3467.4376424649258</v>
      </c>
    </row>
    <row r="67" spans="2:22">
      <c r="B67" s="120">
        <f t="shared" si="14"/>
        <v>20000</v>
      </c>
      <c r="C67" s="7">
        <v>0.66</v>
      </c>
      <c r="D67" s="7">
        <f t="shared" si="15"/>
        <v>684.32336729939755</v>
      </c>
      <c r="E67" s="11">
        <f t="shared" si="1"/>
        <v>0.19837134535650089</v>
      </c>
      <c r="F67" s="19">
        <f t="shared" si="5"/>
        <v>1.9818925450868784E-2</v>
      </c>
      <c r="G67" s="16">
        <f t="shared" si="2"/>
        <v>999.08207081276862</v>
      </c>
      <c r="H67" s="12">
        <f t="shared" si="3"/>
        <v>2448.7763466591773</v>
      </c>
      <c r="I67" s="12">
        <f t="shared" si="16"/>
        <v>2478.8701390998904</v>
      </c>
      <c r="J67" s="141">
        <f t="shared" si="6"/>
        <v>0.40799237226208868</v>
      </c>
      <c r="K67" s="267" cm="1">
        <f t="array" ref="K67">InterpolateXYZ(J67,C67,B67,FFnorm_PS,FFnorm_M,FFnorm_h,FFnorm_table)*numeng</f>
        <v>1011.3601085810179</v>
      </c>
      <c r="L67" s="11">
        <f t="shared" si="7"/>
        <v>1.0122893184923847</v>
      </c>
      <c r="M67" s="425" cm="1">
        <f t="array" ref="M67">($D$5/G67)*(C67*Linterp($D$6,atmos_h,atmos_vela)/L67)</f>
        <v>4006.4015185294143</v>
      </c>
      <c r="N67" s="55">
        <f t="shared" si="8"/>
        <v>9.887674939078261</v>
      </c>
      <c r="O67" s="426">
        <f t="shared" si="9"/>
        <v>0.40064015185294144</v>
      </c>
      <c r="P67" s="12"/>
      <c r="Q67" s="7">
        <f t="shared" si="10"/>
        <v>0.66</v>
      </c>
      <c r="R67" s="314" cm="1">
        <f t="array" ref="R67">numeng*InterpolateXY($D$6,$Q67,Tmil_h,Tmil_M,Tmil_table)</f>
        <v>2587.3051775474123</v>
      </c>
      <c r="S67" s="12" cm="1">
        <f t="array" ref="S67">numeng*InterpolateXY($D$6,$Q67,Tmax_h,Tmax_M,Tmax_table)</f>
        <v>4477.7003113897154</v>
      </c>
      <c r="T67" s="16">
        <f t="shared" si="11"/>
        <v>999.08207081276862</v>
      </c>
      <c r="U67" s="55">
        <f t="shared" si="12"/>
        <v>1588.2231067346438</v>
      </c>
      <c r="V67" s="426">
        <f t="shared" si="13"/>
        <v>3478.6182405769468</v>
      </c>
    </row>
    <row r="68" spans="2:22">
      <c r="B68" s="120">
        <f t="shared" si="14"/>
        <v>20000</v>
      </c>
      <c r="C68" s="7">
        <v>0.67</v>
      </c>
      <c r="D68" s="7">
        <f t="shared" si="15"/>
        <v>694.69190316757022</v>
      </c>
      <c r="E68" s="11">
        <f t="shared" si="1"/>
        <v>0.19249400320180843</v>
      </c>
      <c r="F68" s="19">
        <f t="shared" si="5"/>
        <v>1.957852512006782E-2</v>
      </c>
      <c r="G68" s="16">
        <f t="shared" si="2"/>
        <v>1017.0979248398678</v>
      </c>
      <c r="H68" s="12">
        <f t="shared" si="3"/>
        <v>2457.3012425570337</v>
      </c>
      <c r="I68" s="12">
        <f t="shared" si="16"/>
        <v>2487.4998001585495</v>
      </c>
      <c r="J68" s="141">
        <f t="shared" si="6"/>
        <v>0.41390852176572773</v>
      </c>
      <c r="K68" s="267" cm="1">
        <f t="array" ref="K68">InterpolateXYZ(J68,C68,B68,FFnorm_PS,FFnorm_M,FFnorm_h,FFnorm_table)*numeng</f>
        <v>1029.5973651761683</v>
      </c>
      <c r="L68" s="11">
        <f t="shared" si="7"/>
        <v>1.0122893184923845</v>
      </c>
      <c r="M68" s="425" cm="1">
        <f t="array" ref="M68">($D$5/G68)*(C68*Linterp($D$6,atmos_h,atmos_vela)/L68)</f>
        <v>3995.0639546198963</v>
      </c>
      <c r="N68" s="55">
        <f t="shared" si="8"/>
        <v>9.7125345676161086</v>
      </c>
      <c r="O68" s="426">
        <f t="shared" si="9"/>
        <v>0.39950639546198963</v>
      </c>
      <c r="P68" s="12"/>
      <c r="Q68" s="7">
        <f t="shared" si="10"/>
        <v>0.67</v>
      </c>
      <c r="R68" s="314" cm="1">
        <f t="array" ref="R68">numeng*InterpolateXY($D$6,$Q68,Tmil_h,Tmil_M,Tmil_table)</f>
        <v>2595.8300710483923</v>
      </c>
      <c r="S68" s="12" cm="1">
        <f t="array" ref="S68">numeng*InterpolateXY($D$6,$Q68,Tmax_h,Tmax_M,Tmax_table)</f>
        <v>4501.1437685174096</v>
      </c>
      <c r="T68" s="16">
        <f t="shared" si="11"/>
        <v>1017.0979248398678</v>
      </c>
      <c r="U68" s="55">
        <f t="shared" si="12"/>
        <v>1578.7321462085245</v>
      </c>
      <c r="V68" s="426">
        <f t="shared" si="13"/>
        <v>3484.0458436775416</v>
      </c>
    </row>
    <row r="69" spans="2:22">
      <c r="B69" s="120">
        <f t="shared" si="14"/>
        <v>20000</v>
      </c>
      <c r="C69" s="7">
        <v>0.68</v>
      </c>
      <c r="D69" s="7">
        <f t="shared" si="15"/>
        <v>705.06043903574289</v>
      </c>
      <c r="E69" s="11">
        <f t="shared" si="1"/>
        <v>0.18687404419829542</v>
      </c>
      <c r="F69" s="19">
        <f t="shared" si="5"/>
        <v>1.9347776657436078E-2</v>
      </c>
      <c r="G69" s="16">
        <f t="shared" si="2"/>
        <v>1035.3378255626451</v>
      </c>
      <c r="H69" s="12">
        <f t="shared" si="3"/>
        <v>2465.8261384548896</v>
      </c>
      <c r="I69" s="12">
        <f t="shared" si="16"/>
        <v>2496.1294612172092</v>
      </c>
      <c r="J69" s="141">
        <f t="shared" si="6"/>
        <v>0.41987462514749629</v>
      </c>
      <c r="K69" s="267" cm="1">
        <f t="array" ref="K69">InterpolateXYZ(J69,C69,B69,FFnorm_PS,FFnorm_M,FFnorm_h,FFnorm_table)*numeng</f>
        <v>1048.0614218481976</v>
      </c>
      <c r="L69" s="11">
        <f t="shared" si="7"/>
        <v>1.0122893184923849</v>
      </c>
      <c r="M69" s="425" cm="1">
        <f t="array" ref="M69">($D$5/G69)*(C69*Linterp($D$6,atmos_h,atmos_vela)/L69)</f>
        <v>3983.2588824927298</v>
      </c>
      <c r="N69" s="55">
        <f t="shared" si="8"/>
        <v>9.5414255229102505</v>
      </c>
      <c r="O69" s="426">
        <f t="shared" si="9"/>
        <v>0.39832588824927295</v>
      </c>
      <c r="P69" s="12"/>
      <c r="Q69" s="7">
        <f t="shared" si="10"/>
        <v>0.68</v>
      </c>
      <c r="R69" s="314" cm="1">
        <f t="array" ref="R69">numeng*InterpolateXY($D$6,$Q69,Tmil_h,Tmil_M,Tmil_table)</f>
        <v>2604.3549645493722</v>
      </c>
      <c r="S69" s="12" cm="1">
        <f t="array" ref="S69">numeng*InterpolateXY($D$6,$Q69,Tmax_h,Tmax_M,Tmax_table)</f>
        <v>4524.5872256451048</v>
      </c>
      <c r="T69" s="16">
        <f t="shared" si="11"/>
        <v>1035.3378255626451</v>
      </c>
      <c r="U69" s="55">
        <f t="shared" si="12"/>
        <v>1569.0171389867271</v>
      </c>
      <c r="V69" s="426">
        <f t="shared" si="13"/>
        <v>3489.2494000824599</v>
      </c>
    </row>
    <row r="70" spans="2:22">
      <c r="B70" s="120">
        <f t="shared" si="14"/>
        <v>20000</v>
      </c>
      <c r="C70" s="7">
        <v>0.69</v>
      </c>
      <c r="D70" s="7">
        <f t="shared" si="15"/>
        <v>715.42897490391556</v>
      </c>
      <c r="E70" s="11">
        <f t="shared" si="1"/>
        <v>0.18149665624299899</v>
      </c>
      <c r="F70" s="19">
        <f t="shared" si="5"/>
        <v>1.9126124609112463E-2</v>
      </c>
      <c r="G70" s="16">
        <f t="shared" si="2"/>
        <v>1053.8003842619128</v>
      </c>
      <c r="H70" s="12">
        <f t="shared" si="3"/>
        <v>2474.3510343527455</v>
      </c>
      <c r="I70" s="12">
        <f t="shared" si="16"/>
        <v>2504.7591222758683</v>
      </c>
      <c r="J70" s="141">
        <f t="shared" si="6"/>
        <v>0.42588960484241545</v>
      </c>
      <c r="K70" s="267" cm="1">
        <f t="array" ref="K70">InterpolateXYZ(J70,C70,B70,FFnorm_PS,FFnorm_M,FFnorm_h,FFnorm_table)*numeng</f>
        <v>1066.7508728115047</v>
      </c>
      <c r="L70" s="11">
        <f t="shared" si="7"/>
        <v>1.0122893184923847</v>
      </c>
      <c r="M70" s="425" cm="1">
        <f t="array" ref="M70">($D$5/G70)*(C70*Linterp($D$6,atmos_h,atmos_vela)/L70)</f>
        <v>3971.0233406213256</v>
      </c>
      <c r="N70" s="55">
        <f t="shared" si="8"/>
        <v>9.3742599653508822</v>
      </c>
      <c r="O70" s="426">
        <f t="shared" si="9"/>
        <v>0.39710233406213258</v>
      </c>
      <c r="P70" s="12"/>
      <c r="Q70" s="7">
        <f t="shared" si="10"/>
        <v>0.69</v>
      </c>
      <c r="R70" s="314" cm="1">
        <f t="array" ref="R70">numeng*InterpolateXY($D$6,$Q70,Tmil_h,Tmil_M,Tmil_table)</f>
        <v>2612.8798580503521</v>
      </c>
      <c r="S70" s="12" cm="1">
        <f t="array" ref="S70">numeng*InterpolateXY($D$6,$Q70,Tmax_h,Tmax_M,Tmax_table)</f>
        <v>4548.0306827727991</v>
      </c>
      <c r="T70" s="16">
        <f t="shared" si="11"/>
        <v>1053.8003842619128</v>
      </c>
      <c r="U70" s="55">
        <f t="shared" si="12"/>
        <v>1559.0794737884394</v>
      </c>
      <c r="V70" s="426">
        <f t="shared" si="13"/>
        <v>3494.2302985108863</v>
      </c>
    </row>
    <row r="71" spans="2:22">
      <c r="B71" s="120">
        <f t="shared" si="14"/>
        <v>20000</v>
      </c>
      <c r="C71" s="7">
        <v>0.7</v>
      </c>
      <c r="D71" s="7">
        <f t="shared" si="15"/>
        <v>725.79751077208823</v>
      </c>
      <c r="E71" s="11">
        <f t="shared" si="1"/>
        <v>0.17634807762712618</v>
      </c>
      <c r="F71" s="19">
        <f t="shared" si="5"/>
        <v>1.8913052911017234E-2</v>
      </c>
      <c r="G71" s="16">
        <f t="shared" si="2"/>
        <v>1072.4842122184832</v>
      </c>
      <c r="H71" s="12">
        <f t="shared" si="3"/>
        <v>2482.8759302506019</v>
      </c>
      <c r="I71" s="12">
        <f t="shared" si="16"/>
        <v>2513.3887833345275</v>
      </c>
      <c r="J71" s="141">
        <f t="shared" si="6"/>
        <v>0.43195239808468205</v>
      </c>
      <c r="K71" s="267" cm="1">
        <f t="array" ref="K71">InterpolateXYZ(J71,C71,B71,FFnorm_PS,FFnorm_M,FFnorm_h,FFnorm_table)*numeng</f>
        <v>1085.6643122804905</v>
      </c>
      <c r="L71" s="11">
        <f t="shared" si="7"/>
        <v>1.0122893184923847</v>
      </c>
      <c r="M71" s="425" cm="1">
        <f t="array" ref="M71">($D$5/G71)*(C71*Linterp($D$6,atmos_h,atmos_vela)/L71)</f>
        <v>3958.3923064795658</v>
      </c>
      <c r="N71" s="55">
        <f t="shared" si="8"/>
        <v>9.2109502789075908</v>
      </c>
      <c r="O71" s="426">
        <f t="shared" si="9"/>
        <v>0.39583923064795656</v>
      </c>
      <c r="P71" s="12"/>
      <c r="Q71" s="7">
        <f t="shared" si="10"/>
        <v>0.7</v>
      </c>
      <c r="R71" s="314" cm="1">
        <f t="array" ref="R71">numeng*InterpolateXY($D$6,$Q71,Tmil_h,Tmil_M,Tmil_table)</f>
        <v>2621.4047515513321</v>
      </c>
      <c r="S71" s="12" cm="1">
        <f t="array" ref="S71">numeng*InterpolateXY($D$6,$Q71,Tmax_h,Tmax_M,Tmax_table)</f>
        <v>4571.4741399004943</v>
      </c>
      <c r="T71" s="16">
        <f t="shared" si="11"/>
        <v>1072.4842122184832</v>
      </c>
      <c r="U71" s="55">
        <f t="shared" si="12"/>
        <v>1548.9205393328489</v>
      </c>
      <c r="V71" s="426">
        <f t="shared" si="13"/>
        <v>3498.9899276820111</v>
      </c>
    </row>
    <row r="72" spans="2:22">
      <c r="B72" s="120">
        <f t="shared" si="14"/>
        <v>20000</v>
      </c>
      <c r="C72" s="7">
        <v>0.71</v>
      </c>
      <c r="D72" s="7">
        <f t="shared" si="15"/>
        <v>736.1660466402609</v>
      </c>
      <c r="E72" s="11">
        <f t="shared" si="1"/>
        <v>0.1714155089015906</v>
      </c>
      <c r="F72" s="19">
        <f t="shared" si="5"/>
        <v>1.8708081583809651E-2</v>
      </c>
      <c r="G72" s="16">
        <f t="shared" si="2"/>
        <v>1091.3879207131681</v>
      </c>
      <c r="H72" s="12">
        <f t="shared" si="3"/>
        <v>2491.4008261484582</v>
      </c>
      <c r="I72" s="12">
        <f t="shared" si="16"/>
        <v>2522.0184443931867</v>
      </c>
      <c r="J72" s="141">
        <f t="shared" si="6"/>
        <v>0.43806195665447462</v>
      </c>
      <c r="K72" s="267" cm="1">
        <f t="array" ref="K72">InterpolateXYZ(J72,C72,B72,FFnorm_PS,FFnorm_M,FFnorm_h,FFnorm_table)*numeng</f>
        <v>1104.8003344695537</v>
      </c>
      <c r="L72" s="11">
        <f t="shared" si="7"/>
        <v>1.0122893184923847</v>
      </c>
      <c r="M72" s="425" cm="1">
        <f t="array" ref="M72">($D$5/G72)*(C72*Linterp($D$6,atmos_h,atmos_vela)/L72)</f>
        <v>3945.3987944629012</v>
      </c>
      <c r="N72" s="55">
        <f t="shared" si="8"/>
        <v>9.0514092800318409</v>
      </c>
      <c r="O72" s="426">
        <f t="shared" si="9"/>
        <v>0.3945398794462901</v>
      </c>
      <c r="P72" s="12"/>
      <c r="Q72" s="7">
        <f t="shared" si="10"/>
        <v>0.71</v>
      </c>
      <c r="R72" s="314" cm="1">
        <f t="array" ref="R72">numeng*InterpolateXY($D$6,$Q72,Tmil_h,Tmil_M,Tmil_table)</f>
        <v>2629.929645052312</v>
      </c>
      <c r="S72" s="12" cm="1">
        <f t="array" ref="S72">numeng*InterpolateXY($D$6,$Q72,Tmax_h,Tmax_M,Tmax_table)</f>
        <v>4594.9175970281894</v>
      </c>
      <c r="T72" s="16">
        <f t="shared" si="11"/>
        <v>1091.3879207131681</v>
      </c>
      <c r="U72" s="55">
        <f t="shared" si="12"/>
        <v>1538.5417243391439</v>
      </c>
      <c r="V72" s="426">
        <f t="shared" si="13"/>
        <v>3503.5296763150213</v>
      </c>
    </row>
    <row r="73" spans="2:22">
      <c r="B73" s="120">
        <f t="shared" si="14"/>
        <v>20000</v>
      </c>
      <c r="C73" s="7">
        <v>0.72</v>
      </c>
      <c r="D73" s="7">
        <f t="shared" si="15"/>
        <v>746.53458250843357</v>
      </c>
      <c r="E73" s="11">
        <f t="shared" si="1"/>
        <v>0.16668703325094872</v>
      </c>
      <c r="F73" s="19">
        <f t="shared" si="5"/>
        <v>1.8510763746910578E-2</v>
      </c>
      <c r="G73" s="16">
        <f t="shared" si="2"/>
        <v>1110.510121026779</v>
      </c>
      <c r="H73" s="12">
        <f t="shared" si="3"/>
        <v>2499.9257220463141</v>
      </c>
      <c r="I73" s="12">
        <f t="shared" si="16"/>
        <v>2530.6481054518463</v>
      </c>
      <c r="J73" s="141">
        <f t="shared" si="6"/>
        <v>0.44421724662994022</v>
      </c>
      <c r="K73" s="267" cm="1">
        <f t="array" ref="K73">InterpolateXYZ(J73,C73,B73,FFnorm_PS,FFnorm_M,FFnorm_h,FFnorm_table)*numeng</f>
        <v>1124.1575335930936</v>
      </c>
      <c r="L73" s="11">
        <f t="shared" si="7"/>
        <v>1.0122893184923847</v>
      </c>
      <c r="M73" s="425" cm="1">
        <f t="array" ref="M73">($D$5/G73)*(C73*Linterp($D$6,atmos_h,atmos_vela)/L73)</f>
        <v>3932.073950701501</v>
      </c>
      <c r="N73" s="55">
        <f t="shared" si="8"/>
        <v>8.895550402119758</v>
      </c>
      <c r="O73" s="426">
        <f t="shared" si="9"/>
        <v>0.39320739507015012</v>
      </c>
      <c r="P73" s="12"/>
      <c r="Q73" s="7">
        <f t="shared" si="10"/>
        <v>0.72</v>
      </c>
      <c r="R73" s="314" cm="1">
        <f t="array" ref="R73">numeng*InterpolateXY($D$6,$Q73,Tmil_h,Tmil_M,Tmil_table)</f>
        <v>2638.454538553292</v>
      </c>
      <c r="S73" s="12" cm="1">
        <f t="array" ref="S73">numeng*InterpolateXY($D$6,$Q73,Tmax_h,Tmax_M,Tmax_table)</f>
        <v>4618.3610541558837</v>
      </c>
      <c r="T73" s="16">
        <f t="shared" si="11"/>
        <v>1110.510121026779</v>
      </c>
      <c r="U73" s="55">
        <f t="shared" si="12"/>
        <v>1527.944417526513</v>
      </c>
      <c r="V73" s="426">
        <f t="shared" si="13"/>
        <v>3507.8509331291048</v>
      </c>
    </row>
    <row r="74" spans="2:22">
      <c r="B74" s="120">
        <f t="shared" si="14"/>
        <v>20000</v>
      </c>
      <c r="C74" s="7">
        <v>0.73</v>
      </c>
      <c r="D74" s="7">
        <f t="shared" si="15"/>
        <v>756.90311837660636</v>
      </c>
      <c r="E74" s="11">
        <f t="shared" si="1"/>
        <v>0.1621515444497876</v>
      </c>
      <c r="F74" s="19">
        <f t="shared" si="5"/>
        <v>1.8320682916867035E-2</v>
      </c>
      <c r="G74" s="16">
        <f t="shared" si="2"/>
        <v>1129.8494244401279</v>
      </c>
      <c r="H74" s="12">
        <f t="shared" si="3"/>
        <v>2508.4506179441701</v>
      </c>
      <c r="I74" s="12">
        <f t="shared" si="16"/>
        <v>2539.2777665105054</v>
      </c>
      <c r="J74" s="141">
        <f t="shared" si="6"/>
        <v>0.45041724814423861</v>
      </c>
      <c r="K74" s="267" cm="1">
        <f t="array" ref="K74">InterpolateXYZ(J74,C74,B74,FFnorm_PS,FFnorm_M,FFnorm_h,FFnorm_table)*numeng</f>
        <v>1143.7345038655103</v>
      </c>
      <c r="L74" s="11">
        <f t="shared" si="7"/>
        <v>1.0122893184923849</v>
      </c>
      <c r="M74" s="425" cm="1">
        <f t="array" ref="M74">($D$5/G74)*(C74*Linterp($D$6,atmos_h,atmos_vela)/L74)</f>
        <v>3918.447144654041</v>
      </c>
      <c r="N74" s="55">
        <f t="shared" si="8"/>
        <v>8.7432878576301842</v>
      </c>
      <c r="O74" s="426">
        <f t="shared" si="9"/>
        <v>0.39184471446540409</v>
      </c>
      <c r="P74" s="12"/>
      <c r="Q74" s="7">
        <f t="shared" si="10"/>
        <v>0.73</v>
      </c>
      <c r="R74" s="314" cm="1">
        <f t="array" ref="R74">numeng*InterpolateXY($D$6,$Q74,Tmil_h,Tmil_M,Tmil_table)</f>
        <v>2646.9794320542719</v>
      </c>
      <c r="S74" s="12" cm="1">
        <f t="array" ref="S74">numeng*InterpolateXY($D$6,$Q74,Tmax_h,Tmax_M,Tmax_table)</f>
        <v>4641.8045112835789</v>
      </c>
      <c r="T74" s="16">
        <f t="shared" si="11"/>
        <v>1129.8494244401279</v>
      </c>
      <c r="U74" s="55">
        <f t="shared" si="12"/>
        <v>1517.130007614144</v>
      </c>
      <c r="V74" s="426">
        <f t="shared" si="13"/>
        <v>3511.9550868434508</v>
      </c>
    </row>
    <row r="75" spans="2:22">
      <c r="B75" s="120">
        <f t="shared" si="14"/>
        <v>20000</v>
      </c>
      <c r="C75" s="7">
        <v>0.74</v>
      </c>
      <c r="D75" s="7">
        <f t="shared" si="15"/>
        <v>767.27165424477903</v>
      </c>
      <c r="E75" s="11">
        <f t="shared" ref="E75:E101" si="17">D$5/(H$5*C75*C75*_xlfn.SINGLE(S))</f>
        <v>0.15779868158745766</v>
      </c>
      <c r="F75" s="19">
        <f t="shared" si="5"/>
        <v>1.8137450559529665E-2</v>
      </c>
      <c r="G75" s="16">
        <f t="shared" ref="G75:G101" si="18">F75*$H$5*C75*C75*_xlfn.SINGLE(S)</f>
        <v>1149.4044422340273</v>
      </c>
      <c r="H75" s="12">
        <f t="shared" ref="H75:H101" si="19">_xlfn.SINGLE(InterpolateXY(B75,C75,Tnorm_h,Tnorm_M,Tnorm_table))*_xlfn.SINGLE(numeng)</f>
        <v>2516.9755138420264</v>
      </c>
      <c r="I75" s="12">
        <f t="shared" ref="I75:I101" si="20">_xlfn.SINGLE(InterpolateXYZ($I$8,C75,B75,FFnorm_PS,FFnorm_M,FFnorm_h,FFnorm_table))*_xlfn.SINGLE(numeng)</f>
        <v>2547.9074275691651</v>
      </c>
      <c r="J75" s="141">
        <f t="shared" si="6"/>
        <v>0.45666095514752303</v>
      </c>
      <c r="K75" s="267" cm="1">
        <f t="array" ref="K75">InterpolateXYZ(J75,C75,B75,FFnorm_PS,FFnorm_M,FFnorm_h,FFnorm_table)*numeng</f>
        <v>1163.529839501203</v>
      </c>
      <c r="L75" s="11">
        <f t="shared" si="7"/>
        <v>1.0122893184923847</v>
      </c>
      <c r="M75" s="425" cm="1">
        <f t="array" ref="M75">($D$5/G75)*(C75*Linterp($D$6,atmos_h,atmos_vela)/L75)</f>
        <v>3904.5460574088547</v>
      </c>
      <c r="N75" s="55">
        <f t="shared" si="8"/>
        <v>8.5945367798104151</v>
      </c>
      <c r="O75" s="426">
        <f t="shared" si="9"/>
        <v>0.39045460574088547</v>
      </c>
      <c r="P75" s="12"/>
      <c r="Q75" s="7">
        <f t="shared" si="10"/>
        <v>0.74</v>
      </c>
      <c r="R75" s="314" cm="1">
        <f t="array" ref="R75">numeng*InterpolateXY($D$6,$Q75,Tmil_h,Tmil_M,Tmil_table)</f>
        <v>2655.5043255552519</v>
      </c>
      <c r="S75" s="12" cm="1">
        <f t="array" ref="S75">numeng*InterpolateXY($D$6,$Q75,Tmax_h,Tmax_M,Tmax_table)</f>
        <v>4665.2479684112732</v>
      </c>
      <c r="T75" s="16">
        <f t="shared" si="11"/>
        <v>1149.4044422340273</v>
      </c>
      <c r="U75" s="55">
        <f t="shared" si="12"/>
        <v>1506.0998833212245</v>
      </c>
      <c r="V75" s="426">
        <f t="shared" si="13"/>
        <v>3515.8435261772456</v>
      </c>
    </row>
    <row r="76" spans="2:22">
      <c r="B76" s="120">
        <f t="shared" si="14"/>
        <v>20000</v>
      </c>
      <c r="C76" s="7">
        <v>0.75</v>
      </c>
      <c r="D76" s="7">
        <f t="shared" si="15"/>
        <v>777.6401901129517</v>
      </c>
      <c r="E76" s="11">
        <f t="shared" si="17"/>
        <v>0.15361876984407435</v>
      </c>
      <c r="F76" s="19">
        <f t="shared" ref="F76:F101" si="21">InterpolateXY(E76,C76,CD_CL,CD_M,CD_table)</f>
        <v>1.7960703869152786E-2</v>
      </c>
      <c r="G76" s="16">
        <f t="shared" si="18"/>
        <v>1169.1737856892883</v>
      </c>
      <c r="H76" s="12">
        <f t="shared" si="19"/>
        <v>2525.5004097398823</v>
      </c>
      <c r="I76" s="12">
        <f t="shared" si="20"/>
        <v>2556.5370886278242</v>
      </c>
      <c r="J76" s="141">
        <f t="shared" ref="J76:J101" si="22">G76/H76</f>
        <v>0.4629473751737419</v>
      </c>
      <c r="K76" s="267" cm="1">
        <f t="array" ref="K76">InterpolateXYZ(J76,C76,B76,FFnorm_PS,FFnorm_M,FFnorm_h,FFnorm_table)*numeng</f>
        <v>1183.5421347145711</v>
      </c>
      <c r="L76" s="11">
        <f t="shared" ref="L76:L101" si="23">K76/G76</f>
        <v>1.0122893184923847</v>
      </c>
      <c r="M76" s="425" cm="1">
        <f t="array" ref="M76">($D$5/G76)*(C76*Linterp($D$6,atmos_h,atmos_vela)/L76)</f>
        <v>3890.396766651892</v>
      </c>
      <c r="N76" s="55">
        <f t="shared" ref="N76:N121" si="24">($D$5/G76)*(1/L76)</f>
        <v>8.449213345844802</v>
      </c>
      <c r="O76" s="426">
        <f t="shared" ref="O76:O121" si="25">M76/$D$5</f>
        <v>0.38903967666518918</v>
      </c>
      <c r="P76" s="12"/>
      <c r="Q76" s="7">
        <f t="shared" ref="Q76:Q121" si="26">C76</f>
        <v>0.75</v>
      </c>
      <c r="R76" s="314" cm="1">
        <f t="array" ref="R76">numeng*InterpolateXY($D$6,$Q76,Tmil_h,Tmil_M,Tmil_table)</f>
        <v>2664.0292190562318</v>
      </c>
      <c r="S76" s="12" cm="1">
        <f t="array" ref="S76">numeng*InterpolateXY($D$6,$Q76,Tmax_h,Tmax_M,Tmax_table)</f>
        <v>4688.6914255389684</v>
      </c>
      <c r="T76" s="16">
        <f t="shared" ref="T76:T121" si="27">G76</f>
        <v>1169.1737856892883</v>
      </c>
      <c r="U76" s="55">
        <f t="shared" ref="U76:U121" si="28">R76-T76</f>
        <v>1494.8554333669435</v>
      </c>
      <c r="V76" s="426">
        <f t="shared" ref="V76:V121" si="29">S76-T76</f>
        <v>3519.5176398496801</v>
      </c>
    </row>
    <row r="77" spans="2:22">
      <c r="B77" s="120">
        <f t="shared" ref="B77:B121" si="30">B76</f>
        <v>20000</v>
      </c>
      <c r="C77" s="7">
        <v>0.76</v>
      </c>
      <c r="D77" s="7">
        <f t="shared" si="15"/>
        <v>788.00872598112437</v>
      </c>
      <c r="E77" s="11">
        <f t="shared" si="17"/>
        <v>0.14960276668506198</v>
      </c>
      <c r="F77" s="19">
        <f t="shared" si="21"/>
        <v>1.7790103750689824E-2</v>
      </c>
      <c r="G77" s="16">
        <f t="shared" si="18"/>
        <v>1189.1560660867233</v>
      </c>
      <c r="H77" s="12">
        <f t="shared" si="19"/>
        <v>2534.0253056377387</v>
      </c>
      <c r="I77" s="12">
        <f t="shared" si="20"/>
        <v>2565.1667496864834</v>
      </c>
      <c r="J77" s="141">
        <f t="shared" si="22"/>
        <v>0.46927552911214837</v>
      </c>
      <c r="K77" s="267" cm="1">
        <f t="array" ref="K77">InterpolateXYZ(J77,C77,B77,FFnorm_PS,FFnorm_M,FFnorm_h,FFnorm_table)*numeng</f>
        <v>1203.7699837200144</v>
      </c>
      <c r="L77" s="11">
        <f t="shared" si="23"/>
        <v>1.0122893184923847</v>
      </c>
      <c r="M77" s="425" cm="1">
        <f t="array" ref="M77">($D$5/G77)*(C77*Linterp($D$6,atmos_h,atmos_vela)/L77)</f>
        <v>3876.0238282888949</v>
      </c>
      <c r="N77" s="55">
        <f t="shared" si="24"/>
        <v>8.3072348831102829</v>
      </c>
      <c r="O77" s="426">
        <f t="shared" si="25"/>
        <v>0.38760238282888948</v>
      </c>
      <c r="P77" s="12"/>
      <c r="Q77" s="7">
        <f t="shared" si="26"/>
        <v>0.76</v>
      </c>
      <c r="R77" s="314" cm="1">
        <f t="array" ref="R77">numeng*InterpolateXY($D$6,$Q77,Tmil_h,Tmil_M,Tmil_table)</f>
        <v>2672.5541125572117</v>
      </c>
      <c r="S77" s="12" cm="1">
        <f t="array" ref="S77">numeng*InterpolateXY($D$6,$Q77,Tmax_h,Tmax_M,Tmax_table)</f>
        <v>4712.1348826666635</v>
      </c>
      <c r="T77" s="16">
        <f t="shared" si="27"/>
        <v>1189.1560660867233</v>
      </c>
      <c r="U77" s="55">
        <f t="shared" si="28"/>
        <v>1483.3980464704885</v>
      </c>
      <c r="V77" s="426">
        <f t="shared" si="29"/>
        <v>3522.97881657994</v>
      </c>
    </row>
    <row r="78" spans="2:22">
      <c r="B78" s="120">
        <f t="shared" si="30"/>
        <v>20000</v>
      </c>
      <c r="C78" s="7">
        <v>0.77</v>
      </c>
      <c r="D78" s="7">
        <f t="shared" si="15"/>
        <v>798.37726184929704</v>
      </c>
      <c r="E78" s="11">
        <f t="shared" si="17"/>
        <v>0.1457422129149803</v>
      </c>
      <c r="F78" s="19">
        <f t="shared" si="21"/>
        <v>1.7625332984311761E-2</v>
      </c>
      <c r="G78" s="16">
        <f t="shared" si="18"/>
        <v>1209.3498947071446</v>
      </c>
      <c r="H78" s="12">
        <f t="shared" si="19"/>
        <v>2542.5502015355946</v>
      </c>
      <c r="I78" s="12">
        <f t="shared" si="20"/>
        <v>2573.796410745143</v>
      </c>
      <c r="J78" s="141">
        <f t="shared" si="22"/>
        <v>0.47564445098340535</v>
      </c>
      <c r="K78" s="267" cm="1">
        <f t="array" ref="K78">InterpolateXYZ(J78,C78,B78,FFnorm_PS,FFnorm_M,FFnorm_h,FFnorm_table)*numeng</f>
        <v>1224.211980731933</v>
      </c>
      <c r="L78" s="11">
        <f t="shared" si="23"/>
        <v>1.0122893184923849</v>
      </c>
      <c r="M78" s="425" cm="1">
        <f t="array" ref="M78">($D$5/G78)*(C78*Linterp($D$6,atmos_h,atmos_vela)/L78)</f>
        <v>3861.4503547328886</v>
      </c>
      <c r="N78" s="55">
        <f t="shared" si="24"/>
        <v>8.1685199600980809</v>
      </c>
      <c r="O78" s="426">
        <f t="shared" si="25"/>
        <v>0.38614503547328888</v>
      </c>
      <c r="P78" s="12"/>
      <c r="Q78" s="7">
        <f t="shared" si="26"/>
        <v>0.77</v>
      </c>
      <c r="R78" s="314" cm="1">
        <f t="array" ref="R78">numeng*InterpolateXY($D$6,$Q78,Tmil_h,Tmil_M,Tmil_table)</f>
        <v>2681.0790060581917</v>
      </c>
      <c r="S78" s="12" cm="1">
        <f t="array" ref="S78">numeng*InterpolateXY($D$6,$Q78,Tmax_h,Tmax_M,Tmax_table)</f>
        <v>4735.5783397943578</v>
      </c>
      <c r="T78" s="16">
        <f t="shared" si="27"/>
        <v>1209.3498947071446</v>
      </c>
      <c r="U78" s="55">
        <f t="shared" si="28"/>
        <v>1471.7291113510471</v>
      </c>
      <c r="V78" s="426">
        <f t="shared" si="29"/>
        <v>3526.228445087213</v>
      </c>
    </row>
    <row r="79" spans="2:22">
      <c r="B79" s="120">
        <f t="shared" si="30"/>
        <v>20000</v>
      </c>
      <c r="C79" s="7">
        <v>0.78</v>
      </c>
      <c r="D79" s="7">
        <f t="shared" si="15"/>
        <v>808.74579771746983</v>
      </c>
      <c r="E79" s="11">
        <f t="shared" si="17"/>
        <v>0.1420291880954829</v>
      </c>
      <c r="F79" s="19">
        <f t="shared" si="21"/>
        <v>1.746609455358061E-2</v>
      </c>
      <c r="G79" s="16">
        <f t="shared" si="18"/>
        <v>1229.7538828313629</v>
      </c>
      <c r="H79" s="12">
        <f t="shared" si="19"/>
        <v>2551.075097433451</v>
      </c>
      <c r="I79" s="12">
        <f t="shared" si="20"/>
        <v>2582.4260718038022</v>
      </c>
      <c r="J79" s="141">
        <f t="shared" si="22"/>
        <v>0.48205318772017963</v>
      </c>
      <c r="K79" s="267" cm="1">
        <f t="array" ref="K79">InterpolateXYZ(J79,C79,B79,FFnorm_PS,FFnorm_M,FFnorm_h,FFnorm_table)*numeng</f>
        <v>1244.8667199647243</v>
      </c>
      <c r="L79" s="11">
        <f t="shared" si="23"/>
        <v>1.0122893184923847</v>
      </c>
      <c r="M79" s="425" cm="1">
        <f t="array" ref="M79">($D$5/G79)*(C79*Linterp($D$6,atmos_h,atmos_vela)/L79)</f>
        <v>3846.6980898879951</v>
      </c>
      <c r="N79" s="55">
        <f t="shared" si="24"/>
        <v>8.0329884634423898</v>
      </c>
      <c r="O79" s="426">
        <f t="shared" si="25"/>
        <v>0.38466980898879949</v>
      </c>
      <c r="P79" s="12"/>
      <c r="Q79" s="7">
        <f t="shared" si="26"/>
        <v>0.78</v>
      </c>
      <c r="R79" s="314" cm="1">
        <f t="array" ref="R79">numeng*InterpolateXY($D$6,$Q79,Tmil_h,Tmil_M,Tmil_table)</f>
        <v>2689.6038995591716</v>
      </c>
      <c r="S79" s="12" cm="1">
        <f t="array" ref="S79">numeng*InterpolateXY($D$6,$Q79,Tmax_h,Tmax_M,Tmax_table)</f>
        <v>4759.021796922053</v>
      </c>
      <c r="T79" s="16">
        <f t="shared" si="27"/>
        <v>1229.7538828313629</v>
      </c>
      <c r="U79" s="55">
        <f t="shared" si="28"/>
        <v>1459.8500167278087</v>
      </c>
      <c r="V79" s="426">
        <f t="shared" si="29"/>
        <v>3529.2679140906903</v>
      </c>
    </row>
    <row r="80" spans="2:22">
      <c r="B80" s="120">
        <f t="shared" si="30"/>
        <v>20000</v>
      </c>
      <c r="C80" s="7">
        <v>0.79</v>
      </c>
      <c r="D80" s="7">
        <f t="shared" si="15"/>
        <v>819.1143335856425</v>
      </c>
      <c r="E80" s="11">
        <f t="shared" si="17"/>
        <v>0.13845626988830603</v>
      </c>
      <c r="F80" s="19">
        <f t="shared" si="21"/>
        <v>1.7312110120811474E-2</v>
      </c>
      <c r="G80" s="16">
        <f t="shared" si="18"/>
        <v>1250.366641740191</v>
      </c>
      <c r="H80" s="12">
        <f t="shared" si="19"/>
        <v>2559.5999933313074</v>
      </c>
      <c r="I80" s="12">
        <f t="shared" si="20"/>
        <v>2591.0557328624618</v>
      </c>
      <c r="J80" s="141">
        <f t="shared" si="22"/>
        <v>0.48850079895212245</v>
      </c>
      <c r="K80" s="267" cm="1">
        <f t="array" ref="K80">InterpolateXYZ(J80,C80,B80,FFnorm_PS,FFnorm_M,FFnorm_h,FFnorm_table)*numeng</f>
        <v>1265.7327956327897</v>
      </c>
      <c r="L80" s="11">
        <f t="shared" si="23"/>
        <v>1.0122893184923847</v>
      </c>
      <c r="M80" s="425" cm="1">
        <f t="array" ref="M80">($D$5/G80)*(C80*Linterp($D$6,atmos_h,atmos_vela)/L80)</f>
        <v>3831.7874808771057</v>
      </c>
      <c r="N80" s="55">
        <f t="shared" si="24"/>
        <v>7.9005616623851536</v>
      </c>
      <c r="O80" s="426">
        <f t="shared" si="25"/>
        <v>0.38317874808771057</v>
      </c>
      <c r="P80" s="12"/>
      <c r="Q80" s="7">
        <f t="shared" si="26"/>
        <v>0.79</v>
      </c>
      <c r="R80" s="314" cm="1">
        <f t="array" ref="R80">numeng*InterpolateXY($D$6,$Q80,Tmil_h,Tmil_M,Tmil_table)</f>
        <v>2698.1287930601516</v>
      </c>
      <c r="S80" s="12" cm="1">
        <f t="array" ref="S80">numeng*InterpolateXY($D$6,$Q80,Tmax_h,Tmax_M,Tmax_table)</f>
        <v>4782.4652540497473</v>
      </c>
      <c r="T80" s="16">
        <f t="shared" si="27"/>
        <v>1250.366641740191</v>
      </c>
      <c r="U80" s="55">
        <f t="shared" si="28"/>
        <v>1447.7621513199606</v>
      </c>
      <c r="V80" s="426">
        <f t="shared" si="29"/>
        <v>3532.0986123095563</v>
      </c>
    </row>
    <row r="81" spans="2:22">
      <c r="B81" s="120">
        <f t="shared" si="30"/>
        <v>20000</v>
      </c>
      <c r="C81" s="7">
        <v>0.8</v>
      </c>
      <c r="D81" s="7">
        <f t="shared" si="15"/>
        <v>829.48286945381517</v>
      </c>
      <c r="E81" s="11">
        <f t="shared" si="17"/>
        <v>0.13501649693326845</v>
      </c>
      <c r="F81" s="19">
        <f t="shared" si="21"/>
        <v>1.7163118634997566E-2</v>
      </c>
      <c r="G81" s="16">
        <f t="shared" si="18"/>
        <v>1271.1867827144406</v>
      </c>
      <c r="H81" s="12">
        <f t="shared" si="19"/>
        <v>2568.1248892291633</v>
      </c>
      <c r="I81" s="12">
        <f t="shared" si="20"/>
        <v>2599.685393921121</v>
      </c>
      <c r="J81" s="141">
        <f t="shared" si="22"/>
        <v>0.49498635679513009</v>
      </c>
      <c r="K81" s="267" cm="1">
        <f t="array" ref="K81">InterpolateXYZ(J81,C81,B81,FFnorm_PS,FFnorm_M,FFnorm_h,FFnorm_table)*numeng</f>
        <v>1286.8088019505283</v>
      </c>
      <c r="L81" s="11">
        <f t="shared" si="23"/>
        <v>1.0122893184923847</v>
      </c>
      <c r="M81" s="425" cm="1">
        <f t="array" ref="M81">($D$5/G81)*(C81*Linterp($D$6,atmos_h,atmos_vela)/L81)</f>
        <v>3816.7377465747154</v>
      </c>
      <c r="N81" s="55">
        <f t="shared" si="24"/>
        <v>7.7711622619010132</v>
      </c>
      <c r="O81" s="426">
        <f t="shared" si="25"/>
        <v>0.38167377465747154</v>
      </c>
      <c r="P81" s="12"/>
      <c r="Q81" s="7">
        <f t="shared" si="26"/>
        <v>0.8</v>
      </c>
      <c r="R81" s="314" cm="1">
        <f t="array" ref="R81">numeng*InterpolateXY($D$6,$Q81,Tmil_h,Tmil_M,Tmil_table)</f>
        <v>2706.6536865611315</v>
      </c>
      <c r="S81" s="12" cm="1">
        <f t="array" ref="S81">numeng*InterpolateXY($D$6,$Q81,Tmax_h,Tmax_M,Tmax_table)</f>
        <v>4805.9087111774425</v>
      </c>
      <c r="T81" s="16">
        <f t="shared" si="27"/>
        <v>1271.1867827144406</v>
      </c>
      <c r="U81" s="55">
        <f t="shared" si="28"/>
        <v>1435.4669038466909</v>
      </c>
      <c r="V81" s="426">
        <f t="shared" si="29"/>
        <v>3534.7219284630019</v>
      </c>
    </row>
    <row r="82" spans="2:22">
      <c r="B82" s="120">
        <f t="shared" si="30"/>
        <v>20000</v>
      </c>
      <c r="C82" s="7">
        <v>0.81</v>
      </c>
      <c r="D82" s="7">
        <f t="shared" si="15"/>
        <v>839.85140532198784</v>
      </c>
      <c r="E82" s="11">
        <f t="shared" si="17"/>
        <v>0.13170333491432981</v>
      </c>
      <c r="F82" s="19">
        <f t="shared" si="21"/>
        <v>1.7118875059287369E-2</v>
      </c>
      <c r="G82" s="16">
        <f t="shared" si="18"/>
        <v>1299.8057391958091</v>
      </c>
      <c r="H82" s="12">
        <f t="shared" si="19"/>
        <v>2576.6497851270196</v>
      </c>
      <c r="I82" s="12">
        <f t="shared" si="20"/>
        <v>2608.3150549797801</v>
      </c>
      <c r="J82" s="141">
        <f t="shared" si="22"/>
        <v>0.50445572646254422</v>
      </c>
      <c r="K82" s="267" cm="1">
        <f t="array" ref="K82">InterpolateXYZ(J82,C82,B82,FFnorm_PS,FFnorm_M,FFnorm_h,FFnorm_table)*numeng</f>
        <v>1315.779465903016</v>
      </c>
      <c r="L82" s="11">
        <f t="shared" si="23"/>
        <v>1.0122893184923847</v>
      </c>
      <c r="M82" s="425" cm="1">
        <f t="array" ref="M82">($D$5/G82)*(C82*Linterp($D$6,atmos_h,atmos_vela)/L82)</f>
        <v>3779.3600694355046</v>
      </c>
      <c r="N82" s="55">
        <f t="shared" si="24"/>
        <v>7.6000578053838428</v>
      </c>
      <c r="O82" s="426">
        <f t="shared" si="25"/>
        <v>0.37793600694355045</v>
      </c>
      <c r="P82" s="12"/>
      <c r="Q82" s="7">
        <f t="shared" si="26"/>
        <v>0.81</v>
      </c>
      <c r="R82" s="314" cm="1">
        <f t="array" ref="R82">numeng*InterpolateXY($D$6,$Q82,Tmil_h,Tmil_M,Tmil_table)</f>
        <v>2715.1785800621115</v>
      </c>
      <c r="S82" s="12" cm="1">
        <f t="array" ref="S82">numeng*InterpolateXY($D$6,$Q82,Tmax_h,Tmax_M,Tmax_table)</f>
        <v>4829.3521683051376</v>
      </c>
      <c r="T82" s="16">
        <f t="shared" si="27"/>
        <v>1299.8057391958091</v>
      </c>
      <c r="U82" s="55">
        <f t="shared" si="28"/>
        <v>1415.3728408663023</v>
      </c>
      <c r="V82" s="426">
        <f t="shared" si="29"/>
        <v>3529.5464291093285</v>
      </c>
    </row>
    <row r="83" spans="2:22">
      <c r="B83" s="120">
        <f t="shared" si="30"/>
        <v>20000</v>
      </c>
      <c r="C83" s="7">
        <v>0.82</v>
      </c>
      <c r="D83" s="7">
        <f t="shared" si="15"/>
        <v>850.21994119016051</v>
      </c>
      <c r="E83" s="11">
        <f t="shared" si="17"/>
        <v>0.12851064550459818</v>
      </c>
      <c r="F83" s="19">
        <f t="shared" si="21"/>
        <v>1.707914920642243E-2</v>
      </c>
      <c r="G83" s="16">
        <f t="shared" si="18"/>
        <v>1329.006569016987</v>
      </c>
      <c r="H83" s="12">
        <f t="shared" si="19"/>
        <v>2585.1746810248756</v>
      </c>
      <c r="I83" s="12">
        <f t="shared" si="20"/>
        <v>2616.9447160384393</v>
      </c>
      <c r="J83" s="141">
        <f t="shared" si="22"/>
        <v>0.51408772442801076</v>
      </c>
      <c r="K83" s="267" cm="1">
        <f t="array" ref="K83">InterpolateXYZ(J83,C83,B83,FFnorm_PS,FFnorm_M,FFnorm_h,FFnorm_table)*numeng</f>
        <v>1345.3391540221082</v>
      </c>
      <c r="L83" s="11">
        <f t="shared" si="23"/>
        <v>1.0122893184923847</v>
      </c>
      <c r="M83" s="425" cm="1">
        <f t="array" ref="M83">($D$5/G83)*(C83*Linterp($D$6,atmos_h,atmos_vela)/L83)</f>
        <v>3741.9538449872312</v>
      </c>
      <c r="N83" s="55">
        <f t="shared" si="24"/>
        <v>7.4330699215163616</v>
      </c>
      <c r="O83" s="426">
        <f t="shared" si="25"/>
        <v>0.37419538449872314</v>
      </c>
      <c r="P83" s="12"/>
      <c r="Q83" s="7">
        <f t="shared" si="26"/>
        <v>0.82</v>
      </c>
      <c r="R83" s="314" cm="1">
        <f t="array" ref="R83">numeng*InterpolateXY($D$6,$Q83,Tmil_h,Tmil_M,Tmil_table)</f>
        <v>2723.7034735630914</v>
      </c>
      <c r="S83" s="12" cm="1">
        <f t="array" ref="S83">numeng*InterpolateXY($D$6,$Q83,Tmax_h,Tmax_M,Tmax_table)</f>
        <v>4852.7956254328319</v>
      </c>
      <c r="T83" s="16">
        <f t="shared" si="27"/>
        <v>1329.006569016987</v>
      </c>
      <c r="U83" s="55">
        <f t="shared" si="28"/>
        <v>1394.6969045461044</v>
      </c>
      <c r="V83" s="426">
        <f t="shared" si="29"/>
        <v>3523.7890564158452</v>
      </c>
    </row>
    <row r="84" spans="2:22">
      <c r="B84" s="120">
        <f t="shared" si="30"/>
        <v>20000</v>
      </c>
      <c r="C84" s="7">
        <v>0.83</v>
      </c>
      <c r="D84" s="7">
        <f t="shared" si="15"/>
        <v>860.58847705833318</v>
      </c>
      <c r="E84" s="11">
        <f t="shared" si="17"/>
        <v>0.12543265791448951</v>
      </c>
      <c r="F84" s="19">
        <f t="shared" si="21"/>
        <v>1.7043724671793357E-2</v>
      </c>
      <c r="G84" s="16">
        <f t="shared" si="18"/>
        <v>1358.7948270547276</v>
      </c>
      <c r="H84" s="12">
        <f t="shared" si="19"/>
        <v>2593.6995769227315</v>
      </c>
      <c r="I84" s="12">
        <f t="shared" si="20"/>
        <v>2625.5743770970985</v>
      </c>
      <c r="J84" s="141">
        <f t="shared" si="22"/>
        <v>0.5238828888065965</v>
      </c>
      <c r="K84" s="267" cm="1">
        <f t="array" ref="K84">InterpolateXYZ(J84,C84,B84,FFnorm_PS,FFnorm_M,FFnorm_h,FFnorm_table)*numeng</f>
        <v>1375.4934894502082</v>
      </c>
      <c r="L84" s="11">
        <f t="shared" si="23"/>
        <v>1.0122893184923849</v>
      </c>
      <c r="M84" s="425" cm="1">
        <f t="array" ref="M84">($D$5/G84)*(C84*Linterp($D$6,atmos_h,atmos_vela)/L84)</f>
        <v>3704.5538244092268</v>
      </c>
      <c r="N84" s="55">
        <f t="shared" si="24"/>
        <v>7.2701180170594997</v>
      </c>
      <c r="O84" s="426">
        <f t="shared" si="25"/>
        <v>0.37045538244092269</v>
      </c>
      <c r="P84" s="12"/>
      <c r="Q84" s="7">
        <f t="shared" si="26"/>
        <v>0.83</v>
      </c>
      <c r="R84" s="314" cm="1">
        <f t="array" ref="R84">numeng*InterpolateXY($D$6,$Q84,Tmil_h,Tmil_M,Tmil_table)</f>
        <v>2732.2283670640713</v>
      </c>
      <c r="S84" s="12" cm="1">
        <f t="array" ref="S84">numeng*InterpolateXY($D$6,$Q84,Tmax_h,Tmax_M,Tmax_table)</f>
        <v>4876.2390825605271</v>
      </c>
      <c r="T84" s="16">
        <f t="shared" si="27"/>
        <v>1358.7948270547276</v>
      </c>
      <c r="U84" s="55">
        <f t="shared" si="28"/>
        <v>1373.4335400093437</v>
      </c>
      <c r="V84" s="426">
        <f t="shared" si="29"/>
        <v>3517.4442555057994</v>
      </c>
    </row>
    <row r="85" spans="2:22">
      <c r="B85" s="120">
        <f t="shared" si="30"/>
        <v>20000</v>
      </c>
      <c r="C85" s="7">
        <v>0.84</v>
      </c>
      <c r="D85" s="7">
        <f t="shared" ref="D85:D101" si="31">C85*H$6</f>
        <v>870.95701292650585</v>
      </c>
      <c r="E85" s="11">
        <f t="shared" si="17"/>
        <v>0.12246394279661538</v>
      </c>
      <c r="F85" s="19">
        <f t="shared" si="21"/>
        <v>1.7012397854873077E-2</v>
      </c>
      <c r="G85" s="16">
        <f t="shared" si="18"/>
        <v>1389.1760681857829</v>
      </c>
      <c r="H85" s="12">
        <f t="shared" si="19"/>
        <v>2602.2244728205878</v>
      </c>
      <c r="I85" s="12">
        <f t="shared" si="20"/>
        <v>2634.2040381557581</v>
      </c>
      <c r="J85" s="141">
        <f t="shared" si="22"/>
        <v>0.53384175066190021</v>
      </c>
      <c r="K85" s="267" cm="1">
        <f t="array" ref="K85">InterpolateXYZ(J85,C85,B85,FFnorm_PS,FFnorm_M,FFnorm_h,FFnorm_table)*numeng</f>
        <v>1406.2480953297168</v>
      </c>
      <c r="L85" s="11">
        <f t="shared" si="23"/>
        <v>1.0122893184923847</v>
      </c>
      <c r="M85" s="425" cm="1">
        <f t="array" ref="M85">($D$5/G85)*(C85*Linterp($D$6,atmos_h,atmos_vela)/L85)</f>
        <v>3667.1923898119071</v>
      </c>
      <c r="N85" s="55">
        <f t="shared" si="24"/>
        <v>7.1111207426420329</v>
      </c>
      <c r="O85" s="426">
        <f t="shared" si="25"/>
        <v>0.36671923898119069</v>
      </c>
      <c r="P85" s="12"/>
      <c r="Q85" s="7">
        <f t="shared" si="26"/>
        <v>0.84</v>
      </c>
      <c r="R85" s="314" cm="1">
        <f t="array" ref="R85">numeng*InterpolateXY($D$6,$Q85,Tmil_h,Tmil_M,Tmil_table)</f>
        <v>2740.7532605650513</v>
      </c>
      <c r="S85" s="12" cm="1">
        <f t="array" ref="S85">numeng*InterpolateXY($D$6,$Q85,Tmax_h,Tmax_M,Tmax_table)</f>
        <v>4899.6825396882214</v>
      </c>
      <c r="T85" s="16">
        <f t="shared" si="27"/>
        <v>1389.1760681857829</v>
      </c>
      <c r="U85" s="55">
        <f t="shared" si="28"/>
        <v>1351.5771923792684</v>
      </c>
      <c r="V85" s="426">
        <f t="shared" si="29"/>
        <v>3510.5064715024382</v>
      </c>
    </row>
    <row r="86" spans="2:22">
      <c r="B86" s="120">
        <f t="shared" si="30"/>
        <v>20000</v>
      </c>
      <c r="C86" s="7">
        <v>0.85</v>
      </c>
      <c r="D86" s="7">
        <f t="shared" si="31"/>
        <v>881.32554879467853</v>
      </c>
      <c r="E86" s="11">
        <f t="shared" si="17"/>
        <v>0.11959938828690909</v>
      </c>
      <c r="F86" s="19">
        <f t="shared" si="21"/>
        <v>1.6984977060759091E-2</v>
      </c>
      <c r="G86" s="16">
        <f t="shared" si="18"/>
        <v>1420.1558472869051</v>
      </c>
      <c r="H86" s="12">
        <f t="shared" si="19"/>
        <v>2610.7493687184437</v>
      </c>
      <c r="I86" s="12">
        <f t="shared" si="20"/>
        <v>2642.8336992144173</v>
      </c>
      <c r="J86" s="141">
        <f t="shared" si="22"/>
        <v>0.54396483412118057</v>
      </c>
      <c r="K86" s="267" cm="1">
        <f t="array" ref="K86">InterpolateXYZ(J86,C86,B86,FFnorm_PS,FFnorm_M,FFnorm_h,FFnorm_table)*numeng</f>
        <v>1437.6085948030366</v>
      </c>
      <c r="L86" s="11">
        <f t="shared" si="23"/>
        <v>1.0122893184923849</v>
      </c>
      <c r="M86" s="425" cm="1">
        <f t="array" ref="M86">($D$5/G86)*(C86*Linterp($D$6,atmos_h,atmos_vela)/L86)</f>
        <v>3629.8996672897933</v>
      </c>
      <c r="N86" s="55">
        <f t="shared" si="24"/>
        <v>6.9559962538830504</v>
      </c>
      <c r="O86" s="426">
        <f t="shared" si="25"/>
        <v>0.36298996672897932</v>
      </c>
      <c r="P86" s="12"/>
      <c r="Q86" s="7">
        <f t="shared" si="26"/>
        <v>0.85</v>
      </c>
      <c r="R86" s="314" cm="1">
        <f t="array" ref="R86">numeng*InterpolateXY($D$6,$Q86,Tmil_h,Tmil_M,Tmil_table)</f>
        <v>2749.2781540660312</v>
      </c>
      <c r="S86" s="12" cm="1">
        <f t="array" ref="S86">numeng*InterpolateXY($D$6,$Q86,Tmax_h,Tmax_M,Tmax_table)</f>
        <v>4923.1259968159166</v>
      </c>
      <c r="T86" s="16">
        <f t="shared" si="27"/>
        <v>1420.1558472869051</v>
      </c>
      <c r="U86" s="55">
        <f t="shared" si="28"/>
        <v>1329.1223067791261</v>
      </c>
      <c r="V86" s="426">
        <f t="shared" si="29"/>
        <v>3502.9701495290115</v>
      </c>
    </row>
    <row r="87" spans="2:22">
      <c r="B87" s="120">
        <f t="shared" si="30"/>
        <v>20000</v>
      </c>
      <c r="C87" s="7">
        <v>0.86</v>
      </c>
      <c r="D87" s="7">
        <f t="shared" si="31"/>
        <v>891.69408466285131</v>
      </c>
      <c r="E87" s="11">
        <f t="shared" si="17"/>
        <v>0.11683417798443999</v>
      </c>
      <c r="F87" s="19">
        <f t="shared" si="21"/>
        <v>1.7084291725095565E-2</v>
      </c>
      <c r="G87" s="16">
        <f t="shared" si="18"/>
        <v>1462.2683207794601</v>
      </c>
      <c r="H87" s="12">
        <f t="shared" si="19"/>
        <v>2619.2742646163001</v>
      </c>
      <c r="I87" s="12">
        <f t="shared" si="20"/>
        <v>2651.4633602730764</v>
      </c>
      <c r="J87" s="141">
        <f t="shared" si="22"/>
        <v>0.55827232013584838</v>
      </c>
      <c r="K87" s="267" cm="1">
        <f t="array" ref="K87">InterpolateXYZ(J87,C87,B87,FFnorm_PS,FFnorm_M,FFnorm_h,FFnorm_table)*numeng</f>
        <v>1480.2386018948432</v>
      </c>
      <c r="L87" s="11">
        <f t="shared" si="23"/>
        <v>1.0122893184923847</v>
      </c>
      <c r="M87" s="425" cm="1">
        <f t="array" ref="M87">($D$5/G87)*(C87*Linterp($D$6,atmos_h,atmos_vela)/L87)</f>
        <v>3566.8355086793176</v>
      </c>
      <c r="N87" s="55">
        <f t="shared" si="24"/>
        <v>6.7556676249349721</v>
      </c>
      <c r="O87" s="426">
        <f t="shared" si="25"/>
        <v>0.35668355086793174</v>
      </c>
      <c r="P87" s="12"/>
      <c r="Q87" s="7">
        <f t="shared" si="26"/>
        <v>0.86</v>
      </c>
      <c r="R87" s="314" cm="1">
        <f t="array" ref="R87">numeng*InterpolateXY($D$6,$Q87,Tmil_h,Tmil_M,Tmil_table)</f>
        <v>2757.8030475670112</v>
      </c>
      <c r="S87" s="12" cm="1">
        <f t="array" ref="S87">numeng*InterpolateXY($D$6,$Q87,Tmax_h,Tmax_M,Tmax_table)</f>
        <v>4946.5694539436108</v>
      </c>
      <c r="T87" s="16">
        <f t="shared" si="27"/>
        <v>1462.2683207794601</v>
      </c>
      <c r="U87" s="55">
        <f t="shared" si="28"/>
        <v>1295.5347267875511</v>
      </c>
      <c r="V87" s="426">
        <f t="shared" si="29"/>
        <v>3484.301133164151</v>
      </c>
    </row>
    <row r="88" spans="2:22">
      <c r="B88" s="120">
        <f t="shared" si="30"/>
        <v>20000</v>
      </c>
      <c r="C88" s="7">
        <v>0.87</v>
      </c>
      <c r="D88" s="7">
        <f t="shared" si="31"/>
        <v>902.06262053102398</v>
      </c>
      <c r="E88" s="11">
        <f t="shared" si="17"/>
        <v>0.11416377069268308</v>
      </c>
      <c r="F88" s="19">
        <f t="shared" si="21"/>
        <v>1.7186841053458739E-2</v>
      </c>
      <c r="G88" s="16">
        <f t="shared" si="18"/>
        <v>1505.4549222733644</v>
      </c>
      <c r="H88" s="12">
        <f t="shared" si="19"/>
        <v>2627.799160514156</v>
      </c>
      <c r="I88" s="12">
        <f t="shared" si="20"/>
        <v>2660.0930213317356</v>
      </c>
      <c r="J88" s="141">
        <f t="shared" si="22"/>
        <v>0.57289573149068462</v>
      </c>
      <c r="K88" s="267" cm="1">
        <f t="array" ref="K88">InterpolateXYZ(J88,C88,B88,FFnorm_PS,FFnorm_M,FFnorm_h,FFnorm_table)*numeng</f>
        <v>1523.9559372891101</v>
      </c>
      <c r="L88" s="11">
        <f t="shared" si="23"/>
        <v>1.0122893184923847</v>
      </c>
      <c r="M88" s="425" cm="1">
        <f t="array" ref="M88">($D$5/G88)*(C88*Linterp($D$6,atmos_h,atmos_vela)/L88)</f>
        <v>3504.7996614950339</v>
      </c>
      <c r="N88" s="55">
        <f t="shared" si="24"/>
        <v>6.5618695103406379</v>
      </c>
      <c r="O88" s="426">
        <f t="shared" si="25"/>
        <v>0.35047996614950339</v>
      </c>
      <c r="P88" s="12"/>
      <c r="Q88" s="7">
        <f t="shared" si="26"/>
        <v>0.87</v>
      </c>
      <c r="R88" s="314" cm="1">
        <f t="array" ref="R88">numeng*InterpolateXY($D$6,$Q88,Tmil_h,Tmil_M,Tmil_table)</f>
        <v>2766.3279410679911</v>
      </c>
      <c r="S88" s="12" cm="1">
        <f t="array" ref="S88">numeng*InterpolateXY($D$6,$Q88,Tmax_h,Tmax_M,Tmax_table)</f>
        <v>4970.012911071306</v>
      </c>
      <c r="T88" s="16">
        <f t="shared" si="27"/>
        <v>1505.4549222733644</v>
      </c>
      <c r="U88" s="55">
        <f t="shared" si="28"/>
        <v>1260.8730187946267</v>
      </c>
      <c r="V88" s="426">
        <f t="shared" si="29"/>
        <v>3464.5579887979416</v>
      </c>
    </row>
    <row r="89" spans="2:22">
      <c r="B89" s="120">
        <f t="shared" si="30"/>
        <v>20000</v>
      </c>
      <c r="C89" s="7">
        <v>0.88</v>
      </c>
      <c r="D89" s="7">
        <f t="shared" si="31"/>
        <v>912.43115639919665</v>
      </c>
      <c r="E89" s="11">
        <f t="shared" si="17"/>
        <v>0.11158388176303177</v>
      </c>
      <c r="F89" s="19">
        <f t="shared" si="21"/>
        <v>1.729248066483104E-2</v>
      </c>
      <c r="G89" s="16">
        <f t="shared" si="18"/>
        <v>1549.7292612166602</v>
      </c>
      <c r="H89" s="12">
        <f t="shared" si="19"/>
        <v>2636.3240564120124</v>
      </c>
      <c r="I89" s="12">
        <f t="shared" si="20"/>
        <v>2668.7226823903952</v>
      </c>
      <c r="J89" s="141">
        <f t="shared" si="22"/>
        <v>0.58783716571088485</v>
      </c>
      <c r="K89" s="267" cm="1">
        <f t="array" ref="K89">InterpolateXYZ(J89,C89,B89,FFnorm_PS,FFnorm_M,FFnorm_h,FFnorm_table)*numeng</f>
        <v>1568.7743776847199</v>
      </c>
      <c r="L89" s="11">
        <f t="shared" si="23"/>
        <v>1.0122893184923847</v>
      </c>
      <c r="M89" s="425" cm="1">
        <f t="array" ref="M89">($D$5/G89)*(C89*Linterp($D$6,atmos_h,atmos_vela)/L89)</f>
        <v>3443.8049069270614</v>
      </c>
      <c r="N89" s="55">
        <f t="shared" si="24"/>
        <v>6.3744029366150974</v>
      </c>
      <c r="O89" s="426">
        <f t="shared" si="25"/>
        <v>0.34438049069270615</v>
      </c>
      <c r="P89" s="12"/>
      <c r="Q89" s="7">
        <f t="shared" si="26"/>
        <v>0.88</v>
      </c>
      <c r="R89" s="314" cm="1">
        <f t="array" ref="R89">numeng*InterpolateXY($D$6,$Q89,Tmil_h,Tmil_M,Tmil_table)</f>
        <v>2774.852834568971</v>
      </c>
      <c r="S89" s="12" cm="1">
        <f t="array" ref="S89">numeng*InterpolateXY($D$6,$Q89,Tmax_h,Tmax_M,Tmax_table)</f>
        <v>4993.4563681990012</v>
      </c>
      <c r="T89" s="16">
        <f t="shared" si="27"/>
        <v>1549.7292612166602</v>
      </c>
      <c r="U89" s="55">
        <f t="shared" si="28"/>
        <v>1225.1235733523108</v>
      </c>
      <c r="V89" s="426">
        <f t="shared" si="29"/>
        <v>3443.727106982341</v>
      </c>
    </row>
    <row r="90" spans="2:22">
      <c r="B90" s="120">
        <f t="shared" si="30"/>
        <v>20000</v>
      </c>
      <c r="C90" s="7">
        <v>0.89</v>
      </c>
      <c r="D90" s="7">
        <f t="shared" si="31"/>
        <v>922.79969226736932</v>
      </c>
      <c r="E90" s="11">
        <f t="shared" si="17"/>
        <v>0.10909046589735109</v>
      </c>
      <c r="F90" s="19">
        <f t="shared" si="21"/>
        <v>1.740107418296603E-2</v>
      </c>
      <c r="G90" s="16">
        <f t="shared" si="18"/>
        <v>1595.1049470573907</v>
      </c>
      <c r="H90" s="12">
        <f t="shared" si="19"/>
        <v>2644.8489523098683</v>
      </c>
      <c r="I90" s="12">
        <f t="shared" si="20"/>
        <v>2677.3523434490544</v>
      </c>
      <c r="J90" s="141">
        <f t="shared" si="22"/>
        <v>0.60309869327861321</v>
      </c>
      <c r="K90" s="267" cm="1">
        <f t="array" ref="K90">InterpolateXYZ(J90,C90,B90,FFnorm_PS,FFnorm_M,FFnorm_h,FFnorm_table)*numeng</f>
        <v>1614.7076997805575</v>
      </c>
      <c r="L90" s="11">
        <f t="shared" si="23"/>
        <v>1.0122893184923847</v>
      </c>
      <c r="M90" s="425" cm="1">
        <f t="array" ref="M90">($D$5/G90)*(C90*Linterp($D$6,atmos_h,atmos_vela)/L90)</f>
        <v>3383.8604640719263</v>
      </c>
      <c r="N90" s="55">
        <f t="shared" si="24"/>
        <v>6.193071353632007</v>
      </c>
      <c r="O90" s="426">
        <f t="shared" si="25"/>
        <v>0.33838604640719261</v>
      </c>
      <c r="P90" s="12"/>
      <c r="Q90" s="7">
        <f t="shared" si="26"/>
        <v>0.89</v>
      </c>
      <c r="R90" s="314" cm="1">
        <f t="array" ref="R90">numeng*InterpolateXY($D$6,$Q90,Tmil_h,Tmil_M,Tmil_table)</f>
        <v>2783.377728069951</v>
      </c>
      <c r="S90" s="12" cm="1">
        <f t="array" ref="S90">numeng*InterpolateXY($D$6,$Q90,Tmax_h,Tmax_M,Tmax_table)</f>
        <v>5016.8998253266955</v>
      </c>
      <c r="T90" s="16">
        <f t="shared" si="27"/>
        <v>1595.1049470573907</v>
      </c>
      <c r="U90" s="55">
        <f t="shared" si="28"/>
        <v>1188.2727810125602</v>
      </c>
      <c r="V90" s="426">
        <f t="shared" si="29"/>
        <v>3421.7948782693047</v>
      </c>
    </row>
    <row r="91" spans="2:22">
      <c r="B91" s="120">
        <f t="shared" si="30"/>
        <v>20000</v>
      </c>
      <c r="C91" s="7">
        <v>0.9</v>
      </c>
      <c r="D91" s="7">
        <f t="shared" si="31"/>
        <v>933.16822813554211</v>
      </c>
      <c r="E91" s="11">
        <f t="shared" si="17"/>
        <v>0.10667970128060715</v>
      </c>
      <c r="F91" s="19">
        <f t="shared" si="21"/>
        <v>1.7512492708406952E-2</v>
      </c>
      <c r="G91" s="16">
        <f t="shared" si="18"/>
        <v>1641.5955892436</v>
      </c>
      <c r="H91" s="12">
        <f t="shared" si="19"/>
        <v>2653.3738482077247</v>
      </c>
      <c r="I91" s="12">
        <f t="shared" si="20"/>
        <v>2685.9820045077136</v>
      </c>
      <c r="J91" s="141">
        <f t="shared" si="22"/>
        <v>0.61868235806742766</v>
      </c>
      <c r="K91" s="267" cm="1">
        <f t="array" ref="K91">InterpolateXYZ(J91,C91,B91,FFnorm_PS,FFnorm_M,FFnorm_h,FFnorm_table)*numeng</f>
        <v>1661.7696802755083</v>
      </c>
      <c r="L91" s="11">
        <f t="shared" si="23"/>
        <v>1.0122893184923847</v>
      </c>
      <c r="M91" s="425" cm="1">
        <f t="array" ref="M91">($D$5/G91)*(C91*Linterp($D$6,atmos_h,atmos_vela)/L91)</f>
        <v>3324.972322272577</v>
      </c>
      <c r="N91" s="55">
        <f t="shared" si="24"/>
        <v>6.0176811014761551</v>
      </c>
      <c r="O91" s="426">
        <f t="shared" si="25"/>
        <v>0.33249723222725769</v>
      </c>
      <c r="P91" s="12"/>
      <c r="Q91" s="7">
        <f t="shared" si="26"/>
        <v>0.9</v>
      </c>
      <c r="R91" s="314" cm="1">
        <f t="array" ref="R91">numeng*InterpolateXY($D$6,$Q91,Tmil_h,Tmil_M,Tmil_table)</f>
        <v>2791.9026215709309</v>
      </c>
      <c r="S91" s="12" cm="1">
        <f t="array" ref="S91">numeng*InterpolateXY($D$6,$Q91,Tmax_h,Tmax_M,Tmax_table)</f>
        <v>5040.3432824543906</v>
      </c>
      <c r="T91" s="16">
        <f t="shared" si="27"/>
        <v>1641.5955892436</v>
      </c>
      <c r="U91" s="55">
        <f t="shared" si="28"/>
        <v>1150.3070323273309</v>
      </c>
      <c r="V91" s="426">
        <f t="shared" si="29"/>
        <v>3398.7476932107907</v>
      </c>
    </row>
    <row r="92" spans="2:22">
      <c r="B92" s="120">
        <f t="shared" si="30"/>
        <v>20000</v>
      </c>
      <c r="C92" s="7">
        <v>0.91</v>
      </c>
      <c r="D92" s="7">
        <f t="shared" si="31"/>
        <v>943.53676400371478</v>
      </c>
      <c r="E92" s="11">
        <f t="shared" si="17"/>
        <v>0.10434797492729357</v>
      </c>
      <c r="F92" s="19">
        <f t="shared" si="21"/>
        <v>1.7680005648490794E-2</v>
      </c>
      <c r="G92" s="16">
        <f t="shared" si="18"/>
        <v>1694.3314578754093</v>
      </c>
      <c r="H92" s="12">
        <f t="shared" si="19"/>
        <v>2661.898744105581</v>
      </c>
      <c r="I92" s="12">
        <f t="shared" si="20"/>
        <v>2694.6116655663727</v>
      </c>
      <c r="J92" s="141">
        <f t="shared" si="22"/>
        <v>0.63651236232305219</v>
      </c>
      <c r="K92" s="267" cm="1">
        <f t="array" ref="K92">InterpolateXYZ(J92,C92,B92,FFnorm_PS,FFnorm_M,FFnorm_h,FFnorm_table)*numeng</f>
        <v>1715.1536367929064</v>
      </c>
      <c r="L92" s="11">
        <f t="shared" si="23"/>
        <v>1.0122893184923845</v>
      </c>
      <c r="M92" s="425" cm="1">
        <f t="array" ref="M92">($D$5/G92)*(C92*Linterp($D$6,atmos_h,atmos_vela)/L92)</f>
        <v>3257.2772022581439</v>
      </c>
      <c r="N92" s="55">
        <f t="shared" si="24"/>
        <v>5.8303814804011251</v>
      </c>
      <c r="O92" s="426">
        <f t="shared" si="25"/>
        <v>0.32572772022581437</v>
      </c>
      <c r="P92" s="12"/>
      <c r="Q92" s="7">
        <f t="shared" si="26"/>
        <v>0.91</v>
      </c>
      <c r="R92" s="314" cm="1">
        <f t="array" ref="R92">numeng*InterpolateXY($D$6,$Q92,Tmil_h,Tmil_M,Tmil_table)</f>
        <v>2800.4275150719109</v>
      </c>
      <c r="S92" s="12" cm="1">
        <f t="array" ref="S92">numeng*InterpolateXY($D$6,$Q92,Tmax_h,Tmax_M,Tmax_table)</f>
        <v>5063.7867395820858</v>
      </c>
      <c r="T92" s="16">
        <f t="shared" si="27"/>
        <v>1694.3314578754093</v>
      </c>
      <c r="U92" s="55">
        <f t="shared" si="28"/>
        <v>1106.0960571965015</v>
      </c>
      <c r="V92" s="426">
        <f t="shared" si="29"/>
        <v>3369.4552817066765</v>
      </c>
    </row>
    <row r="93" spans="2:22">
      <c r="B93" s="120">
        <f t="shared" si="30"/>
        <v>20000</v>
      </c>
      <c r="C93" s="7">
        <v>0.92</v>
      </c>
      <c r="D93" s="7">
        <f t="shared" si="31"/>
        <v>953.90529987188745</v>
      </c>
      <c r="E93" s="11">
        <f t="shared" si="17"/>
        <v>0.10209186913668691</v>
      </c>
      <c r="F93" s="19">
        <f t="shared" si="21"/>
        <v>1.7849700214107773E-2</v>
      </c>
      <c r="G93" s="16">
        <f t="shared" si="18"/>
        <v>1748.3958678638248</v>
      </c>
      <c r="H93" s="12">
        <f t="shared" si="19"/>
        <v>2670.423640003437</v>
      </c>
      <c r="I93" s="12">
        <f t="shared" si="20"/>
        <v>2703.2413266250323</v>
      </c>
      <c r="J93" s="141">
        <f t="shared" si="22"/>
        <v>0.6547260298600317</v>
      </c>
      <c r="K93" s="267" cm="1">
        <f t="array" ref="K93">InterpolateXYZ(J93,C93,B93,FFnorm_PS,FFnorm_M,FFnorm_h,FFnorm_table)*numeng</f>
        <v>1769.8824615347726</v>
      </c>
      <c r="L93" s="11">
        <f t="shared" si="23"/>
        <v>1.0122893184923847</v>
      </c>
      <c r="M93" s="425" cm="1">
        <f t="array" ref="M93">($D$5/G93)*(C93*Linterp($D$6,atmos_h,atmos_vela)/L93)</f>
        <v>3191.2421354724947</v>
      </c>
      <c r="N93" s="55">
        <f t="shared" si="24"/>
        <v>5.6500927136869823</v>
      </c>
      <c r="O93" s="426">
        <f t="shared" si="25"/>
        <v>0.31912421354724946</v>
      </c>
      <c r="P93" s="12"/>
      <c r="Q93" s="7">
        <f t="shared" si="26"/>
        <v>0.92</v>
      </c>
      <c r="R93" s="314" cm="1">
        <f t="array" ref="R93">numeng*InterpolateXY($D$6,$Q93,Tmil_h,Tmil_M,Tmil_table)</f>
        <v>2808.9524085728908</v>
      </c>
      <c r="S93" s="12" cm="1">
        <f t="array" ref="S93">numeng*InterpolateXY($D$6,$Q93,Tmax_h,Tmax_M,Tmax_table)</f>
        <v>5087.2301967097801</v>
      </c>
      <c r="T93" s="16">
        <f t="shared" si="27"/>
        <v>1748.3958678638248</v>
      </c>
      <c r="U93" s="55">
        <f t="shared" si="28"/>
        <v>1060.556540709066</v>
      </c>
      <c r="V93" s="426">
        <f t="shared" si="29"/>
        <v>3338.8343288459555</v>
      </c>
    </row>
    <row r="94" spans="2:22">
      <c r="B94" s="120">
        <f t="shared" si="30"/>
        <v>20000</v>
      </c>
      <c r="C94" s="7">
        <v>0.93</v>
      </c>
      <c r="D94" s="7">
        <f t="shared" si="31"/>
        <v>964.27383574006012</v>
      </c>
      <c r="E94" s="11">
        <f t="shared" si="17"/>
        <v>9.9908148962067053E-2</v>
      </c>
      <c r="F94" s="19">
        <f t="shared" si="21"/>
        <v>1.8273828899266358E-2</v>
      </c>
      <c r="G94" s="16">
        <f t="shared" si="18"/>
        <v>1829.0629031876601</v>
      </c>
      <c r="H94" s="12">
        <f t="shared" si="19"/>
        <v>2678.9485359012933</v>
      </c>
      <c r="I94" s="12">
        <f t="shared" si="20"/>
        <v>2711.8709876836915</v>
      </c>
      <c r="J94" s="141">
        <f t="shared" si="22"/>
        <v>0.6827540278119969</v>
      </c>
      <c r="K94" s="267" cm="1">
        <f t="array" ref="K94">InterpolateXYZ(J94,C94,B94,FFnorm_PS,FFnorm_M,FFnorm_h,FFnorm_table)*numeng</f>
        <v>1851.5408397475385</v>
      </c>
      <c r="L94" s="11">
        <f t="shared" si="23"/>
        <v>1.0122893184923845</v>
      </c>
      <c r="M94" s="425" cm="1">
        <f t="array" ref="M94">($D$5/G94)*(C94*Linterp($D$6,atmos_h,atmos_vela)/L94)</f>
        <v>3083.6566010879419</v>
      </c>
      <c r="N94" s="55">
        <f t="shared" si="24"/>
        <v>5.4009070636343726</v>
      </c>
      <c r="O94" s="426">
        <f t="shared" si="25"/>
        <v>0.30836566010879418</v>
      </c>
      <c r="P94" s="12"/>
      <c r="Q94" s="7">
        <f t="shared" si="26"/>
        <v>0.93</v>
      </c>
      <c r="R94" s="314" cm="1">
        <f t="array" ref="R94">numeng*InterpolateXY($D$6,$Q94,Tmil_h,Tmil_M,Tmil_table)</f>
        <v>2817.4773020738708</v>
      </c>
      <c r="S94" s="12" cm="1">
        <f t="array" ref="S94">numeng*InterpolateXY($D$6,$Q94,Tmax_h,Tmax_M,Tmax_table)</f>
        <v>5110.6736538374753</v>
      </c>
      <c r="T94" s="16">
        <f t="shared" si="27"/>
        <v>1829.0629031876601</v>
      </c>
      <c r="U94" s="55">
        <f t="shared" si="28"/>
        <v>988.41439888621062</v>
      </c>
      <c r="V94" s="426">
        <f t="shared" si="29"/>
        <v>3281.6107506498151</v>
      </c>
    </row>
    <row r="95" spans="2:22">
      <c r="B95" s="120">
        <f t="shared" si="30"/>
        <v>20000</v>
      </c>
      <c r="C95" s="7">
        <v>0.94</v>
      </c>
      <c r="D95" s="7">
        <f t="shared" si="31"/>
        <v>974.64237160823279</v>
      </c>
      <c r="E95" s="11">
        <f t="shared" si="17"/>
        <v>9.77937506080713E-2</v>
      </c>
      <c r="F95" s="19">
        <f t="shared" si="21"/>
        <v>1.8751760007783315E-2</v>
      </c>
      <c r="G95" s="16">
        <f t="shared" si="18"/>
        <v>1917.4804004536927</v>
      </c>
      <c r="H95" s="12">
        <f t="shared" si="19"/>
        <v>2687.4734317991492</v>
      </c>
      <c r="I95" s="12">
        <f t="shared" si="20"/>
        <v>2720.5006487423507</v>
      </c>
      <c r="J95" s="141">
        <f t="shared" si="22"/>
        <v>0.71348813266965805</v>
      </c>
      <c r="K95" s="267" cm="1">
        <f t="array" ref="K95">InterpolateXYZ(J95,C95,B95,FFnorm_PS,FFnorm_M,FFnorm_h,FFnorm_table)*numeng</f>
        <v>1941.044927797773</v>
      </c>
      <c r="L95" s="11">
        <f t="shared" si="23"/>
        <v>1.0122893184923845</v>
      </c>
      <c r="M95" s="425" cm="1">
        <f t="array" ref="M95">($D$5/G95)*(C95*Linterp($D$6,atmos_h,atmos_vela)/L95)</f>
        <v>2973.0938715605616</v>
      </c>
      <c r="N95" s="55">
        <f t="shared" si="24"/>
        <v>5.151864264855309</v>
      </c>
      <c r="O95" s="426">
        <f t="shared" si="25"/>
        <v>0.29730938715605615</v>
      </c>
      <c r="P95" s="12"/>
      <c r="Q95" s="7">
        <f t="shared" si="26"/>
        <v>0.94</v>
      </c>
      <c r="R95" s="314" cm="1">
        <f t="array" ref="R95">numeng*InterpolateXY($D$6,$Q95,Tmil_h,Tmil_M,Tmil_table)</f>
        <v>2826.0021955748507</v>
      </c>
      <c r="S95" s="12" cm="1">
        <f t="array" ref="S95">numeng*InterpolateXY($D$6,$Q95,Tmax_h,Tmax_M,Tmax_table)</f>
        <v>5134.1171109651705</v>
      </c>
      <c r="T95" s="16">
        <f t="shared" si="27"/>
        <v>1917.4804004536927</v>
      </c>
      <c r="U95" s="55">
        <f t="shared" si="28"/>
        <v>908.52179512115799</v>
      </c>
      <c r="V95" s="426">
        <f t="shared" si="29"/>
        <v>3216.6367105114778</v>
      </c>
    </row>
    <row r="96" spans="2:22">
      <c r="B96" s="120">
        <f t="shared" si="30"/>
        <v>20000</v>
      </c>
      <c r="C96" s="7">
        <v>0.95</v>
      </c>
      <c r="D96" s="7">
        <f t="shared" si="31"/>
        <v>985.01090747640546</v>
      </c>
      <c r="E96" s="11">
        <f t="shared" si="17"/>
        <v>9.5745770678439701E-2</v>
      </c>
      <c r="F96" s="19">
        <f t="shared" si="21"/>
        <v>2.0230333153217948E-2</v>
      </c>
      <c r="G96" s="16">
        <f t="shared" si="18"/>
        <v>2112.9218564819043</v>
      </c>
      <c r="H96" s="12">
        <f t="shared" si="19"/>
        <v>2695.9983276970052</v>
      </c>
      <c r="I96" s="12">
        <f t="shared" si="20"/>
        <v>2729.1303098010098</v>
      </c>
      <c r="J96" s="141">
        <f t="shared" si="22"/>
        <v>0.7837252103516027</v>
      </c>
      <c r="K96" s="267" cm="1">
        <f t="array" ref="K96">InterpolateXYZ(J96,C96,B96,FFnorm_PS,FFnorm_M,FFnorm_h,FFnorm_table)*numeng</f>
        <v>2138.8882261257313</v>
      </c>
      <c r="L96" s="11">
        <f t="shared" si="23"/>
        <v>1.0122893184923847</v>
      </c>
      <c r="M96" s="425" cm="1">
        <f t="array" ref="M96">($D$5/G96)*(C96*Linterp($D$6,atmos_h,atmos_vela)/L96)</f>
        <v>2726.7911219519215</v>
      </c>
      <c r="N96" s="55">
        <f t="shared" si="24"/>
        <v>4.6753261240366317</v>
      </c>
      <c r="O96" s="426">
        <f t="shared" si="25"/>
        <v>0.27267911219519214</v>
      </c>
      <c r="P96" s="12"/>
      <c r="Q96" s="7">
        <f t="shared" si="26"/>
        <v>0.95</v>
      </c>
      <c r="R96" s="314" cm="1">
        <f t="array" ref="R96">numeng*InterpolateXY($D$6,$Q96,Tmil_h,Tmil_M,Tmil_table)</f>
        <v>2834.5270890758306</v>
      </c>
      <c r="S96" s="12" cm="1">
        <f t="array" ref="S96">numeng*InterpolateXY($D$6,$Q96,Tmax_h,Tmax_M,Tmax_table)</f>
        <v>5157.5605680928647</v>
      </c>
      <c r="T96" s="16">
        <f t="shared" si="27"/>
        <v>2112.9218564819043</v>
      </c>
      <c r="U96" s="55">
        <f t="shared" si="28"/>
        <v>721.6052325939263</v>
      </c>
      <c r="V96" s="426">
        <f t="shared" si="29"/>
        <v>3044.6387116109604</v>
      </c>
    </row>
    <row r="97" spans="2:22">
      <c r="B97" s="120">
        <f t="shared" si="30"/>
        <v>20000</v>
      </c>
      <c r="C97" s="7">
        <v>0.96</v>
      </c>
      <c r="D97" s="7">
        <f t="shared" si="31"/>
        <v>995.37944334457814</v>
      </c>
      <c r="E97" s="11">
        <f t="shared" si="17"/>
        <v>9.3761456203658639E-2</v>
      </c>
      <c r="F97" s="19">
        <f t="shared" si="21"/>
        <v>2.1709522785027198E-2</v>
      </c>
      <c r="G97" s="16">
        <f t="shared" si="18"/>
        <v>2315.3994897297757</v>
      </c>
      <c r="H97" s="12">
        <f t="shared" si="19"/>
        <v>2704.5232235948615</v>
      </c>
      <c r="I97" s="12">
        <f t="shared" si="20"/>
        <v>2737.7599708596695</v>
      </c>
      <c r="J97" s="141">
        <f t="shared" si="22"/>
        <v>0.85612113422791714</v>
      </c>
      <c r="K97" s="267" cm="1">
        <f t="array" ref="K97">InterpolateXYZ(J97,C97,B97,FFnorm_PS,FFnorm_M,FFnorm_h,FFnorm_table)*numeng</f>
        <v>2343.8541714961693</v>
      </c>
      <c r="L97" s="11">
        <f t="shared" si="23"/>
        <v>1.0122893184923845</v>
      </c>
      <c r="M97" s="425" cm="1">
        <f t="array" ref="M97">($D$5/G97)*(C97*Linterp($D$6,atmos_h,atmos_vela)/L97)</f>
        <v>2514.5310421223166</v>
      </c>
      <c r="N97" s="55">
        <f t="shared" si="24"/>
        <v>4.2664770366735869</v>
      </c>
      <c r="O97" s="426">
        <f t="shared" si="25"/>
        <v>0.25145310421223166</v>
      </c>
      <c r="P97" s="12"/>
      <c r="Q97" s="7">
        <f t="shared" si="26"/>
        <v>0.96</v>
      </c>
      <c r="R97" s="314" cm="1">
        <f t="array" ref="R97">numeng*InterpolateXY($D$6,$Q97,Tmil_h,Tmil_M,Tmil_table)</f>
        <v>2843.0519825768106</v>
      </c>
      <c r="S97" s="12" cm="1">
        <f t="array" ref="S97">numeng*InterpolateXY($D$6,$Q97,Tmax_h,Tmax_M,Tmax_table)</f>
        <v>5181.0040252205599</v>
      </c>
      <c r="T97" s="16">
        <f t="shared" si="27"/>
        <v>2315.3994897297757</v>
      </c>
      <c r="U97" s="55">
        <f t="shared" si="28"/>
        <v>527.65249284703486</v>
      </c>
      <c r="V97" s="426">
        <f t="shared" si="29"/>
        <v>2865.6045354907842</v>
      </c>
    </row>
    <row r="98" spans="2:22">
      <c r="B98" s="120">
        <f t="shared" si="30"/>
        <v>20000</v>
      </c>
      <c r="C98" s="7">
        <v>0.97</v>
      </c>
      <c r="D98" s="7">
        <f t="shared" si="31"/>
        <v>1005.7479792127508</v>
      </c>
      <c r="E98" s="11">
        <f t="shared" si="17"/>
        <v>9.1838195384516763E-2</v>
      </c>
      <c r="F98" s="19">
        <f t="shared" si="21"/>
        <v>2.594389653999872E-2</v>
      </c>
      <c r="G98" s="16">
        <f t="shared" si="18"/>
        <v>2824.9571359034644</v>
      </c>
      <c r="H98" s="12">
        <f t="shared" si="19"/>
        <v>2713.0481194927174</v>
      </c>
      <c r="I98" s="12">
        <f t="shared" si="20"/>
        <v>2746.3896319183286</v>
      </c>
      <c r="J98" s="141">
        <f t="shared" si="22"/>
        <v>1.0412484451000712</v>
      </c>
      <c r="K98" s="267" t="e" cm="1">
        <f t="array" ref="K98">InterpolateXYZ(J98,C98,B98,FFnorm_PS,FFnorm_M,FFnorm_h,FFnorm_table)*numeng</f>
        <v>#VALUE!</v>
      </c>
      <c r="L98" s="11" t="e">
        <f t="shared" si="23"/>
        <v>#VALUE!</v>
      </c>
      <c r="M98" s="425" t="e" cm="1">
        <f t="array" ref="M98">($D$5/G98)*(C98*Linterp($D$6,atmos_h,atmos_vela)/L98)</f>
        <v>#VALUE!</v>
      </c>
      <c r="N98" s="55" t="e">
        <f t="shared" si="24"/>
        <v>#VALUE!</v>
      </c>
      <c r="O98" s="426" t="e">
        <f t="shared" si="25"/>
        <v>#VALUE!</v>
      </c>
      <c r="P98" s="12"/>
      <c r="Q98" s="7">
        <f t="shared" si="26"/>
        <v>0.97</v>
      </c>
      <c r="R98" s="314" cm="1">
        <f t="array" ref="R98">numeng*InterpolateXY($D$6,$Q98,Tmil_h,Tmil_M,Tmil_table)</f>
        <v>2851.5768760777905</v>
      </c>
      <c r="S98" s="12" cm="1">
        <f t="array" ref="S98">numeng*InterpolateXY($D$6,$Q98,Tmax_h,Tmax_M,Tmax_table)</f>
        <v>5204.4474823482551</v>
      </c>
      <c r="T98" s="16">
        <f t="shared" si="27"/>
        <v>2824.9571359034644</v>
      </c>
      <c r="U98" s="55">
        <f t="shared" si="28"/>
        <v>26.619740174326125</v>
      </c>
      <c r="V98" s="426">
        <f t="shared" si="29"/>
        <v>2379.4903464447907</v>
      </c>
    </row>
    <row r="99" spans="2:22">
      <c r="B99" s="120">
        <f t="shared" si="30"/>
        <v>20000</v>
      </c>
      <c r="C99" s="7">
        <v>0.98</v>
      </c>
      <c r="D99" s="7">
        <f t="shared" si="31"/>
        <v>1016.1165150809236</v>
      </c>
      <c r="E99" s="11">
        <f t="shared" si="17"/>
        <v>8.9973508993431719E-2</v>
      </c>
      <c r="F99" s="19">
        <f t="shared" si="21"/>
        <v>3.0178652967813954E-2</v>
      </c>
      <c r="G99" s="16">
        <f t="shared" si="18"/>
        <v>3354.1709449185837</v>
      </c>
      <c r="H99" s="12">
        <f t="shared" si="19"/>
        <v>2721.5730153905738</v>
      </c>
      <c r="I99" s="12">
        <f t="shared" si="20"/>
        <v>2755.0192929769878</v>
      </c>
      <c r="J99" s="141">
        <f t="shared" si="22"/>
        <v>1.2324383457473491</v>
      </c>
      <c r="K99" s="267" t="e" cm="1">
        <f t="array" ref="K99">InterpolateXYZ(J99,C99,B99,FFnorm_PS,FFnorm_M,FFnorm_h,FFnorm_table)*numeng</f>
        <v>#VALUE!</v>
      </c>
      <c r="L99" s="11" t="e">
        <f t="shared" si="23"/>
        <v>#VALUE!</v>
      </c>
      <c r="M99" s="425" t="e" cm="1">
        <f t="array" ref="M99">($D$5/G99)*(C99*Linterp($D$6,atmos_h,atmos_vela)/L99)</f>
        <v>#VALUE!</v>
      </c>
      <c r="N99" s="55" t="e">
        <f t="shared" si="24"/>
        <v>#VALUE!</v>
      </c>
      <c r="O99" s="426" t="e">
        <f t="shared" si="25"/>
        <v>#VALUE!</v>
      </c>
      <c r="P99" s="12"/>
      <c r="Q99" s="7">
        <f t="shared" si="26"/>
        <v>0.98</v>
      </c>
      <c r="R99" s="314" cm="1">
        <f t="array" ref="R99">numeng*InterpolateXY($D$6,$Q99,Tmil_h,Tmil_M,Tmil_table)</f>
        <v>2860.1017695787705</v>
      </c>
      <c r="S99" s="12" cm="1">
        <f t="array" ref="S99">numeng*InterpolateXY($D$6,$Q99,Tmax_h,Tmax_M,Tmax_table)</f>
        <v>5227.8909394759503</v>
      </c>
      <c r="T99" s="16">
        <f t="shared" si="27"/>
        <v>3354.1709449185837</v>
      </c>
      <c r="U99" s="55">
        <f t="shared" si="28"/>
        <v>-494.06917533981323</v>
      </c>
      <c r="V99" s="426">
        <f t="shared" si="29"/>
        <v>1873.7199945573666</v>
      </c>
    </row>
    <row r="100" spans="2:22">
      <c r="B100" s="120">
        <f t="shared" si="30"/>
        <v>20000</v>
      </c>
      <c r="C100" s="7">
        <v>0.99</v>
      </c>
      <c r="D100" s="7">
        <f t="shared" si="31"/>
        <v>1026.4850509490961</v>
      </c>
      <c r="E100" s="11">
        <f t="shared" si="17"/>
        <v>8.8165042380667094E-2</v>
      </c>
      <c r="F100" s="19">
        <f t="shared" si="21"/>
        <v>3.216818681154384E-2</v>
      </c>
      <c r="G100" s="16">
        <f t="shared" si="18"/>
        <v>3648.6328303061882</v>
      </c>
      <c r="H100" s="12">
        <f t="shared" si="19"/>
        <v>2730.0979112884297</v>
      </c>
      <c r="I100" s="12">
        <f t="shared" si="20"/>
        <v>2763.6489540356474</v>
      </c>
      <c r="J100" s="141">
        <f t="shared" si="22"/>
        <v>1.3364476106222394</v>
      </c>
      <c r="K100" s="267" t="e" cm="1">
        <f t="array" ref="K100">InterpolateXYZ(J100,C100,B100,FFnorm_PS,FFnorm_M,FFnorm_h,FFnorm_table)*numeng</f>
        <v>#VALUE!</v>
      </c>
      <c r="L100" s="11" t="e">
        <f t="shared" si="23"/>
        <v>#VALUE!</v>
      </c>
      <c r="M100" s="425" t="e" cm="1">
        <f t="array" ref="M100">($D$5/G100)*(C100*Linterp($D$6,atmos_h,atmos_vela)/L100)</f>
        <v>#VALUE!</v>
      </c>
      <c r="N100" s="55" t="e">
        <f t="shared" si="24"/>
        <v>#VALUE!</v>
      </c>
      <c r="O100" s="426" t="e">
        <f t="shared" si="25"/>
        <v>#VALUE!</v>
      </c>
      <c r="P100" s="12"/>
      <c r="Q100" s="7">
        <f t="shared" si="26"/>
        <v>0.99</v>
      </c>
      <c r="R100" s="314" cm="1">
        <f t="array" ref="R100">numeng*InterpolateXY($D$6,$Q100,Tmil_h,Tmil_M,Tmil_table)</f>
        <v>2868.6266630797504</v>
      </c>
      <c r="S100" s="12" cm="1">
        <f t="array" ref="S100">numeng*InterpolateXY($D$6,$Q100,Tmax_h,Tmax_M,Tmax_table)</f>
        <v>5251.3343966036446</v>
      </c>
      <c r="T100" s="16">
        <f t="shared" si="27"/>
        <v>3648.6328303061882</v>
      </c>
      <c r="U100" s="55">
        <f t="shared" si="28"/>
        <v>-780.00616722643781</v>
      </c>
      <c r="V100" s="426">
        <f t="shared" si="29"/>
        <v>1602.7015662974563</v>
      </c>
    </row>
    <row r="101" spans="2:22">
      <c r="B101" s="120">
        <f t="shared" si="30"/>
        <v>20000</v>
      </c>
      <c r="C101" s="7">
        <v>1</v>
      </c>
      <c r="D101" s="7">
        <f t="shared" si="31"/>
        <v>1036.8535868172689</v>
      </c>
      <c r="E101" s="11">
        <f t="shared" si="17"/>
        <v>8.6410558037291821E-2</v>
      </c>
      <c r="F101" s="19">
        <f t="shared" si="21"/>
        <v>3.4157901477699711E-2</v>
      </c>
      <c r="G101" s="16">
        <f t="shared" si="18"/>
        <v>3952.9777672490372</v>
      </c>
      <c r="H101" s="12">
        <f t="shared" si="19"/>
        <v>2738.6228071862861</v>
      </c>
      <c r="I101" s="12">
        <f t="shared" si="20"/>
        <v>2772.2786150943066</v>
      </c>
      <c r="J101" s="141">
        <f t="shared" si="22"/>
        <v>1.4434181139791218</v>
      </c>
      <c r="K101" s="267" t="e" cm="1">
        <f t="array" ref="K101">InterpolateXYZ(J101,C101,B101,FFnorm_PS,FFnorm_M,FFnorm_h,FFnorm_table)*numeng</f>
        <v>#VALUE!</v>
      </c>
      <c r="L101" s="11" t="e">
        <f t="shared" si="23"/>
        <v>#VALUE!</v>
      </c>
      <c r="M101" s="425" t="e" cm="1">
        <f t="array" ref="M101">($D$5/G101)*(C101*Linterp($D$6,atmos_h,atmos_vela)/L101)</f>
        <v>#VALUE!</v>
      </c>
      <c r="N101" s="55" t="e">
        <f t="shared" si="24"/>
        <v>#VALUE!</v>
      </c>
      <c r="O101" s="426" t="e">
        <f t="shared" si="25"/>
        <v>#VALUE!</v>
      </c>
      <c r="P101" s="12"/>
      <c r="Q101" s="7">
        <f t="shared" si="26"/>
        <v>1</v>
      </c>
      <c r="R101" s="314" cm="1">
        <f t="array" ref="R101">numeng*InterpolateXY($D$6,$Q101,Tmil_h,Tmil_M,Tmil_table)</f>
        <v>2877.1515565807304</v>
      </c>
      <c r="S101" s="12" cm="1">
        <f t="array" ref="S101">numeng*InterpolateXY($D$6,$Q101,Tmax_h,Tmax_M,Tmax_table)</f>
        <v>5274.7778537313397</v>
      </c>
      <c r="T101" s="16">
        <f t="shared" si="27"/>
        <v>3952.9777672490372</v>
      </c>
      <c r="U101" s="55">
        <f t="shared" si="28"/>
        <v>-1075.8262106683069</v>
      </c>
      <c r="V101" s="426">
        <f t="shared" si="29"/>
        <v>1321.8000864823025</v>
      </c>
    </row>
    <row r="102" spans="2:22">
      <c r="B102" s="120">
        <f t="shared" si="30"/>
        <v>20000</v>
      </c>
      <c r="C102" s="7">
        <v>1.01</v>
      </c>
      <c r="D102" s="7">
        <f t="shared" ref="D102:D121" si="32">C102*H$6</f>
        <v>1047.2221226854417</v>
      </c>
      <c r="E102" s="11">
        <f t="shared" ref="E102:E121" si="33">D$5/(H$5*C102*C102*_xlfn.SINGLE(S))</f>
        <v>8.4707928671004615E-2</v>
      </c>
      <c r="F102" s="19">
        <f t="shared" ref="F102:F121" si="34">InterpolateXY(E102,C102,CD_CL,CD_M,CD_table)</f>
        <v>3.5152027829925658E-2</v>
      </c>
      <c r="G102" s="16">
        <f t="shared" ref="G102:G121" si="35">F102*$H$5*C102*C102*_xlfn.SINGLE(S)</f>
        <v>4149.7919240183401</v>
      </c>
      <c r="H102" s="12"/>
      <c r="I102" s="12"/>
      <c r="J102" s="141"/>
      <c r="K102" s="267"/>
      <c r="L102" s="11"/>
      <c r="M102" s="425" t="e" cm="1">
        <f t="array" ref="M102">($D$5/G102)*(C102*Linterp($D$6,atmos_h,atmos_vela)/L102)</f>
        <v>#DIV/0!</v>
      </c>
      <c r="N102" s="55" t="e">
        <f t="shared" si="24"/>
        <v>#DIV/0!</v>
      </c>
      <c r="O102" s="426" t="e">
        <f t="shared" si="25"/>
        <v>#DIV/0!</v>
      </c>
      <c r="P102" s="12"/>
      <c r="Q102" s="7">
        <f t="shared" si="26"/>
        <v>1.01</v>
      </c>
      <c r="R102" s="314" t="e" cm="1">
        <f t="array" ref="R102">numeng*InterpolateXY($D$6,$Q102,Tmil_h,Tmil_M,Tmil_table)</f>
        <v>#VALUE!</v>
      </c>
      <c r="S102" s="12" cm="1">
        <f t="array" ref="S102">numeng*InterpolateXY($D$6,$Q102,Tmax_h,Tmax_M,Tmax_table)</f>
        <v>5298.2213108590349</v>
      </c>
      <c r="T102" s="16">
        <f t="shared" si="27"/>
        <v>4149.7919240183401</v>
      </c>
      <c r="U102" s="55" t="e">
        <f t="shared" si="28"/>
        <v>#VALUE!</v>
      </c>
      <c r="V102" s="426">
        <f t="shared" si="29"/>
        <v>1148.4293868406949</v>
      </c>
    </row>
    <row r="103" spans="2:22">
      <c r="B103" s="120">
        <f t="shared" si="30"/>
        <v>20000</v>
      </c>
      <c r="C103" s="7">
        <v>1.02</v>
      </c>
      <c r="D103" s="7">
        <f t="shared" si="32"/>
        <v>1057.5906585536143</v>
      </c>
      <c r="E103" s="11">
        <f t="shared" si="33"/>
        <v>8.3055130754797979E-2</v>
      </c>
      <c r="F103" s="19">
        <f t="shared" si="34"/>
        <v>3.6146160804416218E-2</v>
      </c>
      <c r="G103" s="16">
        <f t="shared" si="35"/>
        <v>4352.0683762608014</v>
      </c>
      <c r="H103" s="12"/>
      <c r="I103" s="12"/>
      <c r="J103" s="141"/>
      <c r="K103" s="267"/>
      <c r="L103" s="11"/>
      <c r="M103" s="425" t="e" cm="1">
        <f t="array" ref="M103">($D$5/G103)*(C103*Linterp($D$6,atmos_h,atmos_vela)/L103)</f>
        <v>#DIV/0!</v>
      </c>
      <c r="N103" s="55" t="e">
        <f t="shared" si="24"/>
        <v>#DIV/0!</v>
      </c>
      <c r="O103" s="426" t="e">
        <f t="shared" si="25"/>
        <v>#DIV/0!</v>
      </c>
      <c r="P103" s="12"/>
      <c r="Q103" s="7">
        <f t="shared" si="26"/>
        <v>1.02</v>
      </c>
      <c r="R103" s="314" t="e" cm="1">
        <f t="array" ref="R103">numeng*InterpolateXY($D$6,$Q103,Tmil_h,Tmil_M,Tmil_table)</f>
        <v>#VALUE!</v>
      </c>
      <c r="S103" s="12" cm="1">
        <f t="array" ref="S103">numeng*InterpolateXY($D$6,$Q103,Tmax_h,Tmax_M,Tmax_table)</f>
        <v>5321.6647679867292</v>
      </c>
      <c r="T103" s="16">
        <f t="shared" si="27"/>
        <v>4352.0683762608014</v>
      </c>
      <c r="U103" s="55" t="e">
        <f t="shared" si="28"/>
        <v>#VALUE!</v>
      </c>
      <c r="V103" s="426">
        <f t="shared" si="29"/>
        <v>969.59639172592779</v>
      </c>
    </row>
    <row r="104" spans="2:22">
      <c r="B104" s="120">
        <f t="shared" si="30"/>
        <v>20000</v>
      </c>
      <c r="C104" s="7">
        <v>1.03</v>
      </c>
      <c r="D104" s="7">
        <f t="shared" si="32"/>
        <v>1067.9591944217871</v>
      </c>
      <c r="E104" s="11">
        <f t="shared" si="33"/>
        <v>8.1450238511916115E-2</v>
      </c>
      <c r="F104" s="19">
        <f t="shared" si="34"/>
        <v>3.6894375851092426E-2</v>
      </c>
      <c r="G104" s="16">
        <f t="shared" si="35"/>
        <v>4529.6829727140457</v>
      </c>
      <c r="H104" s="12"/>
      <c r="I104" s="12"/>
      <c r="J104" s="141"/>
      <c r="K104" s="267"/>
      <c r="L104" s="11"/>
      <c r="M104" s="425" t="e" cm="1">
        <f t="array" ref="M104">($D$5/G104)*(C104*Linterp($D$6,atmos_h,atmos_vela)/L104)</f>
        <v>#DIV/0!</v>
      </c>
      <c r="N104" s="55" t="e">
        <f t="shared" si="24"/>
        <v>#DIV/0!</v>
      </c>
      <c r="O104" s="426" t="e">
        <f t="shared" si="25"/>
        <v>#DIV/0!</v>
      </c>
      <c r="P104" s="12"/>
      <c r="Q104" s="7">
        <f t="shared" si="26"/>
        <v>1.03</v>
      </c>
      <c r="R104" s="314" t="e" cm="1">
        <f t="array" ref="R104">numeng*InterpolateXY($D$6,$Q104,Tmil_h,Tmil_M,Tmil_table)</f>
        <v>#VALUE!</v>
      </c>
      <c r="S104" s="12" cm="1">
        <f t="array" ref="S104">numeng*InterpolateXY($D$6,$Q104,Tmax_h,Tmax_M,Tmax_table)</f>
        <v>5345.1082251144244</v>
      </c>
      <c r="T104" s="16">
        <f t="shared" si="27"/>
        <v>4529.6829727140457</v>
      </c>
      <c r="U104" s="55" t="e">
        <f t="shared" si="28"/>
        <v>#VALUE!</v>
      </c>
      <c r="V104" s="426">
        <f t="shared" si="29"/>
        <v>815.42525240037867</v>
      </c>
    </row>
    <row r="105" spans="2:22">
      <c r="B105" s="120">
        <f t="shared" si="30"/>
        <v>20000</v>
      </c>
      <c r="C105" s="7">
        <v>1.04</v>
      </c>
      <c r="D105" s="7">
        <f t="shared" si="32"/>
        <v>1078.3277302899596</v>
      </c>
      <c r="E105" s="11">
        <f t="shared" si="33"/>
        <v>7.9891418303709147E-2</v>
      </c>
      <c r="F105" s="19">
        <f t="shared" si="34"/>
        <v>3.7642447281743041E-2</v>
      </c>
      <c r="G105" s="16">
        <f t="shared" si="35"/>
        <v>4711.7009662595274</v>
      </c>
      <c r="H105" s="12"/>
      <c r="I105" s="12"/>
      <c r="J105" s="141"/>
      <c r="K105" s="267"/>
      <c r="L105" s="11"/>
      <c r="M105" s="425" t="e" cm="1">
        <f t="array" ref="M105">($D$5/G105)*(C105*Linterp($D$6,atmos_h,atmos_vela)/L105)</f>
        <v>#DIV/0!</v>
      </c>
      <c r="N105" s="55" t="e">
        <f t="shared" si="24"/>
        <v>#DIV/0!</v>
      </c>
      <c r="O105" s="426" t="e">
        <f t="shared" si="25"/>
        <v>#DIV/0!</v>
      </c>
      <c r="P105" s="12"/>
      <c r="Q105" s="7">
        <f t="shared" si="26"/>
        <v>1.04</v>
      </c>
      <c r="R105" s="314" t="e" cm="1">
        <f t="array" ref="R105">numeng*InterpolateXY($D$6,$Q105,Tmil_h,Tmil_M,Tmil_table)</f>
        <v>#VALUE!</v>
      </c>
      <c r="S105" s="12" cm="1">
        <f t="array" ref="S105">numeng*InterpolateXY($D$6,$Q105,Tmax_h,Tmax_M,Tmax_table)</f>
        <v>5368.5516822421187</v>
      </c>
      <c r="T105" s="16">
        <f t="shared" si="27"/>
        <v>4711.7009662595274</v>
      </c>
      <c r="U105" s="55" t="e">
        <f t="shared" si="28"/>
        <v>#VALUE!</v>
      </c>
      <c r="V105" s="426">
        <f t="shared" si="29"/>
        <v>656.85071598259128</v>
      </c>
    </row>
    <row r="106" spans="2:22">
      <c r="B106" s="120">
        <f t="shared" si="30"/>
        <v>20000</v>
      </c>
      <c r="C106" s="7">
        <v>1.05</v>
      </c>
      <c r="D106" s="7">
        <f t="shared" si="32"/>
        <v>1088.6962661581324</v>
      </c>
      <c r="E106" s="11">
        <f t="shared" si="33"/>
        <v>7.8376923389833833E-2</v>
      </c>
      <c r="F106" s="19">
        <f t="shared" si="34"/>
        <v>3.8148221927661069E-2</v>
      </c>
      <c r="G106" s="16">
        <f t="shared" si="35"/>
        <v>4867.2772900153441</v>
      </c>
      <c r="H106" s="12"/>
      <c r="I106" s="12"/>
      <c r="J106" s="141"/>
      <c r="K106" s="267"/>
      <c r="L106" s="11"/>
      <c r="M106" s="425" t="e" cm="1">
        <f t="array" ref="M106">($D$5/G106)*(C106*Linterp($D$6,atmos_h,atmos_vela)/L106)</f>
        <v>#DIV/0!</v>
      </c>
      <c r="N106" s="55" t="e">
        <f t="shared" si="24"/>
        <v>#DIV/0!</v>
      </c>
      <c r="O106" s="426" t="e">
        <f t="shared" si="25"/>
        <v>#DIV/0!</v>
      </c>
      <c r="P106" s="12"/>
      <c r="Q106" s="7">
        <f t="shared" si="26"/>
        <v>1.05</v>
      </c>
      <c r="R106" s="314" t="e" cm="1">
        <f t="array" ref="R106">numeng*InterpolateXY($D$6,$Q106,Tmil_h,Tmil_M,Tmil_table)</f>
        <v>#VALUE!</v>
      </c>
      <c r="S106" s="12" cm="1">
        <f t="array" ref="S106">numeng*InterpolateXY($D$6,$Q106,Tmax_h,Tmax_M,Tmax_table)</f>
        <v>5391.9951393698138</v>
      </c>
      <c r="T106" s="16">
        <f t="shared" si="27"/>
        <v>4867.2772900153441</v>
      </c>
      <c r="U106" s="55" t="e">
        <f t="shared" si="28"/>
        <v>#VALUE!</v>
      </c>
      <c r="V106" s="426">
        <f t="shared" si="29"/>
        <v>524.71784935446976</v>
      </c>
    </row>
    <row r="107" spans="2:22">
      <c r="B107" s="120">
        <f t="shared" si="30"/>
        <v>20000</v>
      </c>
      <c r="C107" s="7">
        <v>1.06</v>
      </c>
      <c r="D107" s="7">
        <f t="shared" si="32"/>
        <v>1099.0648020263052</v>
      </c>
      <c r="E107" s="11">
        <f t="shared" si="33"/>
        <v>7.6905089032833579E-2</v>
      </c>
      <c r="F107" s="19">
        <f t="shared" si="34"/>
        <v>3.8653576335492504E-2</v>
      </c>
      <c r="G107" s="16">
        <f t="shared" si="35"/>
        <v>5026.1402491829749</v>
      </c>
      <c r="H107" s="12"/>
      <c r="I107" s="12"/>
      <c r="J107" s="141"/>
      <c r="K107" s="267"/>
      <c r="L107" s="11"/>
      <c r="M107" s="425" t="e" cm="1">
        <f t="array" ref="M107">($D$5/G107)*(C107*Linterp($D$6,atmos_h,atmos_vela)/L107)</f>
        <v>#DIV/0!</v>
      </c>
      <c r="N107" s="55" t="e">
        <f t="shared" si="24"/>
        <v>#DIV/0!</v>
      </c>
      <c r="O107" s="426" t="e">
        <f t="shared" si="25"/>
        <v>#DIV/0!</v>
      </c>
      <c r="P107" s="12"/>
      <c r="Q107" s="7">
        <f t="shared" si="26"/>
        <v>1.06</v>
      </c>
      <c r="R107" s="314" t="e" cm="1">
        <f t="array" ref="R107">numeng*InterpolateXY($D$6,$Q107,Tmil_h,Tmil_M,Tmil_table)</f>
        <v>#VALUE!</v>
      </c>
      <c r="S107" s="12" cm="1">
        <f t="array" ref="S107">numeng*InterpolateXY($D$6,$Q107,Tmax_h,Tmax_M,Tmax_table)</f>
        <v>5415.438596497509</v>
      </c>
      <c r="T107" s="16">
        <f t="shared" si="27"/>
        <v>5026.1402491829749</v>
      </c>
      <c r="U107" s="55" t="e">
        <f t="shared" si="28"/>
        <v>#VALUE!</v>
      </c>
      <c r="V107" s="426">
        <f t="shared" si="29"/>
        <v>389.29834731453411</v>
      </c>
    </row>
    <row r="108" spans="2:22">
      <c r="B108" s="120">
        <f t="shared" si="30"/>
        <v>20000</v>
      </c>
      <c r="C108" s="7">
        <v>1.07</v>
      </c>
      <c r="D108" s="7">
        <f t="shared" si="32"/>
        <v>1109.4333378944777</v>
      </c>
      <c r="E108" s="11">
        <f t="shared" si="33"/>
        <v>7.5474327921470699E-2</v>
      </c>
      <c r="F108" s="19">
        <f t="shared" si="34"/>
        <v>3.9162304649990654E-2</v>
      </c>
      <c r="G108" s="16">
        <f t="shared" si="35"/>
        <v>5188.8245617421244</v>
      </c>
      <c r="H108" s="12"/>
      <c r="I108" s="12"/>
      <c r="J108" s="141"/>
      <c r="K108" s="267"/>
      <c r="L108" s="11"/>
      <c r="M108" s="425" t="e" cm="1">
        <f t="array" ref="M108">($D$5/G108)*(C108*Linterp($D$6,atmos_h,atmos_vela)/L108)</f>
        <v>#DIV/0!</v>
      </c>
      <c r="N108" s="55" t="e">
        <f t="shared" si="24"/>
        <v>#DIV/0!</v>
      </c>
      <c r="O108" s="426" t="e">
        <f t="shared" si="25"/>
        <v>#DIV/0!</v>
      </c>
      <c r="P108" s="12"/>
      <c r="Q108" s="7">
        <f t="shared" si="26"/>
        <v>1.07</v>
      </c>
      <c r="R108" s="314" t="e" cm="1">
        <f t="array" ref="R108">numeng*InterpolateXY($D$6,$Q108,Tmil_h,Tmil_M,Tmil_table)</f>
        <v>#VALUE!</v>
      </c>
      <c r="S108" s="12" cm="1">
        <f t="array" ref="S108">numeng*InterpolateXY($D$6,$Q108,Tmax_h,Tmax_M,Tmax_table)</f>
        <v>5438.8820536252033</v>
      </c>
      <c r="T108" s="16">
        <f t="shared" si="27"/>
        <v>5188.8245617421244</v>
      </c>
      <c r="U108" s="55" t="e">
        <f t="shared" si="28"/>
        <v>#VALUE!</v>
      </c>
      <c r="V108" s="426">
        <f t="shared" si="29"/>
        <v>250.05749188307891</v>
      </c>
    </row>
    <row r="109" spans="2:22">
      <c r="B109" s="120">
        <f t="shared" si="30"/>
        <v>20000</v>
      </c>
      <c r="C109" s="7">
        <v>1.08</v>
      </c>
      <c r="D109" s="7">
        <f t="shared" si="32"/>
        <v>1119.8018737626505</v>
      </c>
      <c r="E109" s="11">
        <f t="shared" si="33"/>
        <v>7.4083125889310528E-2</v>
      </c>
      <c r="F109" s="19">
        <f t="shared" si="34"/>
        <v>3.9670513389051101E-2</v>
      </c>
      <c r="G109" s="16">
        <f t="shared" si="35"/>
        <v>5354.8649456724897</v>
      </c>
      <c r="H109" s="12"/>
      <c r="I109" s="12"/>
      <c r="J109" s="141"/>
      <c r="K109" s="267"/>
      <c r="L109" s="11"/>
      <c r="M109" s="425" t="e" cm="1">
        <f t="array" ref="M109">($D$5/G109)*(C109*Linterp($D$6,atmos_h,atmos_vela)/L109)</f>
        <v>#DIV/0!</v>
      </c>
      <c r="N109" s="55" t="e">
        <f t="shared" si="24"/>
        <v>#DIV/0!</v>
      </c>
      <c r="O109" s="426" t="e">
        <f t="shared" si="25"/>
        <v>#DIV/0!</v>
      </c>
      <c r="P109" s="12"/>
      <c r="Q109" s="7">
        <f t="shared" si="26"/>
        <v>1.08</v>
      </c>
      <c r="R109" s="314" t="e" cm="1">
        <f t="array" ref="R109">numeng*InterpolateXY($D$6,$Q109,Tmil_h,Tmil_M,Tmil_table)</f>
        <v>#VALUE!</v>
      </c>
      <c r="S109" s="12" cm="1">
        <f t="array" ref="S109">numeng*InterpolateXY($D$6,$Q109,Tmax_h,Tmax_M,Tmax_table)</f>
        <v>5462.3255107528985</v>
      </c>
      <c r="T109" s="16">
        <f t="shared" si="27"/>
        <v>5354.8649456724897</v>
      </c>
      <c r="U109" s="55" t="e">
        <f t="shared" si="28"/>
        <v>#VALUE!</v>
      </c>
      <c r="V109" s="426">
        <f t="shared" si="29"/>
        <v>107.46056508040874</v>
      </c>
    </row>
    <row r="110" spans="2:22">
      <c r="B110" s="120">
        <f t="shared" si="30"/>
        <v>20000</v>
      </c>
      <c r="C110" s="7">
        <v>1.0900000000000001</v>
      </c>
      <c r="D110" s="7">
        <f t="shared" si="32"/>
        <v>1130.1704096308233</v>
      </c>
      <c r="E110" s="11">
        <f t="shared" si="33"/>
        <v>7.2730037906987455E-2</v>
      </c>
      <c r="F110" s="19">
        <f t="shared" si="34"/>
        <v>4.0078226614093201E-2</v>
      </c>
      <c r="G110" s="16">
        <f t="shared" si="35"/>
        <v>5510.5466417256921</v>
      </c>
      <c r="H110" s="12"/>
      <c r="I110" s="12"/>
      <c r="J110" s="141"/>
      <c r="K110" s="267"/>
      <c r="L110" s="11"/>
      <c r="M110" s="425" t="e" cm="1">
        <f t="array" ref="M110">($D$5/G110)*(C110*Linterp($D$6,atmos_h,atmos_vela)/L110)</f>
        <v>#DIV/0!</v>
      </c>
      <c r="N110" s="55" t="e">
        <f t="shared" si="24"/>
        <v>#DIV/0!</v>
      </c>
      <c r="O110" s="426" t="e">
        <f t="shared" si="25"/>
        <v>#DIV/0!</v>
      </c>
      <c r="P110" s="12"/>
      <c r="Q110" s="7">
        <f t="shared" si="26"/>
        <v>1.0900000000000001</v>
      </c>
      <c r="R110" s="314" t="e" cm="1">
        <f t="array" ref="R110">numeng*InterpolateXY($D$6,$Q110,Tmil_h,Tmil_M,Tmil_table)</f>
        <v>#VALUE!</v>
      </c>
      <c r="S110" s="12" cm="1">
        <f t="array" ref="S110">numeng*InterpolateXY($D$6,$Q110,Tmax_h,Tmax_M,Tmax_table)</f>
        <v>5485.7689678805928</v>
      </c>
      <c r="T110" s="16">
        <f t="shared" si="27"/>
        <v>5510.5466417256921</v>
      </c>
      <c r="U110" s="55" t="e">
        <f t="shared" si="28"/>
        <v>#VALUE!</v>
      </c>
      <c r="V110" s="426">
        <f t="shared" si="29"/>
        <v>-24.777673845099343</v>
      </c>
    </row>
    <row r="111" spans="2:22">
      <c r="B111" s="120">
        <f t="shared" si="30"/>
        <v>20000</v>
      </c>
      <c r="C111" s="7">
        <v>1.1000000000000001</v>
      </c>
      <c r="D111" s="7">
        <f t="shared" si="32"/>
        <v>1140.5389454989959</v>
      </c>
      <c r="E111" s="11">
        <f t="shared" si="33"/>
        <v>7.1413684328340318E-2</v>
      </c>
      <c r="F111" s="19">
        <f t="shared" si="34"/>
        <v>4.048546715985045E-2</v>
      </c>
      <c r="G111" s="16">
        <f t="shared" si="35"/>
        <v>5669.1469626058642</v>
      </c>
      <c r="H111" s="12"/>
      <c r="I111" s="12"/>
      <c r="J111" s="141"/>
      <c r="K111" s="267"/>
      <c r="L111" s="11"/>
      <c r="M111" s="425" t="e" cm="1">
        <f t="array" ref="M111">($D$5/G111)*(C111*Linterp($D$6,atmos_h,atmos_vela)/L111)</f>
        <v>#DIV/0!</v>
      </c>
      <c r="N111" s="55" t="e">
        <f t="shared" si="24"/>
        <v>#DIV/0!</v>
      </c>
      <c r="O111" s="426" t="e">
        <f t="shared" si="25"/>
        <v>#DIV/0!</v>
      </c>
      <c r="P111" s="12"/>
      <c r="Q111" s="7">
        <f t="shared" si="26"/>
        <v>1.1000000000000001</v>
      </c>
      <c r="R111" s="314" t="e" cm="1">
        <f t="array" ref="R111">numeng*InterpolateXY($D$6,$Q111,Tmil_h,Tmil_M,Tmil_table)</f>
        <v>#VALUE!</v>
      </c>
      <c r="S111" s="12" cm="1">
        <f t="array" ref="S111">numeng*InterpolateXY($D$6,$Q111,Tmax_h,Tmax_M,Tmax_table)</f>
        <v>5509.2124250082879</v>
      </c>
      <c r="T111" s="16">
        <f t="shared" si="27"/>
        <v>5669.1469626058642</v>
      </c>
      <c r="U111" s="55" t="e">
        <f t="shared" si="28"/>
        <v>#VALUE!</v>
      </c>
      <c r="V111" s="426">
        <f t="shared" si="29"/>
        <v>-159.93453759757631</v>
      </c>
    </row>
    <row r="112" spans="2:22">
      <c r="B112" s="120">
        <f t="shared" si="30"/>
        <v>20000</v>
      </c>
      <c r="C112" s="7">
        <v>1.1100000000000001</v>
      </c>
      <c r="D112" s="7">
        <f t="shared" si="32"/>
        <v>1150.9074813671687</v>
      </c>
      <c r="E112" s="11">
        <f t="shared" si="33"/>
        <v>7.0132747372203388E-2</v>
      </c>
      <c r="F112" s="19">
        <f t="shared" si="34"/>
        <v>4.0790854050380014E-2</v>
      </c>
      <c r="G112" s="16">
        <f t="shared" si="35"/>
        <v>5816.2350084330465</v>
      </c>
      <c r="H112" s="12"/>
      <c r="I112" s="12"/>
      <c r="J112" s="141"/>
      <c r="K112" s="267"/>
      <c r="L112" s="11"/>
      <c r="M112" s="425" t="e" cm="1">
        <f t="array" ref="M112">($D$5/G112)*(C112*Linterp($D$6,atmos_h,atmos_vela)/L112)</f>
        <v>#DIV/0!</v>
      </c>
      <c r="N112" s="55" t="e">
        <f t="shared" si="24"/>
        <v>#DIV/0!</v>
      </c>
      <c r="O112" s="426" t="e">
        <f t="shared" si="25"/>
        <v>#DIV/0!</v>
      </c>
      <c r="P112" s="12"/>
      <c r="Q112" s="7">
        <f t="shared" si="26"/>
        <v>1.1100000000000001</v>
      </c>
      <c r="R112" s="314" t="e" cm="1">
        <f t="array" ref="R112">numeng*InterpolateXY($D$6,$Q112,Tmil_h,Tmil_M,Tmil_table)</f>
        <v>#VALUE!</v>
      </c>
      <c r="S112" s="12" cm="1">
        <f t="array" ref="S112">numeng*InterpolateXY($D$6,$Q112,Tmax_h,Tmax_M,Tmax_table)</f>
        <v>5532.6558821359831</v>
      </c>
      <c r="T112" s="16">
        <f t="shared" si="27"/>
        <v>5816.2350084330465</v>
      </c>
      <c r="U112" s="55" t="e">
        <f t="shared" si="28"/>
        <v>#VALUE!</v>
      </c>
      <c r="V112" s="426">
        <f t="shared" si="29"/>
        <v>-283.57912629706334</v>
      </c>
    </row>
    <row r="113" spans="2:22">
      <c r="B113" s="120">
        <f t="shared" si="30"/>
        <v>20000</v>
      </c>
      <c r="C113" s="7">
        <v>1.1200000000000001</v>
      </c>
      <c r="D113" s="7">
        <f t="shared" si="32"/>
        <v>1161.2760172353412</v>
      </c>
      <c r="E113" s="11">
        <f t="shared" si="33"/>
        <v>6.8885967823096139E-2</v>
      </c>
      <c r="F113" s="19">
        <f t="shared" si="34"/>
        <v>4.109586040140896E-2</v>
      </c>
      <c r="G113" s="16">
        <f t="shared" si="35"/>
        <v>5965.781087223153</v>
      </c>
      <c r="H113" s="12"/>
      <c r="I113" s="12"/>
      <c r="J113" s="141"/>
      <c r="K113" s="267"/>
      <c r="L113" s="11"/>
      <c r="M113" s="425" t="e" cm="1">
        <f t="array" ref="M113">($D$5/G113)*(C113*Linterp($D$6,atmos_h,atmos_vela)/L113)</f>
        <v>#DIV/0!</v>
      </c>
      <c r="N113" s="55" t="e">
        <f t="shared" si="24"/>
        <v>#DIV/0!</v>
      </c>
      <c r="O113" s="426" t="e">
        <f t="shared" si="25"/>
        <v>#DIV/0!</v>
      </c>
      <c r="P113" s="12"/>
      <c r="Q113" s="7">
        <f t="shared" si="26"/>
        <v>1.1200000000000001</v>
      </c>
      <c r="R113" s="314" t="e" cm="1">
        <f t="array" ref="R113">numeng*InterpolateXY($D$6,$Q113,Tmil_h,Tmil_M,Tmil_table)</f>
        <v>#VALUE!</v>
      </c>
      <c r="S113" s="12" cm="1">
        <f t="array" ref="S113">numeng*InterpolateXY($D$6,$Q113,Tmax_h,Tmax_M,Tmax_table)</f>
        <v>5556.0993392636774</v>
      </c>
      <c r="T113" s="16">
        <f t="shared" si="27"/>
        <v>5965.781087223153</v>
      </c>
      <c r="U113" s="55" t="e">
        <f t="shared" si="28"/>
        <v>#VALUE!</v>
      </c>
      <c r="V113" s="426">
        <f t="shared" si="29"/>
        <v>-409.68174795947562</v>
      </c>
    </row>
    <row r="114" spans="2:22">
      <c r="B114" s="120">
        <f t="shared" si="30"/>
        <v>20000</v>
      </c>
      <c r="C114" s="7">
        <v>1.1299999999999999</v>
      </c>
      <c r="D114" s="7">
        <f t="shared" si="32"/>
        <v>1171.6445531035138</v>
      </c>
      <c r="E114" s="11">
        <f t="shared" si="33"/>
        <v>6.7672141935383984E-2</v>
      </c>
      <c r="F114" s="19">
        <f t="shared" si="34"/>
        <v>4.140050379793371E-2</v>
      </c>
      <c r="G114" s="16">
        <f t="shared" si="35"/>
        <v>6117.806029763995</v>
      </c>
      <c r="H114" s="12"/>
      <c r="I114" s="12"/>
      <c r="J114" s="141"/>
      <c r="K114" s="267"/>
      <c r="L114" s="11"/>
      <c r="M114" s="425" t="e" cm="1">
        <f t="array" ref="M114">($D$5/G114)*(C114*Linterp($D$6,atmos_h,atmos_vela)/L114)</f>
        <v>#DIV/0!</v>
      </c>
      <c r="N114" s="55" t="e">
        <f t="shared" si="24"/>
        <v>#DIV/0!</v>
      </c>
      <c r="O114" s="426" t="e">
        <f t="shared" si="25"/>
        <v>#DIV/0!</v>
      </c>
      <c r="P114" s="12"/>
      <c r="Q114" s="7">
        <f t="shared" si="26"/>
        <v>1.1299999999999999</v>
      </c>
      <c r="R114" s="314" t="e" cm="1">
        <f t="array" ref="R114">numeng*InterpolateXY($D$6,$Q114,Tmil_h,Tmil_M,Tmil_table)</f>
        <v>#VALUE!</v>
      </c>
      <c r="S114" s="12" cm="1">
        <f t="array" ref="S114">numeng*InterpolateXY($D$6,$Q114,Tmax_h,Tmax_M,Tmax_table)</f>
        <v>5579.5427963913717</v>
      </c>
      <c r="T114" s="16">
        <f t="shared" si="27"/>
        <v>6117.806029763995</v>
      </c>
      <c r="U114" s="55" t="e">
        <f t="shared" si="28"/>
        <v>#VALUE!</v>
      </c>
      <c r="V114" s="426">
        <f t="shared" si="29"/>
        <v>-538.26323337262329</v>
      </c>
    </row>
    <row r="115" spans="2:22">
      <c r="B115" s="120">
        <f t="shared" si="30"/>
        <v>20000</v>
      </c>
      <c r="C115" s="7">
        <v>1.1399999999999999</v>
      </c>
      <c r="D115" s="7">
        <f t="shared" si="32"/>
        <v>1182.0130889716866</v>
      </c>
      <c r="E115" s="11">
        <f t="shared" si="33"/>
        <v>6.6490118526694231E-2</v>
      </c>
      <c r="F115" s="19">
        <f t="shared" si="34"/>
        <v>4.17048009477037E-2</v>
      </c>
      <c r="G115" s="16">
        <f t="shared" si="35"/>
        <v>6272.3306668434034</v>
      </c>
      <c r="H115" s="12"/>
      <c r="I115" s="12"/>
      <c r="J115" s="141"/>
      <c r="K115" s="267"/>
      <c r="L115" s="11"/>
      <c r="M115" s="425" t="e" cm="1">
        <f t="array" ref="M115">($D$5/G115)*(C115*Linterp($D$6,atmos_h,atmos_vela)/L115)</f>
        <v>#DIV/0!</v>
      </c>
      <c r="N115" s="55" t="e">
        <f t="shared" si="24"/>
        <v>#DIV/0!</v>
      </c>
      <c r="O115" s="426" t="e">
        <f t="shared" si="25"/>
        <v>#DIV/0!</v>
      </c>
      <c r="P115" s="12"/>
      <c r="Q115" s="7">
        <f t="shared" si="26"/>
        <v>1.1399999999999999</v>
      </c>
      <c r="R115" s="314" t="e" cm="1">
        <f t="array" ref="R115">numeng*InterpolateXY($D$6,$Q115,Tmil_h,Tmil_M,Tmil_table)</f>
        <v>#VALUE!</v>
      </c>
      <c r="S115" s="12" cm="1">
        <f t="array" ref="S115">numeng*InterpolateXY($D$6,$Q115,Tmax_h,Tmax_M,Tmax_table)</f>
        <v>5602.9862535190668</v>
      </c>
      <c r="T115" s="16">
        <f t="shared" si="27"/>
        <v>6272.3306668434034</v>
      </c>
      <c r="U115" s="55" t="e">
        <f t="shared" si="28"/>
        <v>#VALUE!</v>
      </c>
      <c r="V115" s="426">
        <f t="shared" si="29"/>
        <v>-669.34441332433653</v>
      </c>
    </row>
    <row r="116" spans="2:22">
      <c r="B116" s="120">
        <f t="shared" si="30"/>
        <v>20000</v>
      </c>
      <c r="C116" s="7">
        <v>1.1499999999999999</v>
      </c>
      <c r="D116" s="7">
        <f t="shared" si="32"/>
        <v>1192.3816248398591</v>
      </c>
      <c r="E116" s="11">
        <f t="shared" si="33"/>
        <v>6.5338796247479639E-2</v>
      </c>
      <c r="F116" s="19">
        <f t="shared" si="34"/>
        <v>4.2008767730578378E-2</v>
      </c>
      <c r="G116" s="16">
        <f t="shared" si="35"/>
        <v>6429.3758292491975</v>
      </c>
      <c r="H116" s="12"/>
      <c r="I116" s="12"/>
      <c r="J116" s="141"/>
      <c r="K116" s="267"/>
      <c r="L116" s="11"/>
      <c r="M116" s="425" t="e" cm="1">
        <f t="array" ref="M116">($D$5/G116)*(C116*Linterp($D$6,atmos_h,atmos_vela)/L116)</f>
        <v>#DIV/0!</v>
      </c>
      <c r="N116" s="55" t="e">
        <f t="shared" si="24"/>
        <v>#DIV/0!</v>
      </c>
      <c r="O116" s="426" t="e">
        <f t="shared" si="25"/>
        <v>#DIV/0!</v>
      </c>
      <c r="P116" s="12"/>
      <c r="Q116" s="7">
        <f t="shared" si="26"/>
        <v>1.1499999999999999</v>
      </c>
      <c r="R116" s="314" t="e" cm="1">
        <f t="array" ref="R116">numeng*InterpolateXY($D$6,$Q116,Tmil_h,Tmil_M,Tmil_table)</f>
        <v>#VALUE!</v>
      </c>
      <c r="S116" s="12" cm="1">
        <f t="array" ref="S116">numeng*InterpolateXY($D$6,$Q116,Tmax_h,Tmax_M,Tmax_table)</f>
        <v>5626.429710646762</v>
      </c>
      <c r="T116" s="16">
        <f t="shared" si="27"/>
        <v>6429.3758292491975</v>
      </c>
      <c r="U116" s="55" t="e">
        <f t="shared" si="28"/>
        <v>#VALUE!</v>
      </c>
      <c r="V116" s="426">
        <f t="shared" si="29"/>
        <v>-802.94611860243549</v>
      </c>
    </row>
    <row r="117" spans="2:22">
      <c r="B117" s="120">
        <f t="shared" si="30"/>
        <v>20000</v>
      </c>
      <c r="C117" s="7">
        <v>1.1599999999999999</v>
      </c>
      <c r="D117" s="7">
        <f t="shared" si="32"/>
        <v>1202.7501607080319</v>
      </c>
      <c r="E117" s="11">
        <f t="shared" si="33"/>
        <v>6.4217121014634226E-2</v>
      </c>
      <c r="F117" s="19">
        <f t="shared" si="34"/>
        <v>4.2247281875075128E-2</v>
      </c>
      <c r="G117" s="16">
        <f t="shared" si="35"/>
        <v>6578.8190450717238</v>
      </c>
      <c r="H117" s="12"/>
      <c r="I117" s="12"/>
      <c r="J117" s="141"/>
      <c r="K117" s="267"/>
      <c r="L117" s="11"/>
      <c r="M117" s="425" t="e" cm="1">
        <f t="array" ref="M117">($D$5/G117)*(C117*Linterp($D$6,atmos_h,atmos_vela)/L117)</f>
        <v>#DIV/0!</v>
      </c>
      <c r="N117" s="55" t="e">
        <f t="shared" si="24"/>
        <v>#DIV/0!</v>
      </c>
      <c r="O117" s="426" t="e">
        <f t="shared" si="25"/>
        <v>#DIV/0!</v>
      </c>
      <c r="P117" s="12"/>
      <c r="Q117" s="7">
        <f t="shared" si="26"/>
        <v>1.1599999999999999</v>
      </c>
      <c r="R117" s="314" t="e" cm="1">
        <f t="array" ref="R117">numeng*InterpolateXY($D$6,$Q117,Tmil_h,Tmil_M,Tmil_table)</f>
        <v>#VALUE!</v>
      </c>
      <c r="S117" s="12" cm="1">
        <f t="array" ref="S117">numeng*InterpolateXY($D$6,$Q117,Tmax_h,Tmax_M,Tmax_table)</f>
        <v>5649.8731677744563</v>
      </c>
      <c r="T117" s="16">
        <f t="shared" si="27"/>
        <v>6578.8190450717238</v>
      </c>
      <c r="U117" s="55" t="e">
        <f t="shared" si="28"/>
        <v>#VALUE!</v>
      </c>
      <c r="V117" s="426">
        <f t="shared" si="29"/>
        <v>-928.94587729726754</v>
      </c>
    </row>
    <row r="118" spans="2:22">
      <c r="B118" s="120">
        <f t="shared" si="30"/>
        <v>20000</v>
      </c>
      <c r="C118" s="7">
        <v>1.17</v>
      </c>
      <c r="D118" s="7">
        <f t="shared" si="32"/>
        <v>1213.1186965762047</v>
      </c>
      <c r="E118" s="11">
        <f t="shared" si="33"/>
        <v>6.3124083597992431E-2</v>
      </c>
      <c r="F118" s="19">
        <f t="shared" si="34"/>
        <v>4.248566999672166E-2</v>
      </c>
      <c r="G118" s="16">
        <f t="shared" si="35"/>
        <v>6730.500876225452</v>
      </c>
      <c r="H118" s="12"/>
      <c r="I118" s="12"/>
      <c r="J118" s="141"/>
      <c r="K118" s="267"/>
      <c r="L118" s="11"/>
      <c r="M118" s="425" t="e" cm="1">
        <f t="array" ref="M118">($D$5/G118)*(C118*Linterp($D$6,atmos_h,atmos_vela)/L118)</f>
        <v>#DIV/0!</v>
      </c>
      <c r="N118" s="55" t="e">
        <f t="shared" si="24"/>
        <v>#DIV/0!</v>
      </c>
      <c r="O118" s="426" t="e">
        <f t="shared" si="25"/>
        <v>#DIV/0!</v>
      </c>
      <c r="P118" s="12"/>
      <c r="Q118" s="7">
        <f t="shared" si="26"/>
        <v>1.17</v>
      </c>
      <c r="R118" s="314" t="e" cm="1">
        <f t="array" ref="R118">numeng*InterpolateXY($D$6,$Q118,Tmil_h,Tmil_M,Tmil_table)</f>
        <v>#VALUE!</v>
      </c>
      <c r="S118" s="12" cm="1">
        <f t="array" ref="S118">numeng*InterpolateXY($D$6,$Q118,Tmax_h,Tmax_M,Tmax_table)</f>
        <v>5673.3166249021515</v>
      </c>
      <c r="T118" s="16">
        <f t="shared" si="27"/>
        <v>6730.500876225452</v>
      </c>
      <c r="U118" s="55" t="e">
        <f t="shared" si="28"/>
        <v>#VALUE!</v>
      </c>
      <c r="V118" s="426">
        <f t="shared" si="29"/>
        <v>-1057.1842513233005</v>
      </c>
    </row>
    <row r="119" spans="2:22">
      <c r="B119" s="120">
        <f t="shared" si="30"/>
        <v>20000</v>
      </c>
      <c r="C119" s="7">
        <v>1.18</v>
      </c>
      <c r="D119" s="7">
        <f t="shared" si="32"/>
        <v>1223.4872324443772</v>
      </c>
      <c r="E119" s="11">
        <f t="shared" si="33"/>
        <v>6.2058717349390849E-2</v>
      </c>
      <c r="F119" s="19">
        <f t="shared" si="34"/>
        <v>4.2723939116578187E-2</v>
      </c>
      <c r="G119" s="16">
        <f t="shared" si="35"/>
        <v>6884.4379873406388</v>
      </c>
      <c r="H119" s="12"/>
      <c r="I119" s="12"/>
      <c r="J119" s="141"/>
      <c r="K119" s="267"/>
      <c r="L119" s="11"/>
      <c r="M119" s="425" t="e" cm="1">
        <f t="array" ref="M119">($D$5/G119)*(C119*Linterp($D$6,atmos_h,atmos_vela)/L119)</f>
        <v>#DIV/0!</v>
      </c>
      <c r="N119" s="55" t="e">
        <f t="shared" si="24"/>
        <v>#DIV/0!</v>
      </c>
      <c r="O119" s="426" t="e">
        <f t="shared" si="25"/>
        <v>#DIV/0!</v>
      </c>
      <c r="P119" s="12"/>
      <c r="Q119" s="7">
        <f t="shared" si="26"/>
        <v>1.18</v>
      </c>
      <c r="R119" s="314" t="e" cm="1">
        <f t="array" ref="R119">numeng*InterpolateXY($D$6,$Q119,Tmil_h,Tmil_M,Tmil_table)</f>
        <v>#VALUE!</v>
      </c>
      <c r="S119" s="12" cm="1">
        <f t="array" ref="S119">numeng*InterpolateXY($D$6,$Q119,Tmax_h,Tmax_M,Tmax_table)</f>
        <v>5696.7600820298467</v>
      </c>
      <c r="T119" s="16">
        <f t="shared" si="27"/>
        <v>6884.4379873406388</v>
      </c>
      <c r="U119" s="55" t="e">
        <f t="shared" si="28"/>
        <v>#VALUE!</v>
      </c>
      <c r="V119" s="426">
        <f t="shared" si="29"/>
        <v>-1187.6779053107921</v>
      </c>
    </row>
    <row r="120" spans="2:22">
      <c r="B120" s="120">
        <f t="shared" si="30"/>
        <v>20000</v>
      </c>
      <c r="C120" s="7">
        <v>1.19</v>
      </c>
      <c r="D120" s="7">
        <f t="shared" si="32"/>
        <v>1233.85576831255</v>
      </c>
      <c r="E120" s="11">
        <f t="shared" si="33"/>
        <v>6.1020096064749542E-2</v>
      </c>
      <c r="F120" s="19">
        <f t="shared" si="34"/>
        <v>4.2962095892475571E-2</v>
      </c>
      <c r="G120" s="16">
        <f t="shared" si="35"/>
        <v>7040.647043047541</v>
      </c>
      <c r="H120" s="12"/>
      <c r="I120" s="12"/>
      <c r="J120" s="141"/>
      <c r="K120" s="267"/>
      <c r="L120" s="11"/>
      <c r="M120" s="425" t="e" cm="1">
        <f t="array" ref="M120">($D$5/G120)*(C120*Linterp($D$6,atmos_h,atmos_vela)/L120)</f>
        <v>#DIV/0!</v>
      </c>
      <c r="N120" s="55" t="e">
        <f t="shared" si="24"/>
        <v>#DIV/0!</v>
      </c>
      <c r="O120" s="426" t="e">
        <f t="shared" si="25"/>
        <v>#DIV/0!</v>
      </c>
      <c r="P120" s="12"/>
      <c r="Q120" s="7">
        <f t="shared" si="26"/>
        <v>1.19</v>
      </c>
      <c r="R120" s="314" t="e" cm="1">
        <f t="array" ref="R120">numeng*InterpolateXY($D$6,$Q120,Tmil_h,Tmil_M,Tmil_table)</f>
        <v>#VALUE!</v>
      </c>
      <c r="S120" s="12" cm="1">
        <f t="array" ref="S120">numeng*InterpolateXY($D$6,$Q120,Tmax_h,Tmax_M,Tmax_table)</f>
        <v>5720.2035391575409</v>
      </c>
      <c r="T120" s="16">
        <f t="shared" si="27"/>
        <v>7040.647043047541</v>
      </c>
      <c r="U120" s="55" t="e">
        <f t="shared" si="28"/>
        <v>#VALUE!</v>
      </c>
      <c r="V120" s="426">
        <f t="shared" si="29"/>
        <v>-1320.4435038900001</v>
      </c>
    </row>
    <row r="121" spans="2:22">
      <c r="B121" s="120">
        <f t="shared" si="30"/>
        <v>20000</v>
      </c>
      <c r="C121" s="7">
        <v>1.2</v>
      </c>
      <c r="D121" s="7">
        <f t="shared" si="32"/>
        <v>1244.2243041807226</v>
      </c>
      <c r="E121" s="11">
        <f t="shared" si="33"/>
        <v>6.0007331970341533E-2</v>
      </c>
      <c r="F121" s="19">
        <f t="shared" si="34"/>
        <v>4.3200146639406835E-2</v>
      </c>
      <c r="G121" s="16">
        <f t="shared" si="35"/>
        <v>7199.1447079764166</v>
      </c>
      <c r="H121" s="12"/>
      <c r="I121" s="12"/>
      <c r="J121" s="141"/>
      <c r="K121" s="267"/>
      <c r="L121" s="11"/>
      <c r="M121" s="425" t="e" cm="1">
        <f t="array" ref="M121">($D$5/G121)*(C121*Linterp($D$6,atmos_h,atmos_vela)/L121)</f>
        <v>#DIV/0!</v>
      </c>
      <c r="N121" s="55" t="e">
        <f t="shared" si="24"/>
        <v>#DIV/0!</v>
      </c>
      <c r="O121" s="426" t="e">
        <f t="shared" si="25"/>
        <v>#DIV/0!</v>
      </c>
      <c r="P121" s="12"/>
      <c r="Q121" s="7">
        <f t="shared" si="26"/>
        <v>1.2</v>
      </c>
      <c r="R121" s="314" t="e" cm="1">
        <f t="array" ref="R121">numeng*InterpolateXY($D$6,$Q121,Tmil_h,Tmil_M,Tmil_table)</f>
        <v>#VALUE!</v>
      </c>
      <c r="S121" s="12" cm="1">
        <f t="array" ref="S121">numeng*InterpolateXY($D$6,$Q121,Tmax_h,Tmax_M,Tmax_table)</f>
        <v>5743.6469962852361</v>
      </c>
      <c r="T121" s="16">
        <f t="shared" si="27"/>
        <v>7199.1447079764166</v>
      </c>
      <c r="U121" s="55" t="e">
        <f t="shared" si="28"/>
        <v>#VALUE!</v>
      </c>
      <c r="V121" s="426">
        <f t="shared" si="29"/>
        <v>-1455.4977116911805</v>
      </c>
    </row>
    <row r="122" spans="2:22">
      <c r="B122" s="120"/>
      <c r="C122" s="7"/>
      <c r="D122" s="7"/>
      <c r="E122" s="11"/>
      <c r="F122" s="19"/>
      <c r="G122" s="16"/>
      <c r="H122" s="12"/>
      <c r="I122" s="12"/>
      <c r="J122" s="141"/>
      <c r="K122" s="11"/>
      <c r="L122" s="121"/>
      <c r="M122" s="12"/>
      <c r="N122" s="12"/>
      <c r="O122" s="12"/>
      <c r="Q122" s="12"/>
      <c r="R122" s="12"/>
      <c r="S122" s="12"/>
      <c r="T122" s="16"/>
      <c r="U122" s="16"/>
      <c r="V122" s="16"/>
    </row>
    <row r="123" spans="2:22" ht="15" thickBot="1">
      <c r="C123" s="7"/>
      <c r="D123" s="7"/>
      <c r="E123" s="11"/>
      <c r="F123" s="19"/>
      <c r="G123" s="16"/>
      <c r="H123" s="12"/>
      <c r="I123" s="12"/>
      <c r="J123" s="141"/>
      <c r="L123" s="121"/>
      <c r="M123" s="11"/>
      <c r="N123" s="12"/>
      <c r="O123" s="12"/>
    </row>
    <row r="124" spans="2:22" ht="15" thickBot="1">
      <c r="C124" t="s">
        <v>237</v>
      </c>
      <c r="E124" s="7" t="s">
        <v>356</v>
      </c>
      <c r="F124" s="189" cm="1">
        <f t="array" ref="F124">x_at_ymax(C35:C97,M35:M97)</f>
        <v>0.66007250865160338</v>
      </c>
      <c r="G124" s="4"/>
      <c r="L124" s="55"/>
      <c r="M124" s="55"/>
      <c r="N124" s="12"/>
      <c r="O124" s="12"/>
      <c r="R124" s="276" t="s">
        <v>51</v>
      </c>
      <c r="S124" s="55" t="s">
        <v>358</v>
      </c>
      <c r="T124" t="s">
        <v>383</v>
      </c>
      <c r="U124" s="192" cm="1">
        <f t="array" ref="U124">x_at_y0(Q34:Q101,U34:U101)</f>
        <v>0.97052055484635258</v>
      </c>
    </row>
    <row r="125" spans="2:22" ht="15" thickBot="1">
      <c r="E125" s="7" t="s">
        <v>357</v>
      </c>
      <c r="F125" s="175" cm="1">
        <f t="array" ref="F125">y_max(C35:C97,M35:M97)</f>
        <v>4006.4021233736275</v>
      </c>
      <c r="G125" s="14"/>
      <c r="M125" s="12"/>
      <c r="N125" s="12"/>
      <c r="O125" s="12"/>
      <c r="U125" s="55"/>
    </row>
    <row r="126" spans="2:22" ht="15" thickBot="1">
      <c r="C126" s="7"/>
      <c r="M126" s="12"/>
      <c r="N126" s="12"/>
      <c r="O126" s="12"/>
      <c r="S126" s="55" t="s">
        <v>358</v>
      </c>
      <c r="T126" t="s">
        <v>175</v>
      </c>
      <c r="V126" s="192" cm="1">
        <f t="array" ref="V126">x_at_y0(Q34:Q121,V34:V121)</f>
        <v>1.0881429727982983</v>
      </c>
    </row>
    <row r="127" spans="2:22">
      <c r="C127" s="7"/>
      <c r="D127" s="7"/>
      <c r="E127" s="4"/>
      <c r="F127" s="2"/>
      <c r="M127" s="12"/>
      <c r="N127" s="12"/>
      <c r="O127" s="12"/>
    </row>
    <row r="128" spans="2:22">
      <c r="C128" s="7"/>
      <c r="D128" s="7"/>
      <c r="E128" s="4"/>
      <c r="F128" s="1"/>
      <c r="K128" s="12"/>
      <c r="L128" s="12"/>
      <c r="M128" s="12"/>
      <c r="N128" s="12"/>
      <c r="O128" s="12"/>
    </row>
    <row r="129" spans="3:16" ht="15" thickBot="1">
      <c r="C129" s="7"/>
      <c r="D129" s="7"/>
      <c r="E129" s="11"/>
      <c r="F129" s="19"/>
      <c r="G129" s="16"/>
      <c r="J129" s="12"/>
      <c r="K129" s="12"/>
      <c r="L129" s="12"/>
      <c r="M129" s="12"/>
      <c r="N129" s="12"/>
      <c r="O129" s="12"/>
    </row>
    <row r="130" spans="3:16">
      <c r="C130" t="s">
        <v>238</v>
      </c>
      <c r="D130" s="7"/>
      <c r="E130" s="7" t="s">
        <v>356</v>
      </c>
      <c r="F130" s="189" cm="1">
        <f t="array" ref="F130">x_at_ymax(C35:C97,N35:N97)</f>
        <v>0.50388938697630759</v>
      </c>
      <c r="G130" s="4"/>
      <c r="J130" s="12"/>
      <c r="K130" s="12"/>
      <c r="L130" s="12"/>
      <c r="M130" s="12"/>
      <c r="N130" s="12"/>
      <c r="O130" s="12"/>
    </row>
    <row r="131" spans="3:16" ht="15" thickBot="1">
      <c r="C131" s="7"/>
      <c r="D131" s="7"/>
      <c r="E131" s="7" t="s">
        <v>357</v>
      </c>
      <c r="F131" s="174" cm="1">
        <f t="array" ref="F131">y_max(C35:C97,N35:N97)</f>
        <v>11.337824786837757</v>
      </c>
      <c r="G131" s="14"/>
      <c r="J131" s="12"/>
      <c r="K131" s="12"/>
      <c r="L131" s="12"/>
      <c r="M131" s="12"/>
      <c r="N131" s="12"/>
      <c r="O131" s="12"/>
    </row>
    <row r="132" spans="3:16">
      <c r="C132" s="7"/>
      <c r="D132" s="7"/>
      <c r="J132" s="12"/>
      <c r="K132" s="12"/>
      <c r="L132" s="12"/>
      <c r="M132" s="12"/>
      <c r="N132" s="12"/>
      <c r="O132" s="12"/>
    </row>
    <row r="133" spans="3:16">
      <c r="C133" s="7"/>
      <c r="D133" s="7"/>
      <c r="E133" s="4"/>
      <c r="F133" s="2"/>
      <c r="J133" s="12"/>
      <c r="K133" s="12"/>
      <c r="L133" s="12"/>
      <c r="M133" s="12"/>
      <c r="N133" s="12"/>
      <c r="O133" s="12"/>
    </row>
    <row r="134" spans="3:16">
      <c r="C134" s="7"/>
      <c r="D134" s="7"/>
      <c r="E134" s="4"/>
      <c r="F134" s="2"/>
      <c r="J134" s="12"/>
      <c r="K134" s="12"/>
      <c r="L134" s="12"/>
      <c r="M134" s="12"/>
      <c r="N134" s="12"/>
      <c r="O134" s="12"/>
      <c r="P134" s="12"/>
    </row>
    <row r="135" spans="3:16" ht="15" thickBot="1">
      <c r="C135" s="7"/>
      <c r="D135" s="7" t="s">
        <v>549</v>
      </c>
      <c r="E135" s="12">
        <v>1000</v>
      </c>
      <c r="F135" s="19" t="s">
        <v>547</v>
      </c>
      <c r="G135" s="16"/>
      <c r="H135" s="16"/>
      <c r="I135" s="12"/>
      <c r="J135" s="12"/>
      <c r="K135" s="12"/>
      <c r="L135" s="12"/>
      <c r="M135" s="12"/>
      <c r="N135" s="12"/>
      <c r="O135" s="12"/>
      <c r="P135" s="12"/>
    </row>
    <row r="136" spans="3:16" ht="15" thickBot="1">
      <c r="C136" s="7"/>
      <c r="D136" s="7"/>
      <c r="E136" s="143" t="s">
        <v>239</v>
      </c>
      <c r="F136" s="269">
        <f>F125*LN($D$5/($D$5-E135))</f>
        <v>422.11659365125581</v>
      </c>
      <c r="G136" s="144" t="s">
        <v>183</v>
      </c>
      <c r="H136" s="272" t="s">
        <v>376</v>
      </c>
      <c r="I136" s="190" cm="1">
        <f t="array" ref="I136">(F136/(F124*Linterp(D6,atmos_h,atmos_vela)))*(60/1)</f>
        <v>62.499374969909397</v>
      </c>
      <c r="J136" s="145" t="s">
        <v>201</v>
      </c>
      <c r="K136" s="12"/>
      <c r="L136" s="12"/>
      <c r="M136" s="12"/>
      <c r="N136" s="12"/>
      <c r="O136" s="12"/>
      <c r="P136" s="12"/>
    </row>
    <row r="137" spans="3:16" ht="15" thickBot="1">
      <c r="C137" s="7"/>
      <c r="D137" s="7"/>
      <c r="E137" s="143"/>
      <c r="F137" s="270"/>
      <c r="G137" s="144"/>
      <c r="H137" s="144"/>
      <c r="I137" s="271"/>
      <c r="J137" s="145"/>
      <c r="K137" s="12"/>
      <c r="L137" s="12"/>
      <c r="M137" s="12"/>
      <c r="N137" s="12"/>
      <c r="O137" s="12"/>
      <c r="P137" s="12"/>
    </row>
    <row r="138" spans="3:16" ht="15" thickBot="1">
      <c r="C138" s="7"/>
      <c r="D138" s="7"/>
      <c r="E138" s="143" t="s">
        <v>240</v>
      </c>
      <c r="F138" s="268">
        <f>F131*60*LN($D$5/($D$5-E135))</f>
        <v>71.673543958758671</v>
      </c>
      <c r="G138" s="144" t="s">
        <v>201</v>
      </c>
      <c r="H138" s="272" t="s">
        <v>377</v>
      </c>
      <c r="I138" s="269" cm="1">
        <f t="array" ref="I138">F138*F130*Linterp(D6,atmos_h,atmos_vela)/60</f>
        <v>369.53807810174544</v>
      </c>
      <c r="J138" s="145" t="s">
        <v>183</v>
      </c>
      <c r="K138" s="12"/>
      <c r="L138" s="12"/>
      <c r="M138" s="12"/>
      <c r="N138" s="12"/>
      <c r="O138" s="12"/>
      <c r="P138" s="12"/>
    </row>
    <row r="139" spans="3:16">
      <c r="C139" s="7"/>
      <c r="D139" s="7"/>
      <c r="E139" s="11"/>
      <c r="F139" s="19"/>
      <c r="G139" s="16"/>
      <c r="H139" s="16"/>
      <c r="I139" s="12"/>
      <c r="J139" s="12"/>
    </row>
    <row r="140" spans="3:16">
      <c r="E140" t="s">
        <v>374</v>
      </c>
    </row>
    <row r="141" spans="3:16">
      <c r="E141" t="s">
        <v>375</v>
      </c>
    </row>
  </sheetData>
  <mergeCells count="2">
    <mergeCell ref="B2:D2"/>
    <mergeCell ref="B3:D3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82ADA-7C7E-406B-BAFF-B10F5F55C9C5}">
  <sheetPr codeName="Sheet24">
    <tabColor rgb="FFFFCCFF"/>
  </sheetPr>
  <dimension ref="B1:V141"/>
  <sheetViews>
    <sheetView topLeftCell="A100" workbookViewId="0">
      <selection activeCell="T130" sqref="T130"/>
    </sheetView>
  </sheetViews>
  <sheetFormatPr defaultRowHeight="14.5"/>
  <cols>
    <col min="1" max="1" width="2.7265625" customWidth="1"/>
    <col min="2" max="13" width="12.7265625" customWidth="1"/>
    <col min="14" max="16" width="10.7265625" customWidth="1"/>
    <col min="17" max="22" width="12.7265625" customWidth="1"/>
    <col min="23" max="66" width="10.7265625" customWidth="1"/>
  </cols>
  <sheetData>
    <row r="1" spans="2:22" ht="15" thickBot="1"/>
    <row r="2" spans="2:22">
      <c r="B2" s="601" t="s">
        <v>331</v>
      </c>
      <c r="C2" s="605"/>
      <c r="D2" s="606"/>
    </row>
    <row r="3" spans="2:22" ht="15" thickBot="1">
      <c r="B3" s="602" t="s">
        <v>384</v>
      </c>
      <c r="C3" s="607"/>
      <c r="D3" s="608"/>
    </row>
    <row r="5" spans="2:22">
      <c r="C5" t="s">
        <v>6</v>
      </c>
      <c r="D5" s="8">
        <v>10000</v>
      </c>
      <c r="E5" t="s">
        <v>5</v>
      </c>
      <c r="G5" t="s">
        <v>0</v>
      </c>
      <c r="H5" s="1">
        <f>Linterp(D6,atmos_h,atmos_qms)</f>
        <v>439.90350606186917</v>
      </c>
      <c r="I5" t="s">
        <v>19</v>
      </c>
    </row>
    <row r="6" spans="2:22">
      <c r="C6" t="s">
        <v>1</v>
      </c>
      <c r="D6" s="8">
        <v>30000</v>
      </c>
      <c r="E6" t="s">
        <v>2</v>
      </c>
      <c r="G6" t="s">
        <v>153</v>
      </c>
      <c r="H6" s="3">
        <f>Linterp(D6,atmos_h,atmos_aspeed)</f>
        <v>994.66966350329255</v>
      </c>
      <c r="I6" t="s">
        <v>20</v>
      </c>
    </row>
    <row r="7" spans="2:22">
      <c r="D7" s="8"/>
      <c r="G7" t="s">
        <v>155</v>
      </c>
      <c r="H7" s="9">
        <f>Linterp(D6,atmos_h,atmos_rho)</f>
        <v>8.8925565596528484E-4</v>
      </c>
      <c r="I7" t="s">
        <v>156</v>
      </c>
    </row>
    <row r="8" spans="2:22" ht="15" thickBot="1">
      <c r="H8" s="2"/>
      <c r="I8" s="1">
        <v>1</v>
      </c>
      <c r="L8" s="4"/>
      <c r="M8" s="4"/>
      <c r="N8" s="4"/>
      <c r="O8" s="4"/>
    </row>
    <row r="9" spans="2:22">
      <c r="B9" s="6" t="s">
        <v>1</v>
      </c>
      <c r="C9" s="6" t="s">
        <v>72</v>
      </c>
      <c r="D9" s="6" t="s">
        <v>232</v>
      </c>
      <c r="E9" s="6" t="s">
        <v>74</v>
      </c>
      <c r="F9" s="6" t="s">
        <v>75</v>
      </c>
      <c r="G9" s="6" t="s">
        <v>186</v>
      </c>
      <c r="H9" s="6" t="s">
        <v>294</v>
      </c>
      <c r="I9" s="6" t="s">
        <v>295</v>
      </c>
      <c r="J9" s="6" t="s">
        <v>233</v>
      </c>
      <c r="K9" s="6" t="s">
        <v>85</v>
      </c>
      <c r="L9" s="6" t="s">
        <v>234</v>
      </c>
      <c r="M9" s="312" t="s">
        <v>235</v>
      </c>
      <c r="N9" s="301" t="s">
        <v>236</v>
      </c>
      <c r="O9" s="310" t="s">
        <v>402</v>
      </c>
      <c r="P9" s="6"/>
      <c r="Q9" s="6" t="s">
        <v>72</v>
      </c>
      <c r="R9" s="312" t="s">
        <v>187</v>
      </c>
      <c r="S9" s="301" t="s">
        <v>202</v>
      </c>
      <c r="T9" s="301" t="s">
        <v>186</v>
      </c>
      <c r="U9" s="301" t="s">
        <v>381</v>
      </c>
      <c r="V9" s="310" t="s">
        <v>382</v>
      </c>
    </row>
    <row r="10" spans="2:22">
      <c r="B10" s="6" t="s">
        <v>30</v>
      </c>
      <c r="C10" s="6" t="s">
        <v>77</v>
      </c>
      <c r="D10" s="6" t="s">
        <v>69</v>
      </c>
      <c r="E10" s="6"/>
      <c r="F10" s="6"/>
      <c r="G10" s="6" t="s">
        <v>78</v>
      </c>
      <c r="H10" s="6" t="s">
        <v>78</v>
      </c>
      <c r="I10" s="6" t="s">
        <v>86</v>
      </c>
      <c r="J10" s="6" t="s">
        <v>87</v>
      </c>
      <c r="K10" s="6" t="s">
        <v>86</v>
      </c>
      <c r="L10" s="6" t="s">
        <v>414</v>
      </c>
      <c r="M10" s="317" t="s">
        <v>203</v>
      </c>
      <c r="N10" s="316" t="s">
        <v>415</v>
      </c>
      <c r="O10" s="318" t="s">
        <v>416</v>
      </c>
      <c r="P10" s="6"/>
      <c r="Q10" s="6" t="s">
        <v>77</v>
      </c>
      <c r="R10" s="317" t="s">
        <v>78</v>
      </c>
      <c r="S10" s="316" t="s">
        <v>78</v>
      </c>
      <c r="T10" s="316" t="s">
        <v>78</v>
      </c>
      <c r="U10" s="316" t="s">
        <v>78</v>
      </c>
      <c r="V10" s="318" t="s">
        <v>78</v>
      </c>
    </row>
    <row r="11" spans="2:22">
      <c r="B11" s="120">
        <f>D6</f>
        <v>30000</v>
      </c>
      <c r="C11" s="7">
        <v>0.1</v>
      </c>
      <c r="D11" s="7">
        <f t="shared" ref="D11:D19" si="0">C11*H$6</f>
        <v>99.466966350329258</v>
      </c>
      <c r="E11" s="11">
        <f t="shared" ref="E11:E74" si="1">D$5/(H$5*C11*C11*_xlfn.SINGLE(S))</f>
        <v>13.371916477403932</v>
      </c>
      <c r="F11" s="19" t="e">
        <f>InterpolateXY(E11,C11,CD_CL,CD_M,CD_table)</f>
        <v>#VALUE!</v>
      </c>
      <c r="G11" t="e">
        <f t="shared" ref="G11:G74" si="2">F11*$H$5*C11*C11*_xlfn.SINGLE(S)</f>
        <v>#VALUE!</v>
      </c>
      <c r="H11" s="12">
        <f t="shared" ref="H11:H74" si="3">_xlfn.SINGLE(InterpolateXY(B11,C11,Tnorm_h,Tnorm_M,Tnorm_table))*_xlfn.SINGLE(numeng)</f>
        <v>1399.236037709167</v>
      </c>
      <c r="I11" s="12">
        <f t="shared" ref="I11:I42" si="4">_xlfn.SINGLE(InterpolateXYZ($I$8,C11,B11,FFnorm_PS,FFnorm_M,FFnorm_h,FFnorm_table))*_xlfn.SINGLE(numeng)</f>
        <v>1358.8048065573421</v>
      </c>
      <c r="J11" s="141" t="e">
        <f>G11/H11</f>
        <v>#VALUE!</v>
      </c>
      <c r="K11" s="267" t="e" cm="1">
        <f t="array" ref="K11">InterpolateXYZ(J11,C11,B11,FFnorm_PS,FFnorm_M,FFnorm_h,FFnorm_table)*numeng</f>
        <v>#VALUE!</v>
      </c>
      <c r="L11" s="11" t="e">
        <f>K11/G11</f>
        <v>#VALUE!</v>
      </c>
      <c r="M11" s="425" t="e" cm="1">
        <f t="array" ref="M11">($D$5/G11)*(C11*Linterp($D$6,atmos_h,atmos_vela)/L11)</f>
        <v>#VALUE!</v>
      </c>
      <c r="N11" s="55" t="e">
        <f>($D$5/G11)*(1/L11)</f>
        <v>#VALUE!</v>
      </c>
      <c r="O11" s="426" t="e">
        <f>M11/$D$5</f>
        <v>#VALUE!</v>
      </c>
      <c r="P11" s="3"/>
      <c r="Q11" s="7">
        <f>C11</f>
        <v>0.1</v>
      </c>
      <c r="R11" s="314" cm="1">
        <f t="array" ref="R11">numeng*InterpolateXY($D$6,$Q11,Tmil_h,Tmil_M,Tmil_table)</f>
        <v>1496.5084454290716</v>
      </c>
      <c r="S11" s="12" cm="1">
        <f t="array" ref="S11">numeng*InterpolateXY($D$6,$Q11,Tmax_h,Tmax_M,Tmax_table)</f>
        <v>2252.2452103707528</v>
      </c>
      <c r="T11" s="16" t="e">
        <f>G11</f>
        <v>#VALUE!</v>
      </c>
      <c r="U11" s="55" t="e">
        <f>R11-T11</f>
        <v>#VALUE!</v>
      </c>
      <c r="V11" s="426" t="e">
        <f>S11-T11</f>
        <v>#VALUE!</v>
      </c>
    </row>
    <row r="12" spans="2:22">
      <c r="B12" s="120">
        <f>B11</f>
        <v>30000</v>
      </c>
      <c r="C12" s="7">
        <v>0.11</v>
      </c>
      <c r="D12" s="7">
        <f t="shared" si="0"/>
        <v>109.41366298536218</v>
      </c>
      <c r="E12" s="11">
        <f t="shared" si="1"/>
        <v>11.051170642482592</v>
      </c>
      <c r="F12" s="19" t="e">
        <f t="shared" ref="F12:F75" si="5">InterpolateXY(E12,C12,CD_CL,CD_M,CD_table)</f>
        <v>#VALUE!</v>
      </c>
      <c r="G12" t="e">
        <f t="shared" si="2"/>
        <v>#VALUE!</v>
      </c>
      <c r="H12" s="12">
        <f t="shared" si="3"/>
        <v>1406.7185833653657</v>
      </c>
      <c r="I12" s="12">
        <f t="shared" si="4"/>
        <v>1366.0711424212852</v>
      </c>
      <c r="J12" s="141" t="e">
        <f t="shared" ref="J12:J75" si="6">G12/H12</f>
        <v>#VALUE!</v>
      </c>
      <c r="K12" s="267" t="e" cm="1">
        <f t="array" ref="K12">InterpolateXYZ(J12,C12,B12,FFnorm_PS,FFnorm_M,FFnorm_h,FFnorm_table)*numeng</f>
        <v>#VALUE!</v>
      </c>
      <c r="L12" s="11" t="e">
        <f t="shared" ref="L12:L75" si="7">K12/G12</f>
        <v>#VALUE!</v>
      </c>
      <c r="M12" s="425" t="e" cm="1">
        <f t="array" ref="M12">($D$5/G12)*(C12*Linterp($D$6,atmos_h,atmos_vela)/L12)</f>
        <v>#VALUE!</v>
      </c>
      <c r="N12" s="55" t="e">
        <f t="shared" ref="N12:N75" si="8">($D$5/G12)*(1/L12)</f>
        <v>#VALUE!</v>
      </c>
      <c r="O12" s="426" t="e">
        <f t="shared" ref="O12:O75" si="9">M12/$D$5</f>
        <v>#VALUE!</v>
      </c>
      <c r="P12" s="12"/>
      <c r="Q12" s="7">
        <f t="shared" ref="Q12:Q75" si="10">C12</f>
        <v>0.11</v>
      </c>
      <c r="R12" s="314" cm="1">
        <f t="array" ref="R12">numeng*InterpolateXY($D$6,$Q12,Tmil_h,Tmil_M,Tmil_table)</f>
        <v>1503.9909876562169</v>
      </c>
      <c r="S12" s="12" cm="1">
        <f t="array" ref="S12">numeng*InterpolateXY($D$6,$Q12,Tmax_h,Tmax_M,Tmax_table)</f>
        <v>2271.6998201613305</v>
      </c>
      <c r="T12" s="16" t="e">
        <f t="shared" ref="T12:T75" si="11">G12</f>
        <v>#VALUE!</v>
      </c>
      <c r="U12" s="55" t="e">
        <f t="shared" ref="U12:U75" si="12">R12-T12</f>
        <v>#VALUE!</v>
      </c>
      <c r="V12" s="426" t="e">
        <f t="shared" ref="V12:V75" si="13">S12-T12</f>
        <v>#VALUE!</v>
      </c>
    </row>
    <row r="13" spans="2:22">
      <c r="B13" s="120">
        <f t="shared" ref="B13:B76" si="14">B12</f>
        <v>30000</v>
      </c>
      <c r="C13" s="7">
        <v>0.12</v>
      </c>
      <c r="D13" s="7">
        <f t="shared" si="0"/>
        <v>119.3603596203951</v>
      </c>
      <c r="E13" s="11">
        <f t="shared" si="1"/>
        <v>9.2860531093082912</v>
      </c>
      <c r="F13" s="19" t="e">
        <f t="shared" si="5"/>
        <v>#VALUE!</v>
      </c>
      <c r="G13" t="e">
        <f t="shared" si="2"/>
        <v>#VALUE!</v>
      </c>
      <c r="H13" s="12">
        <f t="shared" si="3"/>
        <v>1414.2011290215646</v>
      </c>
      <c r="I13" s="12">
        <f t="shared" si="4"/>
        <v>1373.3374782852281</v>
      </c>
      <c r="J13" s="141" t="e">
        <f t="shared" si="6"/>
        <v>#VALUE!</v>
      </c>
      <c r="K13" s="267" t="e" cm="1">
        <f t="array" ref="K13">InterpolateXYZ(J13,C13,B13,FFnorm_PS,FFnorm_M,FFnorm_h,FFnorm_table)*numeng</f>
        <v>#VALUE!</v>
      </c>
      <c r="L13" s="11" t="e">
        <f t="shared" si="7"/>
        <v>#VALUE!</v>
      </c>
      <c r="M13" s="425" t="e" cm="1">
        <f t="array" ref="M13">($D$5/G13)*(C13*Linterp($D$6,atmos_h,atmos_vela)/L13)</f>
        <v>#VALUE!</v>
      </c>
      <c r="N13" s="55" t="e">
        <f t="shared" si="8"/>
        <v>#VALUE!</v>
      </c>
      <c r="O13" s="426" t="e">
        <f t="shared" si="9"/>
        <v>#VALUE!</v>
      </c>
      <c r="P13" s="12"/>
      <c r="Q13" s="7">
        <f t="shared" si="10"/>
        <v>0.12</v>
      </c>
      <c r="R13" s="314" cm="1">
        <f t="array" ref="R13">numeng*InterpolateXY($D$6,$Q13,Tmil_h,Tmil_M,Tmil_table)</f>
        <v>1511.4735298833623</v>
      </c>
      <c r="S13" s="12" cm="1">
        <f t="array" ref="S13">numeng*InterpolateXY($D$6,$Q13,Tmax_h,Tmax_M,Tmax_table)</f>
        <v>2291.1544299519087</v>
      </c>
      <c r="T13" s="16" t="e">
        <f t="shared" si="11"/>
        <v>#VALUE!</v>
      </c>
      <c r="U13" s="55" t="e">
        <f t="shared" si="12"/>
        <v>#VALUE!</v>
      </c>
      <c r="V13" s="426" t="e">
        <f t="shared" si="13"/>
        <v>#VALUE!</v>
      </c>
    </row>
    <row r="14" spans="2:22">
      <c r="B14" s="120">
        <f t="shared" si="14"/>
        <v>30000</v>
      </c>
      <c r="C14" s="7">
        <v>0.13</v>
      </c>
      <c r="D14" s="7">
        <f t="shared" si="0"/>
        <v>129.30705625542802</v>
      </c>
      <c r="E14" s="11">
        <f t="shared" si="1"/>
        <v>7.9123766138484815</v>
      </c>
      <c r="F14" s="19" t="e">
        <f t="shared" si="5"/>
        <v>#VALUE!</v>
      </c>
      <c r="G14" t="e">
        <f t="shared" si="2"/>
        <v>#VALUE!</v>
      </c>
      <c r="H14" s="12">
        <f t="shared" si="3"/>
        <v>1421.6836746777633</v>
      </c>
      <c r="I14" s="12">
        <f t="shared" si="4"/>
        <v>1380.6038141491713</v>
      </c>
      <c r="J14" s="141" t="e">
        <f t="shared" si="6"/>
        <v>#VALUE!</v>
      </c>
      <c r="K14" s="267" t="e" cm="1">
        <f t="array" ref="K14">InterpolateXYZ(J14,C14,B14,FFnorm_PS,FFnorm_M,FFnorm_h,FFnorm_table)*numeng</f>
        <v>#VALUE!</v>
      </c>
      <c r="L14" s="11" t="e">
        <f t="shared" si="7"/>
        <v>#VALUE!</v>
      </c>
      <c r="M14" s="425" t="e" cm="1">
        <f t="array" ref="M14">($D$5/G14)*(C14*Linterp($D$6,atmos_h,atmos_vela)/L14)</f>
        <v>#VALUE!</v>
      </c>
      <c r="N14" s="55" t="e">
        <f t="shared" si="8"/>
        <v>#VALUE!</v>
      </c>
      <c r="O14" s="426" t="e">
        <f t="shared" si="9"/>
        <v>#VALUE!</v>
      </c>
      <c r="P14" s="12"/>
      <c r="Q14" s="7">
        <f t="shared" si="10"/>
        <v>0.13</v>
      </c>
      <c r="R14" s="314" cm="1">
        <f t="array" ref="R14">numeng*InterpolateXY($D$6,$Q14,Tmil_h,Tmil_M,Tmil_table)</f>
        <v>1518.9560721105076</v>
      </c>
      <c r="S14" s="12" cm="1">
        <f t="array" ref="S14">numeng*InterpolateXY($D$6,$Q14,Tmax_h,Tmax_M,Tmax_table)</f>
        <v>2310.6090397424864</v>
      </c>
      <c r="T14" s="16" t="e">
        <f t="shared" si="11"/>
        <v>#VALUE!</v>
      </c>
      <c r="U14" s="55" t="e">
        <f t="shared" si="12"/>
        <v>#VALUE!</v>
      </c>
      <c r="V14" s="426" t="e">
        <f t="shared" si="13"/>
        <v>#VALUE!</v>
      </c>
    </row>
    <row r="15" spans="2:22">
      <c r="B15" s="120">
        <f t="shared" si="14"/>
        <v>30000</v>
      </c>
      <c r="C15" s="7">
        <v>0.14000000000000001</v>
      </c>
      <c r="D15" s="7">
        <f t="shared" si="0"/>
        <v>139.25375289046096</v>
      </c>
      <c r="E15" s="11">
        <f t="shared" si="1"/>
        <v>6.8224063660224159</v>
      </c>
      <c r="F15" s="19" t="e">
        <f t="shared" si="5"/>
        <v>#VALUE!</v>
      </c>
      <c r="G15" t="e">
        <f t="shared" si="2"/>
        <v>#VALUE!</v>
      </c>
      <c r="H15" s="12">
        <f t="shared" si="3"/>
        <v>1429.1662203339622</v>
      </c>
      <c r="I15" s="12">
        <f t="shared" si="4"/>
        <v>1387.8701500131142</v>
      </c>
      <c r="J15" s="141" t="e">
        <f t="shared" si="6"/>
        <v>#VALUE!</v>
      </c>
      <c r="K15" s="267" t="e" cm="1">
        <f t="array" ref="K15">InterpolateXYZ(J15,C15,B15,FFnorm_PS,FFnorm_M,FFnorm_h,FFnorm_table)*numeng</f>
        <v>#VALUE!</v>
      </c>
      <c r="L15" s="11" t="e">
        <f t="shared" si="7"/>
        <v>#VALUE!</v>
      </c>
      <c r="M15" s="425" t="e" cm="1">
        <f t="array" ref="M15">($D$5/G15)*(C15*Linterp($D$6,atmos_h,atmos_vela)/L15)</f>
        <v>#VALUE!</v>
      </c>
      <c r="N15" s="55" t="e">
        <f t="shared" si="8"/>
        <v>#VALUE!</v>
      </c>
      <c r="O15" s="426" t="e">
        <f t="shared" si="9"/>
        <v>#VALUE!</v>
      </c>
      <c r="P15" s="12"/>
      <c r="Q15" s="7">
        <f t="shared" si="10"/>
        <v>0.14000000000000001</v>
      </c>
      <c r="R15" s="314" cm="1">
        <f t="array" ref="R15">numeng*InterpolateXY($D$6,$Q15,Tmil_h,Tmil_M,Tmil_table)</f>
        <v>1526.438614337653</v>
      </c>
      <c r="S15" s="12" cm="1">
        <f t="array" ref="S15">numeng*InterpolateXY($D$6,$Q15,Tmax_h,Tmax_M,Tmax_table)</f>
        <v>2330.0636495330646</v>
      </c>
      <c r="T15" s="16" t="e">
        <f t="shared" si="11"/>
        <v>#VALUE!</v>
      </c>
      <c r="U15" s="55" t="e">
        <f t="shared" si="12"/>
        <v>#VALUE!</v>
      </c>
      <c r="V15" s="426" t="e">
        <f t="shared" si="13"/>
        <v>#VALUE!</v>
      </c>
    </row>
    <row r="16" spans="2:22">
      <c r="B16" s="120">
        <f t="shared" si="14"/>
        <v>30000</v>
      </c>
      <c r="C16" s="7">
        <v>0.15</v>
      </c>
      <c r="D16" s="7">
        <f t="shared" si="0"/>
        <v>149.20044952549387</v>
      </c>
      <c r="E16" s="11">
        <f t="shared" si="1"/>
        <v>5.9430739899573055</v>
      </c>
      <c r="F16" s="19" t="e">
        <f t="shared" si="5"/>
        <v>#VALUE!</v>
      </c>
      <c r="G16" t="e">
        <f t="shared" si="2"/>
        <v>#VALUE!</v>
      </c>
      <c r="H16" s="12">
        <f t="shared" si="3"/>
        <v>1436.6487659901609</v>
      </c>
      <c r="I16" s="12">
        <f t="shared" si="4"/>
        <v>1395.1364858770573</v>
      </c>
      <c r="J16" s="141" t="e">
        <f t="shared" si="6"/>
        <v>#VALUE!</v>
      </c>
      <c r="K16" s="267" t="e" cm="1">
        <f t="array" ref="K16">InterpolateXYZ(J16,C16,B16,FFnorm_PS,FFnorm_M,FFnorm_h,FFnorm_table)*numeng</f>
        <v>#VALUE!</v>
      </c>
      <c r="L16" s="11" t="e">
        <f t="shared" si="7"/>
        <v>#VALUE!</v>
      </c>
      <c r="M16" s="425" t="e" cm="1">
        <f t="array" ref="M16">($D$5/G16)*(C16*Linterp($D$6,atmos_h,atmos_vela)/L16)</f>
        <v>#VALUE!</v>
      </c>
      <c r="N16" s="55" t="e">
        <f t="shared" si="8"/>
        <v>#VALUE!</v>
      </c>
      <c r="O16" s="426" t="e">
        <f t="shared" si="9"/>
        <v>#VALUE!</v>
      </c>
      <c r="P16" s="12"/>
      <c r="Q16" s="7">
        <f t="shared" si="10"/>
        <v>0.15</v>
      </c>
      <c r="R16" s="314" cm="1">
        <f t="array" ref="R16">numeng*InterpolateXY($D$6,$Q16,Tmil_h,Tmil_M,Tmil_table)</f>
        <v>1533.9211565647984</v>
      </c>
      <c r="S16" s="12" cm="1">
        <f t="array" ref="S16">numeng*InterpolateXY($D$6,$Q16,Tmax_h,Tmax_M,Tmax_table)</f>
        <v>2349.5182593236423</v>
      </c>
      <c r="T16" s="16" t="e">
        <f t="shared" si="11"/>
        <v>#VALUE!</v>
      </c>
      <c r="U16" s="55" t="e">
        <f t="shared" si="12"/>
        <v>#VALUE!</v>
      </c>
      <c r="V16" s="426" t="e">
        <f t="shared" si="13"/>
        <v>#VALUE!</v>
      </c>
    </row>
    <row r="17" spans="2:22">
      <c r="B17" s="120">
        <f t="shared" si="14"/>
        <v>30000</v>
      </c>
      <c r="C17" s="7">
        <v>0.16</v>
      </c>
      <c r="D17" s="7">
        <f t="shared" si="0"/>
        <v>159.1471461605268</v>
      </c>
      <c r="E17" s="11">
        <f t="shared" si="1"/>
        <v>5.2234048739859125</v>
      </c>
      <c r="F17" s="19" t="e">
        <f t="shared" si="5"/>
        <v>#VALUE!</v>
      </c>
      <c r="G17" t="e">
        <f t="shared" si="2"/>
        <v>#VALUE!</v>
      </c>
      <c r="H17" s="12">
        <f t="shared" si="3"/>
        <v>1444.1313116463596</v>
      </c>
      <c r="I17" s="12">
        <f t="shared" si="4"/>
        <v>1402.4028217410005</v>
      </c>
      <c r="J17" s="141" t="e">
        <f t="shared" si="6"/>
        <v>#VALUE!</v>
      </c>
      <c r="K17" s="267" t="e" cm="1">
        <f t="array" ref="K17">InterpolateXYZ(J17,C17,B17,FFnorm_PS,FFnorm_M,FFnorm_h,FFnorm_table)*numeng</f>
        <v>#VALUE!</v>
      </c>
      <c r="L17" s="11" t="e">
        <f t="shared" si="7"/>
        <v>#VALUE!</v>
      </c>
      <c r="M17" s="425" t="e" cm="1">
        <f t="array" ref="M17">($D$5/G17)*(C17*Linterp($D$6,atmos_h,atmos_vela)/L17)</f>
        <v>#VALUE!</v>
      </c>
      <c r="N17" s="55" t="e">
        <f t="shared" si="8"/>
        <v>#VALUE!</v>
      </c>
      <c r="O17" s="426" t="e">
        <f t="shared" si="9"/>
        <v>#VALUE!</v>
      </c>
      <c r="P17" s="12"/>
      <c r="Q17" s="7">
        <f t="shared" si="10"/>
        <v>0.16</v>
      </c>
      <c r="R17" s="314" cm="1">
        <f t="array" ref="R17">numeng*InterpolateXY($D$6,$Q17,Tmil_h,Tmil_M,Tmil_table)</f>
        <v>1541.4036987919437</v>
      </c>
      <c r="S17" s="12" cm="1">
        <f t="array" ref="S17">numeng*InterpolateXY($D$6,$Q17,Tmax_h,Tmax_M,Tmax_table)</f>
        <v>2368.9728691142204</v>
      </c>
      <c r="T17" s="16" t="e">
        <f t="shared" si="11"/>
        <v>#VALUE!</v>
      </c>
      <c r="U17" s="55" t="e">
        <f t="shared" si="12"/>
        <v>#VALUE!</v>
      </c>
      <c r="V17" s="426" t="e">
        <f t="shared" si="13"/>
        <v>#VALUE!</v>
      </c>
    </row>
    <row r="18" spans="2:22">
      <c r="B18" s="120">
        <f t="shared" si="14"/>
        <v>30000</v>
      </c>
      <c r="C18" s="7">
        <v>0.17</v>
      </c>
      <c r="D18" s="7">
        <f t="shared" si="0"/>
        <v>169.09384279555974</v>
      </c>
      <c r="E18" s="11">
        <f t="shared" si="1"/>
        <v>4.6269607188248907</v>
      </c>
      <c r="F18" s="19" t="e">
        <f t="shared" si="5"/>
        <v>#VALUE!</v>
      </c>
      <c r="G18" t="e">
        <f t="shared" si="2"/>
        <v>#VALUE!</v>
      </c>
      <c r="H18" s="12">
        <f t="shared" si="3"/>
        <v>1451.6138573025585</v>
      </c>
      <c r="I18" s="12">
        <f t="shared" si="4"/>
        <v>1409.6691576049434</v>
      </c>
      <c r="J18" s="141" t="e">
        <f t="shared" si="6"/>
        <v>#VALUE!</v>
      </c>
      <c r="K18" s="267" t="e" cm="1">
        <f t="array" ref="K18">InterpolateXYZ(J18,C18,B18,FFnorm_PS,FFnorm_M,FFnorm_h,FFnorm_table)*numeng</f>
        <v>#VALUE!</v>
      </c>
      <c r="L18" s="11" t="e">
        <f t="shared" si="7"/>
        <v>#VALUE!</v>
      </c>
      <c r="M18" s="425" t="e" cm="1">
        <f t="array" ref="M18">($D$5/G18)*(C18*Linterp($D$6,atmos_h,atmos_vela)/L18)</f>
        <v>#VALUE!</v>
      </c>
      <c r="N18" s="55" t="e">
        <f t="shared" si="8"/>
        <v>#VALUE!</v>
      </c>
      <c r="O18" s="426" t="e">
        <f t="shared" si="9"/>
        <v>#VALUE!</v>
      </c>
      <c r="P18" s="12"/>
      <c r="Q18" s="7">
        <f t="shared" si="10"/>
        <v>0.17</v>
      </c>
      <c r="R18" s="314" cm="1">
        <f t="array" ref="R18">numeng*InterpolateXY($D$6,$Q18,Tmil_h,Tmil_M,Tmil_table)</f>
        <v>1548.8862410190891</v>
      </c>
      <c r="S18" s="12" cm="1">
        <f t="array" ref="S18">numeng*InterpolateXY($D$6,$Q18,Tmax_h,Tmax_M,Tmax_table)</f>
        <v>2388.4274789047986</v>
      </c>
      <c r="T18" s="16" t="e">
        <f t="shared" si="11"/>
        <v>#VALUE!</v>
      </c>
      <c r="U18" s="55" t="e">
        <f t="shared" si="12"/>
        <v>#VALUE!</v>
      </c>
      <c r="V18" s="426" t="e">
        <f t="shared" si="13"/>
        <v>#VALUE!</v>
      </c>
    </row>
    <row r="19" spans="2:22">
      <c r="B19" s="120">
        <f t="shared" si="14"/>
        <v>30000</v>
      </c>
      <c r="C19" s="7">
        <v>0.18</v>
      </c>
      <c r="D19" s="7">
        <f t="shared" si="0"/>
        <v>179.04053943059264</v>
      </c>
      <c r="E19" s="11">
        <f t="shared" si="1"/>
        <v>4.127134715248129</v>
      </c>
      <c r="F19" s="19" t="e">
        <f t="shared" si="5"/>
        <v>#VALUE!</v>
      </c>
      <c r="G19" t="e">
        <f t="shared" si="2"/>
        <v>#VALUE!</v>
      </c>
      <c r="H19" s="12">
        <f t="shared" si="3"/>
        <v>1459.0964029587572</v>
      </c>
      <c r="I19" s="12">
        <f t="shared" si="4"/>
        <v>1416.9354934688865</v>
      </c>
      <c r="J19" s="141" t="e">
        <f t="shared" si="6"/>
        <v>#VALUE!</v>
      </c>
      <c r="K19" s="267" t="e" cm="1">
        <f t="array" ref="K19">InterpolateXYZ(J19,C19,B19,FFnorm_PS,FFnorm_M,FFnorm_h,FFnorm_table)*numeng</f>
        <v>#VALUE!</v>
      </c>
      <c r="L19" s="11" t="e">
        <f t="shared" si="7"/>
        <v>#VALUE!</v>
      </c>
      <c r="M19" s="425" t="e" cm="1">
        <f t="array" ref="M19">($D$5/G19)*(C19*Linterp($D$6,atmos_h,atmos_vela)/L19)</f>
        <v>#VALUE!</v>
      </c>
      <c r="N19" s="55" t="e">
        <f t="shared" si="8"/>
        <v>#VALUE!</v>
      </c>
      <c r="O19" s="426" t="e">
        <f t="shared" si="9"/>
        <v>#VALUE!</v>
      </c>
      <c r="P19" s="12"/>
      <c r="Q19" s="7">
        <f t="shared" si="10"/>
        <v>0.18</v>
      </c>
      <c r="R19" s="314" cm="1">
        <f t="array" ref="R19">numeng*InterpolateXY($D$6,$Q19,Tmil_h,Tmil_M,Tmil_table)</f>
        <v>1556.3687832462344</v>
      </c>
      <c r="S19" s="12" cm="1">
        <f t="array" ref="S19">numeng*InterpolateXY($D$6,$Q19,Tmax_h,Tmax_M,Tmax_table)</f>
        <v>2407.8820886953763</v>
      </c>
      <c r="T19" s="16" t="e">
        <f t="shared" si="11"/>
        <v>#VALUE!</v>
      </c>
      <c r="U19" s="55" t="e">
        <f t="shared" si="12"/>
        <v>#VALUE!</v>
      </c>
      <c r="V19" s="426" t="e">
        <f t="shared" si="13"/>
        <v>#VALUE!</v>
      </c>
    </row>
    <row r="20" spans="2:22">
      <c r="B20" s="120">
        <f t="shared" si="14"/>
        <v>30000</v>
      </c>
      <c r="C20" s="7">
        <v>0.19</v>
      </c>
      <c r="D20" s="7">
        <f>C20*H$6</f>
        <v>188.98723606562558</v>
      </c>
      <c r="E20" s="11">
        <f t="shared" si="1"/>
        <v>3.7041319882005364</v>
      </c>
      <c r="F20" s="19" t="e">
        <f t="shared" si="5"/>
        <v>#VALUE!</v>
      </c>
      <c r="G20" t="e">
        <f t="shared" si="2"/>
        <v>#VALUE!</v>
      </c>
      <c r="H20" s="12">
        <f t="shared" si="3"/>
        <v>1466.5789486149561</v>
      </c>
      <c r="I20" s="12">
        <f t="shared" si="4"/>
        <v>1424.2018293328294</v>
      </c>
      <c r="J20" s="141" t="e">
        <f t="shared" si="6"/>
        <v>#VALUE!</v>
      </c>
      <c r="K20" s="267" t="e" cm="1">
        <f t="array" ref="K20">InterpolateXYZ(J20,C20,B20,FFnorm_PS,FFnorm_M,FFnorm_h,FFnorm_table)*numeng</f>
        <v>#VALUE!</v>
      </c>
      <c r="L20" s="11" t="e">
        <f t="shared" si="7"/>
        <v>#VALUE!</v>
      </c>
      <c r="M20" s="425" t="e" cm="1">
        <f t="array" ref="M20">($D$5/G20)*(C20*Linterp($D$6,atmos_h,atmos_vela)/L20)</f>
        <v>#VALUE!</v>
      </c>
      <c r="N20" s="55" t="e">
        <f t="shared" si="8"/>
        <v>#VALUE!</v>
      </c>
      <c r="O20" s="426" t="e">
        <f t="shared" si="9"/>
        <v>#VALUE!</v>
      </c>
      <c r="P20" s="12"/>
      <c r="Q20" s="7">
        <f t="shared" si="10"/>
        <v>0.19</v>
      </c>
      <c r="R20" s="314" cm="1">
        <f t="array" ref="R20">numeng*InterpolateXY($D$6,$Q20,Tmil_h,Tmil_M,Tmil_table)</f>
        <v>1563.8513254733798</v>
      </c>
      <c r="S20" s="12" cm="1">
        <f t="array" ref="S20">numeng*InterpolateXY($D$6,$Q20,Tmax_h,Tmax_M,Tmax_table)</f>
        <v>2427.336698485954</v>
      </c>
      <c r="T20" s="16" t="e">
        <f t="shared" si="11"/>
        <v>#VALUE!</v>
      </c>
      <c r="U20" s="55" t="e">
        <f t="shared" si="12"/>
        <v>#VALUE!</v>
      </c>
      <c r="V20" s="426" t="e">
        <f t="shared" si="13"/>
        <v>#VALUE!</v>
      </c>
    </row>
    <row r="21" spans="2:22">
      <c r="B21" s="120">
        <f t="shared" si="14"/>
        <v>30000</v>
      </c>
      <c r="C21" s="7">
        <v>0.2</v>
      </c>
      <c r="D21" s="7">
        <f t="shared" ref="D21:D84" si="15">C21*H$6</f>
        <v>198.93393270065852</v>
      </c>
      <c r="E21" s="11">
        <f t="shared" si="1"/>
        <v>3.342979119350983</v>
      </c>
      <c r="F21" s="19" t="e">
        <f t="shared" si="5"/>
        <v>#VALUE!</v>
      </c>
      <c r="G21" t="e">
        <f t="shared" si="2"/>
        <v>#VALUE!</v>
      </c>
      <c r="H21" s="12">
        <f t="shared" si="3"/>
        <v>1474.0614942711547</v>
      </c>
      <c r="I21" s="12">
        <f t="shared" si="4"/>
        <v>1431.4681651967726</v>
      </c>
      <c r="J21" s="141" t="e">
        <f t="shared" si="6"/>
        <v>#VALUE!</v>
      </c>
      <c r="K21" s="267" t="e" cm="1">
        <f t="array" ref="K21">InterpolateXYZ(J21,C21,B21,FFnorm_PS,FFnorm_M,FFnorm_h,FFnorm_table)*numeng</f>
        <v>#VALUE!</v>
      </c>
      <c r="L21" s="11" t="e">
        <f t="shared" si="7"/>
        <v>#VALUE!</v>
      </c>
      <c r="M21" s="425" t="e" cm="1">
        <f t="array" ref="M21">($D$5/G21)*(C21*Linterp($D$6,atmos_h,atmos_vela)/L21)</f>
        <v>#VALUE!</v>
      </c>
      <c r="N21" s="55" t="e">
        <f t="shared" si="8"/>
        <v>#VALUE!</v>
      </c>
      <c r="O21" s="426" t="e">
        <f t="shared" si="9"/>
        <v>#VALUE!</v>
      </c>
      <c r="P21" s="12"/>
      <c r="Q21" s="7">
        <f t="shared" si="10"/>
        <v>0.2</v>
      </c>
      <c r="R21" s="314" cm="1">
        <f t="array" ref="R21">numeng*InterpolateXY($D$6,$Q21,Tmil_h,Tmil_M,Tmil_table)</f>
        <v>1571.3338677005252</v>
      </c>
      <c r="S21" s="12" cm="1">
        <f t="array" ref="S21">numeng*InterpolateXY($D$6,$Q21,Tmax_h,Tmax_M,Tmax_table)</f>
        <v>2446.7913082765322</v>
      </c>
      <c r="T21" s="16" t="e">
        <f t="shared" si="11"/>
        <v>#VALUE!</v>
      </c>
      <c r="U21" s="55" t="e">
        <f t="shared" si="12"/>
        <v>#VALUE!</v>
      </c>
      <c r="V21" s="426" t="e">
        <f t="shared" si="13"/>
        <v>#VALUE!</v>
      </c>
    </row>
    <row r="22" spans="2:22">
      <c r="B22" s="120">
        <f t="shared" si="14"/>
        <v>30000</v>
      </c>
      <c r="C22" s="7">
        <v>0.21</v>
      </c>
      <c r="D22" s="7">
        <f t="shared" si="15"/>
        <v>208.88062933569142</v>
      </c>
      <c r="E22" s="11">
        <f t="shared" si="1"/>
        <v>3.0321806071210742</v>
      </c>
      <c r="F22" s="19" t="e">
        <f t="shared" si="5"/>
        <v>#VALUE!</v>
      </c>
      <c r="G22" t="e">
        <f t="shared" si="2"/>
        <v>#VALUE!</v>
      </c>
      <c r="H22" s="12">
        <f t="shared" si="3"/>
        <v>1481.5440399273534</v>
      </c>
      <c r="I22" s="12">
        <f t="shared" si="4"/>
        <v>1438.7345010607155</v>
      </c>
      <c r="J22" s="141" t="e">
        <f t="shared" si="6"/>
        <v>#VALUE!</v>
      </c>
      <c r="K22" s="267" t="e" cm="1">
        <f t="array" ref="K22">InterpolateXYZ(J22,C22,B22,FFnorm_PS,FFnorm_M,FFnorm_h,FFnorm_table)*numeng</f>
        <v>#VALUE!</v>
      </c>
      <c r="L22" s="11" t="e">
        <f t="shared" si="7"/>
        <v>#VALUE!</v>
      </c>
      <c r="M22" s="425" t="e" cm="1">
        <f t="array" ref="M22">($D$5/G22)*(C22*Linterp($D$6,atmos_h,atmos_vela)/L22)</f>
        <v>#VALUE!</v>
      </c>
      <c r="N22" s="55" t="e">
        <f t="shared" si="8"/>
        <v>#VALUE!</v>
      </c>
      <c r="O22" s="426" t="e">
        <f t="shared" si="9"/>
        <v>#VALUE!</v>
      </c>
      <c r="P22" s="12"/>
      <c r="Q22" s="7">
        <f t="shared" si="10"/>
        <v>0.21</v>
      </c>
      <c r="R22" s="314" cm="1">
        <f t="array" ref="R22">numeng*InterpolateXY($D$6,$Q22,Tmil_h,Tmil_M,Tmil_table)</f>
        <v>1578.8164099276705</v>
      </c>
      <c r="S22" s="12" cm="1">
        <f t="array" ref="S22">numeng*InterpolateXY($D$6,$Q22,Tmax_h,Tmax_M,Tmax_table)</f>
        <v>2466.2459180671099</v>
      </c>
      <c r="T22" s="16" t="e">
        <f t="shared" si="11"/>
        <v>#VALUE!</v>
      </c>
      <c r="U22" s="55" t="e">
        <f t="shared" si="12"/>
        <v>#VALUE!</v>
      </c>
      <c r="V22" s="426" t="e">
        <f t="shared" si="13"/>
        <v>#VALUE!</v>
      </c>
    </row>
    <row r="23" spans="2:22">
      <c r="B23" s="120">
        <f t="shared" si="14"/>
        <v>30000</v>
      </c>
      <c r="C23" s="7">
        <v>0.22</v>
      </c>
      <c r="D23" s="7">
        <f t="shared" si="15"/>
        <v>218.82732597072436</v>
      </c>
      <c r="E23" s="11">
        <f t="shared" si="1"/>
        <v>2.7627926606206481</v>
      </c>
      <c r="F23" s="19" t="e">
        <f t="shared" si="5"/>
        <v>#VALUE!</v>
      </c>
      <c r="G23" t="e">
        <f t="shared" si="2"/>
        <v>#VALUE!</v>
      </c>
      <c r="H23" s="12">
        <f t="shared" si="3"/>
        <v>1489.0265855835523</v>
      </c>
      <c r="I23" s="12">
        <f t="shared" si="4"/>
        <v>1446.0008369246586</v>
      </c>
      <c r="J23" s="141" t="e">
        <f t="shared" si="6"/>
        <v>#VALUE!</v>
      </c>
      <c r="K23" s="267" t="e" cm="1">
        <f t="array" ref="K23">InterpolateXYZ(J23,C23,B23,FFnorm_PS,FFnorm_M,FFnorm_h,FFnorm_table)*numeng</f>
        <v>#VALUE!</v>
      </c>
      <c r="L23" s="11" t="e">
        <f t="shared" si="7"/>
        <v>#VALUE!</v>
      </c>
      <c r="M23" s="425" t="e" cm="1">
        <f t="array" ref="M23">($D$5/G23)*(C23*Linterp($D$6,atmos_h,atmos_vela)/L23)</f>
        <v>#VALUE!</v>
      </c>
      <c r="N23" s="55" t="e">
        <f t="shared" si="8"/>
        <v>#VALUE!</v>
      </c>
      <c r="O23" s="426" t="e">
        <f t="shared" si="9"/>
        <v>#VALUE!</v>
      </c>
      <c r="P23" s="12"/>
      <c r="Q23" s="7">
        <f t="shared" si="10"/>
        <v>0.22</v>
      </c>
      <c r="R23" s="314" cm="1">
        <f t="array" ref="R23">numeng*InterpolateXY($D$6,$Q23,Tmil_h,Tmil_M,Tmil_table)</f>
        <v>1586.2989521548159</v>
      </c>
      <c r="S23" s="12" cm="1">
        <f t="array" ref="S23">numeng*InterpolateXY($D$6,$Q23,Tmax_h,Tmax_M,Tmax_table)</f>
        <v>2485.700527857688</v>
      </c>
      <c r="T23" s="16" t="e">
        <f t="shared" si="11"/>
        <v>#VALUE!</v>
      </c>
      <c r="U23" s="55" t="e">
        <f t="shared" si="12"/>
        <v>#VALUE!</v>
      </c>
      <c r="V23" s="426" t="e">
        <f t="shared" si="13"/>
        <v>#VALUE!</v>
      </c>
    </row>
    <row r="24" spans="2:22">
      <c r="B24" s="120">
        <f t="shared" si="14"/>
        <v>30000</v>
      </c>
      <c r="C24" s="7">
        <v>0.23</v>
      </c>
      <c r="D24" s="7">
        <f t="shared" si="15"/>
        <v>228.7740226057573</v>
      </c>
      <c r="E24" s="11">
        <f t="shared" si="1"/>
        <v>2.5277724910026338</v>
      </c>
      <c r="F24" s="19" t="e">
        <f t="shared" si="5"/>
        <v>#VALUE!</v>
      </c>
      <c r="G24" s="16" t="e">
        <f t="shared" si="2"/>
        <v>#VALUE!</v>
      </c>
      <c r="H24" s="12">
        <f t="shared" si="3"/>
        <v>1496.509131239751</v>
      </c>
      <c r="I24" s="12">
        <f t="shared" si="4"/>
        <v>1453.2671727886016</v>
      </c>
      <c r="J24" s="141" t="e">
        <f t="shared" si="6"/>
        <v>#VALUE!</v>
      </c>
      <c r="K24" s="267" t="e" cm="1">
        <f t="array" ref="K24">InterpolateXYZ(J24,C24,B24,FFnorm_PS,FFnorm_M,FFnorm_h,FFnorm_table)*numeng</f>
        <v>#VALUE!</v>
      </c>
      <c r="L24" s="11" t="e">
        <f t="shared" si="7"/>
        <v>#VALUE!</v>
      </c>
      <c r="M24" s="425" t="e" cm="1">
        <f t="array" ref="M24">($D$5/G24)*(C24*Linterp($D$6,atmos_h,atmos_vela)/L24)</f>
        <v>#VALUE!</v>
      </c>
      <c r="N24" s="55" t="e">
        <f t="shared" si="8"/>
        <v>#VALUE!</v>
      </c>
      <c r="O24" s="426" t="e">
        <f t="shared" si="9"/>
        <v>#VALUE!</v>
      </c>
      <c r="P24" s="12"/>
      <c r="Q24" s="7">
        <f t="shared" si="10"/>
        <v>0.23</v>
      </c>
      <c r="R24" s="314" cm="1">
        <f t="array" ref="R24">numeng*InterpolateXY($D$6,$Q24,Tmil_h,Tmil_M,Tmil_table)</f>
        <v>1593.7814943819612</v>
      </c>
      <c r="S24" s="12" cm="1">
        <f t="array" ref="S24">numeng*InterpolateXY($D$6,$Q24,Tmax_h,Tmax_M,Tmax_table)</f>
        <v>2505.1551376482662</v>
      </c>
      <c r="T24" s="16" t="e">
        <f t="shared" si="11"/>
        <v>#VALUE!</v>
      </c>
      <c r="U24" s="55" t="e">
        <f t="shared" si="12"/>
        <v>#VALUE!</v>
      </c>
      <c r="V24" s="426" t="e">
        <f t="shared" si="13"/>
        <v>#VALUE!</v>
      </c>
    </row>
    <row r="25" spans="2:22">
      <c r="B25" s="120">
        <f t="shared" si="14"/>
        <v>30000</v>
      </c>
      <c r="C25" s="7">
        <v>0.24</v>
      </c>
      <c r="D25" s="7">
        <f t="shared" si="15"/>
        <v>238.7207192407902</v>
      </c>
      <c r="E25" s="11">
        <f t="shared" si="1"/>
        <v>2.3215132773270728</v>
      </c>
      <c r="F25" s="19" t="e">
        <f t="shared" si="5"/>
        <v>#VALUE!</v>
      </c>
      <c r="G25" s="16" t="e">
        <f t="shared" si="2"/>
        <v>#VALUE!</v>
      </c>
      <c r="H25" s="12">
        <f t="shared" si="3"/>
        <v>1503.9916768959497</v>
      </c>
      <c r="I25" s="12">
        <f t="shared" si="4"/>
        <v>1460.5335086525445</v>
      </c>
      <c r="J25" s="141" t="e">
        <f t="shared" si="6"/>
        <v>#VALUE!</v>
      </c>
      <c r="K25" s="267" t="e" cm="1">
        <f t="array" ref="K25">InterpolateXYZ(J25,C25,B25,FFnorm_PS,FFnorm_M,FFnorm_h,FFnorm_table)*numeng</f>
        <v>#VALUE!</v>
      </c>
      <c r="L25" s="11" t="e">
        <f t="shared" si="7"/>
        <v>#VALUE!</v>
      </c>
      <c r="M25" s="425" t="e" cm="1">
        <f t="array" ref="M25">($D$5/G25)*(C25*Linterp($D$6,atmos_h,atmos_vela)/L25)</f>
        <v>#VALUE!</v>
      </c>
      <c r="N25" s="55" t="e">
        <f t="shared" si="8"/>
        <v>#VALUE!</v>
      </c>
      <c r="O25" s="426" t="e">
        <f t="shared" si="9"/>
        <v>#VALUE!</v>
      </c>
      <c r="P25" s="12"/>
      <c r="Q25" s="7">
        <f t="shared" si="10"/>
        <v>0.24</v>
      </c>
      <c r="R25" s="314" cm="1">
        <f t="array" ref="R25">numeng*InterpolateXY($D$6,$Q25,Tmil_h,Tmil_M,Tmil_table)</f>
        <v>1601.2640366091066</v>
      </c>
      <c r="S25" s="12" cm="1">
        <f t="array" ref="S25">numeng*InterpolateXY($D$6,$Q25,Tmax_h,Tmax_M,Tmax_table)</f>
        <v>2524.6097474388439</v>
      </c>
      <c r="T25" s="16" t="e">
        <f t="shared" si="11"/>
        <v>#VALUE!</v>
      </c>
      <c r="U25" s="55" t="e">
        <f t="shared" si="12"/>
        <v>#VALUE!</v>
      </c>
      <c r="V25" s="426" t="e">
        <f t="shared" si="13"/>
        <v>#VALUE!</v>
      </c>
    </row>
    <row r="26" spans="2:22">
      <c r="B26" s="120">
        <f t="shared" si="14"/>
        <v>30000</v>
      </c>
      <c r="C26" s="7">
        <v>0.25</v>
      </c>
      <c r="D26" s="7">
        <f t="shared" si="15"/>
        <v>248.66741587582314</v>
      </c>
      <c r="E26" s="11">
        <f t="shared" si="1"/>
        <v>2.1395066363846298</v>
      </c>
      <c r="F26" s="19" t="e">
        <f t="shared" si="5"/>
        <v>#VALUE!</v>
      </c>
      <c r="G26" s="16" t="e">
        <f t="shared" si="2"/>
        <v>#VALUE!</v>
      </c>
      <c r="H26" s="12">
        <f t="shared" si="3"/>
        <v>1511.4742225521486</v>
      </c>
      <c r="I26" s="12">
        <f t="shared" si="4"/>
        <v>1467.7998445164876</v>
      </c>
      <c r="J26" s="141" t="e">
        <f t="shared" si="6"/>
        <v>#VALUE!</v>
      </c>
      <c r="K26" s="267" t="e" cm="1">
        <f t="array" ref="K26">InterpolateXYZ(J26,C26,B26,FFnorm_PS,FFnorm_M,FFnorm_h,FFnorm_table)*numeng</f>
        <v>#VALUE!</v>
      </c>
      <c r="L26" s="11" t="e">
        <f t="shared" si="7"/>
        <v>#VALUE!</v>
      </c>
      <c r="M26" s="425" t="e" cm="1">
        <f t="array" ref="M26">($D$5/G26)*(C26*Linterp($D$6,atmos_h,atmos_vela)/L26)</f>
        <v>#VALUE!</v>
      </c>
      <c r="N26" s="55" t="e">
        <f t="shared" si="8"/>
        <v>#VALUE!</v>
      </c>
      <c r="O26" s="426" t="e">
        <f t="shared" si="9"/>
        <v>#VALUE!</v>
      </c>
      <c r="P26" s="12"/>
      <c r="Q26" s="7">
        <f t="shared" si="10"/>
        <v>0.25</v>
      </c>
      <c r="R26" s="314" cm="1">
        <f t="array" ref="R26">numeng*InterpolateXY($D$6,$Q26,Tmil_h,Tmil_M,Tmil_table)</f>
        <v>1608.746578836252</v>
      </c>
      <c r="S26" s="12" cm="1">
        <f t="array" ref="S26">numeng*InterpolateXY($D$6,$Q26,Tmax_h,Tmax_M,Tmax_table)</f>
        <v>2544.0643572294221</v>
      </c>
      <c r="T26" s="16" t="e">
        <f t="shared" si="11"/>
        <v>#VALUE!</v>
      </c>
      <c r="U26" s="55" t="e">
        <f t="shared" si="12"/>
        <v>#VALUE!</v>
      </c>
      <c r="V26" s="426" t="e">
        <f t="shared" si="13"/>
        <v>#VALUE!</v>
      </c>
    </row>
    <row r="27" spans="2:22">
      <c r="B27" s="120">
        <f t="shared" si="14"/>
        <v>30000</v>
      </c>
      <c r="C27" s="7">
        <v>0.26</v>
      </c>
      <c r="D27" s="7">
        <f t="shared" si="15"/>
        <v>258.61411251085605</v>
      </c>
      <c r="E27" s="11">
        <f t="shared" si="1"/>
        <v>1.9780941534621204</v>
      </c>
      <c r="F27" s="19" t="e">
        <f t="shared" si="5"/>
        <v>#VALUE!</v>
      </c>
      <c r="G27" s="16" t="e">
        <f t="shared" si="2"/>
        <v>#VALUE!</v>
      </c>
      <c r="H27" s="12">
        <f t="shared" si="3"/>
        <v>1518.9567682083473</v>
      </c>
      <c r="I27" s="12">
        <f t="shared" si="4"/>
        <v>1475.0661803804305</v>
      </c>
      <c r="J27" s="141" t="e">
        <f t="shared" si="6"/>
        <v>#VALUE!</v>
      </c>
      <c r="K27" s="267" t="e" cm="1">
        <f t="array" ref="K27">InterpolateXYZ(J27,C27,B27,FFnorm_PS,FFnorm_M,FFnorm_h,FFnorm_table)*numeng</f>
        <v>#VALUE!</v>
      </c>
      <c r="L27" s="11" t="e">
        <f t="shared" si="7"/>
        <v>#VALUE!</v>
      </c>
      <c r="M27" s="425" t="e" cm="1">
        <f t="array" ref="M27">($D$5/G27)*(C27*Linterp($D$6,atmos_h,atmos_vela)/L27)</f>
        <v>#VALUE!</v>
      </c>
      <c r="N27" s="55" t="e">
        <f t="shared" si="8"/>
        <v>#VALUE!</v>
      </c>
      <c r="O27" s="426" t="e">
        <f t="shared" si="9"/>
        <v>#VALUE!</v>
      </c>
      <c r="P27" s="12"/>
      <c r="Q27" s="7">
        <f t="shared" si="10"/>
        <v>0.26</v>
      </c>
      <c r="R27" s="314" cm="1">
        <f t="array" ref="R27">numeng*InterpolateXY($D$6,$Q27,Tmil_h,Tmil_M,Tmil_table)</f>
        <v>1616.2291210633973</v>
      </c>
      <c r="S27" s="12" cm="1">
        <f t="array" ref="S27">numeng*InterpolateXY($D$6,$Q27,Tmax_h,Tmax_M,Tmax_table)</f>
        <v>2563.5189670199998</v>
      </c>
      <c r="T27" s="16" t="e">
        <f t="shared" si="11"/>
        <v>#VALUE!</v>
      </c>
      <c r="U27" s="55" t="e">
        <f t="shared" si="12"/>
        <v>#VALUE!</v>
      </c>
      <c r="V27" s="426" t="e">
        <f t="shared" si="13"/>
        <v>#VALUE!</v>
      </c>
    </row>
    <row r="28" spans="2:22">
      <c r="B28" s="120">
        <f t="shared" si="14"/>
        <v>30000</v>
      </c>
      <c r="C28" s="7">
        <v>0.27</v>
      </c>
      <c r="D28" s="7">
        <f t="shared" si="15"/>
        <v>268.56080914588898</v>
      </c>
      <c r="E28" s="11">
        <f t="shared" si="1"/>
        <v>1.8342820956658348</v>
      </c>
      <c r="F28" s="19" t="e">
        <f t="shared" si="5"/>
        <v>#VALUE!</v>
      </c>
      <c r="G28" s="16" t="e">
        <f t="shared" si="2"/>
        <v>#VALUE!</v>
      </c>
      <c r="H28" s="12">
        <f t="shared" si="3"/>
        <v>1526.439313864546</v>
      </c>
      <c r="I28" s="12">
        <f t="shared" si="4"/>
        <v>1482.3325162443734</v>
      </c>
      <c r="J28" s="141" t="e">
        <f t="shared" si="6"/>
        <v>#VALUE!</v>
      </c>
      <c r="K28" s="267" t="e" cm="1">
        <f t="array" ref="K28">InterpolateXYZ(J28,C28,B28,FFnorm_PS,FFnorm_M,FFnorm_h,FFnorm_table)*numeng</f>
        <v>#VALUE!</v>
      </c>
      <c r="L28" s="11" t="e">
        <f t="shared" si="7"/>
        <v>#VALUE!</v>
      </c>
      <c r="M28" s="425" t="e" cm="1">
        <f t="array" ref="M28">($D$5/G28)*(C28*Linterp($D$6,atmos_h,atmos_vela)/L28)</f>
        <v>#VALUE!</v>
      </c>
      <c r="N28" s="55" t="e">
        <f t="shared" si="8"/>
        <v>#VALUE!</v>
      </c>
      <c r="O28" s="426" t="e">
        <f t="shared" si="9"/>
        <v>#VALUE!</v>
      </c>
      <c r="P28" s="12"/>
      <c r="Q28" s="7">
        <f t="shared" si="10"/>
        <v>0.27</v>
      </c>
      <c r="R28" s="314" cm="1">
        <f t="array" ref="R28">numeng*InterpolateXY($D$6,$Q28,Tmil_h,Tmil_M,Tmil_table)</f>
        <v>1623.7116632905427</v>
      </c>
      <c r="S28" s="12" cm="1">
        <f t="array" ref="S28">numeng*InterpolateXY($D$6,$Q28,Tmax_h,Tmax_M,Tmax_table)</f>
        <v>2582.9735768105779</v>
      </c>
      <c r="T28" s="16" t="e">
        <f t="shared" si="11"/>
        <v>#VALUE!</v>
      </c>
      <c r="U28" s="55" t="e">
        <f t="shared" si="12"/>
        <v>#VALUE!</v>
      </c>
      <c r="V28" s="426" t="e">
        <f t="shared" si="13"/>
        <v>#VALUE!</v>
      </c>
    </row>
    <row r="29" spans="2:22">
      <c r="B29" s="120">
        <f t="shared" si="14"/>
        <v>30000</v>
      </c>
      <c r="C29" s="7">
        <v>0.28000000000000003</v>
      </c>
      <c r="D29" s="7">
        <f t="shared" si="15"/>
        <v>278.50750578092192</v>
      </c>
      <c r="E29" s="11">
        <f t="shared" si="1"/>
        <v>1.705601591505604</v>
      </c>
      <c r="F29" s="19" t="e">
        <f t="shared" si="5"/>
        <v>#VALUE!</v>
      </c>
      <c r="G29" s="16" t="e">
        <f t="shared" si="2"/>
        <v>#VALUE!</v>
      </c>
      <c r="H29" s="12">
        <f t="shared" si="3"/>
        <v>1533.9218595207449</v>
      </c>
      <c r="I29" s="12">
        <f t="shared" si="4"/>
        <v>1489.5988521083166</v>
      </c>
      <c r="J29" s="141" t="e">
        <f t="shared" si="6"/>
        <v>#VALUE!</v>
      </c>
      <c r="K29" s="267" t="e" cm="1">
        <f t="array" ref="K29">InterpolateXYZ(J29,C29,B29,FFnorm_PS,FFnorm_M,FFnorm_h,FFnorm_table)*numeng</f>
        <v>#VALUE!</v>
      </c>
      <c r="L29" s="11" t="e">
        <f t="shared" si="7"/>
        <v>#VALUE!</v>
      </c>
      <c r="M29" s="425" t="e" cm="1">
        <f t="array" ref="M29">($D$5/G29)*(C29*Linterp($D$6,atmos_h,atmos_vela)/L29)</f>
        <v>#VALUE!</v>
      </c>
      <c r="N29" s="55" t="e">
        <f t="shared" si="8"/>
        <v>#VALUE!</v>
      </c>
      <c r="O29" s="426" t="e">
        <f t="shared" si="9"/>
        <v>#VALUE!</v>
      </c>
      <c r="P29" s="12"/>
      <c r="Q29" s="7">
        <f t="shared" si="10"/>
        <v>0.28000000000000003</v>
      </c>
      <c r="R29" s="314" cm="1">
        <f t="array" ref="R29">numeng*InterpolateXY($D$6,$Q29,Tmil_h,Tmil_M,Tmil_table)</f>
        <v>1631.194205517688</v>
      </c>
      <c r="S29" s="12" cm="1">
        <f t="array" ref="S29">numeng*InterpolateXY($D$6,$Q29,Tmax_h,Tmax_M,Tmax_table)</f>
        <v>2602.4281866011556</v>
      </c>
      <c r="T29" s="16" t="e">
        <f t="shared" si="11"/>
        <v>#VALUE!</v>
      </c>
      <c r="U29" s="55" t="e">
        <f t="shared" si="12"/>
        <v>#VALUE!</v>
      </c>
      <c r="V29" s="426" t="e">
        <f t="shared" si="13"/>
        <v>#VALUE!</v>
      </c>
    </row>
    <row r="30" spans="2:22">
      <c r="B30" s="120">
        <f t="shared" si="14"/>
        <v>30000</v>
      </c>
      <c r="C30" s="7">
        <v>0.28999999999999998</v>
      </c>
      <c r="D30" s="7">
        <f t="shared" si="15"/>
        <v>288.4542024159548</v>
      </c>
      <c r="E30" s="11">
        <f t="shared" si="1"/>
        <v>1.5900019592632506</v>
      </c>
      <c r="F30" s="19" t="e">
        <f t="shared" si="5"/>
        <v>#VALUE!</v>
      </c>
      <c r="G30" s="16" t="e">
        <f t="shared" si="2"/>
        <v>#VALUE!</v>
      </c>
      <c r="H30" s="12">
        <f t="shared" si="3"/>
        <v>1541.4044051769436</v>
      </c>
      <c r="I30" s="12">
        <f t="shared" si="4"/>
        <v>1496.8651879722595</v>
      </c>
      <c r="J30" s="141" t="e">
        <f t="shared" si="6"/>
        <v>#VALUE!</v>
      </c>
      <c r="K30" s="267" t="e" cm="1">
        <f t="array" ref="K30">InterpolateXYZ(J30,C30,B30,FFnorm_PS,FFnorm_M,FFnorm_h,FFnorm_table)*numeng</f>
        <v>#VALUE!</v>
      </c>
      <c r="L30" s="11" t="e">
        <f t="shared" si="7"/>
        <v>#VALUE!</v>
      </c>
      <c r="M30" s="425" t="e" cm="1">
        <f t="array" ref="M30">($D$5/G30)*(C30*Linterp($D$6,atmos_h,atmos_vela)/L30)</f>
        <v>#VALUE!</v>
      </c>
      <c r="N30" s="55" t="e">
        <f t="shared" si="8"/>
        <v>#VALUE!</v>
      </c>
      <c r="O30" s="426" t="e">
        <f t="shared" si="9"/>
        <v>#VALUE!</v>
      </c>
      <c r="P30" s="12"/>
      <c r="Q30" s="7">
        <f t="shared" si="10"/>
        <v>0.28999999999999998</v>
      </c>
      <c r="R30" s="314" cm="1">
        <f t="array" ref="R30">numeng*InterpolateXY($D$6,$Q30,Tmil_h,Tmil_M,Tmil_table)</f>
        <v>1638.6767477448334</v>
      </c>
      <c r="S30" s="12" cm="1">
        <f t="array" ref="S30">numeng*InterpolateXY($D$6,$Q30,Tmax_h,Tmax_M,Tmax_table)</f>
        <v>2621.8827963917333</v>
      </c>
      <c r="T30" s="16" t="e">
        <f t="shared" si="11"/>
        <v>#VALUE!</v>
      </c>
      <c r="U30" s="55" t="e">
        <f t="shared" si="12"/>
        <v>#VALUE!</v>
      </c>
      <c r="V30" s="426" t="e">
        <f t="shared" si="13"/>
        <v>#VALUE!</v>
      </c>
    </row>
    <row r="31" spans="2:22">
      <c r="B31" s="120">
        <f t="shared" si="14"/>
        <v>30000</v>
      </c>
      <c r="C31" s="7">
        <v>0.3</v>
      </c>
      <c r="D31" s="7">
        <f t="shared" si="15"/>
        <v>298.40089905098773</v>
      </c>
      <c r="E31" s="11">
        <f t="shared" si="1"/>
        <v>1.4857684974893264</v>
      </c>
      <c r="F31" s="19" t="e">
        <f t="shared" si="5"/>
        <v>#VALUE!</v>
      </c>
      <c r="G31" s="16" t="e">
        <f t="shared" si="2"/>
        <v>#VALUE!</v>
      </c>
      <c r="H31" s="12">
        <f t="shared" si="3"/>
        <v>1548.8869508331422</v>
      </c>
      <c r="I31" s="12">
        <f t="shared" si="4"/>
        <v>1504.1315238362024</v>
      </c>
      <c r="J31" s="141" t="e">
        <f t="shared" si="6"/>
        <v>#VALUE!</v>
      </c>
      <c r="K31" s="267" t="e" cm="1">
        <f t="array" ref="K31">InterpolateXYZ(J31,C31,B31,FFnorm_PS,FFnorm_M,FFnorm_h,FFnorm_table)*numeng</f>
        <v>#VALUE!</v>
      </c>
      <c r="L31" s="11" t="e">
        <f t="shared" si="7"/>
        <v>#VALUE!</v>
      </c>
      <c r="M31" s="425" t="e" cm="1">
        <f t="array" ref="M31">($D$5/G31)*(C31*Linterp($D$6,atmos_h,atmos_vela)/L31)</f>
        <v>#VALUE!</v>
      </c>
      <c r="N31" s="55" t="e">
        <f t="shared" si="8"/>
        <v>#VALUE!</v>
      </c>
      <c r="O31" s="426" t="e">
        <f t="shared" si="9"/>
        <v>#VALUE!</v>
      </c>
      <c r="P31" s="12"/>
      <c r="Q31" s="7">
        <f t="shared" si="10"/>
        <v>0.3</v>
      </c>
      <c r="R31" s="314" cm="1">
        <f t="array" ref="R31">numeng*InterpolateXY($D$6,$Q31,Tmil_h,Tmil_M,Tmil_table)</f>
        <v>1646.1592899719788</v>
      </c>
      <c r="S31" s="12" cm="1">
        <f t="array" ref="S31">numeng*InterpolateXY($D$6,$Q31,Tmax_h,Tmax_M,Tmax_table)</f>
        <v>2641.3374061823115</v>
      </c>
      <c r="T31" s="16" t="e">
        <f t="shared" si="11"/>
        <v>#VALUE!</v>
      </c>
      <c r="U31" s="55" t="e">
        <f t="shared" si="12"/>
        <v>#VALUE!</v>
      </c>
      <c r="V31" s="426" t="e">
        <f t="shared" si="13"/>
        <v>#VALUE!</v>
      </c>
    </row>
    <row r="32" spans="2:22">
      <c r="B32" s="120">
        <f t="shared" si="14"/>
        <v>30000</v>
      </c>
      <c r="C32" s="7">
        <v>0.31</v>
      </c>
      <c r="D32" s="7">
        <f t="shared" si="15"/>
        <v>308.34759568602067</v>
      </c>
      <c r="E32" s="11">
        <f t="shared" si="1"/>
        <v>1.3914585304270486</v>
      </c>
      <c r="F32" s="19" t="e">
        <f t="shared" si="5"/>
        <v>#VALUE!</v>
      </c>
      <c r="G32" s="16" t="e">
        <f t="shared" si="2"/>
        <v>#VALUE!</v>
      </c>
      <c r="H32" s="12">
        <f t="shared" si="3"/>
        <v>1556.3694964893409</v>
      </c>
      <c r="I32" s="12">
        <f t="shared" si="4"/>
        <v>1511.3978597001453</v>
      </c>
      <c r="J32" s="141" t="e">
        <f t="shared" si="6"/>
        <v>#VALUE!</v>
      </c>
      <c r="K32" s="267" t="e" cm="1">
        <f t="array" ref="K32">InterpolateXYZ(J32,C32,B32,FFnorm_PS,FFnorm_M,FFnorm_h,FFnorm_table)*numeng</f>
        <v>#VALUE!</v>
      </c>
      <c r="L32" s="11" t="e">
        <f t="shared" si="7"/>
        <v>#VALUE!</v>
      </c>
      <c r="M32" s="425" t="e" cm="1">
        <f t="array" ref="M32">($D$5/G32)*(C32*Linterp($D$6,atmos_h,atmos_vela)/L32)</f>
        <v>#VALUE!</v>
      </c>
      <c r="N32" s="55" t="e">
        <f t="shared" si="8"/>
        <v>#VALUE!</v>
      </c>
      <c r="O32" s="426" t="e">
        <f t="shared" si="9"/>
        <v>#VALUE!</v>
      </c>
      <c r="P32" s="12"/>
      <c r="Q32" s="7">
        <f t="shared" si="10"/>
        <v>0.31</v>
      </c>
      <c r="R32" s="314" cm="1">
        <f t="array" ref="R32">numeng*InterpolateXY($D$6,$Q32,Tmil_h,Tmil_M,Tmil_table)</f>
        <v>1653.6418321991241</v>
      </c>
      <c r="S32" s="12" cm="1">
        <f t="array" ref="S32">numeng*InterpolateXY($D$6,$Q32,Tmax_h,Tmax_M,Tmax_table)</f>
        <v>2660.7920159728897</v>
      </c>
      <c r="T32" s="16" t="e">
        <f t="shared" si="11"/>
        <v>#VALUE!</v>
      </c>
      <c r="U32" s="55" t="e">
        <f t="shared" si="12"/>
        <v>#VALUE!</v>
      </c>
      <c r="V32" s="426" t="e">
        <f t="shared" si="13"/>
        <v>#VALUE!</v>
      </c>
    </row>
    <row r="33" spans="2:22">
      <c r="B33" s="120">
        <f t="shared" si="14"/>
        <v>30000</v>
      </c>
      <c r="C33" s="7">
        <v>0.32</v>
      </c>
      <c r="D33" s="7">
        <f t="shared" si="15"/>
        <v>318.2942923210536</v>
      </c>
      <c r="E33" s="11">
        <f t="shared" si="1"/>
        <v>1.3058512184964781</v>
      </c>
      <c r="F33" s="19" t="e">
        <f t="shared" si="5"/>
        <v>#VALUE!</v>
      </c>
      <c r="G33" s="16" t="e">
        <f t="shared" si="2"/>
        <v>#VALUE!</v>
      </c>
      <c r="H33" s="12">
        <f t="shared" si="3"/>
        <v>1563.8520421455398</v>
      </c>
      <c r="I33" s="12">
        <f t="shared" si="4"/>
        <v>1518.6641955640885</v>
      </c>
      <c r="J33" s="141" t="e">
        <f t="shared" si="6"/>
        <v>#VALUE!</v>
      </c>
      <c r="K33" s="267" t="e" cm="1">
        <f t="array" ref="K33">InterpolateXYZ(J33,C33,B33,FFnorm_PS,FFnorm_M,FFnorm_h,FFnorm_table)*numeng</f>
        <v>#VALUE!</v>
      </c>
      <c r="L33" s="11" t="e">
        <f t="shared" si="7"/>
        <v>#VALUE!</v>
      </c>
      <c r="M33" s="425" t="e" cm="1">
        <f t="array" ref="M33">($D$5/G33)*(C33*Linterp($D$6,atmos_h,atmos_vela)/L33)</f>
        <v>#VALUE!</v>
      </c>
      <c r="N33" s="55" t="e">
        <f t="shared" si="8"/>
        <v>#VALUE!</v>
      </c>
      <c r="O33" s="426" t="e">
        <f t="shared" si="9"/>
        <v>#VALUE!</v>
      </c>
      <c r="P33" s="12"/>
      <c r="Q33" s="7">
        <f t="shared" si="10"/>
        <v>0.32</v>
      </c>
      <c r="R33" s="314" cm="1">
        <f t="array" ref="R33">numeng*InterpolateXY($D$6,$Q33,Tmil_h,Tmil_M,Tmil_table)</f>
        <v>1661.1243744262695</v>
      </c>
      <c r="S33" s="12" cm="1">
        <f t="array" ref="S33">numeng*InterpolateXY($D$6,$Q33,Tmax_h,Tmax_M,Tmax_table)</f>
        <v>2680.2466257634674</v>
      </c>
      <c r="T33" s="16" t="e">
        <f t="shared" si="11"/>
        <v>#VALUE!</v>
      </c>
      <c r="U33" s="55" t="e">
        <f t="shared" si="12"/>
        <v>#VALUE!</v>
      </c>
      <c r="V33" s="426" t="e">
        <f t="shared" si="13"/>
        <v>#VALUE!</v>
      </c>
    </row>
    <row r="34" spans="2:22">
      <c r="B34" s="120">
        <f t="shared" si="14"/>
        <v>30000</v>
      </c>
      <c r="C34" s="7">
        <v>0.33</v>
      </c>
      <c r="D34" s="7">
        <f t="shared" si="15"/>
        <v>328.24098895608654</v>
      </c>
      <c r="E34" s="11">
        <f t="shared" si="1"/>
        <v>1.2279078491647322</v>
      </c>
      <c r="F34" s="19" t="e">
        <f t="shared" si="5"/>
        <v>#VALUE!</v>
      </c>
      <c r="G34" s="16" t="e">
        <f t="shared" si="2"/>
        <v>#VALUE!</v>
      </c>
      <c r="H34" s="12">
        <f t="shared" si="3"/>
        <v>1571.3345878017385</v>
      </c>
      <c r="I34" s="12">
        <f t="shared" si="4"/>
        <v>1525.9305314280314</v>
      </c>
      <c r="J34" s="141" t="e">
        <f t="shared" si="6"/>
        <v>#VALUE!</v>
      </c>
      <c r="K34" s="267" t="e" cm="1">
        <f t="array" ref="K34">InterpolateXYZ(J34,C34,B34,FFnorm_PS,FFnorm_M,FFnorm_h,FFnorm_table)*numeng</f>
        <v>#VALUE!</v>
      </c>
      <c r="L34" s="11" t="e">
        <f t="shared" si="7"/>
        <v>#VALUE!</v>
      </c>
      <c r="M34" s="425" t="e" cm="1">
        <f t="array" ref="M34">($D$5/G34)*(C34*Linterp($D$6,atmos_h,atmos_vela)/L34)</f>
        <v>#VALUE!</v>
      </c>
      <c r="N34" s="55" t="e">
        <f t="shared" si="8"/>
        <v>#VALUE!</v>
      </c>
      <c r="O34" s="426" t="e">
        <f t="shared" si="9"/>
        <v>#VALUE!</v>
      </c>
      <c r="P34" s="12"/>
      <c r="Q34" s="7">
        <f t="shared" si="10"/>
        <v>0.33</v>
      </c>
      <c r="R34" s="314" cm="1">
        <f t="array" ref="R34">numeng*InterpolateXY($D$6,$Q34,Tmil_h,Tmil_M,Tmil_table)</f>
        <v>1668.6069166534148</v>
      </c>
      <c r="S34" s="12" cm="1">
        <f t="array" ref="S34">numeng*InterpolateXY($D$6,$Q34,Tmax_h,Tmax_M,Tmax_table)</f>
        <v>2699.7012355540455</v>
      </c>
      <c r="T34" s="16" t="e">
        <f t="shared" si="11"/>
        <v>#VALUE!</v>
      </c>
      <c r="U34" s="55" t="e">
        <f t="shared" si="12"/>
        <v>#VALUE!</v>
      </c>
      <c r="V34" s="426" t="e">
        <f t="shared" si="13"/>
        <v>#VALUE!</v>
      </c>
    </row>
    <row r="35" spans="2:22">
      <c r="B35" s="120">
        <f t="shared" si="14"/>
        <v>30000</v>
      </c>
      <c r="C35" s="7">
        <v>0.34</v>
      </c>
      <c r="D35" s="7">
        <f t="shared" si="15"/>
        <v>338.18768559111948</v>
      </c>
      <c r="E35" s="11">
        <f t="shared" si="1"/>
        <v>1.1567401797062227</v>
      </c>
      <c r="F35" s="19" t="e">
        <f t="shared" si="5"/>
        <v>#VALUE!</v>
      </c>
      <c r="G35" s="16" t="e">
        <f t="shared" si="2"/>
        <v>#VALUE!</v>
      </c>
      <c r="H35" s="12">
        <f t="shared" si="3"/>
        <v>1578.8171334579372</v>
      </c>
      <c r="I35" s="12">
        <f t="shared" si="4"/>
        <v>1533.1968672919745</v>
      </c>
      <c r="J35" s="141" t="e">
        <f t="shared" si="6"/>
        <v>#VALUE!</v>
      </c>
      <c r="K35" s="267" t="e" cm="1">
        <f t="array" ref="K35">InterpolateXYZ(J35,C35,B35,FFnorm_PS,FFnorm_M,FFnorm_h,FFnorm_table)*numeng</f>
        <v>#VALUE!</v>
      </c>
      <c r="L35" s="11" t="e">
        <f t="shared" si="7"/>
        <v>#VALUE!</v>
      </c>
      <c r="M35" s="425" t="e" cm="1">
        <f t="array" ref="M35">($D$5/G35)*(C35*Linterp($D$6,atmos_h,atmos_vela)/L35)</f>
        <v>#VALUE!</v>
      </c>
      <c r="N35" s="55" t="e">
        <f t="shared" si="8"/>
        <v>#VALUE!</v>
      </c>
      <c r="O35" s="426" t="e">
        <f t="shared" si="9"/>
        <v>#VALUE!</v>
      </c>
      <c r="P35" s="12"/>
      <c r="Q35" s="7">
        <f t="shared" si="10"/>
        <v>0.34</v>
      </c>
      <c r="R35" s="314" cm="1">
        <f t="array" ref="R35">numeng*InterpolateXY($D$6,$Q35,Tmil_h,Tmil_M,Tmil_table)</f>
        <v>1676.0894588805602</v>
      </c>
      <c r="S35" s="12" cm="1">
        <f t="array" ref="S35">numeng*InterpolateXY($D$6,$Q35,Tmax_h,Tmax_M,Tmax_table)</f>
        <v>2719.1558453446232</v>
      </c>
      <c r="T35" s="16" t="e">
        <f t="shared" si="11"/>
        <v>#VALUE!</v>
      </c>
      <c r="U35" s="55" t="e">
        <f t="shared" si="12"/>
        <v>#VALUE!</v>
      </c>
      <c r="V35" s="426" t="e">
        <f t="shared" si="13"/>
        <v>#VALUE!</v>
      </c>
    </row>
    <row r="36" spans="2:22">
      <c r="B36" s="120">
        <f t="shared" si="14"/>
        <v>30000</v>
      </c>
      <c r="C36" s="7">
        <v>0.35</v>
      </c>
      <c r="D36" s="7">
        <f t="shared" si="15"/>
        <v>348.13438222615235</v>
      </c>
      <c r="E36" s="11">
        <f t="shared" si="1"/>
        <v>1.0915850185635869</v>
      </c>
      <c r="F36" s="19" t="e">
        <f t="shared" si="5"/>
        <v>#VALUE!</v>
      </c>
      <c r="G36" s="16" t="e">
        <f t="shared" si="2"/>
        <v>#VALUE!</v>
      </c>
      <c r="H36" s="12">
        <f t="shared" si="3"/>
        <v>1586.2996791141359</v>
      </c>
      <c r="I36" s="12">
        <f t="shared" si="4"/>
        <v>1540.4632031559174</v>
      </c>
      <c r="J36" s="141" t="e">
        <f t="shared" si="6"/>
        <v>#VALUE!</v>
      </c>
      <c r="K36" s="267" t="e" cm="1">
        <f t="array" ref="K36">InterpolateXYZ(J36,C36,B36,FFnorm_PS,FFnorm_M,FFnorm_h,FFnorm_table)*numeng</f>
        <v>#VALUE!</v>
      </c>
      <c r="L36" s="11" t="e">
        <f t="shared" si="7"/>
        <v>#VALUE!</v>
      </c>
      <c r="M36" s="425" t="e" cm="1">
        <f t="array" ref="M36">($D$5/G36)*(C36*Linterp($D$6,atmos_h,atmos_vela)/L36)</f>
        <v>#VALUE!</v>
      </c>
      <c r="N36" s="55" t="e">
        <f t="shared" si="8"/>
        <v>#VALUE!</v>
      </c>
      <c r="O36" s="426" t="e">
        <f t="shared" si="9"/>
        <v>#VALUE!</v>
      </c>
      <c r="P36" s="12"/>
      <c r="Q36" s="7">
        <f t="shared" si="10"/>
        <v>0.35</v>
      </c>
      <c r="R36" s="314" cm="1">
        <f t="array" ref="R36">numeng*InterpolateXY($D$6,$Q36,Tmil_h,Tmil_M,Tmil_table)</f>
        <v>1683.5720011077055</v>
      </c>
      <c r="S36" s="12" cm="1">
        <f t="array" ref="S36">numeng*InterpolateXY($D$6,$Q36,Tmax_h,Tmax_M,Tmax_table)</f>
        <v>2738.6104551352009</v>
      </c>
      <c r="T36" s="16" t="e">
        <f t="shared" si="11"/>
        <v>#VALUE!</v>
      </c>
      <c r="U36" s="55" t="e">
        <f t="shared" si="12"/>
        <v>#VALUE!</v>
      </c>
      <c r="V36" s="426" t="e">
        <f t="shared" si="13"/>
        <v>#VALUE!</v>
      </c>
    </row>
    <row r="37" spans="2:22">
      <c r="B37" s="120">
        <f t="shared" si="14"/>
        <v>30000</v>
      </c>
      <c r="C37" s="7">
        <v>0.36</v>
      </c>
      <c r="D37" s="7">
        <f t="shared" si="15"/>
        <v>358.08107886118529</v>
      </c>
      <c r="E37" s="11">
        <f t="shared" si="1"/>
        <v>1.0317836788120323</v>
      </c>
      <c r="F37" s="19" t="e">
        <f t="shared" si="5"/>
        <v>#VALUE!</v>
      </c>
      <c r="G37" s="16" t="e">
        <f t="shared" si="2"/>
        <v>#VALUE!</v>
      </c>
      <c r="H37" s="12">
        <f t="shared" si="3"/>
        <v>1593.7822247703348</v>
      </c>
      <c r="I37" s="12">
        <f t="shared" si="4"/>
        <v>1547.7295390198603</v>
      </c>
      <c r="J37" s="141" t="e">
        <f t="shared" si="6"/>
        <v>#VALUE!</v>
      </c>
      <c r="K37" s="267" t="e" cm="1">
        <f t="array" ref="K37">InterpolateXYZ(J37,C37,B37,FFnorm_PS,FFnorm_M,FFnorm_h,FFnorm_table)*numeng</f>
        <v>#VALUE!</v>
      </c>
      <c r="L37" s="11" t="e">
        <f t="shared" si="7"/>
        <v>#VALUE!</v>
      </c>
      <c r="M37" s="425" t="e" cm="1">
        <f t="array" ref="M37">($D$5/G37)*(C37*Linterp($D$6,atmos_h,atmos_vela)/L37)</f>
        <v>#VALUE!</v>
      </c>
      <c r="N37" s="55" t="e">
        <f t="shared" si="8"/>
        <v>#VALUE!</v>
      </c>
      <c r="O37" s="426" t="e">
        <f t="shared" si="9"/>
        <v>#VALUE!</v>
      </c>
      <c r="P37" s="12"/>
      <c r="Q37" s="7">
        <f t="shared" si="10"/>
        <v>0.36</v>
      </c>
      <c r="R37" s="314" cm="1">
        <f t="array" ref="R37">numeng*InterpolateXY($D$6,$Q37,Tmil_h,Tmil_M,Tmil_table)</f>
        <v>1691.0545433348509</v>
      </c>
      <c r="S37" s="12" cm="1">
        <f t="array" ref="S37">numeng*InterpolateXY($D$6,$Q37,Tmax_h,Tmax_M,Tmax_table)</f>
        <v>2758.0650649257791</v>
      </c>
      <c r="T37" s="16" t="e">
        <f t="shared" si="11"/>
        <v>#VALUE!</v>
      </c>
      <c r="U37" s="55" t="e">
        <f t="shared" si="12"/>
        <v>#VALUE!</v>
      </c>
      <c r="V37" s="426" t="e">
        <f t="shared" si="13"/>
        <v>#VALUE!</v>
      </c>
    </row>
    <row r="38" spans="2:22">
      <c r="B38" s="120">
        <f t="shared" si="14"/>
        <v>30000</v>
      </c>
      <c r="C38" s="7">
        <v>0.37</v>
      </c>
      <c r="D38" s="7">
        <f t="shared" si="15"/>
        <v>368.02777549621823</v>
      </c>
      <c r="E38" s="11">
        <f t="shared" si="1"/>
        <v>0.97676526496741689</v>
      </c>
      <c r="F38" s="19" t="e">
        <f t="shared" si="5"/>
        <v>#VALUE!</v>
      </c>
      <c r="G38" s="16" t="e">
        <f t="shared" si="2"/>
        <v>#VALUE!</v>
      </c>
      <c r="H38" s="12">
        <f t="shared" si="3"/>
        <v>1601.2647704265335</v>
      </c>
      <c r="I38" s="12">
        <f t="shared" si="4"/>
        <v>1554.9958748838035</v>
      </c>
      <c r="J38" s="141" t="e">
        <f t="shared" si="6"/>
        <v>#VALUE!</v>
      </c>
      <c r="K38" s="267" t="e" cm="1">
        <f t="array" ref="K38">InterpolateXYZ(J38,C38,B38,FFnorm_PS,FFnorm_M,FFnorm_h,FFnorm_table)*numeng</f>
        <v>#VALUE!</v>
      </c>
      <c r="L38" s="11" t="e">
        <f t="shared" si="7"/>
        <v>#VALUE!</v>
      </c>
      <c r="M38" s="425" t="e" cm="1">
        <f t="array" ref="M38">($D$5/G38)*(C38*Linterp($D$6,atmos_h,atmos_vela)/L38)</f>
        <v>#VALUE!</v>
      </c>
      <c r="N38" s="55" t="e">
        <f t="shared" si="8"/>
        <v>#VALUE!</v>
      </c>
      <c r="O38" s="426" t="e">
        <f t="shared" si="9"/>
        <v>#VALUE!</v>
      </c>
      <c r="P38" s="12"/>
      <c r="Q38" s="7">
        <f t="shared" si="10"/>
        <v>0.37</v>
      </c>
      <c r="R38" s="314" cm="1">
        <f t="array" ref="R38">numeng*InterpolateXY($D$6,$Q38,Tmil_h,Tmil_M,Tmil_table)</f>
        <v>1698.5370855619963</v>
      </c>
      <c r="S38" s="12" cm="1">
        <f t="array" ref="S38">numeng*InterpolateXY($D$6,$Q38,Tmax_h,Tmax_M,Tmax_table)</f>
        <v>2777.5196747163568</v>
      </c>
      <c r="T38" s="16" t="e">
        <f t="shared" si="11"/>
        <v>#VALUE!</v>
      </c>
      <c r="U38" s="55" t="e">
        <f t="shared" si="12"/>
        <v>#VALUE!</v>
      </c>
      <c r="V38" s="426" t="e">
        <f t="shared" si="13"/>
        <v>#VALUE!</v>
      </c>
    </row>
    <row r="39" spans="2:22">
      <c r="B39" s="120">
        <f t="shared" si="14"/>
        <v>30000</v>
      </c>
      <c r="C39" s="7">
        <v>0.38</v>
      </c>
      <c r="D39" s="7">
        <f t="shared" si="15"/>
        <v>377.97447213125116</v>
      </c>
      <c r="E39" s="11">
        <f t="shared" si="1"/>
        <v>0.92603299705013409</v>
      </c>
      <c r="F39" s="19" t="e">
        <f t="shared" si="5"/>
        <v>#VALUE!</v>
      </c>
      <c r="G39" s="16" t="e">
        <f t="shared" si="2"/>
        <v>#VALUE!</v>
      </c>
      <c r="H39" s="12">
        <f t="shared" si="3"/>
        <v>1608.7473160827321</v>
      </c>
      <c r="I39" s="12">
        <f t="shared" si="4"/>
        <v>1562.2622107477464</v>
      </c>
      <c r="J39" s="141" t="e">
        <f t="shared" si="6"/>
        <v>#VALUE!</v>
      </c>
      <c r="K39" s="267" t="e" cm="1">
        <f t="array" ref="K39">InterpolateXYZ(J39,C39,B39,FFnorm_PS,FFnorm_M,FFnorm_h,FFnorm_table)*numeng</f>
        <v>#VALUE!</v>
      </c>
      <c r="L39" s="11" t="e">
        <f t="shared" si="7"/>
        <v>#VALUE!</v>
      </c>
      <c r="M39" s="425" t="e" cm="1">
        <f t="array" ref="M39">($D$5/G39)*(C39*Linterp($D$6,atmos_h,atmos_vela)/L39)</f>
        <v>#VALUE!</v>
      </c>
      <c r="N39" s="55" t="e">
        <f t="shared" si="8"/>
        <v>#VALUE!</v>
      </c>
      <c r="O39" s="426" t="e">
        <f t="shared" si="9"/>
        <v>#VALUE!</v>
      </c>
      <c r="P39" s="12"/>
      <c r="Q39" s="7">
        <f t="shared" si="10"/>
        <v>0.38</v>
      </c>
      <c r="R39" s="314" cm="1">
        <f t="array" ref="R39">numeng*InterpolateXY($D$6,$Q39,Tmil_h,Tmil_M,Tmil_table)</f>
        <v>1706.0196277891416</v>
      </c>
      <c r="S39" s="12" cm="1">
        <f t="array" ref="S39">numeng*InterpolateXY($D$6,$Q39,Tmax_h,Tmax_M,Tmax_table)</f>
        <v>2796.974284506935</v>
      </c>
      <c r="T39" s="16" t="e">
        <f t="shared" si="11"/>
        <v>#VALUE!</v>
      </c>
      <c r="U39" s="55" t="e">
        <f t="shared" si="12"/>
        <v>#VALUE!</v>
      </c>
      <c r="V39" s="426" t="e">
        <f t="shared" si="13"/>
        <v>#VALUE!</v>
      </c>
    </row>
    <row r="40" spans="2:22">
      <c r="B40" s="120">
        <f t="shared" si="14"/>
        <v>30000</v>
      </c>
      <c r="C40" s="7">
        <v>0.39</v>
      </c>
      <c r="D40" s="7">
        <f t="shared" si="15"/>
        <v>387.9211687662841</v>
      </c>
      <c r="E40" s="11">
        <f t="shared" si="1"/>
        <v>0.87915295709427566</v>
      </c>
      <c r="F40" s="19" t="e">
        <f t="shared" si="5"/>
        <v>#VALUE!</v>
      </c>
      <c r="G40" s="16" t="e">
        <f t="shared" si="2"/>
        <v>#VALUE!</v>
      </c>
      <c r="H40" s="12">
        <f t="shared" si="3"/>
        <v>1616.229861738931</v>
      </c>
      <c r="I40" s="12">
        <f t="shared" si="4"/>
        <v>1569.5285466116895</v>
      </c>
      <c r="J40" s="141" t="e">
        <f t="shared" si="6"/>
        <v>#VALUE!</v>
      </c>
      <c r="K40" s="267" t="e" cm="1">
        <f t="array" ref="K40">InterpolateXYZ(J40,C40,B40,FFnorm_PS,FFnorm_M,FFnorm_h,FFnorm_table)*numeng</f>
        <v>#VALUE!</v>
      </c>
      <c r="L40" s="11" t="e">
        <f t="shared" si="7"/>
        <v>#VALUE!</v>
      </c>
      <c r="M40" s="425" t="e" cm="1">
        <f t="array" ref="M40">($D$5/G40)*(C40*Linterp($D$6,atmos_h,atmos_vela)/L40)</f>
        <v>#VALUE!</v>
      </c>
      <c r="N40" s="55" t="e">
        <f t="shared" si="8"/>
        <v>#VALUE!</v>
      </c>
      <c r="O40" s="426" t="e">
        <f t="shared" si="9"/>
        <v>#VALUE!</v>
      </c>
      <c r="P40" s="12"/>
      <c r="Q40" s="7">
        <f t="shared" si="10"/>
        <v>0.39</v>
      </c>
      <c r="R40" s="314" cm="1">
        <f t="array" ref="R40">numeng*InterpolateXY($D$6,$Q40,Tmil_h,Tmil_M,Tmil_table)</f>
        <v>1713.502170016287</v>
      </c>
      <c r="S40" s="12" cm="1">
        <f t="array" ref="S40">numeng*InterpolateXY($D$6,$Q40,Tmax_h,Tmax_M,Tmax_table)</f>
        <v>2816.4288942975127</v>
      </c>
      <c r="T40" s="16" t="e">
        <f t="shared" si="11"/>
        <v>#VALUE!</v>
      </c>
      <c r="U40" s="55" t="e">
        <f t="shared" si="12"/>
        <v>#VALUE!</v>
      </c>
      <c r="V40" s="426" t="e">
        <f t="shared" si="13"/>
        <v>#VALUE!</v>
      </c>
    </row>
    <row r="41" spans="2:22">
      <c r="B41" s="120">
        <f t="shared" si="14"/>
        <v>30000</v>
      </c>
      <c r="C41" s="7">
        <v>0.4</v>
      </c>
      <c r="D41" s="7">
        <f t="shared" si="15"/>
        <v>397.86786540131703</v>
      </c>
      <c r="E41" s="11">
        <f t="shared" si="1"/>
        <v>0.83574477983774575</v>
      </c>
      <c r="F41" s="19" t="e">
        <f t="shared" si="5"/>
        <v>#VALUE!</v>
      </c>
      <c r="G41" s="16" t="e">
        <f t="shared" si="2"/>
        <v>#VALUE!</v>
      </c>
      <c r="H41" s="12">
        <f t="shared" si="3"/>
        <v>1623.7124073951297</v>
      </c>
      <c r="I41" s="12">
        <f t="shared" si="4"/>
        <v>1576.7948824756324</v>
      </c>
      <c r="J41" s="141" t="e">
        <f t="shared" si="6"/>
        <v>#VALUE!</v>
      </c>
      <c r="K41" s="267" t="e" cm="1">
        <f t="array" ref="K41">InterpolateXYZ(J41,C41,B41,FFnorm_PS,FFnorm_M,FFnorm_h,FFnorm_table)*numeng</f>
        <v>#VALUE!</v>
      </c>
      <c r="L41" s="11" t="e">
        <f t="shared" si="7"/>
        <v>#VALUE!</v>
      </c>
      <c r="M41" s="425" t="e" cm="1">
        <f t="array" ref="M41">($D$5/G41)*(C41*Linterp($D$6,atmos_h,atmos_vela)/L41)</f>
        <v>#VALUE!</v>
      </c>
      <c r="N41" s="55" t="e">
        <f t="shared" si="8"/>
        <v>#VALUE!</v>
      </c>
      <c r="O41" s="426" t="e">
        <f t="shared" si="9"/>
        <v>#VALUE!</v>
      </c>
      <c r="P41" s="12"/>
      <c r="Q41" s="7">
        <f t="shared" si="10"/>
        <v>0.4</v>
      </c>
      <c r="R41" s="314" cm="1">
        <f t="array" ref="R41">numeng*InterpolateXY($D$6,$Q41,Tmil_h,Tmil_M,Tmil_table)</f>
        <v>1720.9847122434323</v>
      </c>
      <c r="S41" s="12" cm="1">
        <f t="array" ref="S41">numeng*InterpolateXY($D$6,$Q41,Tmax_h,Tmax_M,Tmax_table)</f>
        <v>2835.8835040880908</v>
      </c>
      <c r="T41" s="16" t="e">
        <f t="shared" si="11"/>
        <v>#VALUE!</v>
      </c>
      <c r="U41" s="55" t="e">
        <f t="shared" si="12"/>
        <v>#VALUE!</v>
      </c>
      <c r="V41" s="426" t="e">
        <f t="shared" si="13"/>
        <v>#VALUE!</v>
      </c>
    </row>
    <row r="42" spans="2:22">
      <c r="B42" s="120">
        <f t="shared" si="14"/>
        <v>30000</v>
      </c>
      <c r="C42" s="7">
        <v>0.41</v>
      </c>
      <c r="D42" s="7">
        <f t="shared" si="15"/>
        <v>407.81456203634991</v>
      </c>
      <c r="E42" s="11">
        <f t="shared" si="1"/>
        <v>0.79547391299250081</v>
      </c>
      <c r="F42" s="19">
        <f t="shared" si="5"/>
        <v>0.18873119006861366</v>
      </c>
      <c r="G42" s="16">
        <f t="shared" si="2"/>
        <v>2372.5629085512569</v>
      </c>
      <c r="H42" s="12">
        <f t="shared" si="3"/>
        <v>1631.1949530513284</v>
      </c>
      <c r="I42" s="12">
        <f t="shared" si="4"/>
        <v>1584.0612183395754</v>
      </c>
      <c r="J42" s="141">
        <f t="shared" si="6"/>
        <v>1.4544937771620239</v>
      </c>
      <c r="K42" s="267" t="e" cm="1">
        <f t="array" ref="K42">InterpolateXYZ(J42,C42,B42,FFnorm_PS,FFnorm_M,FFnorm_h,FFnorm_table)*numeng</f>
        <v>#VALUE!</v>
      </c>
      <c r="L42" s="11" t="e">
        <f t="shared" si="7"/>
        <v>#VALUE!</v>
      </c>
      <c r="M42" s="425" t="e" cm="1">
        <f t="array" ref="M42">($D$5/G42)*(C42*Linterp($D$6,atmos_h,atmos_vela)/L42)</f>
        <v>#VALUE!</v>
      </c>
      <c r="N42" s="55" t="e">
        <f t="shared" si="8"/>
        <v>#VALUE!</v>
      </c>
      <c r="O42" s="426" t="e">
        <f t="shared" si="9"/>
        <v>#VALUE!</v>
      </c>
      <c r="P42" s="12"/>
      <c r="Q42" s="7">
        <f t="shared" si="10"/>
        <v>0.41</v>
      </c>
      <c r="R42" s="314" cm="1">
        <f t="array" ref="R42">numeng*InterpolateXY($D$6,$Q42,Tmil_h,Tmil_M,Tmil_table)</f>
        <v>1728.4672544705777</v>
      </c>
      <c r="S42" s="12" cm="1">
        <f t="array" ref="S42">numeng*InterpolateXY($D$6,$Q42,Tmax_h,Tmax_M,Tmax_table)</f>
        <v>2855.3381138786685</v>
      </c>
      <c r="T42" s="16">
        <f t="shared" si="11"/>
        <v>2372.5629085512569</v>
      </c>
      <c r="U42" s="55">
        <f t="shared" si="12"/>
        <v>-644.0956540806792</v>
      </c>
      <c r="V42" s="426">
        <f t="shared" si="13"/>
        <v>482.77520532741164</v>
      </c>
    </row>
    <row r="43" spans="2:22">
      <c r="B43" s="120">
        <f t="shared" si="14"/>
        <v>30000</v>
      </c>
      <c r="C43" s="7">
        <v>0.42</v>
      </c>
      <c r="D43" s="7">
        <f t="shared" si="15"/>
        <v>417.76125867138285</v>
      </c>
      <c r="E43" s="11">
        <f t="shared" si="1"/>
        <v>0.75804515178026854</v>
      </c>
      <c r="F43" s="19">
        <f t="shared" si="5"/>
        <v>0.16685497914176267</v>
      </c>
      <c r="G43" s="16">
        <f t="shared" si="2"/>
        <v>2201.121908766303</v>
      </c>
      <c r="H43" s="12">
        <f t="shared" si="3"/>
        <v>1638.6774987075271</v>
      </c>
      <c r="I43" s="12">
        <f t="shared" ref="I43:I74" si="16">_xlfn.SINGLE(InterpolateXYZ($I$8,C43,B43,FFnorm_PS,FFnorm_M,FFnorm_h,FFnorm_table))*_xlfn.SINGLE(numeng)</f>
        <v>1591.3275542035183</v>
      </c>
      <c r="J43" s="141">
        <f t="shared" si="6"/>
        <v>1.3432306909092193</v>
      </c>
      <c r="K43" s="267" t="e" cm="1">
        <f t="array" ref="K43">InterpolateXYZ(J43,C43,B43,FFnorm_PS,FFnorm_M,FFnorm_h,FFnorm_table)*numeng</f>
        <v>#VALUE!</v>
      </c>
      <c r="L43" s="11" t="e">
        <f t="shared" si="7"/>
        <v>#VALUE!</v>
      </c>
      <c r="M43" s="425" t="e" cm="1">
        <f t="array" ref="M43">($D$5/G43)*(C43*Linterp($D$6,atmos_h,atmos_vela)/L43)</f>
        <v>#VALUE!</v>
      </c>
      <c r="N43" s="55" t="e">
        <f t="shared" si="8"/>
        <v>#VALUE!</v>
      </c>
      <c r="O43" s="426" t="e">
        <f t="shared" si="9"/>
        <v>#VALUE!</v>
      </c>
      <c r="P43" s="12"/>
      <c r="Q43" s="7">
        <f t="shared" si="10"/>
        <v>0.42</v>
      </c>
      <c r="R43" s="314" cm="1">
        <f t="array" ref="R43">numeng*InterpolateXY($D$6,$Q43,Tmil_h,Tmil_M,Tmil_table)</f>
        <v>1735.9497966977231</v>
      </c>
      <c r="S43" s="12" cm="1">
        <f t="array" ref="S43">numeng*InterpolateXY($D$6,$Q43,Tmax_h,Tmax_M,Tmax_table)</f>
        <v>2874.7927236692467</v>
      </c>
      <c r="T43" s="16">
        <f t="shared" si="11"/>
        <v>2201.121908766303</v>
      </c>
      <c r="U43" s="55">
        <f t="shared" si="12"/>
        <v>-465.17211206857996</v>
      </c>
      <c r="V43" s="426">
        <f t="shared" si="13"/>
        <v>673.67081490294368</v>
      </c>
    </row>
    <row r="44" spans="2:22">
      <c r="B44" s="120">
        <f t="shared" si="14"/>
        <v>30000</v>
      </c>
      <c r="C44" s="7">
        <v>0.43</v>
      </c>
      <c r="D44" s="7">
        <f t="shared" si="15"/>
        <v>427.70795530641578</v>
      </c>
      <c r="E44" s="11">
        <f t="shared" si="1"/>
        <v>0.72319721348858501</v>
      </c>
      <c r="F44" s="19">
        <f t="shared" si="5"/>
        <v>0.14648581809552411</v>
      </c>
      <c r="G44" s="16">
        <f t="shared" si="2"/>
        <v>2025.5307316368173</v>
      </c>
      <c r="H44" s="12">
        <f t="shared" si="3"/>
        <v>1646.160044363726</v>
      </c>
      <c r="I44" s="12">
        <f t="shared" si="16"/>
        <v>1598.5938900674614</v>
      </c>
      <c r="J44" s="141">
        <f t="shared" si="6"/>
        <v>1.2304579609813855</v>
      </c>
      <c r="K44" s="267" t="e" cm="1">
        <f t="array" ref="K44">InterpolateXYZ(J44,C44,B44,FFnorm_PS,FFnorm_M,FFnorm_h,FFnorm_table)*numeng</f>
        <v>#VALUE!</v>
      </c>
      <c r="L44" s="11" t="e">
        <f t="shared" si="7"/>
        <v>#VALUE!</v>
      </c>
      <c r="M44" s="425" t="e" cm="1">
        <f t="array" ref="M44">($D$5/G44)*(C44*Linterp($D$6,atmos_h,atmos_vela)/L44)</f>
        <v>#VALUE!</v>
      </c>
      <c r="N44" s="55" t="e">
        <f t="shared" si="8"/>
        <v>#VALUE!</v>
      </c>
      <c r="O44" s="426" t="e">
        <f t="shared" si="9"/>
        <v>#VALUE!</v>
      </c>
      <c r="P44" s="12"/>
      <c r="Q44" s="7">
        <f t="shared" si="10"/>
        <v>0.43</v>
      </c>
      <c r="R44" s="314" cm="1">
        <f t="array" ref="R44">numeng*InterpolateXY($D$6,$Q44,Tmil_h,Tmil_M,Tmil_table)</f>
        <v>1743.4323389248684</v>
      </c>
      <c r="S44" s="12" cm="1">
        <f t="array" ref="S44">numeng*InterpolateXY($D$6,$Q44,Tmax_h,Tmax_M,Tmax_table)</f>
        <v>2894.2473334598244</v>
      </c>
      <c r="T44" s="16">
        <f t="shared" si="11"/>
        <v>2025.5307316368173</v>
      </c>
      <c r="U44" s="55">
        <f t="shared" si="12"/>
        <v>-282.09839271194892</v>
      </c>
      <c r="V44" s="426">
        <f t="shared" si="13"/>
        <v>868.71660182300707</v>
      </c>
    </row>
    <row r="45" spans="2:22">
      <c r="B45" s="120">
        <f t="shared" si="14"/>
        <v>30000</v>
      </c>
      <c r="C45" s="7">
        <v>0.44</v>
      </c>
      <c r="D45" s="7">
        <f t="shared" si="15"/>
        <v>437.65465194144872</v>
      </c>
      <c r="E45" s="11">
        <f t="shared" si="1"/>
        <v>0.69069816515516202</v>
      </c>
      <c r="F45" s="19">
        <f t="shared" si="5"/>
        <v>0.12884579633796098</v>
      </c>
      <c r="G45" s="16">
        <f t="shared" si="2"/>
        <v>1865.4428640188496</v>
      </c>
      <c r="H45" s="12">
        <f t="shared" si="3"/>
        <v>1653.6425900199247</v>
      </c>
      <c r="I45" s="12">
        <f t="shared" si="16"/>
        <v>1605.8602259314043</v>
      </c>
      <c r="J45" s="141">
        <f t="shared" si="6"/>
        <v>1.1280810468218365</v>
      </c>
      <c r="K45" s="267" t="e" cm="1">
        <f t="array" ref="K45">InterpolateXYZ(J45,C45,B45,FFnorm_PS,FFnorm_M,FFnorm_h,FFnorm_table)*numeng</f>
        <v>#VALUE!</v>
      </c>
      <c r="L45" s="11" t="e">
        <f t="shared" si="7"/>
        <v>#VALUE!</v>
      </c>
      <c r="M45" s="425" t="e" cm="1">
        <f t="array" ref="M45">($D$5/G45)*(C45*Linterp($D$6,atmos_h,atmos_vela)/L45)</f>
        <v>#VALUE!</v>
      </c>
      <c r="N45" s="55" t="e">
        <f t="shared" si="8"/>
        <v>#VALUE!</v>
      </c>
      <c r="O45" s="426" t="e">
        <f t="shared" si="9"/>
        <v>#VALUE!</v>
      </c>
      <c r="P45" s="12"/>
      <c r="Q45" s="7">
        <f t="shared" si="10"/>
        <v>0.44</v>
      </c>
      <c r="R45" s="314" cm="1">
        <f t="array" ref="R45">numeng*InterpolateXY($D$6,$Q45,Tmil_h,Tmil_M,Tmil_table)</f>
        <v>1750.9148811520138</v>
      </c>
      <c r="S45" s="12" cm="1">
        <f t="array" ref="S45">numeng*InterpolateXY($D$6,$Q45,Tmax_h,Tmax_M,Tmax_table)</f>
        <v>2913.7019432504026</v>
      </c>
      <c r="T45" s="16">
        <f t="shared" si="11"/>
        <v>1865.4428640188496</v>
      </c>
      <c r="U45" s="55">
        <f t="shared" si="12"/>
        <v>-114.52798286683583</v>
      </c>
      <c r="V45" s="426">
        <f t="shared" si="13"/>
        <v>1048.259079231553</v>
      </c>
    </row>
    <row r="46" spans="2:22">
      <c r="B46" s="120">
        <f t="shared" si="14"/>
        <v>30000</v>
      </c>
      <c r="C46" s="7">
        <v>0.45</v>
      </c>
      <c r="D46" s="7">
        <f t="shared" si="15"/>
        <v>447.60134857648166</v>
      </c>
      <c r="E46" s="11">
        <f t="shared" si="1"/>
        <v>0.66034155443970044</v>
      </c>
      <c r="F46" s="19">
        <f t="shared" si="5"/>
        <v>0.1155296008445888</v>
      </c>
      <c r="G46" s="16">
        <f t="shared" si="2"/>
        <v>1749.5430973235602</v>
      </c>
      <c r="H46" s="12">
        <f t="shared" si="3"/>
        <v>1661.1251356761236</v>
      </c>
      <c r="I46" s="12">
        <f t="shared" si="16"/>
        <v>1613.1265617953472</v>
      </c>
      <c r="J46" s="141">
        <f t="shared" si="6"/>
        <v>1.0532277549405982</v>
      </c>
      <c r="K46" s="267" t="e" cm="1">
        <f t="array" ref="K46">InterpolateXYZ(J46,C46,B46,FFnorm_PS,FFnorm_M,FFnorm_h,FFnorm_table)*numeng</f>
        <v>#VALUE!</v>
      </c>
      <c r="L46" s="11" t="e">
        <f t="shared" si="7"/>
        <v>#VALUE!</v>
      </c>
      <c r="M46" s="425" t="e" cm="1">
        <f t="array" ref="M46">($D$5/G46)*(C46*Linterp($D$6,atmos_h,atmos_vela)/L46)</f>
        <v>#VALUE!</v>
      </c>
      <c r="N46" s="55" t="e">
        <f t="shared" si="8"/>
        <v>#VALUE!</v>
      </c>
      <c r="O46" s="426" t="e">
        <f t="shared" si="9"/>
        <v>#VALUE!</v>
      </c>
      <c r="P46" s="12"/>
      <c r="Q46" s="7">
        <f t="shared" si="10"/>
        <v>0.45</v>
      </c>
      <c r="R46" s="314" cm="1">
        <f t="array" ref="R46">numeng*InterpolateXY($D$6,$Q46,Tmil_h,Tmil_M,Tmil_table)</f>
        <v>1758.3974233791591</v>
      </c>
      <c r="S46" s="12" cm="1">
        <f t="array" ref="S46">numeng*InterpolateXY($D$6,$Q46,Tmax_h,Tmax_M,Tmax_table)</f>
        <v>2933.1565530409807</v>
      </c>
      <c r="T46" s="16">
        <f t="shared" si="11"/>
        <v>1749.5430973235602</v>
      </c>
      <c r="U46" s="55">
        <f t="shared" si="12"/>
        <v>8.8543260555989036</v>
      </c>
      <c r="V46" s="426">
        <f t="shared" si="13"/>
        <v>1183.6134557174205</v>
      </c>
    </row>
    <row r="47" spans="2:22">
      <c r="B47" s="120">
        <f t="shared" si="14"/>
        <v>30000</v>
      </c>
      <c r="C47" s="7">
        <v>0.46</v>
      </c>
      <c r="D47" s="7">
        <f t="shared" si="15"/>
        <v>457.54804521151459</v>
      </c>
      <c r="E47" s="11">
        <f t="shared" si="1"/>
        <v>0.63194312275065845</v>
      </c>
      <c r="F47" s="19">
        <f t="shared" si="5"/>
        <v>0.10307108776478839</v>
      </c>
      <c r="G47" s="16">
        <f t="shared" si="2"/>
        <v>1631.0184264075997</v>
      </c>
      <c r="H47" s="12">
        <f t="shared" si="3"/>
        <v>1668.6076813323223</v>
      </c>
      <c r="I47" s="12">
        <f t="shared" si="16"/>
        <v>1620.3928976592904</v>
      </c>
      <c r="J47" s="141">
        <f t="shared" si="6"/>
        <v>0.97747268255728692</v>
      </c>
      <c r="K47" s="267" cm="1">
        <f t="array" ref="K47">InterpolateXYZ(J47,C47,B47,FFnorm_PS,FFnorm_M,FFnorm_h,FFnorm_table)*numeng</f>
        <v>1583.8897924718019</v>
      </c>
      <c r="L47" s="11">
        <f t="shared" si="7"/>
        <v>0.97110478142199719</v>
      </c>
      <c r="M47" s="425" cm="1">
        <f t="array" ref="M47">($D$5/G47)*(C47*Linterp($D$6,atmos_h,atmos_vela)/L47)</f>
        <v>1710.4511122238787</v>
      </c>
      <c r="N47" s="55">
        <f t="shared" si="8"/>
        <v>6.3135705827070865</v>
      </c>
      <c r="O47" s="426">
        <f t="shared" si="9"/>
        <v>0.17104511122238786</v>
      </c>
      <c r="P47" s="12"/>
      <c r="Q47" s="7">
        <f t="shared" si="10"/>
        <v>0.46</v>
      </c>
      <c r="R47" s="314" cm="1">
        <f t="array" ref="R47">numeng*InterpolateXY($D$6,$Q47,Tmil_h,Tmil_M,Tmil_table)</f>
        <v>1765.8799656063045</v>
      </c>
      <c r="S47" s="12" cm="1">
        <f t="array" ref="S47">numeng*InterpolateXY($D$6,$Q47,Tmax_h,Tmax_M,Tmax_table)</f>
        <v>2952.6111628315584</v>
      </c>
      <c r="T47" s="16">
        <f t="shared" si="11"/>
        <v>1631.0184264075997</v>
      </c>
      <c r="U47" s="55">
        <f t="shared" si="12"/>
        <v>134.8615391987048</v>
      </c>
      <c r="V47" s="426">
        <f t="shared" si="13"/>
        <v>1321.5927364239587</v>
      </c>
    </row>
    <row r="48" spans="2:22">
      <c r="B48" s="120">
        <f t="shared" si="14"/>
        <v>30000</v>
      </c>
      <c r="C48" s="7">
        <v>0.47</v>
      </c>
      <c r="D48" s="7">
        <f t="shared" si="15"/>
        <v>467.49474184654747</v>
      </c>
      <c r="E48" s="11">
        <f t="shared" si="1"/>
        <v>0.60533800259863912</v>
      </c>
      <c r="F48" s="19">
        <f t="shared" si="5"/>
        <v>9.1398045138203945E-2</v>
      </c>
      <c r="G48" s="16">
        <f t="shared" si="2"/>
        <v>1509.8679538678184</v>
      </c>
      <c r="H48" s="12">
        <f t="shared" si="3"/>
        <v>1676.090226988521</v>
      </c>
      <c r="I48" s="12">
        <f t="shared" si="16"/>
        <v>1627.6592335232333</v>
      </c>
      <c r="J48" s="141">
        <f t="shared" si="6"/>
        <v>0.90082737167475835</v>
      </c>
      <c r="K48" s="267" cm="1">
        <f t="array" ref="K48">InterpolateXYZ(J48,C48,B48,FFnorm_PS,FFnorm_M,FFnorm_h,FFnorm_table)*numeng</f>
        <v>1466.2399893168858</v>
      </c>
      <c r="L48" s="11">
        <f t="shared" si="7"/>
        <v>0.97110478142199708</v>
      </c>
      <c r="M48" s="425" cm="1">
        <f t="array" ref="M48">($D$5/G48)*(C48*Linterp($D$6,atmos_h,atmos_vela)/L48)</f>
        <v>1887.863509130894</v>
      </c>
      <c r="N48" s="55">
        <f t="shared" si="8"/>
        <v>6.8201659161260171</v>
      </c>
      <c r="O48" s="426">
        <f t="shared" si="9"/>
        <v>0.1887863509130894</v>
      </c>
      <c r="P48" s="12"/>
      <c r="Q48" s="7">
        <f t="shared" si="10"/>
        <v>0.47</v>
      </c>
      <c r="R48" s="314" cm="1">
        <f t="array" ref="R48">numeng*InterpolateXY($D$6,$Q48,Tmil_h,Tmil_M,Tmil_table)</f>
        <v>1773.3625078334499</v>
      </c>
      <c r="S48" s="12" cm="1">
        <f t="array" ref="S48">numeng*InterpolateXY($D$6,$Q48,Tmax_h,Tmax_M,Tmax_table)</f>
        <v>2972.0657726221361</v>
      </c>
      <c r="T48" s="16">
        <f t="shared" si="11"/>
        <v>1509.8679538678184</v>
      </c>
      <c r="U48" s="55">
        <f t="shared" si="12"/>
        <v>263.49455396563144</v>
      </c>
      <c r="V48" s="426">
        <f t="shared" si="13"/>
        <v>1462.1978187543177</v>
      </c>
    </row>
    <row r="49" spans="2:22">
      <c r="B49" s="120">
        <f t="shared" si="14"/>
        <v>30000</v>
      </c>
      <c r="C49" s="7">
        <v>0.48</v>
      </c>
      <c r="D49" s="7">
        <f t="shared" si="15"/>
        <v>477.44143848158041</v>
      </c>
      <c r="E49" s="11">
        <f t="shared" si="1"/>
        <v>0.5803783193317682</v>
      </c>
      <c r="F49" s="19">
        <f t="shared" si="5"/>
        <v>8.289841395084345E-2</v>
      </c>
      <c r="G49" s="16">
        <f t="shared" si="2"/>
        <v>1428.3513217084062</v>
      </c>
      <c r="H49" s="12">
        <f t="shared" si="3"/>
        <v>1683.5727726447196</v>
      </c>
      <c r="I49" s="12">
        <f t="shared" si="16"/>
        <v>1634.9255693871762</v>
      </c>
      <c r="J49" s="141">
        <f t="shared" si="6"/>
        <v>0.84840485954439215</v>
      </c>
      <c r="K49" s="267" cm="1">
        <f t="array" ref="K49">InterpolateXYZ(J49,C49,B49,FFnorm_PS,FFnorm_M,FFnorm_h,FFnorm_table)*numeng</f>
        <v>1387.0787980614625</v>
      </c>
      <c r="L49" s="11">
        <f t="shared" si="7"/>
        <v>0.97110478142199719</v>
      </c>
      <c r="M49" s="425" cm="1">
        <f t="array" ref="M49">($D$5/G49)*(C49*Linterp($D$6,atmos_h,atmos_vela)/L49)</f>
        <v>2038.0643765134785</v>
      </c>
      <c r="N49" s="55">
        <f t="shared" si="8"/>
        <v>7.2093957560130573</v>
      </c>
      <c r="O49" s="426">
        <f t="shared" si="9"/>
        <v>0.20380643765134784</v>
      </c>
      <c r="P49" s="12"/>
      <c r="Q49" s="7">
        <f t="shared" si="10"/>
        <v>0.48</v>
      </c>
      <c r="R49" s="314" cm="1">
        <f t="array" ref="R49">numeng*InterpolateXY($D$6,$Q49,Tmil_h,Tmil_M,Tmil_table)</f>
        <v>1780.8450500605952</v>
      </c>
      <c r="S49" s="12" cm="1">
        <f t="array" ref="S49">numeng*InterpolateXY($D$6,$Q49,Tmax_h,Tmax_M,Tmax_table)</f>
        <v>2991.5203824127143</v>
      </c>
      <c r="T49" s="16">
        <f t="shared" si="11"/>
        <v>1428.3513217084062</v>
      </c>
      <c r="U49" s="55">
        <f t="shared" si="12"/>
        <v>352.49372835218901</v>
      </c>
      <c r="V49" s="426">
        <f t="shared" si="13"/>
        <v>1563.1690607043081</v>
      </c>
    </row>
    <row r="50" spans="2:22">
      <c r="B50" s="120">
        <f t="shared" si="14"/>
        <v>30000</v>
      </c>
      <c r="C50" s="7">
        <v>0.49</v>
      </c>
      <c r="D50" s="7">
        <f t="shared" si="15"/>
        <v>487.38813511661334</v>
      </c>
      <c r="E50" s="11">
        <f t="shared" si="1"/>
        <v>0.55693113192019728</v>
      </c>
      <c r="F50" s="19">
        <f t="shared" si="5"/>
        <v>7.553944429102176E-2</v>
      </c>
      <c r="G50" s="16">
        <f t="shared" si="2"/>
        <v>1356.3516198237201</v>
      </c>
      <c r="H50" s="12">
        <f t="shared" si="3"/>
        <v>1691.0553183009185</v>
      </c>
      <c r="I50" s="12">
        <f t="shared" si="16"/>
        <v>1642.1919052511194</v>
      </c>
      <c r="J50" s="141">
        <f t="shared" si="6"/>
        <v>0.80207406886399746</v>
      </c>
      <c r="K50" s="267" cm="1">
        <f t="array" ref="K50">InterpolateXYZ(J50,C50,B50,FFnorm_PS,FFnorm_M,FFnorm_h,FFnorm_table)*numeng</f>
        <v>1317.1595433002853</v>
      </c>
      <c r="L50" s="11">
        <f t="shared" si="7"/>
        <v>0.97110478142199708</v>
      </c>
      <c r="M50" s="425" cm="1">
        <f t="array" ref="M50">($D$5/G50)*(C50*Linterp($D$6,atmos_h,atmos_vela)/L50)</f>
        <v>2190.9652590769438</v>
      </c>
      <c r="N50" s="55">
        <f t="shared" si="8"/>
        <v>7.5920947093044777</v>
      </c>
      <c r="O50" s="426">
        <f t="shared" si="9"/>
        <v>0.21909652590769438</v>
      </c>
      <c r="P50" s="12"/>
      <c r="Q50" s="7">
        <f t="shared" si="10"/>
        <v>0.49</v>
      </c>
      <c r="R50" s="314" cm="1">
        <f t="array" ref="R50">numeng*InterpolateXY($D$6,$Q50,Tmil_h,Tmil_M,Tmil_table)</f>
        <v>1788.3275922877406</v>
      </c>
      <c r="S50" s="12" cm="1">
        <f t="array" ref="S50">numeng*InterpolateXY($D$6,$Q50,Tmax_h,Tmax_M,Tmax_table)</f>
        <v>3010.974992203292</v>
      </c>
      <c r="T50" s="16">
        <f t="shared" si="11"/>
        <v>1356.3516198237201</v>
      </c>
      <c r="U50" s="55">
        <f t="shared" si="12"/>
        <v>431.97597246402051</v>
      </c>
      <c r="V50" s="426">
        <f t="shared" si="13"/>
        <v>1654.6233723795719</v>
      </c>
    </row>
    <row r="51" spans="2:22">
      <c r="B51" s="120">
        <f t="shared" si="14"/>
        <v>30000</v>
      </c>
      <c r="C51" s="7">
        <v>0.5</v>
      </c>
      <c r="D51" s="7">
        <f t="shared" si="15"/>
        <v>497.33483175164628</v>
      </c>
      <c r="E51" s="11">
        <f t="shared" si="1"/>
        <v>0.53487665909615745</v>
      </c>
      <c r="F51" s="19">
        <f t="shared" si="5"/>
        <v>6.8616394297097288E-2</v>
      </c>
      <c r="G51" s="16">
        <f t="shared" si="2"/>
        <v>1282.8451780462115</v>
      </c>
      <c r="H51" s="12">
        <f t="shared" si="3"/>
        <v>1698.5378639571172</v>
      </c>
      <c r="I51" s="12">
        <f t="shared" si="16"/>
        <v>1649.4582411150623</v>
      </c>
      <c r="J51" s="141">
        <f t="shared" si="6"/>
        <v>0.75526439843827897</v>
      </c>
      <c r="K51" s="267" cm="1">
        <f t="array" ref="K51">InterpolateXYZ(J51,C51,B51,FFnorm_PS,FFnorm_M,FFnorm_h,FFnorm_table)*numeng</f>
        <v>1245.7770862248292</v>
      </c>
      <c r="L51" s="11">
        <f t="shared" si="7"/>
        <v>0.97110478142199719</v>
      </c>
      <c r="M51" s="425" cm="1">
        <f t="array" ref="M51">($D$5/G51)*(C51*Linterp($D$6,atmos_h,atmos_vela)/L51)</f>
        <v>2363.7822102208024</v>
      </c>
      <c r="N51" s="55">
        <f t="shared" si="8"/>
        <v>8.0271182626289441</v>
      </c>
      <c r="O51" s="426">
        <f t="shared" si="9"/>
        <v>0.23637822102208025</v>
      </c>
      <c r="P51" s="12"/>
      <c r="Q51" s="7">
        <f t="shared" si="10"/>
        <v>0.5</v>
      </c>
      <c r="R51" s="314" cm="1">
        <f t="array" ref="R51">numeng*InterpolateXY($D$6,$Q51,Tmil_h,Tmil_M,Tmil_table)</f>
        <v>1795.8101345148859</v>
      </c>
      <c r="S51" s="12" cm="1">
        <f t="array" ref="S51">numeng*InterpolateXY($D$6,$Q51,Tmax_h,Tmax_M,Tmax_table)</f>
        <v>3030.4296019938702</v>
      </c>
      <c r="T51" s="16">
        <f t="shared" si="11"/>
        <v>1282.8451780462115</v>
      </c>
      <c r="U51" s="55">
        <f t="shared" si="12"/>
        <v>512.96495646867447</v>
      </c>
      <c r="V51" s="426">
        <f t="shared" si="13"/>
        <v>1747.5844239476587</v>
      </c>
    </row>
    <row r="52" spans="2:22">
      <c r="B52" s="120">
        <f t="shared" si="14"/>
        <v>30000</v>
      </c>
      <c r="C52" s="7">
        <v>0.51</v>
      </c>
      <c r="D52" s="7">
        <f t="shared" si="15"/>
        <v>507.28152838667921</v>
      </c>
      <c r="E52" s="11">
        <f t="shared" si="1"/>
        <v>0.514106746536099</v>
      </c>
      <c r="F52" s="19">
        <f t="shared" si="5"/>
        <v>6.2095411665798989E-2</v>
      </c>
      <c r="G52" s="16">
        <f t="shared" si="2"/>
        <v>1207.8310989727274</v>
      </c>
      <c r="H52" s="12">
        <f t="shared" si="3"/>
        <v>1706.0204096133159</v>
      </c>
      <c r="I52" s="12">
        <f t="shared" si="16"/>
        <v>1656.7245769790054</v>
      </c>
      <c r="J52" s="141">
        <f t="shared" si="6"/>
        <v>0.70798162329517067</v>
      </c>
      <c r="K52" s="267" cm="1">
        <f t="array" ref="K52">InterpolateXYZ(J52,C52,B52,FFnorm_PS,FFnorm_M,FFnorm_h,FFnorm_table)*numeng</f>
        <v>1172.9305553626009</v>
      </c>
      <c r="L52" s="11">
        <f t="shared" si="7"/>
        <v>0.97110478142199697</v>
      </c>
      <c r="M52" s="425" cm="1">
        <f t="array" ref="M52">($D$5/G52)*(C52*Linterp($D$6,atmos_h,atmos_vela)/L52)</f>
        <v>2560.8000532280353</v>
      </c>
      <c r="N52" s="55">
        <f t="shared" si="8"/>
        <v>8.5256539309001038</v>
      </c>
      <c r="O52" s="426">
        <f t="shared" si="9"/>
        <v>0.25608000532280351</v>
      </c>
      <c r="P52" s="12"/>
      <c r="Q52" s="7">
        <f t="shared" si="10"/>
        <v>0.51</v>
      </c>
      <c r="R52" s="314" cm="1">
        <f t="array" ref="R52">numeng*InterpolateXY($D$6,$Q52,Tmil_h,Tmil_M,Tmil_table)</f>
        <v>1803.2926767420313</v>
      </c>
      <c r="S52" s="12" cm="1">
        <f t="array" ref="S52">numeng*InterpolateXY($D$6,$Q52,Tmax_h,Tmax_M,Tmax_table)</f>
        <v>3049.8842117844479</v>
      </c>
      <c r="T52" s="16">
        <f t="shared" si="11"/>
        <v>1207.8310989727274</v>
      </c>
      <c r="U52" s="55">
        <f t="shared" si="12"/>
        <v>595.46157776930386</v>
      </c>
      <c r="V52" s="426">
        <f t="shared" si="13"/>
        <v>1842.0531128117204</v>
      </c>
    </row>
    <row r="53" spans="2:22">
      <c r="B53" s="120">
        <f t="shared" si="14"/>
        <v>30000</v>
      </c>
      <c r="C53" s="7">
        <v>0.52</v>
      </c>
      <c r="D53" s="7">
        <f t="shared" si="15"/>
        <v>517.22822502171209</v>
      </c>
      <c r="E53" s="11">
        <f t="shared" si="1"/>
        <v>0.49452353836553009</v>
      </c>
      <c r="F53" s="19">
        <f t="shared" si="5"/>
        <v>5.655923121147155E-2</v>
      </c>
      <c r="G53" s="16">
        <f t="shared" si="2"/>
        <v>1143.7116097326279</v>
      </c>
      <c r="H53" s="12">
        <f t="shared" si="3"/>
        <v>1713.5029552695148</v>
      </c>
      <c r="I53" s="12">
        <f t="shared" si="16"/>
        <v>1663.9909128429483</v>
      </c>
      <c r="J53" s="141">
        <f t="shared" si="6"/>
        <v>0.66746987871563657</v>
      </c>
      <c r="K53" s="267" cm="1">
        <f t="array" ref="K53">InterpolateXYZ(J53,C53,B53,FFnorm_PS,FFnorm_M,FFnorm_h,FFnorm_table)*numeng</f>
        <v>1110.6638127792041</v>
      </c>
      <c r="L53" s="11">
        <f t="shared" si="7"/>
        <v>0.97110478142199708</v>
      </c>
      <c r="M53" s="425" cm="1">
        <f t="array" ref="M53">($D$5/G53)*(C53*Linterp($D$6,atmos_h,atmos_vela)/L53)</f>
        <v>2757.3920277715374</v>
      </c>
      <c r="N53" s="55">
        <f t="shared" si="8"/>
        <v>9.0036245756284163</v>
      </c>
      <c r="O53" s="426">
        <f t="shared" si="9"/>
        <v>0.27573920277715375</v>
      </c>
      <c r="P53" s="12"/>
      <c r="Q53" s="7">
        <f t="shared" si="10"/>
        <v>0.52</v>
      </c>
      <c r="R53" s="314" cm="1">
        <f t="array" ref="R53">numeng*InterpolateXY($D$6,$Q53,Tmil_h,Tmil_M,Tmil_table)</f>
        <v>1810.7752189691766</v>
      </c>
      <c r="S53" s="12" cm="1">
        <f t="array" ref="S53">numeng*InterpolateXY($D$6,$Q53,Tmax_h,Tmax_M,Tmax_table)</f>
        <v>3069.338821575026</v>
      </c>
      <c r="T53" s="16">
        <f t="shared" si="11"/>
        <v>1143.7116097326279</v>
      </c>
      <c r="U53" s="55">
        <f t="shared" si="12"/>
        <v>667.0636092365487</v>
      </c>
      <c r="V53" s="426">
        <f t="shared" si="13"/>
        <v>1925.6272118423981</v>
      </c>
    </row>
    <row r="54" spans="2:22">
      <c r="B54" s="120">
        <f t="shared" si="14"/>
        <v>30000</v>
      </c>
      <c r="C54" s="7">
        <v>0.53</v>
      </c>
      <c r="D54" s="7">
        <f t="shared" si="15"/>
        <v>527.17492165674503</v>
      </c>
      <c r="E54" s="11">
        <f t="shared" si="1"/>
        <v>0.47603832244229033</v>
      </c>
      <c r="F54" s="19">
        <f t="shared" si="5"/>
        <v>5.2823702810900361E-2</v>
      </c>
      <c r="G54" s="16">
        <f t="shared" si="2"/>
        <v>1109.6523183236814</v>
      </c>
      <c r="H54" s="12">
        <f t="shared" si="3"/>
        <v>1720.9855009257135</v>
      </c>
      <c r="I54" s="12">
        <f t="shared" si="16"/>
        <v>1671.2572487068915</v>
      </c>
      <c r="J54" s="141">
        <f t="shared" si="6"/>
        <v>0.64477726147419745</v>
      </c>
      <c r="K54" s="267" cm="1">
        <f t="array" ref="K54">InterpolateXYZ(J54,C54,B54,FFnorm_PS,FFnorm_M,FFnorm_h,FFnorm_table)*numeng</f>
        <v>1077.5886720401311</v>
      </c>
      <c r="L54" s="11">
        <f t="shared" si="7"/>
        <v>0.97110478142199719</v>
      </c>
      <c r="M54" s="425" cm="1">
        <f t="array" ref="M54">($D$5/G54)*(C54*Linterp($D$6,atmos_h,atmos_vela)/L54)</f>
        <v>2896.6808376599647</v>
      </c>
      <c r="N54" s="55">
        <f t="shared" si="8"/>
        <v>9.2799787706264851</v>
      </c>
      <c r="O54" s="426">
        <f t="shared" si="9"/>
        <v>0.28966808376599645</v>
      </c>
      <c r="P54" s="12"/>
      <c r="Q54" s="7">
        <f t="shared" si="10"/>
        <v>0.53</v>
      </c>
      <c r="R54" s="314" cm="1">
        <f t="array" ref="R54">numeng*InterpolateXY($D$6,$Q54,Tmil_h,Tmil_M,Tmil_table)</f>
        <v>1818.257761196322</v>
      </c>
      <c r="S54" s="12" cm="1">
        <f t="array" ref="S54">numeng*InterpolateXY($D$6,$Q54,Tmax_h,Tmax_M,Tmax_table)</f>
        <v>3088.7934313656037</v>
      </c>
      <c r="T54" s="16">
        <f t="shared" si="11"/>
        <v>1109.6523183236814</v>
      </c>
      <c r="U54" s="55">
        <f t="shared" si="12"/>
        <v>708.60544287264065</v>
      </c>
      <c r="V54" s="426">
        <f t="shared" si="13"/>
        <v>1979.1411130419224</v>
      </c>
    </row>
    <row r="55" spans="2:22">
      <c r="B55" s="120">
        <f t="shared" si="14"/>
        <v>30000</v>
      </c>
      <c r="C55" s="7">
        <v>0.54</v>
      </c>
      <c r="D55" s="7">
        <f t="shared" si="15"/>
        <v>537.12161829177796</v>
      </c>
      <c r="E55" s="11">
        <f t="shared" si="1"/>
        <v>0.45857052391645869</v>
      </c>
      <c r="F55" s="19">
        <f t="shared" si="5"/>
        <v>4.9292675307208197E-2</v>
      </c>
      <c r="G55" s="16">
        <f t="shared" si="2"/>
        <v>1074.9202736848438</v>
      </c>
      <c r="H55" s="12">
        <f t="shared" si="3"/>
        <v>1728.4680465819124</v>
      </c>
      <c r="I55" s="12">
        <f t="shared" si="16"/>
        <v>1678.5235845708344</v>
      </c>
      <c r="J55" s="141">
        <f t="shared" si="6"/>
        <v>0.62189189774756015</v>
      </c>
      <c r="K55" s="267" cm="1">
        <f t="array" ref="K55">InterpolateXYZ(J55,C55,B55,FFnorm_PS,FFnorm_M,FFnorm_h,FFnorm_table)*numeng</f>
        <v>1043.8602174227935</v>
      </c>
      <c r="L55" s="11">
        <f t="shared" si="7"/>
        <v>0.97110478142199708</v>
      </c>
      <c r="M55" s="425" cm="1">
        <f t="array" ref="M55">($D$5/G55)*(C55*Linterp($D$6,atmos_h,atmos_vela)/L55)</f>
        <v>3046.6965963282341</v>
      </c>
      <c r="N55" s="55">
        <f t="shared" si="8"/>
        <v>9.5798267173062612</v>
      </c>
      <c r="O55" s="426">
        <f t="shared" si="9"/>
        <v>0.30466965963282339</v>
      </c>
      <c r="P55" s="12"/>
      <c r="Q55" s="7">
        <f t="shared" si="10"/>
        <v>0.54</v>
      </c>
      <c r="R55" s="314" cm="1">
        <f t="array" ref="R55">numeng*InterpolateXY($D$6,$Q55,Tmil_h,Tmil_M,Tmil_table)</f>
        <v>1825.7403034234674</v>
      </c>
      <c r="S55" s="12" cm="1">
        <f t="array" ref="S55">numeng*InterpolateXY($D$6,$Q55,Tmax_h,Tmax_M,Tmax_table)</f>
        <v>3108.2480411561819</v>
      </c>
      <c r="T55" s="16">
        <f t="shared" si="11"/>
        <v>1074.9202736848438</v>
      </c>
      <c r="U55" s="55">
        <f t="shared" si="12"/>
        <v>750.82002973862359</v>
      </c>
      <c r="V55" s="426">
        <f t="shared" si="13"/>
        <v>2033.3277674713381</v>
      </c>
    </row>
    <row r="56" spans="2:22">
      <c r="B56" s="120">
        <f t="shared" si="14"/>
        <v>30000</v>
      </c>
      <c r="C56" s="7">
        <v>0.55000000000000004</v>
      </c>
      <c r="D56" s="7">
        <f t="shared" si="15"/>
        <v>547.0683149268109</v>
      </c>
      <c r="E56" s="11">
        <f t="shared" si="1"/>
        <v>0.44204682569930354</v>
      </c>
      <c r="F56" s="19">
        <f t="shared" si="5"/>
        <v>4.5951411965560005E-2</v>
      </c>
      <c r="G56" s="16">
        <f t="shared" si="2"/>
        <v>1039.5145784129627</v>
      </c>
      <c r="H56" s="12">
        <f t="shared" si="3"/>
        <v>1735.9505922381111</v>
      </c>
      <c r="I56" s="12">
        <f t="shared" si="16"/>
        <v>1685.7899204347775</v>
      </c>
      <c r="J56" s="141">
        <f t="shared" si="6"/>
        <v>0.59881576299515904</v>
      </c>
      <c r="K56" s="267" cm="1">
        <f t="array" ref="K56">InterpolateXYZ(J56,C56,B56,FFnorm_PS,FFnorm_M,FFnorm_h,FFnorm_table)*numeng</f>
        <v>1009.4775774546998</v>
      </c>
      <c r="L56" s="11">
        <f t="shared" si="7"/>
        <v>0.9711047814219973</v>
      </c>
      <c r="M56" s="425" cm="1">
        <f t="array" ref="M56">($D$5/G56)*(C56*Linterp($D$6,atmos_h,atmos_vela)/L56)</f>
        <v>3208.8085541416726</v>
      </c>
      <c r="N56" s="55">
        <f t="shared" si="8"/>
        <v>9.9061140369398135</v>
      </c>
      <c r="O56" s="426">
        <f t="shared" si="9"/>
        <v>0.32088085541416728</v>
      </c>
      <c r="P56" s="12"/>
      <c r="Q56" s="7">
        <f t="shared" si="10"/>
        <v>0.55000000000000004</v>
      </c>
      <c r="R56" s="314" cm="1">
        <f t="array" ref="R56">numeng*InterpolateXY($D$6,$Q56,Tmil_h,Tmil_M,Tmil_table)</f>
        <v>1833.2228456506127</v>
      </c>
      <c r="S56" s="12" cm="1">
        <f t="array" ref="S56">numeng*InterpolateXY($D$6,$Q56,Tmax_h,Tmax_M,Tmax_table)</f>
        <v>3127.7026509467596</v>
      </c>
      <c r="T56" s="16">
        <f t="shared" si="11"/>
        <v>1039.5145784129627</v>
      </c>
      <c r="U56" s="55">
        <f t="shared" si="12"/>
        <v>793.70826723765003</v>
      </c>
      <c r="V56" s="426">
        <f t="shared" si="13"/>
        <v>2088.1880725337969</v>
      </c>
    </row>
    <row r="57" spans="2:22">
      <c r="B57" s="120">
        <f t="shared" si="14"/>
        <v>30000</v>
      </c>
      <c r="C57" s="7">
        <v>0.56000000000000005</v>
      </c>
      <c r="D57" s="7">
        <f t="shared" si="15"/>
        <v>557.01501156184383</v>
      </c>
      <c r="E57" s="11">
        <f t="shared" si="1"/>
        <v>0.42640039787640099</v>
      </c>
      <c r="F57" s="19">
        <f t="shared" si="5"/>
        <v>4.2786479973156599E-2</v>
      </c>
      <c r="G57" s="16">
        <f t="shared" si="2"/>
        <v>1003.4343351048877</v>
      </c>
      <c r="H57" s="12">
        <f t="shared" si="3"/>
        <v>1743.43313789431</v>
      </c>
      <c r="I57" s="12">
        <f t="shared" si="16"/>
        <v>1693.0562562987204</v>
      </c>
      <c r="J57" s="141">
        <f t="shared" si="6"/>
        <v>0.57555079876296222</v>
      </c>
      <c r="K57" s="267" cm="1">
        <f t="array" ref="K57">InterpolateXYZ(J57,C57,B57,FFnorm_PS,FFnorm_M,FFnorm_h,FFnorm_table)*numeng</f>
        <v>974.43988066335908</v>
      </c>
      <c r="L57" s="11">
        <f t="shared" si="7"/>
        <v>0.97110478142199719</v>
      </c>
      <c r="M57" s="425" cm="1">
        <f t="array" ref="M57">($D$5/G57)*(C57*Linterp($D$6,atmos_h,atmos_vela)/L57)</f>
        <v>3384.6266614129245</v>
      </c>
      <c r="N57" s="55">
        <f t="shared" si="8"/>
        <v>10.262305759891937</v>
      </c>
      <c r="O57" s="426">
        <f t="shared" si="9"/>
        <v>0.33846266614129245</v>
      </c>
      <c r="P57" s="12"/>
      <c r="Q57" s="7">
        <f t="shared" si="10"/>
        <v>0.56000000000000005</v>
      </c>
      <c r="R57" s="314" cm="1">
        <f t="array" ref="R57">numeng*InterpolateXY($D$6,$Q57,Tmil_h,Tmil_M,Tmil_table)</f>
        <v>1840.7053878777581</v>
      </c>
      <c r="S57" s="12" cm="1">
        <f t="array" ref="S57">numeng*InterpolateXY($D$6,$Q57,Tmax_h,Tmax_M,Tmax_table)</f>
        <v>3147.1572607373378</v>
      </c>
      <c r="T57" s="16">
        <f t="shared" si="11"/>
        <v>1003.4343351048877</v>
      </c>
      <c r="U57" s="55">
        <f t="shared" si="12"/>
        <v>837.27105277287035</v>
      </c>
      <c r="V57" s="426">
        <f t="shared" si="13"/>
        <v>2143.7229256324499</v>
      </c>
    </row>
    <row r="58" spans="2:22">
      <c r="B58" s="120">
        <f t="shared" si="14"/>
        <v>30000</v>
      </c>
      <c r="C58" s="7">
        <v>0.56999999999999995</v>
      </c>
      <c r="D58" s="7">
        <f t="shared" si="15"/>
        <v>566.96170819687666</v>
      </c>
      <c r="E58" s="11">
        <f t="shared" si="1"/>
        <v>0.41157022091117079</v>
      </c>
      <c r="F58" s="19">
        <f t="shared" si="5"/>
        <v>3.9785614403145327E-2</v>
      </c>
      <c r="G58" s="16">
        <f t="shared" si="2"/>
        <v>966.67864635746469</v>
      </c>
      <c r="H58" s="12">
        <f t="shared" si="3"/>
        <v>1750.9156835505087</v>
      </c>
      <c r="I58" s="12">
        <f t="shared" si="16"/>
        <v>1700.3225921626633</v>
      </c>
      <c r="J58" s="141">
        <f t="shared" si="6"/>
        <v>0.55209891340811612</v>
      </c>
      <c r="K58" s="267" cm="1">
        <f t="array" ref="K58">InterpolateXYZ(J58,C58,B58,FFnorm_PS,FFnorm_M,FFnorm_h,FFnorm_table)*numeng</f>
        <v>938.74625557627792</v>
      </c>
      <c r="L58" s="11">
        <f t="shared" si="7"/>
        <v>0.9711047814219973</v>
      </c>
      <c r="M58" s="425" cm="1">
        <f t="array" ref="M58">($D$5/G58)*(C58*Linterp($D$6,atmos_h,atmos_vela)/L58)</f>
        <v>3576.0569955752412</v>
      </c>
      <c r="N58" s="55">
        <f t="shared" si="8"/>
        <v>10.652505872165845</v>
      </c>
      <c r="O58" s="426">
        <f t="shared" si="9"/>
        <v>0.35760569955752414</v>
      </c>
      <c r="P58" s="12"/>
      <c r="Q58" s="7">
        <f t="shared" si="10"/>
        <v>0.56999999999999995</v>
      </c>
      <c r="R58" s="314" cm="1">
        <f t="array" ref="R58">numeng*InterpolateXY($D$6,$Q58,Tmil_h,Tmil_M,Tmil_table)</f>
        <v>1848.1879301049034</v>
      </c>
      <c r="S58" s="12" cm="1">
        <f t="array" ref="S58">numeng*InterpolateXY($D$6,$Q58,Tmax_h,Tmax_M,Tmax_table)</f>
        <v>3166.6118705279155</v>
      </c>
      <c r="T58" s="16">
        <f t="shared" si="11"/>
        <v>966.67864635746469</v>
      </c>
      <c r="U58" s="55">
        <f t="shared" si="12"/>
        <v>881.50928374743876</v>
      </c>
      <c r="V58" s="426">
        <f t="shared" si="13"/>
        <v>2199.9332241704506</v>
      </c>
    </row>
    <row r="59" spans="2:22">
      <c r="B59" s="120">
        <f t="shared" si="14"/>
        <v>30000</v>
      </c>
      <c r="C59" s="7">
        <v>0.57999999999999996</v>
      </c>
      <c r="D59" s="7">
        <f t="shared" si="15"/>
        <v>576.90840483190959</v>
      </c>
      <c r="E59" s="11">
        <f t="shared" si="1"/>
        <v>0.39750048981581265</v>
      </c>
      <c r="F59" s="19">
        <f t="shared" si="5"/>
        <v>3.7085694431391439E-2</v>
      </c>
      <c r="G59" s="16">
        <f t="shared" si="2"/>
        <v>932.97229516812945</v>
      </c>
      <c r="H59" s="12">
        <f t="shared" si="3"/>
        <v>1758.3982292067074</v>
      </c>
      <c r="I59" s="12">
        <f t="shared" si="16"/>
        <v>1707.5889280266065</v>
      </c>
      <c r="J59" s="141">
        <f t="shared" si="6"/>
        <v>0.5305807749755499</v>
      </c>
      <c r="K59" s="267" cm="1">
        <f t="array" ref="K59">InterpolateXYZ(J59,C59,B59,FFnorm_PS,FFnorm_M,FFnorm_h,FFnorm_table)*numeng</f>
        <v>906.01385677202541</v>
      </c>
      <c r="L59" s="11">
        <f t="shared" si="7"/>
        <v>0.97110478142199719</v>
      </c>
      <c r="M59" s="425" cm="1">
        <f t="array" ref="M59">($D$5/G59)*(C59*Linterp($D$6,atmos_h,atmos_vela)/L59)</f>
        <v>3770.2569371072145</v>
      </c>
      <c r="N59" s="55">
        <f t="shared" si="8"/>
        <v>11.037358783482976</v>
      </c>
      <c r="O59" s="426">
        <f t="shared" si="9"/>
        <v>0.37702569371072148</v>
      </c>
      <c r="P59" s="12"/>
      <c r="Q59" s="7">
        <f t="shared" si="10"/>
        <v>0.57999999999999996</v>
      </c>
      <c r="R59" s="314" cm="1">
        <f t="array" ref="R59">numeng*InterpolateXY($D$6,$Q59,Tmil_h,Tmil_M,Tmil_table)</f>
        <v>1855.6704723320488</v>
      </c>
      <c r="S59" s="12" cm="1">
        <f t="array" ref="S59">numeng*InterpolateXY($D$6,$Q59,Tmax_h,Tmax_M,Tmax_table)</f>
        <v>3186.0664803184932</v>
      </c>
      <c r="T59" s="16">
        <f t="shared" si="11"/>
        <v>932.97229516812945</v>
      </c>
      <c r="U59" s="55">
        <f t="shared" si="12"/>
        <v>922.69817716391935</v>
      </c>
      <c r="V59" s="426">
        <f t="shared" si="13"/>
        <v>2253.094185150364</v>
      </c>
    </row>
    <row r="60" spans="2:22">
      <c r="B60" s="120">
        <f t="shared" si="14"/>
        <v>30000</v>
      </c>
      <c r="C60" s="7">
        <v>0.59</v>
      </c>
      <c r="D60" s="7">
        <f t="shared" si="15"/>
        <v>586.85510146694253</v>
      </c>
      <c r="E60" s="11">
        <f t="shared" si="1"/>
        <v>0.38414008840574371</v>
      </c>
      <c r="F60" s="19">
        <f t="shared" si="5"/>
        <v>3.5171857531514174E-2</v>
      </c>
      <c r="G60" s="16">
        <f t="shared" si="2"/>
        <v>915.59976667585647</v>
      </c>
      <c r="H60" s="12">
        <f t="shared" si="3"/>
        <v>1765.8807748629063</v>
      </c>
      <c r="I60" s="12">
        <f t="shared" si="16"/>
        <v>1714.8552638905494</v>
      </c>
      <c r="J60" s="141">
        <f t="shared" si="6"/>
        <v>0.51849466833169344</v>
      </c>
      <c r="K60" s="267" cm="1">
        <f t="array" ref="K60">InterpolateXYZ(J60,C60,B60,FFnorm_PS,FFnorm_M,FFnorm_h,FFnorm_table)*numeng</f>
        <v>889.14331128778906</v>
      </c>
      <c r="L60" s="11">
        <f t="shared" si="7"/>
        <v>0.97110478142199697</v>
      </c>
      <c r="M60" s="425" cm="1">
        <f t="array" ref="M60">($D$5/G60)*(C60*Linterp($D$6,atmos_h,atmos_vela)/L60)</f>
        <v>3908.031358706</v>
      </c>
      <c r="N60" s="55">
        <f t="shared" si="8"/>
        <v>11.24678088790492</v>
      </c>
      <c r="O60" s="426">
        <f t="shared" si="9"/>
        <v>0.3908031358706</v>
      </c>
      <c r="P60" s="12"/>
      <c r="Q60" s="7">
        <f t="shared" si="10"/>
        <v>0.59</v>
      </c>
      <c r="R60" s="314" cm="1">
        <f t="array" ref="R60">numeng*InterpolateXY($D$6,$Q60,Tmil_h,Tmil_M,Tmil_table)</f>
        <v>1863.1530145591942</v>
      </c>
      <c r="S60" s="12" cm="1">
        <f t="array" ref="S60">numeng*InterpolateXY($D$6,$Q60,Tmax_h,Tmax_M,Tmax_table)</f>
        <v>3205.5210901090713</v>
      </c>
      <c r="T60" s="16">
        <f t="shared" si="11"/>
        <v>915.59976667585647</v>
      </c>
      <c r="U60" s="55">
        <f t="shared" si="12"/>
        <v>947.55324788333769</v>
      </c>
      <c r="V60" s="426">
        <f t="shared" si="13"/>
        <v>2289.9213234332146</v>
      </c>
    </row>
    <row r="61" spans="2:22">
      <c r="B61" s="120">
        <f t="shared" si="14"/>
        <v>30000</v>
      </c>
      <c r="C61" s="7">
        <v>0.6</v>
      </c>
      <c r="D61" s="7">
        <f t="shared" si="15"/>
        <v>596.80179810197546</v>
      </c>
      <c r="E61" s="11">
        <f t="shared" si="1"/>
        <v>0.37144212437233159</v>
      </c>
      <c r="F61" s="19">
        <f t="shared" si="5"/>
        <v>3.3351921129778007E-2</v>
      </c>
      <c r="G61" s="16">
        <f t="shared" si="2"/>
        <v>897.90357477996281</v>
      </c>
      <c r="H61" s="12">
        <f t="shared" si="3"/>
        <v>1773.3633205191049</v>
      </c>
      <c r="I61" s="12">
        <f t="shared" si="16"/>
        <v>1722.1215997544925</v>
      </c>
      <c r="J61" s="141">
        <f t="shared" si="6"/>
        <v>0.50632804027835954</v>
      </c>
      <c r="K61" s="267" cm="1">
        <f t="array" ref="K61">InterpolateXYZ(J61,C61,B61,FFnorm_PS,FFnorm_M,FFnorm_h,FFnorm_table)*numeng</f>
        <v>871.9584547247257</v>
      </c>
      <c r="L61" s="11">
        <f t="shared" si="7"/>
        <v>0.97110478142199719</v>
      </c>
      <c r="M61" s="425" cm="1">
        <f t="array" ref="M61">($D$5/G61)*(C61*Linterp($D$6,atmos_h,atmos_vela)/L61)</f>
        <v>4052.595439651222</v>
      </c>
      <c r="N61" s="55">
        <f t="shared" si="8"/>
        <v>11.46843630658638</v>
      </c>
      <c r="O61" s="426">
        <f t="shared" si="9"/>
        <v>0.4052595439651222</v>
      </c>
      <c r="P61" s="12"/>
      <c r="Q61" s="7">
        <f t="shared" si="10"/>
        <v>0.6</v>
      </c>
      <c r="R61" s="314" cm="1">
        <f t="array" ref="R61">numeng*InterpolateXY($D$6,$Q61,Tmil_h,Tmil_M,Tmil_table)</f>
        <v>1870.6355567863395</v>
      </c>
      <c r="S61" s="12" cm="1">
        <f t="array" ref="S61">numeng*InterpolateXY($D$6,$Q61,Tmax_h,Tmax_M,Tmax_table)</f>
        <v>3224.975699899649</v>
      </c>
      <c r="T61" s="16">
        <f t="shared" si="11"/>
        <v>897.90357477996281</v>
      </c>
      <c r="U61" s="55">
        <f t="shared" si="12"/>
        <v>972.73198200637671</v>
      </c>
      <c r="V61" s="426">
        <f t="shared" si="13"/>
        <v>2327.0721251196865</v>
      </c>
    </row>
    <row r="62" spans="2:22">
      <c r="B62" s="120">
        <f t="shared" si="14"/>
        <v>30000</v>
      </c>
      <c r="C62" s="7">
        <v>0.61</v>
      </c>
      <c r="D62" s="7">
        <f t="shared" si="15"/>
        <v>606.7484947370084</v>
      </c>
      <c r="E62" s="11">
        <f t="shared" si="1"/>
        <v>0.35936351726428212</v>
      </c>
      <c r="F62" s="19">
        <f t="shared" si="5"/>
        <v>3.1619778572211994E-2</v>
      </c>
      <c r="G62" s="16">
        <f t="shared" si="2"/>
        <v>879.88282207729674</v>
      </c>
      <c r="H62" s="12">
        <f t="shared" si="3"/>
        <v>1780.8458661753036</v>
      </c>
      <c r="I62" s="12">
        <f t="shared" si="16"/>
        <v>1729.3879356184354</v>
      </c>
      <c r="J62" s="141">
        <f t="shared" si="6"/>
        <v>0.49408140187168925</v>
      </c>
      <c r="K62" s="267" cm="1">
        <f t="array" ref="K62">InterpolateXYZ(J62,C62,B62,FFnorm_PS,FFnorm_M,FFnorm_h,FFnorm_table)*numeng</f>
        <v>854.45841561034331</v>
      </c>
      <c r="L62" s="11">
        <f t="shared" si="7"/>
        <v>0.97110478142199719</v>
      </c>
      <c r="M62" s="425" cm="1">
        <f t="array" ref="M62">($D$5/G62)*(C62*Linterp($D$6,atmos_h,atmos_vela)/L62)</f>
        <v>4204.5226611793933</v>
      </c>
      <c r="N62" s="55">
        <f t="shared" si="8"/>
        <v>11.703319690352581</v>
      </c>
      <c r="O62" s="426">
        <f t="shared" si="9"/>
        <v>0.42045226611793934</v>
      </c>
      <c r="P62" s="12"/>
      <c r="Q62" s="7">
        <f t="shared" si="10"/>
        <v>0.61</v>
      </c>
      <c r="R62" s="314" cm="1">
        <f t="array" ref="R62">numeng*InterpolateXY($D$6,$Q62,Tmil_h,Tmil_M,Tmil_table)</f>
        <v>1878.1180990134849</v>
      </c>
      <c r="S62" s="12" cm="1">
        <f t="array" ref="S62">numeng*InterpolateXY($D$6,$Q62,Tmax_h,Tmax_M,Tmax_table)</f>
        <v>3244.4303096902272</v>
      </c>
      <c r="T62" s="16">
        <f t="shared" si="11"/>
        <v>879.88282207729674</v>
      </c>
      <c r="U62" s="55">
        <f t="shared" si="12"/>
        <v>998.23527693618814</v>
      </c>
      <c r="V62" s="426">
        <f t="shared" si="13"/>
        <v>2364.5474876129306</v>
      </c>
    </row>
    <row r="63" spans="2:22">
      <c r="B63" s="120">
        <f t="shared" si="14"/>
        <v>30000</v>
      </c>
      <c r="C63" s="7">
        <v>0.62</v>
      </c>
      <c r="D63" s="7">
        <f t="shared" si="15"/>
        <v>616.69519137204134</v>
      </c>
      <c r="E63" s="11">
        <f t="shared" si="1"/>
        <v>0.34786463260676215</v>
      </c>
      <c r="F63" s="19">
        <f t="shared" si="5"/>
        <v>3.0099001399299427E-2</v>
      </c>
      <c r="G63" s="16">
        <f t="shared" si="2"/>
        <v>865.25040426643045</v>
      </c>
      <c r="H63" s="12">
        <f t="shared" si="3"/>
        <v>1788.3284118315025</v>
      </c>
      <c r="I63" s="12">
        <f t="shared" si="16"/>
        <v>1736.6542714823786</v>
      </c>
      <c r="J63" s="141">
        <f t="shared" si="6"/>
        <v>0.48383193967169097</v>
      </c>
      <c r="K63" s="267" cm="1">
        <f t="array" ref="K63">InterpolateXYZ(J63,C63,B63,FFnorm_PS,FFnorm_M,FFnorm_h,FFnorm_table)*numeng</f>
        <v>840.24880471044662</v>
      </c>
      <c r="L63" s="11">
        <f t="shared" si="7"/>
        <v>0.97110478142199719</v>
      </c>
      <c r="M63" s="425" cm="1">
        <f t="array" ref="M63">($D$5/G63)*(C63*Linterp($D$6,atmos_h,atmos_vela)/L63)</f>
        <v>4345.7183935106286</v>
      </c>
      <c r="N63" s="55">
        <f t="shared" si="8"/>
        <v>11.901236805027105</v>
      </c>
      <c r="O63" s="426">
        <f t="shared" si="9"/>
        <v>0.43457183935106286</v>
      </c>
      <c r="P63" s="12"/>
      <c r="Q63" s="7">
        <f t="shared" si="10"/>
        <v>0.62</v>
      </c>
      <c r="R63" s="314" cm="1">
        <f t="array" ref="R63">numeng*InterpolateXY($D$6,$Q63,Tmil_h,Tmil_M,Tmil_table)</f>
        <v>1885.6006412406302</v>
      </c>
      <c r="S63" s="12" cm="1">
        <f t="array" ref="S63">numeng*InterpolateXY($D$6,$Q63,Tmax_h,Tmax_M,Tmax_table)</f>
        <v>3263.8849194808049</v>
      </c>
      <c r="T63" s="16">
        <f t="shared" si="11"/>
        <v>865.25040426643045</v>
      </c>
      <c r="U63" s="55">
        <f t="shared" si="12"/>
        <v>1020.3502369741998</v>
      </c>
      <c r="V63" s="426">
        <f t="shared" si="13"/>
        <v>2398.6345152143745</v>
      </c>
    </row>
    <row r="64" spans="2:22">
      <c r="B64" s="120">
        <f t="shared" si="14"/>
        <v>30000</v>
      </c>
      <c r="C64" s="7">
        <v>0.63</v>
      </c>
      <c r="D64" s="7">
        <f t="shared" si="15"/>
        <v>626.64188800707427</v>
      </c>
      <c r="E64" s="11">
        <f t="shared" si="1"/>
        <v>0.33690895634678603</v>
      </c>
      <c r="F64" s="19">
        <f t="shared" si="5"/>
        <v>2.9188852703176366E-2</v>
      </c>
      <c r="G64" s="16">
        <f t="shared" si="2"/>
        <v>866.37212081509028</v>
      </c>
      <c r="H64" s="12">
        <f t="shared" si="3"/>
        <v>1795.8109574877012</v>
      </c>
      <c r="I64" s="12">
        <f t="shared" si="16"/>
        <v>1743.9206073463215</v>
      </c>
      <c r="J64" s="141">
        <f t="shared" si="6"/>
        <v>0.48244060278322681</v>
      </c>
      <c r="K64" s="267" cm="1">
        <f t="array" ref="K64">InterpolateXYZ(J64,C64,B64,FFnorm_PS,FFnorm_M,FFnorm_h,FFnorm_table)*numeng</f>
        <v>841.33810901425034</v>
      </c>
      <c r="L64" s="11">
        <f t="shared" si="7"/>
        <v>0.97110478142199708</v>
      </c>
      <c r="M64" s="425" cm="1">
        <f t="array" ref="M64">($D$5/G64)*(C64*Linterp($D$6,atmos_h,atmos_vela)/L64)</f>
        <v>4410.0933504475815</v>
      </c>
      <c r="N64" s="55">
        <f t="shared" si="8"/>
        <v>11.885827936305478</v>
      </c>
      <c r="O64" s="426">
        <f t="shared" si="9"/>
        <v>0.44100933504475814</v>
      </c>
      <c r="P64" s="12"/>
      <c r="Q64" s="7">
        <f t="shared" si="10"/>
        <v>0.63</v>
      </c>
      <c r="R64" s="314" cm="1">
        <f t="array" ref="R64">numeng*InterpolateXY($D$6,$Q64,Tmil_h,Tmil_M,Tmil_table)</f>
        <v>1893.0831834677756</v>
      </c>
      <c r="S64" s="12" cm="1">
        <f t="array" ref="S64">numeng*InterpolateXY($D$6,$Q64,Tmax_h,Tmax_M,Tmax_table)</f>
        <v>3283.3395292713831</v>
      </c>
      <c r="T64" s="16">
        <f t="shared" si="11"/>
        <v>866.37212081509028</v>
      </c>
      <c r="U64" s="55">
        <f t="shared" si="12"/>
        <v>1026.7110626526853</v>
      </c>
      <c r="V64" s="426">
        <f t="shared" si="13"/>
        <v>2416.967408456293</v>
      </c>
    </row>
    <row r="65" spans="2:22">
      <c r="B65" s="120">
        <f t="shared" si="14"/>
        <v>30000</v>
      </c>
      <c r="C65" s="7">
        <v>0.64</v>
      </c>
      <c r="D65" s="7">
        <f t="shared" si="15"/>
        <v>636.58858464210721</v>
      </c>
      <c r="E65" s="11">
        <f t="shared" si="1"/>
        <v>0.32646280462411953</v>
      </c>
      <c r="F65" s="19">
        <f t="shared" si="5"/>
        <v>2.8320102875709713E-2</v>
      </c>
      <c r="G65" s="16">
        <f t="shared" si="2"/>
        <v>867.4832928767097</v>
      </c>
      <c r="H65" s="12">
        <f t="shared" si="3"/>
        <v>1803.2935031438999</v>
      </c>
      <c r="I65" s="12">
        <f t="shared" si="16"/>
        <v>1751.1869432102646</v>
      </c>
      <c r="J65" s="141">
        <f t="shared" si="6"/>
        <v>0.48105496490966171</v>
      </c>
      <c r="K65" s="267" cm="1">
        <f t="array" ref="K65">InterpolateXYZ(J65,C65,B65,FFnorm_PS,FFnorm_M,FFnorm_h,FFnorm_table)*numeng</f>
        <v>842.41717351627165</v>
      </c>
      <c r="L65" s="11">
        <f t="shared" si="7"/>
        <v>0.9711047814219973</v>
      </c>
      <c r="M65" s="425" cm="1">
        <f t="array" ref="M65">($D$5/G65)*(C65*Linterp($D$6,atmos_h,atmos_vela)/L65)</f>
        <v>4474.3562130805276</v>
      </c>
      <c r="N65" s="55">
        <f t="shared" si="8"/>
        <v>11.870603205131413</v>
      </c>
      <c r="O65" s="426">
        <f t="shared" si="9"/>
        <v>0.44743562130805276</v>
      </c>
      <c r="P65" s="12"/>
      <c r="Q65" s="7">
        <f t="shared" si="10"/>
        <v>0.64</v>
      </c>
      <c r="R65" s="314" cm="1">
        <f t="array" ref="R65">numeng*InterpolateXY($D$6,$Q65,Tmil_h,Tmil_M,Tmil_table)</f>
        <v>1900.565725694921</v>
      </c>
      <c r="S65" s="12" cm="1">
        <f t="array" ref="S65">numeng*InterpolateXY($D$6,$Q65,Tmax_h,Tmax_M,Tmax_table)</f>
        <v>3302.7941390619608</v>
      </c>
      <c r="T65" s="16">
        <f t="shared" si="11"/>
        <v>867.4832928767097</v>
      </c>
      <c r="U65" s="55">
        <f t="shared" si="12"/>
        <v>1033.0824328182111</v>
      </c>
      <c r="V65" s="426">
        <f t="shared" si="13"/>
        <v>2435.3108461852512</v>
      </c>
    </row>
    <row r="66" spans="2:22">
      <c r="B66" s="120">
        <f t="shared" si="14"/>
        <v>30000</v>
      </c>
      <c r="C66" s="7">
        <v>0.65</v>
      </c>
      <c r="D66" s="7">
        <f t="shared" si="15"/>
        <v>646.53528127714014</v>
      </c>
      <c r="E66" s="11">
        <f t="shared" si="1"/>
        <v>0.31649506455393928</v>
      </c>
      <c r="F66" s="19">
        <f t="shared" si="5"/>
        <v>2.7490223995007567E-2</v>
      </c>
      <c r="G66" s="16">
        <f t="shared" si="2"/>
        <v>868.5830230481364</v>
      </c>
      <c r="H66" s="12">
        <f t="shared" si="3"/>
        <v>1810.7760488000988</v>
      </c>
      <c r="I66" s="12">
        <f t="shared" si="16"/>
        <v>1758.4532790742076</v>
      </c>
      <c r="J66" s="141">
        <f t="shared" si="6"/>
        <v>0.47967445981169143</v>
      </c>
      <c r="K66" s="267" cm="1">
        <f t="array" ref="K66">InterpolateXYZ(J66,C66,B66,FFnorm_PS,FFnorm_M,FFnorm_h,FFnorm_table)*numeng</f>
        <v>843.48512674401798</v>
      </c>
      <c r="L66" s="11">
        <f t="shared" si="7"/>
        <v>0.97110478142199708</v>
      </c>
      <c r="M66" s="425" cm="1">
        <f t="array" ref="M66">($D$5/G66)*(C66*Linterp($D$6,atmos_h,atmos_vela)/L66)</f>
        <v>4538.5144411401379</v>
      </c>
      <c r="N66" s="55">
        <f t="shared" si="8"/>
        <v>11.8555735992661</v>
      </c>
      <c r="O66" s="426">
        <f t="shared" si="9"/>
        <v>0.45385144411401379</v>
      </c>
      <c r="P66" s="12"/>
      <c r="Q66" s="7">
        <f t="shared" si="10"/>
        <v>0.65</v>
      </c>
      <c r="R66" s="314" cm="1">
        <f t="array" ref="R66">numeng*InterpolateXY($D$6,$Q66,Tmil_h,Tmil_M,Tmil_table)</f>
        <v>1908.0482679220663</v>
      </c>
      <c r="S66" s="12" cm="1">
        <f t="array" ref="S66">numeng*InterpolateXY($D$6,$Q66,Tmax_h,Tmax_M,Tmax_table)</f>
        <v>3322.2487488525389</v>
      </c>
      <c r="T66" s="16">
        <f t="shared" si="11"/>
        <v>868.5830230481364</v>
      </c>
      <c r="U66" s="55">
        <f t="shared" si="12"/>
        <v>1039.4652448739298</v>
      </c>
      <c r="V66" s="426">
        <f t="shared" si="13"/>
        <v>2453.6657258044024</v>
      </c>
    </row>
    <row r="67" spans="2:22">
      <c r="B67" s="120">
        <f t="shared" si="14"/>
        <v>30000</v>
      </c>
      <c r="C67" s="7">
        <v>0.66</v>
      </c>
      <c r="D67" s="7">
        <f t="shared" si="15"/>
        <v>656.48197791217308</v>
      </c>
      <c r="E67" s="11">
        <f t="shared" si="1"/>
        <v>0.30697696229118304</v>
      </c>
      <c r="F67" s="19">
        <f t="shared" si="5"/>
        <v>2.6696878186158624E-2</v>
      </c>
      <c r="G67" s="16">
        <f t="shared" si="2"/>
        <v>869.67041392621809</v>
      </c>
      <c r="H67" s="12">
        <f t="shared" si="3"/>
        <v>1818.2585944562975</v>
      </c>
      <c r="I67" s="12">
        <f t="shared" si="16"/>
        <v>1765.7196149381507</v>
      </c>
      <c r="J67" s="141">
        <f t="shared" si="6"/>
        <v>0.47829853057082355</v>
      </c>
      <c r="K67" s="267" cm="1">
        <f t="array" ref="K67">InterpolateXYZ(J67,C67,B67,FFnorm_PS,FFnorm_M,FFnorm_h,FFnorm_table)*numeng</f>
        <v>844.54109722499788</v>
      </c>
      <c r="L67" s="11">
        <f t="shared" si="7"/>
        <v>0.97110478142199719</v>
      </c>
      <c r="M67" s="425" cm="1">
        <f t="array" ref="M67">($D$5/G67)*(C67*Linterp($D$6,atmos_h,atmos_vela)/L67)</f>
        <v>4602.5757132165418</v>
      </c>
      <c r="N67" s="55">
        <f t="shared" si="8"/>
        <v>11.840750003591426</v>
      </c>
      <c r="O67" s="426">
        <f t="shared" si="9"/>
        <v>0.46025757132165418</v>
      </c>
      <c r="P67" s="12"/>
      <c r="Q67" s="7">
        <f t="shared" si="10"/>
        <v>0.66</v>
      </c>
      <c r="R67" s="314" cm="1">
        <f t="array" ref="R67">numeng*InterpolateXY($D$6,$Q67,Tmil_h,Tmil_M,Tmil_table)</f>
        <v>1915.5308101492117</v>
      </c>
      <c r="S67" s="12" cm="1">
        <f t="array" ref="S67">numeng*InterpolateXY($D$6,$Q67,Tmax_h,Tmax_M,Tmax_table)</f>
        <v>3341.7033586431166</v>
      </c>
      <c r="T67" s="16">
        <f t="shared" si="11"/>
        <v>869.67041392621809</v>
      </c>
      <c r="U67" s="55">
        <f t="shared" si="12"/>
        <v>1045.8603962229936</v>
      </c>
      <c r="V67" s="426">
        <f t="shared" si="13"/>
        <v>2472.0329447168988</v>
      </c>
    </row>
    <row r="68" spans="2:22">
      <c r="B68" s="120">
        <f t="shared" si="14"/>
        <v>30000</v>
      </c>
      <c r="C68" s="7">
        <v>0.67</v>
      </c>
      <c r="D68" s="7">
        <f t="shared" si="15"/>
        <v>666.42867454720601</v>
      </c>
      <c r="E68" s="11">
        <f t="shared" si="1"/>
        <v>0.29788185514377219</v>
      </c>
      <c r="F68" s="19">
        <f t="shared" si="5"/>
        <v>2.5977615946485764E-2</v>
      </c>
      <c r="G68" s="16">
        <f t="shared" si="2"/>
        <v>872.07782205961178</v>
      </c>
      <c r="H68" s="12">
        <f t="shared" si="3"/>
        <v>1825.7411401124962</v>
      </c>
      <c r="I68" s="12">
        <f t="shared" si="16"/>
        <v>1772.9859508020936</v>
      </c>
      <c r="J68" s="141">
        <f t="shared" si="6"/>
        <v>0.47765688294994396</v>
      </c>
      <c r="K68" s="267" cm="1">
        <f t="array" ref="K68">InterpolateXYZ(J68,C68,B68,FFnorm_PS,FFnorm_M,FFnorm_h,FFnorm_table)*numeng</f>
        <v>846.87894277417081</v>
      </c>
      <c r="L68" s="11">
        <f t="shared" si="7"/>
        <v>0.97110478142199741</v>
      </c>
      <c r="M68" s="425" cm="1">
        <f t="array" ref="M68">($D$5/G68)*(C68*Linterp($D$6,atmos_h,atmos_vela)/L68)</f>
        <v>4659.4135925276341</v>
      </c>
      <c r="N68" s="55">
        <f t="shared" si="8"/>
        <v>11.808063106684902</v>
      </c>
      <c r="O68" s="426">
        <f t="shared" si="9"/>
        <v>0.46594135925276342</v>
      </c>
      <c r="P68" s="12"/>
      <c r="Q68" s="7">
        <f t="shared" si="10"/>
        <v>0.67</v>
      </c>
      <c r="R68" s="314" cm="1">
        <f t="array" ref="R68">numeng*InterpolateXY($D$6,$Q68,Tmil_h,Tmil_M,Tmil_table)</f>
        <v>1923.013352376357</v>
      </c>
      <c r="S68" s="12" cm="1">
        <f t="array" ref="S68">numeng*InterpolateXY($D$6,$Q68,Tmax_h,Tmax_M,Tmax_table)</f>
        <v>3361.1579684336948</v>
      </c>
      <c r="T68" s="16">
        <f t="shared" si="11"/>
        <v>872.07782205961178</v>
      </c>
      <c r="U68" s="55">
        <f t="shared" si="12"/>
        <v>1050.9355303167454</v>
      </c>
      <c r="V68" s="426">
        <f t="shared" si="13"/>
        <v>2489.0801463740831</v>
      </c>
    </row>
    <row r="69" spans="2:22">
      <c r="B69" s="120">
        <f t="shared" si="14"/>
        <v>30000</v>
      </c>
      <c r="C69" s="7">
        <v>0.68</v>
      </c>
      <c r="D69" s="7">
        <f t="shared" si="15"/>
        <v>676.37537118223895</v>
      </c>
      <c r="E69" s="11">
        <f t="shared" si="1"/>
        <v>0.28918504492655567</v>
      </c>
      <c r="F69" s="19">
        <f t="shared" si="5"/>
        <v>2.5414065307909729E-2</v>
      </c>
      <c r="G69" s="16">
        <f t="shared" si="2"/>
        <v>878.81672146511369</v>
      </c>
      <c r="H69" s="12">
        <f t="shared" si="3"/>
        <v>1833.2236857686951</v>
      </c>
      <c r="I69" s="12">
        <f t="shared" si="16"/>
        <v>1780.2522866660365</v>
      </c>
      <c r="J69" s="141">
        <f t="shared" si="6"/>
        <v>0.47938324618395606</v>
      </c>
      <c r="K69" s="267" cm="1">
        <f t="array" ref="K69">InterpolateXYZ(J69,C69,B69,FFnorm_PS,FFnorm_M,FFnorm_h,FFnorm_table)*numeng</f>
        <v>853.42312020837539</v>
      </c>
      <c r="L69" s="11">
        <f t="shared" si="7"/>
        <v>0.97110478142199719</v>
      </c>
      <c r="M69" s="425" cm="1">
        <f t="array" ref="M69">($D$5/G69)*(C69*Linterp($D$6,atmos_h,atmos_vela)/L69)</f>
        <v>4692.6947215771952</v>
      </c>
      <c r="N69" s="55">
        <f t="shared" si="8"/>
        <v>11.7175170946369</v>
      </c>
      <c r="O69" s="426">
        <f t="shared" si="9"/>
        <v>0.46926947215771952</v>
      </c>
      <c r="P69" s="12"/>
      <c r="Q69" s="7">
        <f t="shared" si="10"/>
        <v>0.68</v>
      </c>
      <c r="R69" s="314" cm="1">
        <f t="array" ref="R69">numeng*InterpolateXY($D$6,$Q69,Tmil_h,Tmil_M,Tmil_table)</f>
        <v>1930.4958946035024</v>
      </c>
      <c r="S69" s="12" cm="1">
        <f t="array" ref="S69">numeng*InterpolateXY($D$6,$Q69,Tmax_h,Tmax_M,Tmax_table)</f>
        <v>3380.6125782242725</v>
      </c>
      <c r="T69" s="16">
        <f t="shared" si="11"/>
        <v>878.81672146511369</v>
      </c>
      <c r="U69" s="55">
        <f t="shared" si="12"/>
        <v>1051.6791731383887</v>
      </c>
      <c r="V69" s="426">
        <f t="shared" si="13"/>
        <v>2501.7958567591586</v>
      </c>
    </row>
    <row r="70" spans="2:22">
      <c r="B70" s="120">
        <f t="shared" si="14"/>
        <v>30000</v>
      </c>
      <c r="C70" s="7">
        <v>0.69</v>
      </c>
      <c r="D70" s="7">
        <f t="shared" si="15"/>
        <v>686.32206781727177</v>
      </c>
      <c r="E70" s="11">
        <f t="shared" si="1"/>
        <v>0.28086361011140387</v>
      </c>
      <c r="F70" s="19">
        <f t="shared" si="5"/>
        <v>2.4873975631962742E-2</v>
      </c>
      <c r="G70" s="16">
        <f t="shared" si="2"/>
        <v>885.62472091334803</v>
      </c>
      <c r="H70" s="12">
        <f t="shared" si="3"/>
        <v>1840.7062314248938</v>
      </c>
      <c r="I70" s="12">
        <f t="shared" si="16"/>
        <v>1787.5186225299797</v>
      </c>
      <c r="J70" s="141">
        <f t="shared" si="6"/>
        <v>0.48113311390692931</v>
      </c>
      <c r="K70" s="267" cm="1">
        <f t="array" ref="K70">InterpolateXYZ(J70,C70,B70,FFnorm_PS,FFnorm_M,FFnorm_h,FFnorm_table)*numeng</f>
        <v>860.03440102447405</v>
      </c>
      <c r="L70" s="11">
        <f t="shared" si="7"/>
        <v>0.97110478142199719</v>
      </c>
      <c r="M70" s="425" cm="1">
        <f t="array" ref="M70">($D$5/G70)*(C70*Linterp($D$6,atmos_h,atmos_vela)/L70)</f>
        <v>4725.100624951071</v>
      </c>
      <c r="N70" s="55">
        <f t="shared" si="8"/>
        <v>11.627441865218401</v>
      </c>
      <c r="O70" s="426">
        <f t="shared" si="9"/>
        <v>0.47251006249510713</v>
      </c>
      <c r="P70" s="12"/>
      <c r="Q70" s="7">
        <f t="shared" si="10"/>
        <v>0.69</v>
      </c>
      <c r="R70" s="314" cm="1">
        <f t="array" ref="R70">numeng*InterpolateXY($D$6,$Q70,Tmil_h,Tmil_M,Tmil_table)</f>
        <v>1937.9784368306478</v>
      </c>
      <c r="S70" s="12" cm="1">
        <f t="array" ref="S70">numeng*InterpolateXY($D$6,$Q70,Tmax_h,Tmax_M,Tmax_table)</f>
        <v>3400.0671880148502</v>
      </c>
      <c r="T70" s="16">
        <f t="shared" si="11"/>
        <v>885.62472091334803</v>
      </c>
      <c r="U70" s="55">
        <f t="shared" si="12"/>
        <v>1052.3537159172997</v>
      </c>
      <c r="V70" s="426">
        <f t="shared" si="13"/>
        <v>2514.4424671015022</v>
      </c>
    </row>
    <row r="71" spans="2:22">
      <c r="B71" s="120">
        <f t="shared" si="14"/>
        <v>30000</v>
      </c>
      <c r="C71" s="7">
        <v>0.7</v>
      </c>
      <c r="D71" s="7">
        <f t="shared" si="15"/>
        <v>696.26876445230471</v>
      </c>
      <c r="E71" s="11">
        <f t="shared" si="1"/>
        <v>0.27289625464089673</v>
      </c>
      <c r="F71" s="19">
        <f t="shared" si="5"/>
        <v>2.4356015915056047E-2</v>
      </c>
      <c r="G71" s="16">
        <f t="shared" si="2"/>
        <v>892.50092300116205</v>
      </c>
      <c r="H71" s="12">
        <f t="shared" si="3"/>
        <v>1848.1887770810924</v>
      </c>
      <c r="I71" s="12">
        <f t="shared" si="16"/>
        <v>1794.7849583939226</v>
      </c>
      <c r="J71" s="141">
        <f t="shared" si="6"/>
        <v>0.48290571508107477</v>
      </c>
      <c r="K71" s="267" cm="1">
        <f t="array" ref="K71">InterpolateXYZ(J71,C71,B71,FFnorm_PS,FFnorm_M,FFnorm_h,FFnorm_table)*numeng</f>
        <v>866.7119137499742</v>
      </c>
      <c r="L71" s="11">
        <f t="shared" si="7"/>
        <v>0.97110478142199719</v>
      </c>
      <c r="M71" s="425" cm="1">
        <f t="array" ref="M71">($D$5/G71)*(C71*Linterp($D$6,atmos_h,atmos_vela)/L71)</f>
        <v>4756.6485871980594</v>
      </c>
      <c r="N71" s="55">
        <f t="shared" si="8"/>
        <v>11.537859167913506</v>
      </c>
      <c r="O71" s="426">
        <f t="shared" si="9"/>
        <v>0.47566485871980596</v>
      </c>
      <c r="P71" s="12"/>
      <c r="Q71" s="7">
        <f t="shared" si="10"/>
        <v>0.7</v>
      </c>
      <c r="R71" s="314" cm="1">
        <f t="array" ref="R71">numeng*InterpolateXY($D$6,$Q71,Tmil_h,Tmil_M,Tmil_table)</f>
        <v>1945.4609790577931</v>
      </c>
      <c r="S71" s="12" cm="1">
        <f t="array" ref="S71">numeng*InterpolateXY($D$6,$Q71,Tmax_h,Tmax_M,Tmax_table)</f>
        <v>3419.5217978054284</v>
      </c>
      <c r="T71" s="16">
        <f t="shared" si="11"/>
        <v>892.50092300116205</v>
      </c>
      <c r="U71" s="55">
        <f t="shared" si="12"/>
        <v>1052.9600560566309</v>
      </c>
      <c r="V71" s="426">
        <f t="shared" si="13"/>
        <v>2527.0208748042664</v>
      </c>
    </row>
    <row r="72" spans="2:22">
      <c r="B72" s="120">
        <f t="shared" si="14"/>
        <v>30000</v>
      </c>
      <c r="C72" s="7">
        <v>0.71</v>
      </c>
      <c r="D72" s="7">
        <f t="shared" si="15"/>
        <v>706.21546108733764</v>
      </c>
      <c r="E72" s="11">
        <f t="shared" si="1"/>
        <v>0.26526317154143902</v>
      </c>
      <c r="F72" s="19">
        <f t="shared" si="5"/>
        <v>2.3858948221339941E-2</v>
      </c>
      <c r="G72" s="16">
        <f t="shared" si="2"/>
        <v>899.4444303254038</v>
      </c>
      <c r="H72" s="12">
        <f t="shared" si="3"/>
        <v>1855.6713227372911</v>
      </c>
      <c r="I72" s="12">
        <f t="shared" si="16"/>
        <v>1802.0512942578655</v>
      </c>
      <c r="J72" s="141">
        <f t="shared" si="6"/>
        <v>0.48470029110469737</v>
      </c>
      <c r="K72" s="267" cm="1">
        <f t="array" ref="K72">InterpolateXYZ(J72,C72,B72,FFnorm_PS,FFnorm_M,FFnorm_h,FFnorm_table)*numeng</f>
        <v>873.45478691238407</v>
      </c>
      <c r="L72" s="11">
        <f t="shared" si="7"/>
        <v>0.97110478142199719</v>
      </c>
      <c r="M72" s="425" cm="1">
        <f t="array" ref="M72">($D$5/G72)*(C72*Linterp($D$6,atmos_h,atmos_vela)/L72)</f>
        <v>4787.3558849158489</v>
      </c>
      <c r="N72" s="55">
        <f t="shared" si="8"/>
        <v>11.448789507868479</v>
      </c>
      <c r="O72" s="426">
        <f t="shared" si="9"/>
        <v>0.47873558849158487</v>
      </c>
      <c r="P72" s="12"/>
      <c r="Q72" s="7">
        <f t="shared" si="10"/>
        <v>0.71</v>
      </c>
      <c r="R72" s="314" cm="1">
        <f t="array" ref="R72">numeng*InterpolateXY($D$6,$Q72,Tmil_h,Tmil_M,Tmil_table)</f>
        <v>1952.9435212849385</v>
      </c>
      <c r="S72" s="12" cm="1">
        <f t="array" ref="S72">numeng*InterpolateXY($D$6,$Q72,Tmax_h,Tmax_M,Tmax_table)</f>
        <v>3438.9764075960065</v>
      </c>
      <c r="T72" s="16">
        <f t="shared" si="11"/>
        <v>899.4444303254038</v>
      </c>
      <c r="U72" s="55">
        <f t="shared" si="12"/>
        <v>1053.4990909595347</v>
      </c>
      <c r="V72" s="426">
        <f t="shared" si="13"/>
        <v>2539.5319772706025</v>
      </c>
    </row>
    <row r="73" spans="2:22">
      <c r="B73" s="120">
        <f t="shared" si="14"/>
        <v>30000</v>
      </c>
      <c r="C73" s="7">
        <v>0.72</v>
      </c>
      <c r="D73" s="7">
        <f t="shared" si="15"/>
        <v>716.16215772237058</v>
      </c>
      <c r="E73" s="11">
        <f t="shared" si="1"/>
        <v>0.25794591970300806</v>
      </c>
      <c r="F73" s="19">
        <f t="shared" si="5"/>
        <v>2.3381619981438003E-2</v>
      </c>
      <c r="G73" s="16">
        <f t="shared" si="2"/>
        <v>906.45434548292008</v>
      </c>
      <c r="H73" s="12">
        <f t="shared" si="3"/>
        <v>1863.15386839349</v>
      </c>
      <c r="I73" s="12">
        <f t="shared" si="16"/>
        <v>1809.3176301218086</v>
      </c>
      <c r="J73" s="141">
        <f t="shared" si="6"/>
        <v>0.48651609556247388</v>
      </c>
      <c r="K73" s="267" cm="1">
        <f t="array" ref="K73">InterpolateXYZ(J73,C73,B73,FFnorm_PS,FFnorm_M,FFnorm_h,FFnorm_table)*numeng</f>
        <v>880.26214903921061</v>
      </c>
      <c r="L73" s="11">
        <f t="shared" si="7"/>
        <v>0.97110478142199719</v>
      </c>
      <c r="M73" s="425" cm="1">
        <f t="array" ref="M73">($D$5/G73)*(C73*Linterp($D$6,atmos_h,atmos_vela)/L73)</f>
        <v>4817.2397657307574</v>
      </c>
      <c r="N73" s="55">
        <f t="shared" si="8"/>
        <v>11.360252182733078</v>
      </c>
      <c r="O73" s="426">
        <f t="shared" si="9"/>
        <v>0.48172397657307575</v>
      </c>
      <c r="P73" s="12"/>
      <c r="Q73" s="7">
        <f t="shared" si="10"/>
        <v>0.72</v>
      </c>
      <c r="R73" s="314" cm="1">
        <f t="array" ref="R73">numeng*InterpolateXY($D$6,$Q73,Tmil_h,Tmil_M,Tmil_table)</f>
        <v>1960.4260635120838</v>
      </c>
      <c r="S73" s="12" cm="1">
        <f t="array" ref="S73">numeng*InterpolateXY($D$6,$Q73,Tmax_h,Tmax_M,Tmax_table)</f>
        <v>3458.4310173865842</v>
      </c>
      <c r="T73" s="16">
        <f t="shared" si="11"/>
        <v>906.45434548292008</v>
      </c>
      <c r="U73" s="55">
        <f t="shared" si="12"/>
        <v>1053.9717180291636</v>
      </c>
      <c r="V73" s="426">
        <f t="shared" si="13"/>
        <v>2551.9766719036643</v>
      </c>
    </row>
    <row r="74" spans="2:22">
      <c r="B74" s="120">
        <f t="shared" si="14"/>
        <v>30000</v>
      </c>
      <c r="C74" s="7">
        <v>0.73</v>
      </c>
      <c r="D74" s="7">
        <f t="shared" si="15"/>
        <v>726.10885435740352</v>
      </c>
      <c r="E74" s="11">
        <f t="shared" si="1"/>
        <v>0.25092731239264282</v>
      </c>
      <c r="F74" s="19">
        <f t="shared" si="5"/>
        <v>2.2922957024540176E-2</v>
      </c>
      <c r="G74" s="16">
        <f t="shared" si="2"/>
        <v>913.52977107055938</v>
      </c>
      <c r="H74" s="12">
        <f t="shared" si="3"/>
        <v>1870.6364140496887</v>
      </c>
      <c r="I74" s="12">
        <f t="shared" si="16"/>
        <v>1816.5839659857515</v>
      </c>
      <c r="J74" s="141">
        <f t="shared" si="6"/>
        <v>0.48835239398172742</v>
      </c>
      <c r="K74" s="267" cm="1">
        <f t="array" ref="K74">InterpolateXYZ(J74,C74,B74,FFnorm_PS,FFnorm_M,FFnorm_h,FFnorm_table)*numeng</f>
        <v>887.13312865796263</v>
      </c>
      <c r="L74" s="11">
        <f t="shared" si="7"/>
        <v>0.97110478142199708</v>
      </c>
      <c r="M74" s="425" cm="1">
        <f t="array" ref="M74">($D$5/G74)*(C74*Linterp($D$6,atmos_h,atmos_vela)/L74)</f>
        <v>4846.3174286024214</v>
      </c>
      <c r="N74" s="55">
        <f t="shared" si="8"/>
        <v>11.27226531955559</v>
      </c>
      <c r="O74" s="426">
        <f t="shared" si="9"/>
        <v>0.48463174286024213</v>
      </c>
      <c r="P74" s="12"/>
      <c r="Q74" s="7">
        <f t="shared" si="10"/>
        <v>0.73</v>
      </c>
      <c r="R74" s="314" cm="1">
        <f t="array" ref="R74">numeng*InterpolateXY($D$6,$Q74,Tmil_h,Tmil_M,Tmil_table)</f>
        <v>1967.9086057392292</v>
      </c>
      <c r="S74" s="12" cm="1">
        <f t="array" ref="S74">numeng*InterpolateXY($D$6,$Q74,Tmax_h,Tmax_M,Tmax_table)</f>
        <v>3477.885627177162</v>
      </c>
      <c r="T74" s="16">
        <f t="shared" si="11"/>
        <v>913.52977107055938</v>
      </c>
      <c r="U74" s="55">
        <f t="shared" si="12"/>
        <v>1054.3788346686697</v>
      </c>
      <c r="V74" s="426">
        <f t="shared" si="13"/>
        <v>2564.3558561066025</v>
      </c>
    </row>
    <row r="75" spans="2:22">
      <c r="B75" s="120">
        <f t="shared" si="14"/>
        <v>30000</v>
      </c>
      <c r="C75" s="7">
        <v>0.74</v>
      </c>
      <c r="D75" s="7">
        <f t="shared" si="15"/>
        <v>736.05555099243645</v>
      </c>
      <c r="E75" s="11">
        <f t="shared" ref="E75:E101" si="17">D$5/(H$5*C75*C75*_xlfn.SINGLE(S))</f>
        <v>0.24419131624185422</v>
      </c>
      <c r="F75" s="19">
        <f t="shared" si="5"/>
        <v>2.2481957265115891E-2</v>
      </c>
      <c r="G75" s="16">
        <f t="shared" ref="G75:G101" si="18">F75*$H$5*C75*C75*_xlfn.SINGLE(S)</f>
        <v>920.6698096851693</v>
      </c>
      <c r="H75" s="12">
        <f t="shared" ref="H75:H101" si="19">_xlfn.SINGLE(InterpolateXY(B75,C75,Tnorm_h,Tnorm_M,Tnorm_table))*_xlfn.SINGLE(numeng)</f>
        <v>1878.1189597058874</v>
      </c>
      <c r="I75" s="12">
        <f t="shared" ref="I75:I101" si="20">_xlfn.SINGLE(InterpolateXYZ($I$8,C75,B75,FFnorm_PS,FFnorm_M,FFnorm_h,FFnorm_table))*_xlfn.SINGLE(numeng)</f>
        <v>1823.8503018496947</v>
      </c>
      <c r="J75" s="141">
        <f t="shared" si="6"/>
        <v>0.49020846359452425</v>
      </c>
      <c r="K75" s="267" cm="1">
        <f t="array" ref="K75">InterpolateXYZ(J75,C75,B75,FFnorm_PS,FFnorm_M,FFnorm_h,FFnorm_table)*numeng</f>
        <v>894.06685429614811</v>
      </c>
      <c r="L75" s="11">
        <f t="shared" si="7"/>
        <v>0.97110478142199719</v>
      </c>
      <c r="M75" s="425" cm="1">
        <f t="array" ref="M75">($D$5/G75)*(C75*Linterp($D$6,atmos_h,atmos_vela)/L75)</f>
        <v>4874.6060054122663</v>
      </c>
      <c r="N75" s="55">
        <f t="shared" si="8"/>
        <v>11.184845911632051</v>
      </c>
      <c r="O75" s="426">
        <f t="shared" si="9"/>
        <v>0.48746060054122664</v>
      </c>
      <c r="P75" s="12"/>
      <c r="Q75" s="7">
        <f t="shared" si="10"/>
        <v>0.74</v>
      </c>
      <c r="R75" s="314" cm="1">
        <f t="array" ref="R75">numeng*InterpolateXY($D$6,$Q75,Tmil_h,Tmil_M,Tmil_table)</f>
        <v>1975.3911479663745</v>
      </c>
      <c r="S75" s="12" cm="1">
        <f t="array" ref="S75">numeng*InterpolateXY($D$6,$Q75,Tmax_h,Tmax_M,Tmax_table)</f>
        <v>3497.3402369677401</v>
      </c>
      <c r="T75" s="16">
        <f t="shared" si="11"/>
        <v>920.6698096851693</v>
      </c>
      <c r="U75" s="55">
        <f t="shared" si="12"/>
        <v>1054.7213382812051</v>
      </c>
      <c r="V75" s="426">
        <f t="shared" si="13"/>
        <v>2576.6704272825709</v>
      </c>
    </row>
    <row r="76" spans="2:22">
      <c r="B76" s="120">
        <f t="shared" si="14"/>
        <v>30000</v>
      </c>
      <c r="C76" s="7">
        <v>0.75</v>
      </c>
      <c r="D76" s="7">
        <f t="shared" si="15"/>
        <v>746.00224762746939</v>
      </c>
      <c r="E76" s="11">
        <f t="shared" si="17"/>
        <v>0.23772295959829221</v>
      </c>
      <c r="F76" s="19">
        <f t="shared" ref="F76:F101" si="21">InterpolateXY(E76,C76,CD_CL,CD_M,CD_table)</f>
        <v>2.2057684974893264E-2</v>
      </c>
      <c r="G76" s="16">
        <f t="shared" si="18"/>
        <v>927.87356392359698</v>
      </c>
      <c r="H76" s="12">
        <f t="shared" si="19"/>
        <v>1885.6015053620863</v>
      </c>
      <c r="I76" s="12">
        <f t="shared" si="20"/>
        <v>1831.1166377136376</v>
      </c>
      <c r="J76" s="141">
        <f t="shared" ref="J76:J101" si="22">G76/H76</f>
        <v>0.49208359310543731</v>
      </c>
      <c r="K76" s="267" cm="1">
        <f t="array" ref="K76">InterpolateXYZ(J76,C76,B76,FFnorm_PS,FFnorm_M,FFnorm_h,FFnorm_table)*numeng</f>
        <v>901.06245448127413</v>
      </c>
      <c r="L76" s="11">
        <f t="shared" ref="L76:L101" si="23">K76/G76</f>
        <v>0.97110478142199719</v>
      </c>
      <c r="M76" s="425" cm="1">
        <f t="array" ref="M76">($D$5/G76)*(C76*Linterp($D$6,atmos_h,atmos_vela)/L76)</f>
        <v>4902.1225437933645</v>
      </c>
      <c r="N76" s="55">
        <f t="shared" ref="N76:N121" si="24">($D$5/G76)*(1/L76)</f>
        <v>11.098009855217889</v>
      </c>
      <c r="O76" s="426">
        <f t="shared" ref="O76:O121" si="25">M76/$D$5</f>
        <v>0.49021225437933647</v>
      </c>
      <c r="P76" s="12"/>
      <c r="Q76" s="7">
        <f t="shared" ref="Q76:Q121" si="26">C76</f>
        <v>0.75</v>
      </c>
      <c r="R76" s="314" cm="1">
        <f t="array" ref="R76">numeng*InterpolateXY($D$6,$Q76,Tmil_h,Tmil_M,Tmil_table)</f>
        <v>1982.8736901935199</v>
      </c>
      <c r="S76" s="12" cm="1">
        <f t="array" ref="S76">numeng*InterpolateXY($D$6,$Q76,Tmax_h,Tmax_M,Tmax_table)</f>
        <v>3516.7948467583183</v>
      </c>
      <c r="T76" s="16">
        <f t="shared" ref="T76:T121" si="27">G76</f>
        <v>927.87356392359698</v>
      </c>
      <c r="U76" s="55">
        <f t="shared" ref="U76:U121" si="28">R76-T76</f>
        <v>1055.0001262699229</v>
      </c>
      <c r="V76" s="426">
        <f t="shared" ref="V76:V121" si="29">S76-T76</f>
        <v>2588.9212828347213</v>
      </c>
    </row>
    <row r="77" spans="2:22">
      <c r="B77" s="120">
        <f t="shared" ref="B77:B121" si="30">B76</f>
        <v>30000</v>
      </c>
      <c r="C77" s="7">
        <v>0.76</v>
      </c>
      <c r="D77" s="7">
        <f t="shared" si="15"/>
        <v>755.94894426250232</v>
      </c>
      <c r="E77" s="11">
        <f t="shared" si="17"/>
        <v>0.23150824926253352</v>
      </c>
      <c r="F77" s="19">
        <f t="shared" si="21"/>
        <v>2.1649265578908342E-2</v>
      </c>
      <c r="G77" s="16">
        <f t="shared" si="18"/>
        <v>935.14013638269023</v>
      </c>
      <c r="H77" s="12">
        <f t="shared" si="19"/>
        <v>1893.084051018285</v>
      </c>
      <c r="I77" s="12">
        <f t="shared" si="20"/>
        <v>1838.3829735775805</v>
      </c>
      <c r="J77" s="141">
        <f t="shared" si="22"/>
        <v>0.49397708246481753</v>
      </c>
      <c r="K77" s="267" cm="1">
        <f t="array" ref="K77">InterpolateXYZ(J77,C77,B77,FFnorm_PS,FFnorm_M,FFnorm_h,FFnorm_table)*numeng</f>
        <v>908.11905774084903</v>
      </c>
      <c r="L77" s="11">
        <f t="shared" si="23"/>
        <v>0.97110478142199719</v>
      </c>
      <c r="M77" s="425" cm="1">
        <f t="array" ref="M77">($D$5/G77)*(C77*Linterp($D$6,atmos_h,atmos_vela)/L77)</f>
        <v>4928.8839911585037</v>
      </c>
      <c r="N77" s="55">
        <f t="shared" si="24"/>
        <v>11.011771986018282</v>
      </c>
      <c r="O77" s="426">
        <f t="shared" si="25"/>
        <v>0.49288839911585036</v>
      </c>
      <c r="P77" s="12"/>
      <c r="Q77" s="7">
        <f t="shared" si="26"/>
        <v>0.76</v>
      </c>
      <c r="R77" s="314" cm="1">
        <f t="array" ref="R77">numeng*InterpolateXY($D$6,$Q77,Tmil_h,Tmil_M,Tmil_table)</f>
        <v>1990.3562324206653</v>
      </c>
      <c r="S77" s="12" cm="1">
        <f t="array" ref="S77">numeng*InterpolateXY($D$6,$Q77,Tmax_h,Tmax_M,Tmax_table)</f>
        <v>3536.249456548896</v>
      </c>
      <c r="T77" s="16">
        <f t="shared" si="27"/>
        <v>935.14013638269023</v>
      </c>
      <c r="U77" s="55">
        <f t="shared" si="28"/>
        <v>1055.2160960379751</v>
      </c>
      <c r="V77" s="426">
        <f t="shared" si="29"/>
        <v>2601.1093201662056</v>
      </c>
    </row>
    <row r="78" spans="2:22">
      <c r="B78" s="120">
        <f t="shared" si="30"/>
        <v>30000</v>
      </c>
      <c r="C78" s="7">
        <v>0.77</v>
      </c>
      <c r="D78" s="7">
        <f t="shared" si="15"/>
        <v>765.89564089753526</v>
      </c>
      <c r="E78" s="11">
        <f t="shared" si="17"/>
        <v>0.22553409474454267</v>
      </c>
      <c r="F78" s="19">
        <f t="shared" si="21"/>
        <v>2.1255880921533916E-2</v>
      </c>
      <c r="G78" s="16">
        <f t="shared" si="18"/>
        <v>942.46862965929688</v>
      </c>
      <c r="H78" s="12">
        <f t="shared" si="19"/>
        <v>1900.5665966744837</v>
      </c>
      <c r="I78" s="12">
        <f t="shared" si="20"/>
        <v>1845.6493094415237</v>
      </c>
      <c r="J78" s="141">
        <f t="shared" si="22"/>
        <v>0.49588824264741965</v>
      </c>
      <c r="K78" s="267" cm="1">
        <f t="array" ref="K78">InterpolateXYZ(J78,C78,B78,FFnorm_PS,FFnorm_M,FFnorm_h,FFnorm_table)*numeng</f>
        <v>915.2357926023808</v>
      </c>
      <c r="L78" s="11">
        <f t="shared" si="23"/>
        <v>0.9711047814219973</v>
      </c>
      <c r="M78" s="425" cm="1">
        <f t="array" ref="M78">($D$5/G78)*(C78*Linterp($D$6,atmos_h,atmos_vela)/L78)</f>
        <v>4954.9071798827272</v>
      </c>
      <c r="N78" s="55">
        <f t="shared" si="24"/>
        <v>10.926146115380831</v>
      </c>
      <c r="O78" s="426">
        <f t="shared" si="25"/>
        <v>0.49549071798827271</v>
      </c>
      <c r="P78" s="12"/>
      <c r="Q78" s="7">
        <f t="shared" si="26"/>
        <v>0.77</v>
      </c>
      <c r="R78" s="314" cm="1">
        <f t="array" ref="R78">numeng*InterpolateXY($D$6,$Q78,Tmil_h,Tmil_M,Tmil_table)</f>
        <v>1997.8387746478106</v>
      </c>
      <c r="S78" s="12" cm="1">
        <f t="array" ref="S78">numeng*InterpolateXY($D$6,$Q78,Tmax_h,Tmax_M,Tmax_table)</f>
        <v>3555.7040663394737</v>
      </c>
      <c r="T78" s="16">
        <f t="shared" si="27"/>
        <v>942.46862965929688</v>
      </c>
      <c r="U78" s="55">
        <f t="shared" si="28"/>
        <v>1055.3701449885139</v>
      </c>
      <c r="V78" s="426">
        <f t="shared" si="29"/>
        <v>2613.2354366801769</v>
      </c>
    </row>
    <row r="79" spans="2:22">
      <c r="B79" s="120">
        <f t="shared" si="30"/>
        <v>30000</v>
      </c>
      <c r="C79" s="7">
        <v>0.78</v>
      </c>
      <c r="D79" s="7">
        <f t="shared" si="15"/>
        <v>775.84233753256819</v>
      </c>
      <c r="E79" s="11">
        <f t="shared" si="17"/>
        <v>0.21978823927356891</v>
      </c>
      <c r="F79" s="19">
        <f t="shared" si="21"/>
        <v>2.0876764954598059E-2</v>
      </c>
      <c r="G79" s="16">
        <f t="shared" si="18"/>
        <v>949.85814635026452</v>
      </c>
      <c r="H79" s="12">
        <f t="shared" si="19"/>
        <v>1908.0491423306823</v>
      </c>
      <c r="I79" s="12">
        <f t="shared" si="20"/>
        <v>1852.9156453054666</v>
      </c>
      <c r="J79" s="141">
        <f t="shared" si="22"/>
        <v>0.49781639543623735</v>
      </c>
      <c r="K79" s="267" cm="1">
        <f t="array" ref="K79">InterpolateXYZ(J79,C79,B79,FFnorm_PS,FFnorm_M,FFnorm_h,FFnorm_table)*numeng</f>
        <v>922.41178759337708</v>
      </c>
      <c r="L79" s="11">
        <f t="shared" si="23"/>
        <v>0.97110478142199719</v>
      </c>
      <c r="M79" s="425" cm="1">
        <f t="array" ref="M79">($D$5/G79)*(C79*Linterp($D$6,atmos_h,atmos_vela)/L79)</f>
        <v>4980.2088135962131</v>
      </c>
      <c r="N79" s="55">
        <f t="shared" si="24"/>
        <v>10.841145066121227</v>
      </c>
      <c r="O79" s="426">
        <f t="shared" si="25"/>
        <v>0.4980208813596213</v>
      </c>
      <c r="P79" s="12"/>
      <c r="Q79" s="7">
        <f t="shared" si="26"/>
        <v>0.78</v>
      </c>
      <c r="R79" s="314" cm="1">
        <f t="array" ref="R79">numeng*InterpolateXY($D$6,$Q79,Tmil_h,Tmil_M,Tmil_table)</f>
        <v>2005.321316874956</v>
      </c>
      <c r="S79" s="12" cm="1">
        <f t="array" ref="S79">numeng*InterpolateXY($D$6,$Q79,Tmax_h,Tmax_M,Tmax_table)</f>
        <v>3575.1586761300518</v>
      </c>
      <c r="T79" s="16">
        <f t="shared" si="27"/>
        <v>949.85814635026452</v>
      </c>
      <c r="U79" s="55">
        <f t="shared" si="28"/>
        <v>1055.4631705246916</v>
      </c>
      <c r="V79" s="426">
        <f t="shared" si="29"/>
        <v>2625.3005297797872</v>
      </c>
    </row>
    <row r="80" spans="2:22">
      <c r="B80" s="120">
        <f t="shared" si="30"/>
        <v>30000</v>
      </c>
      <c r="C80" s="7">
        <v>0.79</v>
      </c>
      <c r="D80" s="7">
        <f t="shared" si="15"/>
        <v>785.78903416760113</v>
      </c>
      <c r="E80" s="11">
        <f t="shared" si="17"/>
        <v>0.21425919688197301</v>
      </c>
      <c r="F80" s="19">
        <f t="shared" si="21"/>
        <v>2.0511199805123309E-2</v>
      </c>
      <c r="G80" s="16">
        <f t="shared" si="18"/>
        <v>957.3077890524404</v>
      </c>
      <c r="H80" s="12">
        <f t="shared" si="19"/>
        <v>1915.5316879868813</v>
      </c>
      <c r="I80" s="12">
        <f t="shared" si="20"/>
        <v>1860.1819811694097</v>
      </c>
      <c r="J80" s="141">
        <f t="shared" si="22"/>
        <v>0.499760873211405</v>
      </c>
      <c r="K80" s="267" cm="1">
        <f t="array" ref="K80">InterpolateXYZ(J80,C80,B80,FFnorm_PS,FFnorm_M,FFnorm_h,FFnorm_table)*numeng</f>
        <v>929.64617124134554</v>
      </c>
      <c r="L80" s="11">
        <f t="shared" si="23"/>
        <v>0.97110478142199719</v>
      </c>
      <c r="M80" s="425" cm="1">
        <f t="array" ref="M80">($D$5/G80)*(C80*Linterp($D$6,atmos_h,atmos_vela)/L80)</f>
        <v>5004.8054545432715</v>
      </c>
      <c r="N80" s="55">
        <f t="shared" si="24"/>
        <v>10.756780707919358</v>
      </c>
      <c r="O80" s="426">
        <f t="shared" si="25"/>
        <v>0.50048054545432719</v>
      </c>
      <c r="P80" s="12"/>
      <c r="Q80" s="7">
        <f t="shared" si="26"/>
        <v>0.79</v>
      </c>
      <c r="R80" s="314" cm="1">
        <f t="array" ref="R80">numeng*InterpolateXY($D$6,$Q80,Tmil_h,Tmil_M,Tmil_table)</f>
        <v>2012.8038591021013</v>
      </c>
      <c r="S80" s="12" cm="1">
        <f t="array" ref="S80">numeng*InterpolateXY($D$6,$Q80,Tmax_h,Tmax_M,Tmax_table)</f>
        <v>3594.61328592063</v>
      </c>
      <c r="T80" s="16">
        <f t="shared" si="27"/>
        <v>957.3077890524404</v>
      </c>
      <c r="U80" s="55">
        <f t="shared" si="28"/>
        <v>1055.4960700496608</v>
      </c>
      <c r="V80" s="426">
        <f t="shared" si="29"/>
        <v>2637.3054968681895</v>
      </c>
    </row>
    <row r="81" spans="2:22">
      <c r="B81" s="120">
        <f t="shared" si="30"/>
        <v>30000</v>
      </c>
      <c r="C81" s="7">
        <v>0.8</v>
      </c>
      <c r="D81" s="7">
        <f t="shared" si="15"/>
        <v>795.73573080263407</v>
      </c>
      <c r="E81" s="11">
        <f t="shared" si="17"/>
        <v>0.20893619495943644</v>
      </c>
      <c r="F81" s="19">
        <f t="shared" si="21"/>
        <v>2.0158512184964776E-2</v>
      </c>
      <c r="G81" s="16">
        <f t="shared" si="18"/>
        <v>964.81666036267256</v>
      </c>
      <c r="H81" s="12">
        <f t="shared" si="19"/>
        <v>1923.0142336430799</v>
      </c>
      <c r="I81" s="12">
        <f t="shared" si="20"/>
        <v>1867.4483170333526</v>
      </c>
      <c r="J81" s="141">
        <f t="shared" si="22"/>
        <v>0.50172101874402808</v>
      </c>
      <c r="K81" s="267" cm="1">
        <f t="array" ref="K81">InterpolateXYZ(J81,C81,B81,FFnorm_PS,FFnorm_M,FFnorm_h,FFnorm_table)*numeng</f>
        <v>936.9380720737945</v>
      </c>
      <c r="L81" s="11">
        <f t="shared" si="23"/>
        <v>0.9711047814219973</v>
      </c>
      <c r="M81" s="425" cm="1">
        <f t="array" ref="M81">($D$5/G81)*(C81*Linterp($D$6,atmos_h,atmos_vela)/L81)</f>
        <v>5028.7135119632976</v>
      </c>
      <c r="N81" s="55">
        <f t="shared" si="24"/>
        <v>10.673063992229771</v>
      </c>
      <c r="O81" s="426">
        <f t="shared" si="25"/>
        <v>0.50287135119632975</v>
      </c>
      <c r="P81" s="12"/>
      <c r="Q81" s="7">
        <f t="shared" si="26"/>
        <v>0.8</v>
      </c>
      <c r="R81" s="314" cm="1">
        <f t="array" ref="R81">numeng*InterpolateXY($D$6,$Q81,Tmil_h,Tmil_M,Tmil_table)</f>
        <v>2020.2864013292467</v>
      </c>
      <c r="S81" s="12" cm="1">
        <f t="array" ref="S81">numeng*InterpolateXY($D$6,$Q81,Tmax_h,Tmax_M,Tmax_table)</f>
        <v>3614.0678957112077</v>
      </c>
      <c r="T81" s="16">
        <f t="shared" si="27"/>
        <v>964.81666036267256</v>
      </c>
      <c r="U81" s="55">
        <f t="shared" si="28"/>
        <v>1055.4697409665741</v>
      </c>
      <c r="V81" s="426">
        <f t="shared" si="29"/>
        <v>2649.2512353485354</v>
      </c>
    </row>
    <row r="82" spans="2:22">
      <c r="B82" s="120">
        <f t="shared" si="30"/>
        <v>30000</v>
      </c>
      <c r="C82" s="7">
        <v>0.81</v>
      </c>
      <c r="D82" s="7">
        <f t="shared" si="15"/>
        <v>805.682427437667</v>
      </c>
      <c r="E82" s="11">
        <f t="shared" si="17"/>
        <v>0.20380912174064827</v>
      </c>
      <c r="F82" s="19">
        <f t="shared" si="21"/>
        <v>1.9918070108790514E-2</v>
      </c>
      <c r="G82" s="16">
        <f t="shared" si="18"/>
        <v>977.2904146133709</v>
      </c>
      <c r="H82" s="12">
        <f t="shared" si="19"/>
        <v>1930.4967792992786</v>
      </c>
      <c r="I82" s="12">
        <f t="shared" si="20"/>
        <v>1874.7146528972955</v>
      </c>
      <c r="J82" s="141">
        <f t="shared" si="22"/>
        <v>0.50623778557563948</v>
      </c>
      <c r="K82" s="267" cm="1">
        <f t="array" ref="K82">InterpolateXYZ(J82,C82,B82,FFnorm_PS,FFnorm_M,FFnorm_h,FFnorm_table)*numeng</f>
        <v>949.05139446893054</v>
      </c>
      <c r="L82" s="11">
        <f t="shared" si="23"/>
        <v>0.97110478142199719</v>
      </c>
      <c r="M82" s="425" cm="1">
        <f t="array" ref="M82">($D$5/G82)*(C82*Linterp($D$6,atmos_h,atmos_vela)/L82)</f>
        <v>5026.5855832456555</v>
      </c>
      <c r="N82" s="55">
        <f t="shared" si="24"/>
        <v>10.536837160010489</v>
      </c>
      <c r="O82" s="426">
        <f t="shared" si="25"/>
        <v>0.50265855832456552</v>
      </c>
      <c r="P82" s="12"/>
      <c r="Q82" s="7">
        <f t="shared" si="26"/>
        <v>0.81</v>
      </c>
      <c r="R82" s="314" cm="1">
        <f t="array" ref="R82">numeng*InterpolateXY($D$6,$Q82,Tmil_h,Tmil_M,Tmil_table)</f>
        <v>2027.7689435563921</v>
      </c>
      <c r="S82" s="12" cm="1">
        <f t="array" ref="S82">numeng*InterpolateXY($D$6,$Q82,Tmax_h,Tmax_M,Tmax_table)</f>
        <v>3633.5225055017859</v>
      </c>
      <c r="T82" s="16">
        <f t="shared" si="27"/>
        <v>977.2904146133709</v>
      </c>
      <c r="U82" s="55">
        <f t="shared" si="28"/>
        <v>1050.478528943021</v>
      </c>
      <c r="V82" s="426">
        <f t="shared" si="29"/>
        <v>2656.2320908884149</v>
      </c>
    </row>
    <row r="83" spans="2:22">
      <c r="B83" s="120">
        <f t="shared" si="30"/>
        <v>30000</v>
      </c>
      <c r="C83" s="7">
        <v>0.82</v>
      </c>
      <c r="D83" s="7">
        <f t="shared" si="15"/>
        <v>815.62912407269982</v>
      </c>
      <c r="E83" s="11">
        <f t="shared" si="17"/>
        <v>0.1988684782481252</v>
      </c>
      <c r="F83" s="19">
        <f t="shared" si="21"/>
        <v>1.9717567934304694E-2</v>
      </c>
      <c r="G83" s="16">
        <f t="shared" si="18"/>
        <v>991.48784704348088</v>
      </c>
      <c r="H83" s="12">
        <f t="shared" si="19"/>
        <v>1937.9793249554773</v>
      </c>
      <c r="I83" s="12">
        <f t="shared" si="20"/>
        <v>1881.9809887612387</v>
      </c>
      <c r="J83" s="141">
        <f t="shared" si="22"/>
        <v>0.51160909421273582</v>
      </c>
      <c r="K83" s="267" cm="1">
        <f t="array" ref="K83">InterpolateXYZ(J83,C83,B83,FFnorm_PS,FFnorm_M,FFnorm_h,FFnorm_table)*numeng</f>
        <v>962.83858898572623</v>
      </c>
      <c r="L83" s="11">
        <f t="shared" si="23"/>
        <v>0.9711047814219973</v>
      </c>
      <c r="M83" s="425" cm="1">
        <f t="array" ref="M83">($D$5/G83)*(C83*Linterp($D$6,atmos_h,atmos_vela)/L83)</f>
        <v>5015.7762959734109</v>
      </c>
      <c r="N83" s="55">
        <f t="shared" si="24"/>
        <v>10.385956809784913</v>
      </c>
      <c r="O83" s="426">
        <f t="shared" si="25"/>
        <v>0.50157762959734109</v>
      </c>
      <c r="P83" s="12"/>
      <c r="Q83" s="7">
        <f t="shared" si="26"/>
        <v>0.82</v>
      </c>
      <c r="R83" s="314" cm="1">
        <f t="array" ref="R83">numeng*InterpolateXY($D$6,$Q83,Tmil_h,Tmil_M,Tmil_table)</f>
        <v>2035.2514857835374</v>
      </c>
      <c r="S83" s="12" cm="1">
        <f t="array" ref="S83">numeng*InterpolateXY($D$6,$Q83,Tmax_h,Tmax_M,Tmax_table)</f>
        <v>3652.9771152923636</v>
      </c>
      <c r="T83" s="16">
        <f t="shared" si="27"/>
        <v>991.48784704348088</v>
      </c>
      <c r="U83" s="55">
        <f t="shared" si="28"/>
        <v>1043.7636387400566</v>
      </c>
      <c r="V83" s="426">
        <f t="shared" si="29"/>
        <v>2661.4892682488826</v>
      </c>
    </row>
    <row r="84" spans="2:22">
      <c r="B84" s="120">
        <f t="shared" si="30"/>
        <v>30000</v>
      </c>
      <c r="C84" s="7">
        <v>0.83</v>
      </c>
      <c r="D84" s="7">
        <f t="shared" si="15"/>
        <v>825.57582070773276</v>
      </c>
      <c r="E84" s="11">
        <f t="shared" si="17"/>
        <v>0.19410533426337551</v>
      </c>
      <c r="F84" s="19">
        <f t="shared" si="21"/>
        <v>1.961895003487658E-2</v>
      </c>
      <c r="G84" s="16">
        <f t="shared" si="18"/>
        <v>1010.7372942289282</v>
      </c>
      <c r="H84" s="12">
        <f t="shared" si="19"/>
        <v>1945.4618706116762</v>
      </c>
      <c r="I84" s="12">
        <f t="shared" si="20"/>
        <v>1889.2473246251816</v>
      </c>
      <c r="J84" s="141">
        <f t="shared" si="22"/>
        <v>0.51953590532778748</v>
      </c>
      <c r="K84" s="267" cm="1">
        <f t="array" ref="K84">InterpolateXYZ(J84,C84,B84,FFnorm_PS,FFnorm_M,FFnorm_h,FFnorm_table)*numeng</f>
        <v>981.5318191872442</v>
      </c>
      <c r="L84" s="11">
        <f t="shared" si="23"/>
        <v>0.97110478142199719</v>
      </c>
      <c r="M84" s="425" cm="1">
        <f t="array" ref="M84">($D$5/G84)*(C84*Linterp($D$6,atmos_h,atmos_vela)/L84)</f>
        <v>4980.2541193388925</v>
      </c>
      <c r="N84" s="55">
        <f t="shared" si="24"/>
        <v>10.188156720462189</v>
      </c>
      <c r="O84" s="426">
        <f t="shared" si="25"/>
        <v>0.49802541193388927</v>
      </c>
      <c r="P84" s="12"/>
      <c r="Q84" s="7">
        <f t="shared" si="26"/>
        <v>0.83</v>
      </c>
      <c r="R84" s="314" cm="1">
        <f t="array" ref="R84">numeng*InterpolateXY($D$6,$Q84,Tmil_h,Tmil_M,Tmil_table)</f>
        <v>2042.7340280106826</v>
      </c>
      <c r="S84" s="12" cm="1">
        <f t="array" ref="S84">numeng*InterpolateXY($D$6,$Q84,Tmax_h,Tmax_M,Tmax_table)</f>
        <v>3672.4317250829413</v>
      </c>
      <c r="T84" s="16">
        <f t="shared" si="27"/>
        <v>1010.7372942289282</v>
      </c>
      <c r="U84" s="55">
        <f t="shared" si="28"/>
        <v>1031.9967337817543</v>
      </c>
      <c r="V84" s="426">
        <f t="shared" si="29"/>
        <v>2661.6944308540133</v>
      </c>
    </row>
    <row r="85" spans="2:22">
      <c r="B85" s="120">
        <f t="shared" si="30"/>
        <v>30000</v>
      </c>
      <c r="C85" s="7">
        <v>0.84</v>
      </c>
      <c r="D85" s="7">
        <f t="shared" ref="D85:D101" si="31">C85*H$6</f>
        <v>835.5225173427657</v>
      </c>
      <c r="E85" s="11">
        <f t="shared" si="17"/>
        <v>0.18951128794506714</v>
      </c>
      <c r="F85" s="19">
        <f t="shared" si="21"/>
        <v>1.9526673297940018E-2</v>
      </c>
      <c r="G85" s="16">
        <f t="shared" si="18"/>
        <v>1030.3699325604359</v>
      </c>
      <c r="H85" s="12">
        <f t="shared" si="19"/>
        <v>1952.9444162678749</v>
      </c>
      <c r="I85" s="12">
        <f t="shared" si="20"/>
        <v>1896.5136604891245</v>
      </c>
      <c r="J85" s="141">
        <f t="shared" si="22"/>
        <v>0.52759818660353808</v>
      </c>
      <c r="K85" s="267" cm="1">
        <f t="array" ref="K85">InterpolateXYZ(J85,C85,B85,FFnorm_PS,FFnorm_M,FFnorm_h,FFnorm_table)*numeng</f>
        <v>1000.5971681429003</v>
      </c>
      <c r="L85" s="11">
        <f t="shared" si="23"/>
        <v>0.9711047814219973</v>
      </c>
      <c r="M85" s="425" cm="1">
        <f t="array" ref="M85">($D$5/G85)*(C85*Linterp($D$6,atmos_h,atmos_vela)/L85)</f>
        <v>4944.2202692195897</v>
      </c>
      <c r="N85" s="55">
        <f t="shared" si="24"/>
        <v>9.994031882540618</v>
      </c>
      <c r="O85" s="426">
        <f t="shared" si="25"/>
        <v>0.49442202692195897</v>
      </c>
      <c r="P85" s="12"/>
      <c r="Q85" s="7">
        <f t="shared" si="26"/>
        <v>0.84</v>
      </c>
      <c r="R85" s="314" cm="1">
        <f t="array" ref="R85">numeng*InterpolateXY($D$6,$Q85,Tmil_h,Tmil_M,Tmil_table)</f>
        <v>2050.2165702378279</v>
      </c>
      <c r="S85" s="12" cm="1">
        <f t="array" ref="S85">numeng*InterpolateXY($D$6,$Q85,Tmax_h,Tmax_M,Tmax_table)</f>
        <v>3691.8863348735194</v>
      </c>
      <c r="T85" s="16">
        <f t="shared" si="27"/>
        <v>1030.3699325604359</v>
      </c>
      <c r="U85" s="55">
        <f t="shared" si="28"/>
        <v>1019.846637677392</v>
      </c>
      <c r="V85" s="426">
        <f t="shared" si="29"/>
        <v>2661.5164023130837</v>
      </c>
    </row>
    <row r="86" spans="2:22">
      <c r="B86" s="120">
        <f t="shared" si="30"/>
        <v>30000</v>
      </c>
      <c r="C86" s="7">
        <v>0.85</v>
      </c>
      <c r="D86" s="7">
        <f t="shared" si="31"/>
        <v>845.46921397779863</v>
      </c>
      <c r="E86" s="11">
        <f t="shared" si="17"/>
        <v>0.18507842875299568</v>
      </c>
      <c r="F86" s="19">
        <f t="shared" si="21"/>
        <v>1.9440441078237339E-2</v>
      </c>
      <c r="G86" s="16">
        <f t="shared" si="18"/>
        <v>1050.3893516506134</v>
      </c>
      <c r="H86" s="12">
        <f t="shared" si="19"/>
        <v>1960.4269619240736</v>
      </c>
      <c r="I86" s="12">
        <f t="shared" si="20"/>
        <v>1903.7799963530676</v>
      </c>
      <c r="J86" s="141">
        <f t="shared" si="22"/>
        <v>0.53579621789107723</v>
      </c>
      <c r="K86" s="267" cm="1">
        <f t="array" ref="K86">InterpolateXYZ(J86,C86,B86,FFnorm_PS,FFnorm_M,FFnorm_h,FFnorm_table)*numeng</f>
        <v>1020.0381217426624</v>
      </c>
      <c r="L86" s="11">
        <f t="shared" si="23"/>
        <v>0.9711047814219973</v>
      </c>
      <c r="M86" s="425" cm="1">
        <f t="array" ref="M86">($D$5/G86)*(C86*Linterp($D$6,atmos_h,atmos_vela)/L86)</f>
        <v>4907.726101245823</v>
      </c>
      <c r="N86" s="55">
        <f t="shared" si="24"/>
        <v>9.8035551680320658</v>
      </c>
      <c r="O86" s="426">
        <f t="shared" si="25"/>
        <v>0.49077261012458229</v>
      </c>
      <c r="P86" s="12"/>
      <c r="Q86" s="7">
        <f t="shared" si="26"/>
        <v>0.85</v>
      </c>
      <c r="R86" s="314" cm="1">
        <f t="array" ref="R86">numeng*InterpolateXY($D$6,$Q86,Tmil_h,Tmil_M,Tmil_table)</f>
        <v>2057.6991124649735</v>
      </c>
      <c r="S86" s="12" cm="1">
        <f t="array" ref="S86">numeng*InterpolateXY($D$6,$Q86,Tmax_h,Tmax_M,Tmax_table)</f>
        <v>3711.3409446640972</v>
      </c>
      <c r="T86" s="16">
        <f t="shared" si="27"/>
        <v>1050.3893516506134</v>
      </c>
      <c r="U86" s="55">
        <f t="shared" si="28"/>
        <v>1007.3097608143601</v>
      </c>
      <c r="V86" s="426">
        <f t="shared" si="29"/>
        <v>2660.9515930134839</v>
      </c>
    </row>
    <row r="87" spans="2:22">
      <c r="B87" s="120">
        <f t="shared" si="30"/>
        <v>30000</v>
      </c>
      <c r="C87" s="7">
        <v>0.86</v>
      </c>
      <c r="D87" s="7">
        <f t="shared" si="31"/>
        <v>855.41591061283157</v>
      </c>
      <c r="E87" s="11">
        <f t="shared" si="17"/>
        <v>0.18079930337214625</v>
      </c>
      <c r="F87" s="19">
        <f t="shared" si="21"/>
        <v>1.9486821834657813E-2</v>
      </c>
      <c r="G87" s="16">
        <f t="shared" si="18"/>
        <v>1077.8150950364743</v>
      </c>
      <c r="H87" s="12">
        <f t="shared" si="19"/>
        <v>1967.9095075802725</v>
      </c>
      <c r="I87" s="12">
        <f t="shared" si="20"/>
        <v>1911.0463322170106</v>
      </c>
      <c r="J87" s="141">
        <f t="shared" si="22"/>
        <v>0.54769545595709235</v>
      </c>
      <c r="K87" s="267" cm="1">
        <f t="array" ref="K87">InterpolateXYZ(J87,C87,B87,FFnorm_PS,FFnorm_M,FFnorm_h,FFnorm_table)*numeng</f>
        <v>1046.6713922787246</v>
      </c>
      <c r="L87" s="11">
        <f t="shared" si="23"/>
        <v>0.9711047814219973</v>
      </c>
      <c r="M87" s="425" cm="1">
        <f t="array" ref="M87">($D$5/G87)*(C87*Linterp($D$6,atmos_h,atmos_vela)/L87)</f>
        <v>4839.1144211953651</v>
      </c>
      <c r="N87" s="55">
        <f t="shared" si="24"/>
        <v>9.5540969914433642</v>
      </c>
      <c r="O87" s="426">
        <f t="shared" si="25"/>
        <v>0.48391144211953652</v>
      </c>
      <c r="P87" s="12"/>
      <c r="Q87" s="7">
        <f t="shared" si="26"/>
        <v>0.86</v>
      </c>
      <c r="R87" s="314" cm="1">
        <f t="array" ref="R87">numeng*InterpolateXY($D$6,$Q87,Tmil_h,Tmil_M,Tmil_table)</f>
        <v>2065.1816546921186</v>
      </c>
      <c r="S87" s="12" cm="1">
        <f t="array" ref="S87">numeng*InterpolateXY($D$6,$Q87,Tmax_h,Tmax_M,Tmax_table)</f>
        <v>3730.7955544546753</v>
      </c>
      <c r="T87" s="16">
        <f t="shared" si="27"/>
        <v>1077.8150950364743</v>
      </c>
      <c r="U87" s="55">
        <f t="shared" si="28"/>
        <v>987.36655965564432</v>
      </c>
      <c r="V87" s="426">
        <f t="shared" si="29"/>
        <v>2652.980459418201</v>
      </c>
    </row>
    <row r="88" spans="2:22">
      <c r="B88" s="120">
        <f t="shared" si="30"/>
        <v>30000</v>
      </c>
      <c r="C88" s="7">
        <v>0.87</v>
      </c>
      <c r="D88" s="7">
        <f t="shared" si="31"/>
        <v>865.3626072478645</v>
      </c>
      <c r="E88" s="11">
        <f t="shared" si="17"/>
        <v>0.17666688436258338</v>
      </c>
      <c r="F88" s="19">
        <f t="shared" si="21"/>
        <v>1.9538208189720387E-2</v>
      </c>
      <c r="G88" s="16">
        <f t="shared" si="18"/>
        <v>1105.9349498472516</v>
      </c>
      <c r="H88" s="12">
        <f t="shared" si="19"/>
        <v>1975.3920532364712</v>
      </c>
      <c r="I88" s="12">
        <f t="shared" si="20"/>
        <v>1918.3126680809537</v>
      </c>
      <c r="J88" s="141">
        <f t="shared" si="22"/>
        <v>0.55985592735138023</v>
      </c>
      <c r="K88" s="267" cm="1">
        <f t="array" ref="K88">InterpolateXYZ(J88,C88,B88,FFnorm_PS,FFnorm_M,FFnorm_h,FFnorm_table)*numeng</f>
        <v>1073.9787177383628</v>
      </c>
      <c r="L88" s="11">
        <f t="shared" si="23"/>
        <v>0.9711047814219973</v>
      </c>
      <c r="M88" s="425" cm="1">
        <f t="array" ref="M88">($D$5/G88)*(C88*Linterp($D$6,atmos_h,atmos_vela)/L88)</f>
        <v>4770.9116189053157</v>
      </c>
      <c r="N88" s="55">
        <f t="shared" si="24"/>
        <v>9.3111714737313331</v>
      </c>
      <c r="O88" s="426">
        <f t="shared" si="25"/>
        <v>0.47709116189053158</v>
      </c>
      <c r="P88" s="12"/>
      <c r="Q88" s="7">
        <f t="shared" si="26"/>
        <v>0.87</v>
      </c>
      <c r="R88" s="314" cm="1">
        <f t="array" ref="R88">numeng*InterpolateXY($D$6,$Q88,Tmil_h,Tmil_M,Tmil_table)</f>
        <v>2072.6641969192642</v>
      </c>
      <c r="S88" s="12" cm="1">
        <f t="array" ref="S88">numeng*InterpolateXY($D$6,$Q88,Tmax_h,Tmax_M,Tmax_table)</f>
        <v>3750.250164245253</v>
      </c>
      <c r="T88" s="16">
        <f t="shared" si="27"/>
        <v>1105.9349498472516</v>
      </c>
      <c r="U88" s="55">
        <f t="shared" si="28"/>
        <v>966.72924707201264</v>
      </c>
      <c r="V88" s="426">
        <f t="shared" si="29"/>
        <v>2644.3152143980014</v>
      </c>
    </row>
    <row r="89" spans="2:22">
      <c r="B89" s="120">
        <f t="shared" si="30"/>
        <v>30000</v>
      </c>
      <c r="C89" s="7">
        <v>0.88</v>
      </c>
      <c r="D89" s="7">
        <f t="shared" si="31"/>
        <v>875.30930388289744</v>
      </c>
      <c r="E89" s="11">
        <f t="shared" si="17"/>
        <v>0.17267454128879051</v>
      </c>
      <c r="F89" s="19">
        <f t="shared" si="21"/>
        <v>1.9594376715761627E-2</v>
      </c>
      <c r="G89" s="16">
        <f t="shared" si="18"/>
        <v>1134.7577106338395</v>
      </c>
      <c r="H89" s="12">
        <f t="shared" si="19"/>
        <v>1982.8745988926698</v>
      </c>
      <c r="I89" s="12">
        <f t="shared" si="20"/>
        <v>1925.5790039448966</v>
      </c>
      <c r="J89" s="141">
        <f t="shared" si="22"/>
        <v>0.57227910996869968</v>
      </c>
      <c r="K89" s="267" cm="1">
        <f t="array" ref="K89">InterpolateXYZ(J89,C89,B89,FFnorm_PS,FFnorm_M,FFnorm_h,FFnorm_table)*numeng</f>
        <v>1101.9686385520008</v>
      </c>
      <c r="L89" s="11">
        <f t="shared" si="23"/>
        <v>0.97110478142199741</v>
      </c>
      <c r="M89" s="425" cm="1">
        <f t="array" ref="M89">($D$5/G89)*(C89*Linterp($D$6,atmos_h,atmos_vela)/L89)</f>
        <v>4703.1760032767916</v>
      </c>
      <c r="N89" s="55">
        <f t="shared" si="24"/>
        <v>9.0746684162809874</v>
      </c>
      <c r="O89" s="426">
        <f t="shared" si="25"/>
        <v>0.47031760032767916</v>
      </c>
      <c r="P89" s="12"/>
      <c r="Q89" s="7">
        <f t="shared" si="26"/>
        <v>0.88</v>
      </c>
      <c r="R89" s="314" cm="1">
        <f t="array" ref="R89">numeng*InterpolateXY($D$6,$Q89,Tmil_h,Tmil_M,Tmil_table)</f>
        <v>2080.1467391464093</v>
      </c>
      <c r="S89" s="12" cm="1">
        <f t="array" ref="S89">numeng*InterpolateXY($D$6,$Q89,Tmax_h,Tmax_M,Tmax_table)</f>
        <v>3769.7047740358312</v>
      </c>
      <c r="T89" s="16">
        <f t="shared" si="27"/>
        <v>1134.7577106338395</v>
      </c>
      <c r="U89" s="55">
        <f t="shared" si="28"/>
        <v>945.38902851256989</v>
      </c>
      <c r="V89" s="426">
        <f t="shared" si="29"/>
        <v>2634.9470634019917</v>
      </c>
    </row>
    <row r="90" spans="2:22">
      <c r="B90" s="120">
        <f t="shared" si="30"/>
        <v>30000</v>
      </c>
      <c r="C90" s="7">
        <v>0.89</v>
      </c>
      <c r="D90" s="7">
        <f t="shared" si="31"/>
        <v>885.25600051793037</v>
      </c>
      <c r="E90" s="11">
        <f t="shared" si="17"/>
        <v>0.1688160141068544</v>
      </c>
      <c r="F90" s="19">
        <f t="shared" si="21"/>
        <v>1.9655116372392683E-2</v>
      </c>
      <c r="G90" s="16">
        <f t="shared" si="18"/>
        <v>1164.2921719471299</v>
      </c>
      <c r="H90" s="12">
        <f t="shared" si="19"/>
        <v>1990.3571445488687</v>
      </c>
      <c r="I90" s="12">
        <f t="shared" si="20"/>
        <v>1932.8453398088398</v>
      </c>
      <c r="J90" s="141">
        <f t="shared" si="22"/>
        <v>0.58496645947982695</v>
      </c>
      <c r="K90" s="267" cm="1">
        <f t="array" ref="K90">InterpolateXYZ(J90,C90,B90,FFnorm_PS,FFnorm_M,FFnorm_h,FFnorm_table)*numeng</f>
        <v>1130.6496951500601</v>
      </c>
      <c r="L90" s="11">
        <f t="shared" si="23"/>
        <v>0.9711047814219973</v>
      </c>
      <c r="M90" s="425" cm="1">
        <f t="array" ref="M90">($D$5/G90)*(C90*Linterp($D$6,atmos_h,atmos_vela)/L90)</f>
        <v>4635.960540184883</v>
      </c>
      <c r="N90" s="55">
        <f t="shared" si="24"/>
        <v>8.8444723798141549</v>
      </c>
      <c r="O90" s="426">
        <f t="shared" si="25"/>
        <v>0.4635960540184883</v>
      </c>
      <c r="P90" s="12"/>
      <c r="Q90" s="7">
        <f t="shared" si="26"/>
        <v>0.89</v>
      </c>
      <c r="R90" s="314" cm="1">
        <f t="array" ref="R90">numeng*InterpolateXY($D$6,$Q90,Tmil_h,Tmil_M,Tmil_table)</f>
        <v>2087.6292813735549</v>
      </c>
      <c r="S90" s="12" cm="1">
        <f t="array" ref="S90">numeng*InterpolateXY($D$6,$Q90,Tmax_h,Tmax_M,Tmax_table)</f>
        <v>3789.1593838264089</v>
      </c>
      <c r="T90" s="16">
        <f t="shared" si="27"/>
        <v>1164.2921719471299</v>
      </c>
      <c r="U90" s="55">
        <f t="shared" si="28"/>
        <v>923.33710942642506</v>
      </c>
      <c r="V90" s="426">
        <f t="shared" si="29"/>
        <v>2624.8672118792792</v>
      </c>
    </row>
    <row r="91" spans="2:22">
      <c r="B91" s="120">
        <f t="shared" si="30"/>
        <v>30000</v>
      </c>
      <c r="C91" s="7">
        <v>0.9</v>
      </c>
      <c r="D91" s="7">
        <f t="shared" si="31"/>
        <v>895.20269715296331</v>
      </c>
      <c r="E91" s="11">
        <f t="shared" si="17"/>
        <v>0.16508538860992511</v>
      </c>
      <c r="F91" s="19">
        <f t="shared" si="21"/>
        <v>1.972022768945517E-2</v>
      </c>
      <c r="G91" s="16">
        <f t="shared" si="18"/>
        <v>1194.5471283380173</v>
      </c>
      <c r="H91" s="12">
        <f t="shared" si="19"/>
        <v>1997.8396902050674</v>
      </c>
      <c r="I91" s="12">
        <f t="shared" si="20"/>
        <v>1940.1116756727827</v>
      </c>
      <c r="J91" s="141">
        <f t="shared" si="22"/>
        <v>0.59791940974773783</v>
      </c>
      <c r="K91" s="267" cm="1">
        <f t="array" ref="K91">InterpolateXYZ(J91,C91,B91,FFnorm_PS,FFnorm_M,FFnorm_h,FFnorm_table)*numeng</f>
        <v>1160.0304279629647</v>
      </c>
      <c r="L91" s="11">
        <f t="shared" si="23"/>
        <v>0.97110478142199719</v>
      </c>
      <c r="M91" s="425" cm="1">
        <f t="array" ref="M91">($D$5/G91)*(C91*Linterp($D$6,atmos_h,atmos_vela)/L91)</f>
        <v>4569.3131473128478</v>
      </c>
      <c r="N91" s="55">
        <f t="shared" si="24"/>
        <v>8.6204635317714793</v>
      </c>
      <c r="O91" s="426">
        <f t="shared" si="25"/>
        <v>0.45693131473128479</v>
      </c>
      <c r="P91" s="12"/>
      <c r="Q91" s="7">
        <f t="shared" si="26"/>
        <v>0.9</v>
      </c>
      <c r="R91" s="314" cm="1">
        <f t="array" ref="R91">numeng*InterpolateXY($D$6,$Q91,Tmil_h,Tmil_M,Tmil_table)</f>
        <v>2095.1118236007001</v>
      </c>
      <c r="S91" s="12" cm="1">
        <f t="array" ref="S91">numeng*InterpolateXY($D$6,$Q91,Tmax_h,Tmax_M,Tmax_table)</f>
        <v>3808.613993616987</v>
      </c>
      <c r="T91" s="16">
        <f t="shared" si="27"/>
        <v>1194.5471283380173</v>
      </c>
      <c r="U91" s="55">
        <f t="shared" si="28"/>
        <v>900.56469526268279</v>
      </c>
      <c r="V91" s="426">
        <f t="shared" si="29"/>
        <v>2614.06686527897</v>
      </c>
    </row>
    <row r="92" spans="2:22">
      <c r="B92" s="120">
        <f t="shared" si="30"/>
        <v>30000</v>
      </c>
      <c r="C92" s="7">
        <v>0.91</v>
      </c>
      <c r="D92" s="7">
        <f t="shared" si="31"/>
        <v>905.14939378799625</v>
      </c>
      <c r="E92" s="11">
        <f t="shared" si="17"/>
        <v>0.16147707375200984</v>
      </c>
      <c r="F92" s="19">
        <f t="shared" si="21"/>
        <v>1.9848054948888774E-2</v>
      </c>
      <c r="G92" s="16">
        <f t="shared" si="18"/>
        <v>1229.1562193758004</v>
      </c>
      <c r="H92" s="12">
        <f t="shared" si="19"/>
        <v>2005.3222358612661</v>
      </c>
      <c r="I92" s="12">
        <f t="shared" si="20"/>
        <v>1947.3780115367256</v>
      </c>
      <c r="J92" s="141">
        <f t="shared" si="22"/>
        <v>0.61294698547432702</v>
      </c>
      <c r="K92" s="267" cm="1">
        <f t="array" ref="K92">InterpolateXYZ(J92,C92,B92,FFnorm_PS,FFnorm_M,FFnorm_h,FFnorm_table)*numeng</f>
        <v>1193.6394817504254</v>
      </c>
      <c r="L92" s="11">
        <f t="shared" si="23"/>
        <v>0.97110478142199741</v>
      </c>
      <c r="M92" s="425" cm="1">
        <f t="array" ref="M92">($D$5/G92)*(C92*Linterp($D$6,atmos_h,atmos_vela)/L92)</f>
        <v>4489.9965877478344</v>
      </c>
      <c r="N92" s="55">
        <f t="shared" si="24"/>
        <v>8.3777389679967644</v>
      </c>
      <c r="O92" s="426">
        <f t="shared" si="25"/>
        <v>0.44899965877478343</v>
      </c>
      <c r="P92" s="12"/>
      <c r="Q92" s="7">
        <f t="shared" si="26"/>
        <v>0.91</v>
      </c>
      <c r="R92" s="314" cm="1">
        <f t="array" ref="R92">numeng*InterpolateXY($D$6,$Q92,Tmil_h,Tmil_M,Tmil_table)</f>
        <v>2102.5943658278456</v>
      </c>
      <c r="S92" s="12" cm="1">
        <f t="array" ref="S92">numeng*InterpolateXY($D$6,$Q92,Tmax_h,Tmax_M,Tmax_table)</f>
        <v>3828.0686034075652</v>
      </c>
      <c r="T92" s="16">
        <f t="shared" si="27"/>
        <v>1229.1562193758004</v>
      </c>
      <c r="U92" s="55">
        <f t="shared" si="28"/>
        <v>873.4381464520452</v>
      </c>
      <c r="V92" s="426">
        <f t="shared" si="29"/>
        <v>2598.9123840317648</v>
      </c>
    </row>
    <row r="93" spans="2:22">
      <c r="B93" s="120">
        <f t="shared" si="30"/>
        <v>30000</v>
      </c>
      <c r="C93" s="7">
        <v>0.92</v>
      </c>
      <c r="D93" s="7">
        <f t="shared" si="31"/>
        <v>915.09609042302918</v>
      </c>
      <c r="E93" s="11">
        <f t="shared" si="17"/>
        <v>0.15798578068766461</v>
      </c>
      <c r="F93" s="19">
        <f t="shared" si="21"/>
        <v>1.9979258244200025E-2</v>
      </c>
      <c r="G93" s="16">
        <f t="shared" si="18"/>
        <v>1264.6238260960145</v>
      </c>
      <c r="H93" s="12">
        <f t="shared" si="19"/>
        <v>2012.804781517465</v>
      </c>
      <c r="I93" s="12">
        <f t="shared" si="20"/>
        <v>1954.6443474006687</v>
      </c>
      <c r="J93" s="141">
        <f t="shared" si="22"/>
        <v>0.62828935906174033</v>
      </c>
      <c r="K93" s="267" cm="1">
        <f t="array" ref="K93">InterpolateXYZ(J93,C93,B93,FFnorm_PS,FFnorm_M,FFnorm_h,FFnorm_table)*numeng</f>
        <v>1228.0822442220197</v>
      </c>
      <c r="L93" s="11">
        <f t="shared" si="23"/>
        <v>0.97110478142199697</v>
      </c>
      <c r="M93" s="425" cm="1">
        <f t="array" ref="M93">($D$5/G93)*(C93*Linterp($D$6,atmos_h,atmos_vela)/L93)</f>
        <v>4412.0270770459301</v>
      </c>
      <c r="N93" s="55">
        <f t="shared" si="24"/>
        <v>8.1427771202204138</v>
      </c>
      <c r="O93" s="426">
        <f t="shared" si="25"/>
        <v>0.44120270770459302</v>
      </c>
      <c r="P93" s="12"/>
      <c r="Q93" s="7">
        <f t="shared" si="26"/>
        <v>0.92</v>
      </c>
      <c r="R93" s="314" cm="1">
        <f t="array" ref="R93">numeng*InterpolateXY($D$6,$Q93,Tmil_h,Tmil_M,Tmil_table)</f>
        <v>2110.0769080549908</v>
      </c>
      <c r="S93" s="12" cm="1">
        <f t="array" ref="S93">numeng*InterpolateXY($D$6,$Q93,Tmax_h,Tmax_M,Tmax_table)</f>
        <v>3847.5232131981429</v>
      </c>
      <c r="T93" s="16">
        <f t="shared" si="27"/>
        <v>1264.6238260960145</v>
      </c>
      <c r="U93" s="55">
        <f t="shared" si="28"/>
        <v>845.45308195897633</v>
      </c>
      <c r="V93" s="426">
        <f t="shared" si="29"/>
        <v>2582.8993871021285</v>
      </c>
    </row>
    <row r="94" spans="2:22">
      <c r="B94" s="120">
        <f t="shared" si="30"/>
        <v>30000</v>
      </c>
      <c r="C94" s="7">
        <v>0.93</v>
      </c>
      <c r="D94" s="7">
        <f t="shared" si="31"/>
        <v>925.04278705806212</v>
      </c>
      <c r="E94" s="11">
        <f t="shared" si="17"/>
        <v>0.15460650338078316</v>
      </c>
      <c r="F94" s="19">
        <f t="shared" si="21"/>
        <v>2.0363698754314961E-2</v>
      </c>
      <c r="G94" s="16">
        <f t="shared" si="18"/>
        <v>1317.1308003881852</v>
      </c>
      <c r="H94" s="12">
        <f t="shared" si="19"/>
        <v>2020.2873271736637</v>
      </c>
      <c r="I94" s="12">
        <f t="shared" si="20"/>
        <v>1961.9106832646116</v>
      </c>
      <c r="J94" s="141">
        <f t="shared" si="22"/>
        <v>0.65195221623788602</v>
      </c>
      <c r="K94" s="267" cm="1">
        <f t="array" ref="K94">InterpolateXYZ(J94,C94,B94,FFnorm_PS,FFnorm_M,FFnorm_h,FFnorm_table)*numeng</f>
        <v>1279.0720180151488</v>
      </c>
      <c r="L94" s="11">
        <f t="shared" si="23"/>
        <v>0.97110478142199719</v>
      </c>
      <c r="M94" s="425" cm="1">
        <f t="array" ref="M94">($D$5/G94)*(C94*Linterp($D$6,atmos_h,atmos_vela)/L94)</f>
        <v>4282.18814225392</v>
      </c>
      <c r="N94" s="55">
        <f t="shared" si="24"/>
        <v>7.8181680618092955</v>
      </c>
      <c r="O94" s="426">
        <f t="shared" si="25"/>
        <v>0.42821881422539199</v>
      </c>
      <c r="P94" s="12"/>
      <c r="Q94" s="7">
        <f t="shared" si="26"/>
        <v>0.93</v>
      </c>
      <c r="R94" s="314" cm="1">
        <f t="array" ref="R94">numeng*InterpolateXY($D$6,$Q94,Tmil_h,Tmil_M,Tmil_table)</f>
        <v>2117.5594502821364</v>
      </c>
      <c r="S94" s="12" cm="1">
        <f t="array" ref="S94">numeng*InterpolateXY($D$6,$Q94,Tmax_h,Tmax_M,Tmax_table)</f>
        <v>3866.9778229887211</v>
      </c>
      <c r="T94" s="16">
        <f t="shared" si="27"/>
        <v>1317.1308003881852</v>
      </c>
      <c r="U94" s="55">
        <f t="shared" si="28"/>
        <v>800.42864989395116</v>
      </c>
      <c r="V94" s="426">
        <f t="shared" si="29"/>
        <v>2549.8470226005356</v>
      </c>
    </row>
    <row r="95" spans="2:22">
      <c r="B95" s="120">
        <f t="shared" si="30"/>
        <v>30000</v>
      </c>
      <c r="C95" s="7">
        <v>0.94</v>
      </c>
      <c r="D95" s="7">
        <f t="shared" si="31"/>
        <v>934.98948369309494</v>
      </c>
      <c r="E95" s="11">
        <f t="shared" si="17"/>
        <v>0.15133450064965978</v>
      </c>
      <c r="F95" s="19">
        <f t="shared" si="21"/>
        <v>2.0751244824946936E-2</v>
      </c>
      <c r="G95" s="16">
        <f t="shared" si="18"/>
        <v>1371.2170546613283</v>
      </c>
      <c r="H95" s="12">
        <f t="shared" si="19"/>
        <v>2027.7698728298624</v>
      </c>
      <c r="I95" s="12">
        <f t="shared" si="20"/>
        <v>1969.1770191285545</v>
      </c>
      <c r="J95" s="141">
        <f t="shared" si="22"/>
        <v>0.67621926582217184</v>
      </c>
      <c r="K95" s="267" cm="1">
        <f t="array" ref="K95">InterpolateXYZ(J95,C95,B95,FFnorm_PS,FFnorm_M,FFnorm_h,FFnorm_table)*numeng</f>
        <v>1331.5954381490039</v>
      </c>
      <c r="L95" s="11">
        <f t="shared" si="23"/>
        <v>0.97110478142199708</v>
      </c>
      <c r="M95" s="425" cm="1">
        <f t="array" ref="M95">($D$5/G95)*(C95*Linterp($D$6,atmos_h,atmos_vela)/L95)</f>
        <v>4157.5104452258993</v>
      </c>
      <c r="N95" s="55">
        <f t="shared" si="24"/>
        <v>7.5097884188463349</v>
      </c>
      <c r="O95" s="426">
        <f t="shared" si="25"/>
        <v>0.41575104452258993</v>
      </c>
      <c r="P95" s="12"/>
      <c r="Q95" s="7">
        <f t="shared" si="26"/>
        <v>0.94</v>
      </c>
      <c r="R95" s="314" cm="1">
        <f t="array" ref="R95">numeng*InterpolateXY($D$6,$Q95,Tmil_h,Tmil_M,Tmil_table)</f>
        <v>2125.0419925092815</v>
      </c>
      <c r="S95" s="12" cm="1">
        <f t="array" ref="S95">numeng*InterpolateXY($D$6,$Q95,Tmax_h,Tmax_M,Tmax_table)</f>
        <v>3886.4324327792988</v>
      </c>
      <c r="T95" s="16">
        <f t="shared" si="27"/>
        <v>1371.2170546613283</v>
      </c>
      <c r="U95" s="55">
        <f t="shared" si="28"/>
        <v>753.82493784795315</v>
      </c>
      <c r="V95" s="426">
        <f t="shared" si="29"/>
        <v>2515.2153781179704</v>
      </c>
    </row>
    <row r="96" spans="2:22">
      <c r="B96" s="120">
        <f t="shared" si="30"/>
        <v>30000</v>
      </c>
      <c r="C96" s="7">
        <v>0.95</v>
      </c>
      <c r="D96" s="7">
        <f t="shared" si="31"/>
        <v>944.93618032812788</v>
      </c>
      <c r="E96" s="11">
        <f t="shared" si="17"/>
        <v>0.14816527952802147</v>
      </c>
      <c r="F96" s="19">
        <f t="shared" si="21"/>
        <v>2.214177152580523E-2</v>
      </c>
      <c r="G96" s="16">
        <f t="shared" si="18"/>
        <v>1494.3967707102197</v>
      </c>
      <c r="H96" s="12">
        <f t="shared" si="19"/>
        <v>2035.2524184860611</v>
      </c>
      <c r="I96" s="12">
        <f t="shared" si="20"/>
        <v>1976.4433549924977</v>
      </c>
      <c r="J96" s="141">
        <f t="shared" si="22"/>
        <v>0.73425623138275831</v>
      </c>
      <c r="K96" s="267" cm="1">
        <f t="array" ref="K96">InterpolateXYZ(J96,C96,B96,FFnorm_PS,FFnorm_M,FFnorm_h,FFnorm_table)*numeng</f>
        <v>1451.2158493782865</v>
      </c>
      <c r="L96" s="11">
        <f t="shared" si="23"/>
        <v>0.9711047814219973</v>
      </c>
      <c r="M96" s="425" cm="1">
        <f t="array" ref="M96">($D$5/G96)*(C96*Linterp($D$6,atmos_h,atmos_vela)/L96)</f>
        <v>3855.3994980160769</v>
      </c>
      <c r="N96" s="55">
        <f t="shared" si="24"/>
        <v>6.8907736945431566</v>
      </c>
      <c r="O96" s="426">
        <f t="shared" si="25"/>
        <v>0.38553994980160772</v>
      </c>
      <c r="P96" s="12"/>
      <c r="Q96" s="7">
        <f t="shared" si="26"/>
        <v>0.95</v>
      </c>
      <c r="R96" s="314" cm="1">
        <f t="array" ref="R96">numeng*InterpolateXY($D$6,$Q96,Tmil_h,Tmil_M,Tmil_table)</f>
        <v>2132.5245347364266</v>
      </c>
      <c r="S96" s="12" cm="1">
        <f t="array" ref="S96">numeng*InterpolateXY($D$6,$Q96,Tmax_h,Tmax_M,Tmax_table)</f>
        <v>3905.8870425698765</v>
      </c>
      <c r="T96" s="16">
        <f t="shared" si="27"/>
        <v>1494.3967707102197</v>
      </c>
      <c r="U96" s="55">
        <f t="shared" si="28"/>
        <v>638.12776402620693</v>
      </c>
      <c r="V96" s="426">
        <f t="shared" si="29"/>
        <v>2411.4902718596568</v>
      </c>
    </row>
    <row r="97" spans="2:22">
      <c r="B97" s="120">
        <f t="shared" si="30"/>
        <v>30000</v>
      </c>
      <c r="C97" s="7">
        <v>0.96</v>
      </c>
      <c r="D97" s="7">
        <f t="shared" si="31"/>
        <v>954.88287696316081</v>
      </c>
      <c r="E97" s="11">
        <f t="shared" si="17"/>
        <v>0.14509457983294205</v>
      </c>
      <c r="F97" s="19">
        <f t="shared" si="21"/>
        <v>2.3535160239534857E-2</v>
      </c>
      <c r="G97" s="16">
        <f t="shared" si="18"/>
        <v>1622.0564728629149</v>
      </c>
      <c r="H97" s="12">
        <f t="shared" si="19"/>
        <v>2042.73496414226</v>
      </c>
      <c r="I97" s="12">
        <f t="shared" si="20"/>
        <v>1983.7096908564406</v>
      </c>
      <c r="J97" s="141">
        <f t="shared" si="22"/>
        <v>0.79406114906542125</v>
      </c>
      <c r="K97" s="267" cm="1">
        <f t="array" ref="K97">InterpolateXYZ(J97,C97,B97,FFnorm_PS,FFnorm_M,FFnorm_h,FFnorm_table)*numeng</f>
        <v>1575.1867965336769</v>
      </c>
      <c r="L97" s="11">
        <f t="shared" si="23"/>
        <v>0.9711047814219973</v>
      </c>
      <c r="M97" s="425" cm="1">
        <f t="array" ref="M97">($D$5/G97)*(C97*Linterp($D$6,atmos_h,atmos_vela)/L97)</f>
        <v>3589.3595502033663</v>
      </c>
      <c r="N97" s="55">
        <f t="shared" si="24"/>
        <v>6.348453416449269</v>
      </c>
      <c r="O97" s="426">
        <f t="shared" si="25"/>
        <v>0.35893595502033665</v>
      </c>
      <c r="P97" s="12"/>
      <c r="Q97" s="7">
        <f t="shared" si="26"/>
        <v>0.96</v>
      </c>
      <c r="R97" s="314" cm="1">
        <f t="array" ref="R97">numeng*InterpolateXY($D$6,$Q97,Tmil_h,Tmil_M,Tmil_table)</f>
        <v>2140.0070769635722</v>
      </c>
      <c r="S97" s="12" cm="1">
        <f t="array" ref="S97">numeng*InterpolateXY($D$6,$Q97,Tmax_h,Tmax_M,Tmax_table)</f>
        <v>3925.3416523604546</v>
      </c>
      <c r="T97" s="16">
        <f t="shared" si="27"/>
        <v>1622.0564728629149</v>
      </c>
      <c r="U97" s="55">
        <f t="shared" si="28"/>
        <v>517.9506041006573</v>
      </c>
      <c r="V97" s="426">
        <f t="shared" si="29"/>
        <v>2303.2851794975395</v>
      </c>
    </row>
    <row r="98" spans="2:22">
      <c r="B98" s="120">
        <f t="shared" si="30"/>
        <v>30000</v>
      </c>
      <c r="C98" s="7">
        <v>0.97</v>
      </c>
      <c r="D98" s="7">
        <f t="shared" si="31"/>
        <v>964.82957359819375</v>
      </c>
      <c r="E98" s="11">
        <f t="shared" si="17"/>
        <v>0.14211835984062005</v>
      </c>
      <c r="F98" s="19">
        <f t="shared" si="21"/>
        <v>2.769261603378418E-2</v>
      </c>
      <c r="G98" s="16">
        <f t="shared" si="18"/>
        <v>1948.5600639382785</v>
      </c>
      <c r="H98" s="12">
        <f t="shared" si="19"/>
        <v>2050.2175097984587</v>
      </c>
      <c r="I98" s="12">
        <f t="shared" si="20"/>
        <v>1990.9760267203837</v>
      </c>
      <c r="J98" s="141">
        <f t="shared" si="22"/>
        <v>0.95041626296998438</v>
      </c>
      <c r="K98" s="267" cm="1">
        <f t="array" ref="K98">InterpolateXYZ(J98,C98,B98,FFnorm_PS,FFnorm_M,FFnorm_h,FFnorm_table)*numeng</f>
        <v>1892.2559949784149</v>
      </c>
      <c r="L98" s="11">
        <f t="shared" si="23"/>
        <v>0.9711047814219973</v>
      </c>
      <c r="M98" s="425" cm="1">
        <f t="array" ref="M98">($D$5/G98)*(C98*Linterp($D$6,atmos_h,atmos_vela)/L98)</f>
        <v>3019.0453622232776</v>
      </c>
      <c r="N98" s="55">
        <f t="shared" si="24"/>
        <v>5.2846972220130652</v>
      </c>
      <c r="O98" s="426">
        <f t="shared" si="25"/>
        <v>0.30190453622232777</v>
      </c>
      <c r="P98" s="12"/>
      <c r="Q98" s="7">
        <f t="shared" si="26"/>
        <v>0.97</v>
      </c>
      <c r="R98" s="314" cm="1">
        <f t="array" ref="R98">numeng*InterpolateXY($D$6,$Q98,Tmil_h,Tmil_M,Tmil_table)</f>
        <v>2147.4896191907173</v>
      </c>
      <c r="S98" s="12" cm="1">
        <f t="array" ref="S98">numeng*InterpolateXY($D$6,$Q98,Tmax_h,Tmax_M,Tmax_table)</f>
        <v>3944.7962621510324</v>
      </c>
      <c r="T98" s="16">
        <f t="shared" si="27"/>
        <v>1948.5600639382785</v>
      </c>
      <c r="U98" s="55">
        <f t="shared" si="28"/>
        <v>198.92955525243883</v>
      </c>
      <c r="V98" s="426">
        <f t="shared" si="29"/>
        <v>1996.2361982127538</v>
      </c>
    </row>
    <row r="99" spans="2:22">
      <c r="B99" s="120">
        <f t="shared" si="30"/>
        <v>30000</v>
      </c>
      <c r="C99" s="7">
        <v>0.98</v>
      </c>
      <c r="D99" s="7">
        <f t="shared" si="31"/>
        <v>974.77627023322668</v>
      </c>
      <c r="E99" s="11">
        <f t="shared" si="17"/>
        <v>0.13923278298004932</v>
      </c>
      <c r="F99" s="19">
        <f t="shared" si="21"/>
        <v>3.1851848371115939E-2</v>
      </c>
      <c r="G99" s="16">
        <f t="shared" si="18"/>
        <v>2287.66872925897</v>
      </c>
      <c r="H99" s="12">
        <f t="shared" si="19"/>
        <v>2057.7000554546576</v>
      </c>
      <c r="I99" s="12">
        <f t="shared" si="20"/>
        <v>1998.2423625843267</v>
      </c>
      <c r="J99" s="141">
        <f t="shared" si="22"/>
        <v>1.1117600561824836</v>
      </c>
      <c r="K99" s="267" t="e" cm="1">
        <f t="array" ref="K99">InterpolateXYZ(J99,C99,B99,FFnorm_PS,FFnorm_M,FFnorm_h,FFnorm_table)*numeng</f>
        <v>#VALUE!</v>
      </c>
      <c r="L99" s="11" t="e">
        <f t="shared" si="23"/>
        <v>#VALUE!</v>
      </c>
      <c r="M99" s="425" t="e" cm="1">
        <f t="array" ref="M99">($D$5/G99)*(C99*Linterp($D$6,atmos_h,atmos_vela)/L99)</f>
        <v>#VALUE!</v>
      </c>
      <c r="N99" s="55" t="e">
        <f t="shared" si="24"/>
        <v>#VALUE!</v>
      </c>
      <c r="O99" s="426" t="e">
        <f t="shared" si="25"/>
        <v>#VALUE!</v>
      </c>
      <c r="P99" s="12"/>
      <c r="Q99" s="7">
        <f t="shared" si="26"/>
        <v>0.98</v>
      </c>
      <c r="R99" s="314" cm="1">
        <f t="array" ref="R99">numeng*InterpolateXY($D$6,$Q99,Tmil_h,Tmil_M,Tmil_table)</f>
        <v>2154.9721614178629</v>
      </c>
      <c r="S99" s="12" cm="1">
        <f t="array" ref="S99">numeng*InterpolateXY($D$6,$Q99,Tmax_h,Tmax_M,Tmax_table)</f>
        <v>3964.2508719416105</v>
      </c>
      <c r="T99" s="16">
        <f t="shared" si="27"/>
        <v>2287.66872925897</v>
      </c>
      <c r="U99" s="55">
        <f t="shared" si="28"/>
        <v>-132.69656784110703</v>
      </c>
      <c r="V99" s="426">
        <f t="shared" si="29"/>
        <v>1676.5821426826406</v>
      </c>
    </row>
    <row r="100" spans="2:22">
      <c r="B100" s="120">
        <f t="shared" si="30"/>
        <v>30000</v>
      </c>
      <c r="C100" s="7">
        <v>0.99</v>
      </c>
      <c r="D100" s="7">
        <f t="shared" si="31"/>
        <v>984.72296686825962</v>
      </c>
      <c r="E100" s="11">
        <f t="shared" si="17"/>
        <v>0.13643420546274806</v>
      </c>
      <c r="F100" s="19">
        <f t="shared" si="21"/>
        <v>3.3773259667144236E-2</v>
      </c>
      <c r="G100" s="16">
        <f t="shared" si="18"/>
        <v>2475.4246600106212</v>
      </c>
      <c r="H100" s="12">
        <f t="shared" si="19"/>
        <v>2065.182601110856</v>
      </c>
      <c r="I100" s="12">
        <f t="shared" si="20"/>
        <v>2005.5086984482698</v>
      </c>
      <c r="J100" s="141">
        <f t="shared" si="22"/>
        <v>1.1986468696177748</v>
      </c>
      <c r="K100" s="267" t="e" cm="1">
        <f t="array" ref="K100">InterpolateXYZ(J100,C100,B100,FFnorm_PS,FFnorm_M,FFnorm_h,FFnorm_table)*numeng</f>
        <v>#VALUE!</v>
      </c>
      <c r="L100" s="11" t="e">
        <f t="shared" si="23"/>
        <v>#VALUE!</v>
      </c>
      <c r="M100" s="425" t="e" cm="1">
        <f t="array" ref="M100">($D$5/G100)*(C100*Linterp($D$6,atmos_h,atmos_vela)/L100)</f>
        <v>#VALUE!</v>
      </c>
      <c r="N100" s="55" t="e">
        <f t="shared" si="24"/>
        <v>#VALUE!</v>
      </c>
      <c r="O100" s="426" t="e">
        <f t="shared" si="25"/>
        <v>#VALUE!</v>
      </c>
      <c r="P100" s="12"/>
      <c r="Q100" s="7">
        <f t="shared" si="26"/>
        <v>0.99</v>
      </c>
      <c r="R100" s="314" cm="1">
        <f t="array" ref="R100">numeng*InterpolateXY($D$6,$Q100,Tmil_h,Tmil_M,Tmil_table)</f>
        <v>2162.4547036450081</v>
      </c>
      <c r="S100" s="12" cm="1">
        <f t="array" ref="S100">numeng*InterpolateXY($D$6,$Q100,Tmax_h,Tmax_M,Tmax_table)</f>
        <v>3983.7054817321882</v>
      </c>
      <c r="T100" s="16">
        <f t="shared" si="27"/>
        <v>2475.4246600106212</v>
      </c>
      <c r="U100" s="55">
        <f t="shared" si="28"/>
        <v>-312.96995636561314</v>
      </c>
      <c r="V100" s="426">
        <f t="shared" si="29"/>
        <v>1508.280821721567</v>
      </c>
    </row>
    <row r="101" spans="2:22">
      <c r="B101" s="120">
        <f t="shared" si="30"/>
        <v>30000</v>
      </c>
      <c r="C101" s="7">
        <v>1</v>
      </c>
      <c r="D101" s="7">
        <f t="shared" si="31"/>
        <v>994.66966350329255</v>
      </c>
      <c r="E101" s="11">
        <f t="shared" si="17"/>
        <v>0.13371916477403936</v>
      </c>
      <c r="F101" s="19">
        <f t="shared" si="21"/>
        <v>3.5695510423916388E-2</v>
      </c>
      <c r="G101" s="16">
        <f t="shared" si="18"/>
        <v>2669.4386316452988</v>
      </c>
      <c r="H101" s="12">
        <f t="shared" si="19"/>
        <v>2072.6651467670549</v>
      </c>
      <c r="I101" s="12">
        <f t="shared" si="20"/>
        <v>2012.7750343122127</v>
      </c>
      <c r="J101" s="141">
        <f t="shared" si="22"/>
        <v>1.2879256621886519</v>
      </c>
      <c r="K101" s="267" t="e" cm="1">
        <f t="array" ref="K101">InterpolateXYZ(J101,C101,B101,FFnorm_PS,FFnorm_M,FFnorm_h,FFnorm_table)*numeng</f>
        <v>#VALUE!</v>
      </c>
      <c r="L101" s="11" t="e">
        <f t="shared" si="23"/>
        <v>#VALUE!</v>
      </c>
      <c r="M101" s="425" t="e" cm="1">
        <f t="array" ref="M101">($D$5/G101)*(C101*Linterp($D$6,atmos_h,atmos_vela)/L101)</f>
        <v>#VALUE!</v>
      </c>
      <c r="N101" s="55" t="e">
        <f t="shared" si="24"/>
        <v>#VALUE!</v>
      </c>
      <c r="O101" s="426" t="e">
        <f t="shared" si="25"/>
        <v>#VALUE!</v>
      </c>
      <c r="P101" s="12"/>
      <c r="Q101" s="7">
        <f t="shared" si="26"/>
        <v>1</v>
      </c>
      <c r="R101" s="314" cm="1">
        <f t="array" ref="R101">numeng*InterpolateXY($D$6,$Q101,Tmil_h,Tmil_M,Tmil_table)</f>
        <v>2169.9372458721537</v>
      </c>
      <c r="S101" s="12" cm="1">
        <f t="array" ref="S101">numeng*InterpolateXY($D$6,$Q101,Tmax_h,Tmax_M,Tmax_table)</f>
        <v>4003.1600915227664</v>
      </c>
      <c r="T101" s="16">
        <f t="shared" si="27"/>
        <v>2669.4386316452988</v>
      </c>
      <c r="U101" s="55">
        <f t="shared" si="28"/>
        <v>-499.5013857731451</v>
      </c>
      <c r="V101" s="426">
        <f t="shared" si="29"/>
        <v>1333.7214598774676</v>
      </c>
    </row>
    <row r="102" spans="2:22">
      <c r="B102" s="120">
        <f t="shared" si="30"/>
        <v>30000</v>
      </c>
      <c r="C102" s="7">
        <v>1.01</v>
      </c>
      <c r="D102" s="7">
        <f t="shared" ref="D102:D121" si="32">C102*H$6</f>
        <v>1004.6163601383255</v>
      </c>
      <c r="E102" s="11">
        <f t="shared" ref="E102:E121" si="33">D$5/(H$5*C102*C102*_xlfn.SINGLE(S))</f>
        <v>0.13108436895798389</v>
      </c>
      <c r="F102" s="19">
        <f t="shared" ref="F102:F121" si="34">InterpolateXY(E102,C102,CD_CL,CD_M,CD_table)</f>
        <v>3.6628242253485745E-2</v>
      </c>
      <c r="G102" s="16">
        <f t="shared" ref="G102:G121" si="35">F102*$H$5*C102*C102*_xlfn.SINGLE(S)</f>
        <v>2794.2494245996713</v>
      </c>
      <c r="H102" s="12"/>
      <c r="I102" s="12"/>
      <c r="J102" s="141"/>
      <c r="K102" s="267"/>
      <c r="L102" s="11"/>
      <c r="M102" s="428" t="e" cm="1">
        <f t="array" ref="M102">($D$5/G102)*(C102*Linterp($D$6,atmos_h,atmos_vela)/L102)</f>
        <v>#DIV/0!</v>
      </c>
      <c r="N102" s="55" t="e">
        <f t="shared" si="24"/>
        <v>#DIV/0!</v>
      </c>
      <c r="O102" s="427" t="e">
        <f>M102/$D$5</f>
        <v>#DIV/0!</v>
      </c>
      <c r="P102" s="12"/>
      <c r="Q102" s="7">
        <f t="shared" si="26"/>
        <v>1.01</v>
      </c>
      <c r="R102" s="314" t="e" cm="1">
        <f t="array" ref="R102">numeng*InterpolateXY($D$6,$Q102,Tmil_h,Tmil_M,Tmil_table)</f>
        <v>#VALUE!</v>
      </c>
      <c r="S102" s="12" cm="1">
        <f t="array" ref="S102">numeng*InterpolateXY($D$6,$Q102,Tmax_h,Tmax_M,Tmax_table)</f>
        <v>4022.6147013133445</v>
      </c>
      <c r="T102" s="16">
        <f t="shared" si="27"/>
        <v>2794.2494245996713</v>
      </c>
      <c r="U102" s="55" t="e">
        <f t="shared" si="28"/>
        <v>#VALUE!</v>
      </c>
      <c r="V102" s="426">
        <f t="shared" si="29"/>
        <v>1228.3652767136732</v>
      </c>
    </row>
    <row r="103" spans="2:22">
      <c r="B103" s="120">
        <f t="shared" si="30"/>
        <v>30000</v>
      </c>
      <c r="C103" s="7">
        <v>1.02</v>
      </c>
      <c r="D103" s="7">
        <f t="shared" si="32"/>
        <v>1014.5630567733584</v>
      </c>
      <c r="E103" s="11">
        <f t="shared" si="33"/>
        <v>0.12852668663402475</v>
      </c>
      <c r="F103" s="19">
        <f t="shared" si="34"/>
        <v>3.7561004826648627E-2</v>
      </c>
      <c r="G103" s="16">
        <f t="shared" si="35"/>
        <v>2922.4284707192587</v>
      </c>
      <c r="H103" s="12"/>
      <c r="I103" s="12"/>
      <c r="J103" s="141"/>
      <c r="K103" s="267"/>
      <c r="L103" s="11"/>
      <c r="M103" s="425" t="e" cm="1">
        <f t="array" ref="M103">($D$5/G103)*(C103*Linterp($D$6,atmos_h,atmos_vela)/L103)</f>
        <v>#DIV/0!</v>
      </c>
      <c r="N103" s="55" t="e">
        <f t="shared" si="24"/>
        <v>#DIV/0!</v>
      </c>
      <c r="O103" s="426" t="e">
        <f t="shared" si="25"/>
        <v>#DIV/0!</v>
      </c>
      <c r="P103" s="12"/>
      <c r="Q103" s="7">
        <f t="shared" si="26"/>
        <v>1.02</v>
      </c>
      <c r="R103" s="314" t="e" cm="1">
        <f t="array" ref="R103">numeng*InterpolateXY($D$6,$Q103,Tmil_h,Tmil_M,Tmil_table)</f>
        <v>#VALUE!</v>
      </c>
      <c r="S103" s="12" cm="1">
        <f t="array" ref="S103">numeng*InterpolateXY($D$6,$Q103,Tmax_h,Tmax_M,Tmax_table)</f>
        <v>4042.0693111039222</v>
      </c>
      <c r="T103" s="16">
        <f t="shared" si="27"/>
        <v>2922.4284707192587</v>
      </c>
      <c r="U103" s="55" t="e">
        <f t="shared" si="28"/>
        <v>#VALUE!</v>
      </c>
      <c r="V103" s="426">
        <f t="shared" si="29"/>
        <v>1119.6408403846635</v>
      </c>
    </row>
    <row r="104" spans="2:22">
      <c r="B104" s="120">
        <f t="shared" si="30"/>
        <v>30000</v>
      </c>
      <c r="C104" s="7">
        <v>1.03</v>
      </c>
      <c r="D104" s="7">
        <f t="shared" si="32"/>
        <v>1024.5097534083914</v>
      </c>
      <c r="E104" s="11">
        <f t="shared" si="33"/>
        <v>0.12604313768879191</v>
      </c>
      <c r="F104" s="19">
        <f t="shared" si="34"/>
        <v>3.8252718253582577E-2</v>
      </c>
      <c r="G104" s="16">
        <f t="shared" si="35"/>
        <v>3034.8909869278905</v>
      </c>
      <c r="H104" s="12"/>
      <c r="I104" s="12"/>
      <c r="J104" s="141"/>
      <c r="K104" s="267"/>
      <c r="L104" s="11"/>
      <c r="M104" s="425" t="e" cm="1">
        <f t="array" ref="M104">($D$5/G104)*(C104*Linterp($D$6,atmos_h,atmos_vela)/L104)</f>
        <v>#DIV/0!</v>
      </c>
      <c r="N104" s="55" t="e">
        <f t="shared" si="24"/>
        <v>#DIV/0!</v>
      </c>
      <c r="O104" s="426" t="e">
        <f t="shared" si="25"/>
        <v>#DIV/0!</v>
      </c>
      <c r="P104" s="12"/>
      <c r="Q104" s="7">
        <f t="shared" si="26"/>
        <v>1.03</v>
      </c>
      <c r="R104" s="314" t="e" cm="1">
        <f t="array" ref="R104">numeng*InterpolateXY($D$6,$Q104,Tmil_h,Tmil_M,Tmil_table)</f>
        <v>#VALUE!</v>
      </c>
      <c r="S104" s="12" cm="1">
        <f t="array" ref="S104">numeng*InterpolateXY($D$6,$Q104,Tmax_h,Tmax_M,Tmax_table)</f>
        <v>4061.5239208945004</v>
      </c>
      <c r="T104" s="16">
        <f t="shared" si="27"/>
        <v>3034.8909869278905</v>
      </c>
      <c r="U104" s="55" t="e">
        <f t="shared" si="28"/>
        <v>#VALUE!</v>
      </c>
      <c r="V104" s="426">
        <f t="shared" si="29"/>
        <v>1026.6329339666099</v>
      </c>
    </row>
    <row r="105" spans="2:22">
      <c r="B105" s="120">
        <f t="shared" si="30"/>
        <v>30000</v>
      </c>
      <c r="C105" s="7">
        <v>1.04</v>
      </c>
      <c r="D105" s="7">
        <f t="shared" si="32"/>
        <v>1034.4564500434242</v>
      </c>
      <c r="E105" s="11">
        <f t="shared" si="33"/>
        <v>0.12363088459138252</v>
      </c>
      <c r="F105" s="19">
        <f t="shared" si="34"/>
        <v>3.8943764948970311E-2</v>
      </c>
      <c r="G105" s="16">
        <f t="shared" si="35"/>
        <v>3150.0029363766939</v>
      </c>
      <c r="H105" s="12"/>
      <c r="I105" s="12"/>
      <c r="J105" s="141"/>
      <c r="K105" s="267"/>
      <c r="L105" s="11"/>
      <c r="M105" s="425" t="e" cm="1">
        <f t="array" ref="M105">($D$5/G105)*(C105*Linterp($D$6,atmos_h,atmos_vela)/L105)</f>
        <v>#DIV/0!</v>
      </c>
      <c r="N105" s="55" t="e">
        <f t="shared" si="24"/>
        <v>#DIV/0!</v>
      </c>
      <c r="O105" s="426" t="e">
        <f t="shared" si="25"/>
        <v>#DIV/0!</v>
      </c>
      <c r="P105" s="12"/>
      <c r="Q105" s="7">
        <f t="shared" si="26"/>
        <v>1.04</v>
      </c>
      <c r="R105" s="314" t="e" cm="1">
        <f t="array" ref="R105">numeng*InterpolateXY($D$6,$Q105,Tmil_h,Tmil_M,Tmil_table)</f>
        <v>#VALUE!</v>
      </c>
      <c r="S105" s="12" cm="1">
        <f t="array" ref="S105">numeng*InterpolateXY($D$6,$Q105,Tmax_h,Tmax_M,Tmax_table)</f>
        <v>4080.9785306850781</v>
      </c>
      <c r="T105" s="16">
        <f t="shared" si="27"/>
        <v>3150.0029363766939</v>
      </c>
      <c r="U105" s="55" t="e">
        <f t="shared" si="28"/>
        <v>#VALUE!</v>
      </c>
      <c r="V105" s="426">
        <f t="shared" si="29"/>
        <v>930.97559430838419</v>
      </c>
    </row>
    <row r="106" spans="2:22">
      <c r="B106" s="120">
        <f t="shared" si="30"/>
        <v>30000</v>
      </c>
      <c r="C106" s="7">
        <v>1.05</v>
      </c>
      <c r="D106" s="7">
        <f t="shared" si="32"/>
        <v>1044.4031466784572</v>
      </c>
      <c r="E106" s="11">
        <f t="shared" si="33"/>
        <v>0.12128722428484293</v>
      </c>
      <c r="F106" s="19">
        <f t="shared" si="34"/>
        <v>3.9400573507318848E-2</v>
      </c>
      <c r="G106" s="16">
        <f t="shared" si="35"/>
        <v>3248.5345212276138</v>
      </c>
      <c r="H106" s="12"/>
      <c r="I106" s="12"/>
      <c r="J106" s="141"/>
      <c r="K106" s="267"/>
      <c r="L106" s="11"/>
      <c r="M106" s="425" t="e" cm="1">
        <f t="array" ref="M106">($D$5/G106)*(C106*Linterp($D$6,atmos_h,atmos_vela)/L106)</f>
        <v>#DIV/0!</v>
      </c>
      <c r="N106" s="55" t="e">
        <f t="shared" si="24"/>
        <v>#DIV/0!</v>
      </c>
      <c r="O106" s="426" t="e">
        <f t="shared" si="25"/>
        <v>#DIV/0!</v>
      </c>
      <c r="P106" s="12"/>
      <c r="Q106" s="7">
        <f t="shared" si="26"/>
        <v>1.05</v>
      </c>
      <c r="R106" s="314" t="e" cm="1">
        <f t="array" ref="R106">numeng*InterpolateXY($D$6,$Q106,Tmil_h,Tmil_M,Tmil_table)</f>
        <v>#VALUE!</v>
      </c>
      <c r="S106" s="12" cm="1">
        <f t="array" ref="S106">numeng*InterpolateXY($D$6,$Q106,Tmax_h,Tmax_M,Tmax_table)</f>
        <v>4100.4331404756558</v>
      </c>
      <c r="T106" s="16">
        <f t="shared" si="27"/>
        <v>3248.5345212276138</v>
      </c>
      <c r="U106" s="55" t="e">
        <f t="shared" si="28"/>
        <v>#VALUE!</v>
      </c>
      <c r="V106" s="426">
        <f t="shared" si="29"/>
        <v>851.898619248042</v>
      </c>
    </row>
    <row r="107" spans="2:22">
      <c r="B107" s="120">
        <f t="shared" si="30"/>
        <v>30000</v>
      </c>
      <c r="C107" s="7">
        <v>1.06</v>
      </c>
      <c r="D107" s="7">
        <f t="shared" si="32"/>
        <v>1054.3498433134901</v>
      </c>
      <c r="E107" s="11">
        <f t="shared" si="33"/>
        <v>0.11900958061057258</v>
      </c>
      <c r="F107" s="19">
        <f t="shared" si="34"/>
        <v>3.9855431127475763E-2</v>
      </c>
      <c r="G107" s="16">
        <f t="shared" si="35"/>
        <v>3348.9262732461962</v>
      </c>
      <c r="H107" s="12"/>
      <c r="I107" s="12"/>
      <c r="J107" s="141"/>
      <c r="K107" s="267"/>
      <c r="L107" s="11"/>
      <c r="M107" s="425" t="e" cm="1">
        <f t="array" ref="M107">($D$5/G107)*(C107*Linterp($D$6,atmos_h,atmos_vela)/L107)</f>
        <v>#DIV/0!</v>
      </c>
      <c r="N107" s="55" t="e">
        <f t="shared" si="24"/>
        <v>#DIV/0!</v>
      </c>
      <c r="O107" s="426" t="e">
        <f t="shared" si="25"/>
        <v>#DIV/0!</v>
      </c>
      <c r="P107" s="12"/>
      <c r="Q107" s="7">
        <f t="shared" si="26"/>
        <v>1.06</v>
      </c>
      <c r="R107" s="314" t="e" cm="1">
        <f t="array" ref="R107">numeng*InterpolateXY($D$6,$Q107,Tmil_h,Tmil_M,Tmil_table)</f>
        <v>#VALUE!</v>
      </c>
      <c r="S107" s="12" cm="1">
        <f t="array" ref="S107">numeng*InterpolateXY($D$6,$Q107,Tmax_h,Tmax_M,Tmax_table)</f>
        <v>4119.8877502662344</v>
      </c>
      <c r="T107" s="16">
        <f t="shared" si="27"/>
        <v>3348.9262732461962</v>
      </c>
      <c r="U107" s="55" t="e">
        <f t="shared" si="28"/>
        <v>#VALUE!</v>
      </c>
      <c r="V107" s="426">
        <f t="shared" si="29"/>
        <v>770.96147702003827</v>
      </c>
    </row>
    <row r="108" spans="2:22">
      <c r="B108" s="120">
        <f t="shared" si="30"/>
        <v>30000</v>
      </c>
      <c r="C108" s="7">
        <v>1.07</v>
      </c>
      <c r="D108" s="7">
        <f t="shared" si="32"/>
        <v>1064.2965399485231</v>
      </c>
      <c r="E108" s="11">
        <f t="shared" si="33"/>
        <v>0.11679549722599297</v>
      </c>
      <c r="F108" s="19">
        <f t="shared" si="34"/>
        <v>4.0315951971840874E-2</v>
      </c>
      <c r="G108" s="16">
        <f t="shared" si="35"/>
        <v>3451.8412892092656</v>
      </c>
      <c r="H108" s="12"/>
      <c r="I108" s="12"/>
      <c r="J108" s="141"/>
      <c r="K108" s="267"/>
      <c r="L108" s="11"/>
      <c r="M108" s="425" t="e" cm="1">
        <f t="array" ref="M108">($D$5/G108)*(C108*Linterp($D$6,atmos_h,atmos_vela)/L108)</f>
        <v>#DIV/0!</v>
      </c>
      <c r="N108" s="55" t="e">
        <f t="shared" si="24"/>
        <v>#DIV/0!</v>
      </c>
      <c r="O108" s="426" t="e">
        <f t="shared" si="25"/>
        <v>#DIV/0!</v>
      </c>
      <c r="P108" s="12"/>
      <c r="Q108" s="7">
        <f t="shared" si="26"/>
        <v>1.07</v>
      </c>
      <c r="R108" s="314" t="e" cm="1">
        <f t="array" ref="R108">numeng*InterpolateXY($D$6,$Q108,Tmil_h,Tmil_M,Tmil_table)</f>
        <v>#VALUE!</v>
      </c>
      <c r="S108" s="12" cm="1">
        <f t="array" ref="S108">numeng*InterpolateXY($D$6,$Q108,Tmax_h,Tmax_M,Tmax_table)</f>
        <v>4139.3423600568121</v>
      </c>
      <c r="T108" s="16">
        <f t="shared" si="27"/>
        <v>3451.8412892092656</v>
      </c>
      <c r="U108" s="55" t="e">
        <f t="shared" si="28"/>
        <v>#VALUE!</v>
      </c>
      <c r="V108" s="426">
        <f t="shared" si="29"/>
        <v>687.50107084754654</v>
      </c>
    </row>
    <row r="109" spans="2:22">
      <c r="B109" s="120">
        <f t="shared" si="30"/>
        <v>30000</v>
      </c>
      <c r="C109" s="7">
        <v>1.08</v>
      </c>
      <c r="D109" s="7">
        <f t="shared" si="32"/>
        <v>1074.2432365835559</v>
      </c>
      <c r="E109" s="11">
        <f t="shared" si="33"/>
        <v>0.11464263097911467</v>
      </c>
      <c r="F109" s="19">
        <f t="shared" si="34"/>
        <v>4.0774060708410033E-2</v>
      </c>
      <c r="G109" s="16">
        <f t="shared" si="35"/>
        <v>3556.6229037292551</v>
      </c>
      <c r="H109" s="12"/>
      <c r="I109" s="12"/>
      <c r="J109" s="141"/>
      <c r="K109" s="267"/>
      <c r="L109" s="11"/>
      <c r="M109" s="425" t="e" cm="1">
        <f t="array" ref="M109">($D$5/G109)*(C109*Linterp($D$6,atmos_h,atmos_vela)/L109)</f>
        <v>#DIV/0!</v>
      </c>
      <c r="N109" s="55" t="e">
        <f t="shared" si="24"/>
        <v>#DIV/0!</v>
      </c>
      <c r="O109" s="426" t="e">
        <f t="shared" si="25"/>
        <v>#DIV/0!</v>
      </c>
      <c r="P109" s="12"/>
      <c r="Q109" s="7">
        <f t="shared" si="26"/>
        <v>1.08</v>
      </c>
      <c r="R109" s="314" t="e" cm="1">
        <f t="array" ref="R109">numeng*InterpolateXY($D$6,$Q109,Tmil_h,Tmil_M,Tmil_table)</f>
        <v>#VALUE!</v>
      </c>
      <c r="S109" s="12" cm="1">
        <f t="array" ref="S109">numeng*InterpolateXY($D$6,$Q109,Tmax_h,Tmax_M,Tmax_table)</f>
        <v>4158.7969698473898</v>
      </c>
      <c r="T109" s="16">
        <f t="shared" si="27"/>
        <v>3556.6229037292551</v>
      </c>
      <c r="U109" s="55" t="e">
        <f t="shared" si="28"/>
        <v>#VALUE!</v>
      </c>
      <c r="V109" s="426">
        <f t="shared" si="29"/>
        <v>602.17406611813476</v>
      </c>
    </row>
    <row r="110" spans="2:22">
      <c r="B110" s="120">
        <f t="shared" si="30"/>
        <v>30000</v>
      </c>
      <c r="C110" s="7">
        <v>1.0900000000000001</v>
      </c>
      <c r="D110" s="7">
        <f t="shared" si="32"/>
        <v>1084.189933218589</v>
      </c>
      <c r="E110" s="11">
        <f t="shared" si="33"/>
        <v>0.11254874570662346</v>
      </c>
      <c r="F110" s="19">
        <f t="shared" si="34"/>
        <v>4.1129869041341902E-2</v>
      </c>
      <c r="G110" s="16">
        <f t="shared" si="35"/>
        <v>3654.4049232279822</v>
      </c>
      <c r="H110" s="12"/>
      <c r="I110" s="12"/>
      <c r="J110" s="141"/>
      <c r="K110" s="267"/>
      <c r="L110" s="11"/>
      <c r="M110" s="425" t="e" cm="1">
        <f t="array" ref="M110">($D$5/G110)*(C110*Linterp($D$6,atmos_h,atmos_vela)/L110)</f>
        <v>#DIV/0!</v>
      </c>
      <c r="N110" s="55" t="e">
        <f t="shared" si="24"/>
        <v>#DIV/0!</v>
      </c>
      <c r="O110" s="426" t="e">
        <f t="shared" si="25"/>
        <v>#DIV/0!</v>
      </c>
      <c r="P110" s="12"/>
      <c r="Q110" s="7">
        <f t="shared" si="26"/>
        <v>1.0900000000000001</v>
      </c>
      <c r="R110" s="314" t="e" cm="1">
        <f t="array" ref="R110">numeng*InterpolateXY($D$6,$Q110,Tmil_h,Tmil_M,Tmil_table)</f>
        <v>#VALUE!</v>
      </c>
      <c r="S110" s="12" cm="1">
        <f t="array" ref="S110">numeng*InterpolateXY($D$6,$Q110,Tmax_h,Tmax_M,Tmax_table)</f>
        <v>4178.2515796379685</v>
      </c>
      <c r="T110" s="16">
        <f t="shared" si="27"/>
        <v>3654.4049232279822</v>
      </c>
      <c r="U110" s="55" t="e">
        <f t="shared" si="28"/>
        <v>#VALUE!</v>
      </c>
      <c r="V110" s="426">
        <f t="shared" si="29"/>
        <v>523.84665640998628</v>
      </c>
    </row>
    <row r="111" spans="2:22">
      <c r="B111" s="120">
        <f t="shared" si="30"/>
        <v>30000</v>
      </c>
      <c r="C111" s="7">
        <v>1.1000000000000001</v>
      </c>
      <c r="D111" s="7">
        <f t="shared" si="32"/>
        <v>1094.1366298536218</v>
      </c>
      <c r="E111" s="11">
        <f t="shared" si="33"/>
        <v>0.11051170642482588</v>
      </c>
      <c r="F111" s="19">
        <f t="shared" si="34"/>
        <v>4.1483482979956333E-2</v>
      </c>
      <c r="G111" s="16">
        <f t="shared" si="35"/>
        <v>3753.7636800654163</v>
      </c>
      <c r="H111" s="12"/>
      <c r="I111" s="12"/>
      <c r="J111" s="141"/>
      <c r="K111" s="267"/>
      <c r="L111" s="11"/>
      <c r="M111" s="425" t="e" cm="1">
        <f t="array" ref="M111">($D$5/G111)*(C111*Linterp($D$6,atmos_h,atmos_vela)/L111)</f>
        <v>#DIV/0!</v>
      </c>
      <c r="N111" s="55" t="e">
        <f t="shared" si="24"/>
        <v>#DIV/0!</v>
      </c>
      <c r="O111" s="426" t="e">
        <f t="shared" si="25"/>
        <v>#DIV/0!</v>
      </c>
      <c r="P111" s="12"/>
      <c r="Q111" s="7">
        <f t="shared" si="26"/>
        <v>1.1000000000000001</v>
      </c>
      <c r="R111" s="314" t="e" cm="1">
        <f t="array" ref="R111">numeng*InterpolateXY($D$6,$Q111,Tmil_h,Tmil_M,Tmil_table)</f>
        <v>#VALUE!</v>
      </c>
      <c r="S111" s="12" cm="1">
        <f t="array" ref="S111">numeng*InterpolateXY($D$6,$Q111,Tmax_h,Tmax_M,Tmax_table)</f>
        <v>4197.7061894285462</v>
      </c>
      <c r="T111" s="16">
        <f t="shared" si="27"/>
        <v>3753.7636800654163</v>
      </c>
      <c r="U111" s="55" t="e">
        <f t="shared" si="28"/>
        <v>#VALUE!</v>
      </c>
      <c r="V111" s="426">
        <f t="shared" si="29"/>
        <v>443.94250936312983</v>
      </c>
    </row>
    <row r="112" spans="2:22">
      <c r="B112" s="120">
        <f t="shared" si="30"/>
        <v>30000</v>
      </c>
      <c r="C112" s="7">
        <v>1.1100000000000001</v>
      </c>
      <c r="D112" s="7">
        <f t="shared" si="32"/>
        <v>1104.0833264886548</v>
      </c>
      <c r="E112" s="11">
        <f t="shared" si="33"/>
        <v>0.10852947388526853</v>
      </c>
      <c r="F112" s="19">
        <f t="shared" si="34"/>
        <v>4.1732491399715584E-2</v>
      </c>
      <c r="G112" s="16">
        <f t="shared" si="35"/>
        <v>3845.2680092997521</v>
      </c>
      <c r="H112" s="12"/>
      <c r="I112" s="12"/>
      <c r="J112" s="141"/>
      <c r="K112" s="267"/>
      <c r="L112" s="11"/>
      <c r="M112" s="425" t="e" cm="1">
        <f t="array" ref="M112">($D$5/G112)*(C112*Linterp($D$6,atmos_h,atmos_vela)/L112)</f>
        <v>#DIV/0!</v>
      </c>
      <c r="N112" s="55" t="e">
        <f t="shared" si="24"/>
        <v>#DIV/0!</v>
      </c>
      <c r="O112" s="426" t="e">
        <f t="shared" si="25"/>
        <v>#DIV/0!</v>
      </c>
      <c r="P112" s="12"/>
      <c r="Q112" s="7">
        <f t="shared" si="26"/>
        <v>1.1100000000000001</v>
      </c>
      <c r="R112" s="314" t="e" cm="1">
        <f t="array" ref="R112">numeng*InterpolateXY($D$6,$Q112,Tmil_h,Tmil_M,Tmil_table)</f>
        <v>#VALUE!</v>
      </c>
      <c r="S112" s="12" cm="1">
        <f t="array" ref="S112">numeng*InterpolateXY($D$6,$Q112,Tmax_h,Tmax_M,Tmax_table)</f>
        <v>4217.1607992191239</v>
      </c>
      <c r="T112" s="16">
        <f t="shared" si="27"/>
        <v>3845.2680092997521</v>
      </c>
      <c r="U112" s="55" t="e">
        <f t="shared" si="28"/>
        <v>#VALUE!</v>
      </c>
      <c r="V112" s="426">
        <f t="shared" si="29"/>
        <v>371.89278991937181</v>
      </c>
    </row>
    <row r="113" spans="2:22">
      <c r="B113" s="120">
        <f t="shared" si="30"/>
        <v>30000</v>
      </c>
      <c r="C113" s="7">
        <v>1.1200000000000001</v>
      </c>
      <c r="D113" s="7">
        <f t="shared" si="32"/>
        <v>1114.0300231236877</v>
      </c>
      <c r="E113" s="11">
        <f t="shared" si="33"/>
        <v>0.10660009946910025</v>
      </c>
      <c r="F113" s="19">
        <f t="shared" si="34"/>
        <v>4.1979733180350746E-2</v>
      </c>
      <c r="G113" s="16">
        <f t="shared" si="35"/>
        <v>3938.0575993289058</v>
      </c>
      <c r="H113" s="12"/>
      <c r="I113" s="12"/>
      <c r="J113" s="141"/>
      <c r="K113" s="267"/>
      <c r="L113" s="11"/>
      <c r="M113" s="425" t="e" cm="1">
        <f t="array" ref="M113">($D$5/G113)*(C113*Linterp($D$6,atmos_h,atmos_vela)/L113)</f>
        <v>#DIV/0!</v>
      </c>
      <c r="N113" s="55" t="e">
        <f t="shared" si="24"/>
        <v>#DIV/0!</v>
      </c>
      <c r="O113" s="426" t="e">
        <f t="shared" si="25"/>
        <v>#DIV/0!</v>
      </c>
      <c r="P113" s="12"/>
      <c r="Q113" s="7">
        <f t="shared" si="26"/>
        <v>1.1200000000000001</v>
      </c>
      <c r="R113" s="314" t="e" cm="1">
        <f t="array" ref="R113">numeng*InterpolateXY($D$6,$Q113,Tmil_h,Tmil_M,Tmil_table)</f>
        <v>#VALUE!</v>
      </c>
      <c r="S113" s="12" cm="1">
        <f t="array" ref="S113">numeng*InterpolateXY($D$6,$Q113,Tmax_h,Tmax_M,Tmax_table)</f>
        <v>4236.6154090097016</v>
      </c>
      <c r="T113" s="16">
        <f t="shared" si="27"/>
        <v>3938.0575993289058</v>
      </c>
      <c r="U113" s="55" t="e">
        <f t="shared" si="28"/>
        <v>#VALUE!</v>
      </c>
      <c r="V113" s="426">
        <f t="shared" si="29"/>
        <v>298.5578096807958</v>
      </c>
    </row>
    <row r="114" spans="2:22">
      <c r="B114" s="120">
        <f t="shared" si="30"/>
        <v>30000</v>
      </c>
      <c r="C114" s="7">
        <v>1.1299999999999999</v>
      </c>
      <c r="D114" s="7">
        <f t="shared" si="32"/>
        <v>1123.9767197587205</v>
      </c>
      <c r="E114" s="11">
        <f t="shared" si="33"/>
        <v>0.10472172039630306</v>
      </c>
      <c r="F114" s="19">
        <f t="shared" si="34"/>
        <v>4.222528995949125E-2</v>
      </c>
      <c r="G114" s="16">
        <f t="shared" si="35"/>
        <v>4032.1425010681842</v>
      </c>
      <c r="H114" s="12"/>
      <c r="I114" s="12"/>
      <c r="J114" s="141"/>
      <c r="K114" s="267"/>
      <c r="L114" s="11"/>
      <c r="M114" s="425" t="e" cm="1">
        <f t="array" ref="M114">($D$5/G114)*(C114*Linterp($D$6,atmos_h,atmos_vela)/L114)</f>
        <v>#DIV/0!</v>
      </c>
      <c r="N114" s="55" t="e">
        <f t="shared" si="24"/>
        <v>#DIV/0!</v>
      </c>
      <c r="O114" s="426" t="e">
        <f t="shared" si="25"/>
        <v>#DIV/0!</v>
      </c>
      <c r="P114" s="12"/>
      <c r="Q114" s="7">
        <f t="shared" si="26"/>
        <v>1.1299999999999999</v>
      </c>
      <c r="R114" s="314" t="e" cm="1">
        <f t="array" ref="R114">numeng*InterpolateXY($D$6,$Q114,Tmil_h,Tmil_M,Tmil_table)</f>
        <v>#VALUE!</v>
      </c>
      <c r="S114" s="12" cm="1">
        <f t="array" ref="S114">numeng*InterpolateXY($D$6,$Q114,Tmax_h,Tmax_M,Tmax_table)</f>
        <v>4256.0700188002793</v>
      </c>
      <c r="T114" s="16">
        <f t="shared" si="27"/>
        <v>4032.1425010681842</v>
      </c>
      <c r="U114" s="55" t="e">
        <f t="shared" si="28"/>
        <v>#VALUE!</v>
      </c>
      <c r="V114" s="426">
        <f t="shared" si="29"/>
        <v>223.92751773209511</v>
      </c>
    </row>
    <row r="115" spans="2:22">
      <c r="B115" s="120">
        <f t="shared" si="30"/>
        <v>30000</v>
      </c>
      <c r="C115" s="7">
        <v>1.1399999999999999</v>
      </c>
      <c r="D115" s="7">
        <f t="shared" si="32"/>
        <v>1133.9234163937533</v>
      </c>
      <c r="E115" s="11">
        <f t="shared" si="33"/>
        <v>0.1028925552277927</v>
      </c>
      <c r="F115" s="19">
        <f t="shared" si="34"/>
        <v>4.2469239302182812E-2</v>
      </c>
      <c r="G115" s="16">
        <f t="shared" si="35"/>
        <v>4127.5327654328958</v>
      </c>
      <c r="H115" s="12"/>
      <c r="I115" s="12"/>
      <c r="J115" s="141"/>
      <c r="K115" s="267"/>
      <c r="L115" s="11"/>
      <c r="M115" s="425" t="e" cm="1">
        <f t="array" ref="M115">($D$5/G115)*(C115*Linterp($D$6,atmos_h,atmos_vela)/L115)</f>
        <v>#DIV/0!</v>
      </c>
      <c r="N115" s="55" t="e">
        <f t="shared" si="24"/>
        <v>#DIV/0!</v>
      </c>
      <c r="O115" s="426" t="e">
        <f t="shared" si="25"/>
        <v>#DIV/0!</v>
      </c>
      <c r="P115" s="12"/>
      <c r="Q115" s="7">
        <f t="shared" si="26"/>
        <v>1.1399999999999999</v>
      </c>
      <c r="R115" s="314" t="e" cm="1">
        <f t="array" ref="R115">numeng*InterpolateXY($D$6,$Q115,Tmil_h,Tmil_M,Tmil_table)</f>
        <v>#VALUE!</v>
      </c>
      <c r="S115" s="12" cm="1">
        <f t="array" ref="S115">numeng*InterpolateXY($D$6,$Q115,Tmax_h,Tmax_M,Tmax_table)</f>
        <v>4275.5246285908579</v>
      </c>
      <c r="T115" s="16">
        <f t="shared" si="27"/>
        <v>4127.5327654328958</v>
      </c>
      <c r="U115" s="55" t="e">
        <f t="shared" si="28"/>
        <v>#VALUE!</v>
      </c>
      <c r="V115" s="426">
        <f t="shared" si="29"/>
        <v>147.99186315796214</v>
      </c>
    </row>
    <row r="116" spans="2:22">
      <c r="B116" s="120">
        <f t="shared" si="30"/>
        <v>30000</v>
      </c>
      <c r="C116" s="7">
        <v>1.1499999999999999</v>
      </c>
      <c r="D116" s="7">
        <f t="shared" si="32"/>
        <v>1143.8701130287864</v>
      </c>
      <c r="E116" s="11">
        <f t="shared" si="33"/>
        <v>0.10111089964010539</v>
      </c>
      <c r="F116" s="19">
        <f t="shared" si="34"/>
        <v>4.271165493002585E-2</v>
      </c>
      <c r="G116" s="16">
        <f t="shared" si="35"/>
        <v>4224.2384433383459</v>
      </c>
      <c r="H116" s="12"/>
      <c r="I116" s="12"/>
      <c r="J116" s="141"/>
      <c r="K116" s="267"/>
      <c r="L116" s="11"/>
      <c r="M116" s="425" t="e" cm="1">
        <f t="array" ref="M116">($D$5/G116)*(C116*Linterp($D$6,atmos_h,atmos_vela)/L116)</f>
        <v>#DIV/0!</v>
      </c>
      <c r="N116" s="55" t="e">
        <f t="shared" si="24"/>
        <v>#DIV/0!</v>
      </c>
      <c r="O116" s="426" t="e">
        <f t="shared" si="25"/>
        <v>#DIV/0!</v>
      </c>
      <c r="P116" s="12"/>
      <c r="Q116" s="7">
        <f t="shared" si="26"/>
        <v>1.1499999999999999</v>
      </c>
      <c r="R116" s="314" t="e" cm="1">
        <f t="array" ref="R116">numeng*InterpolateXY($D$6,$Q116,Tmil_h,Tmil_M,Tmil_table)</f>
        <v>#VALUE!</v>
      </c>
      <c r="S116" s="12" cm="1">
        <f t="array" ref="S116">numeng*InterpolateXY($D$6,$Q116,Tmax_h,Tmax_M,Tmax_table)</f>
        <v>4294.9792383814356</v>
      </c>
      <c r="T116" s="16">
        <f t="shared" si="27"/>
        <v>4224.2384433383459</v>
      </c>
      <c r="U116" s="55" t="e">
        <f t="shared" si="28"/>
        <v>#VALUE!</v>
      </c>
      <c r="V116" s="426">
        <f t="shared" si="29"/>
        <v>70.740795043089747</v>
      </c>
    </row>
    <row r="117" spans="2:22">
      <c r="B117" s="120">
        <f t="shared" si="30"/>
        <v>30000</v>
      </c>
      <c r="C117" s="7">
        <v>1.1599999999999999</v>
      </c>
      <c r="D117" s="7">
        <f t="shared" si="32"/>
        <v>1153.8168096638192</v>
      </c>
      <c r="E117" s="11">
        <f t="shared" si="33"/>
        <v>9.9375122453953163E-2</v>
      </c>
      <c r="F117" s="19">
        <f t="shared" si="34"/>
        <v>4.2908252302134318E-2</v>
      </c>
      <c r="G117" s="16">
        <f t="shared" si="35"/>
        <v>4317.8062318379989</v>
      </c>
      <c r="H117" s="12"/>
      <c r="I117" s="12"/>
      <c r="J117" s="141"/>
      <c r="K117" s="267"/>
      <c r="L117" s="11"/>
      <c r="M117" s="425" t="e" cm="1">
        <f t="array" ref="M117">($D$5/G117)*(C117*Linterp($D$6,atmos_h,atmos_vela)/L117)</f>
        <v>#DIV/0!</v>
      </c>
      <c r="N117" s="55" t="e">
        <f t="shared" si="24"/>
        <v>#DIV/0!</v>
      </c>
      <c r="O117" s="426" t="e">
        <f t="shared" si="25"/>
        <v>#DIV/0!</v>
      </c>
      <c r="P117" s="12"/>
      <c r="Q117" s="7">
        <f t="shared" si="26"/>
        <v>1.1599999999999999</v>
      </c>
      <c r="R117" s="314" t="e" cm="1">
        <f t="array" ref="R117">numeng*InterpolateXY($D$6,$Q117,Tmil_h,Tmil_M,Tmil_table)</f>
        <v>#VALUE!</v>
      </c>
      <c r="S117" s="12" cm="1">
        <f t="array" ref="S117">numeng*InterpolateXY($D$6,$Q117,Tmax_h,Tmax_M,Tmax_table)</f>
        <v>4314.4338481720133</v>
      </c>
      <c r="T117" s="16">
        <f t="shared" si="27"/>
        <v>4317.8062318379989</v>
      </c>
      <c r="U117" s="55" t="e">
        <f t="shared" si="28"/>
        <v>#VALUE!</v>
      </c>
      <c r="V117" s="426">
        <f t="shared" si="29"/>
        <v>-3.3723836659855806</v>
      </c>
    </row>
    <row r="118" spans="2:22">
      <c r="B118" s="120">
        <f t="shared" si="30"/>
        <v>30000</v>
      </c>
      <c r="C118" s="7">
        <v>1.17</v>
      </c>
      <c r="D118" s="7">
        <f t="shared" si="32"/>
        <v>1163.7635062988522</v>
      </c>
      <c r="E118" s="11">
        <f t="shared" si="33"/>
        <v>9.7683661899363991E-2</v>
      </c>
      <c r="F118" s="19">
        <f t="shared" si="34"/>
        <v>4.3145757942277853E-2</v>
      </c>
      <c r="G118" s="16">
        <f t="shared" si="35"/>
        <v>4416.8858029429348</v>
      </c>
      <c r="H118" s="12"/>
      <c r="I118" s="12"/>
      <c r="J118" s="141"/>
      <c r="K118" s="267"/>
      <c r="L118" s="11"/>
      <c r="M118" s="425" t="e" cm="1">
        <f t="array" ref="M118">($D$5/G118)*(C118*Linterp($D$6,atmos_h,atmos_vela)/L118)</f>
        <v>#DIV/0!</v>
      </c>
      <c r="N118" s="55" t="e">
        <f t="shared" si="24"/>
        <v>#DIV/0!</v>
      </c>
      <c r="O118" s="426" t="e">
        <f t="shared" si="25"/>
        <v>#DIV/0!</v>
      </c>
      <c r="P118" s="12"/>
      <c r="Q118" s="7">
        <f t="shared" si="26"/>
        <v>1.17</v>
      </c>
      <c r="R118" s="314" t="e" cm="1">
        <f t="array" ref="R118">numeng*InterpolateXY($D$6,$Q118,Tmil_h,Tmil_M,Tmil_table)</f>
        <v>#VALUE!</v>
      </c>
      <c r="S118" s="12" cm="1">
        <f t="array" ref="S118">numeng*InterpolateXY($D$6,$Q118,Tmax_h,Tmax_M,Tmax_table)</f>
        <v>4333.888457962591</v>
      </c>
      <c r="T118" s="16">
        <f t="shared" si="27"/>
        <v>4416.8858029429348</v>
      </c>
      <c r="U118" s="55" t="e">
        <f t="shared" si="28"/>
        <v>#VALUE!</v>
      </c>
      <c r="V118" s="426">
        <f t="shared" si="29"/>
        <v>-82.997344980343769</v>
      </c>
    </row>
    <row r="119" spans="2:22">
      <c r="B119" s="120">
        <f t="shared" si="30"/>
        <v>30000</v>
      </c>
      <c r="C119" s="7">
        <v>1.18</v>
      </c>
      <c r="D119" s="7">
        <f t="shared" si="32"/>
        <v>1173.7102029338851</v>
      </c>
      <c r="E119" s="11">
        <f t="shared" si="33"/>
        <v>9.6035022101435927E-2</v>
      </c>
      <c r="F119" s="19">
        <f t="shared" si="34"/>
        <v>4.3383079428767859E-2</v>
      </c>
      <c r="G119" s="16">
        <f t="shared" si="35"/>
        <v>4517.4227567673142</v>
      </c>
      <c r="H119" s="12"/>
      <c r="I119" s="12"/>
      <c r="J119" s="141"/>
      <c r="K119" s="267"/>
      <c r="L119" s="11"/>
      <c r="M119" s="425" t="e" cm="1">
        <f t="array" ref="M119">($D$5/G119)*(C119*Linterp($D$6,atmos_h,atmos_vela)/L119)</f>
        <v>#DIV/0!</v>
      </c>
      <c r="N119" s="55" t="e">
        <f t="shared" si="24"/>
        <v>#DIV/0!</v>
      </c>
      <c r="O119" s="426" t="e">
        <f t="shared" si="25"/>
        <v>#DIV/0!</v>
      </c>
      <c r="P119" s="12"/>
      <c r="Q119" s="7">
        <f t="shared" si="26"/>
        <v>1.18</v>
      </c>
      <c r="R119" s="314" t="e" cm="1">
        <f t="array" ref="R119">numeng*InterpolateXY($D$6,$Q119,Tmil_h,Tmil_M,Tmil_table)</f>
        <v>#VALUE!</v>
      </c>
      <c r="S119" s="12" cm="1">
        <f t="array" ref="S119">numeng*InterpolateXY($D$6,$Q119,Tmax_h,Tmax_M,Tmax_table)</f>
        <v>4353.3430677531696</v>
      </c>
      <c r="T119" s="16">
        <f t="shared" si="27"/>
        <v>4517.4227567673142</v>
      </c>
      <c r="U119" s="55" t="e">
        <f t="shared" si="28"/>
        <v>#VALUE!</v>
      </c>
      <c r="V119" s="426">
        <f t="shared" si="29"/>
        <v>-164.07968901414461</v>
      </c>
    </row>
    <row r="120" spans="2:22">
      <c r="B120" s="120">
        <f t="shared" si="30"/>
        <v>30000</v>
      </c>
      <c r="C120" s="7">
        <v>1.19</v>
      </c>
      <c r="D120" s="7">
        <f t="shared" si="32"/>
        <v>1183.6568995689181</v>
      </c>
      <c r="E120" s="11">
        <f t="shared" si="33"/>
        <v>9.4427769771936565E-2</v>
      </c>
      <c r="F120" s="19">
        <f t="shared" si="34"/>
        <v>4.3620227064507154E-2</v>
      </c>
      <c r="G120" s="16">
        <f t="shared" si="35"/>
        <v>4619.4278621489648</v>
      </c>
      <c r="H120" s="12"/>
      <c r="I120" s="12"/>
      <c r="J120" s="141"/>
      <c r="K120" s="267"/>
      <c r="L120" s="11"/>
      <c r="M120" s="425" t="e" cm="1">
        <f t="array" ref="M120">($D$5/G120)*(C120*Linterp($D$6,atmos_h,atmos_vela)/L120)</f>
        <v>#DIV/0!</v>
      </c>
      <c r="N120" s="55" t="e">
        <f t="shared" si="24"/>
        <v>#DIV/0!</v>
      </c>
      <c r="O120" s="426" t="e">
        <f t="shared" si="25"/>
        <v>#DIV/0!</v>
      </c>
      <c r="P120" s="12"/>
      <c r="Q120" s="7">
        <f t="shared" si="26"/>
        <v>1.19</v>
      </c>
      <c r="R120" s="314" t="e" cm="1">
        <f t="array" ref="R120">numeng*InterpolateXY($D$6,$Q120,Tmil_h,Tmil_M,Tmil_table)</f>
        <v>#VALUE!</v>
      </c>
      <c r="S120" s="12" cm="1">
        <f t="array" ref="S120">numeng*InterpolateXY($D$6,$Q120,Tmax_h,Tmax_M,Tmax_table)</f>
        <v>4372.7976775437473</v>
      </c>
      <c r="T120" s="16">
        <f t="shared" si="27"/>
        <v>4619.4278621489648</v>
      </c>
      <c r="U120" s="55" t="e">
        <f t="shared" si="28"/>
        <v>#VALUE!</v>
      </c>
      <c r="V120" s="426">
        <f t="shared" si="29"/>
        <v>-246.63018460521744</v>
      </c>
    </row>
    <row r="121" spans="2:22">
      <c r="B121" s="120">
        <f t="shared" si="30"/>
        <v>30000</v>
      </c>
      <c r="C121" s="7">
        <v>1.2</v>
      </c>
      <c r="D121" s="7">
        <f t="shared" si="32"/>
        <v>1193.6035962039509</v>
      </c>
      <c r="E121" s="11">
        <f t="shared" si="33"/>
        <v>9.2860531093082899E-2</v>
      </c>
      <c r="F121" s="19">
        <f t="shared" si="34"/>
        <v>4.385721062186166E-2</v>
      </c>
      <c r="G121" s="16">
        <f t="shared" si="35"/>
        <v>4722.9118879257148</v>
      </c>
      <c r="H121" s="12"/>
      <c r="I121" s="12"/>
      <c r="J121" s="141"/>
      <c r="K121" s="267"/>
      <c r="L121" s="11"/>
      <c r="M121" s="425" t="e" cm="1">
        <f t="array" ref="M121">($D$5/G121)*(C121*Linterp($D$6,atmos_h,atmos_vela)/L121)</f>
        <v>#DIV/0!</v>
      </c>
      <c r="N121" s="55" t="e">
        <f t="shared" si="24"/>
        <v>#DIV/0!</v>
      </c>
      <c r="O121" s="426" t="e">
        <f t="shared" si="25"/>
        <v>#DIV/0!</v>
      </c>
      <c r="P121" s="12"/>
      <c r="Q121" s="7">
        <f t="shared" si="26"/>
        <v>1.2</v>
      </c>
      <c r="R121" s="314" t="e" cm="1">
        <f t="array" ref="R121">numeng*InterpolateXY($D$6,$Q121,Tmil_h,Tmil_M,Tmil_table)</f>
        <v>#VALUE!</v>
      </c>
      <c r="S121" s="12" cm="1">
        <f t="array" ref="S121">numeng*InterpolateXY($D$6,$Q121,Tmax_h,Tmax_M,Tmax_table)</f>
        <v>4392.252287334325</v>
      </c>
      <c r="T121" s="16">
        <f t="shared" si="27"/>
        <v>4722.9118879257148</v>
      </c>
      <c r="U121" s="55" t="e">
        <f t="shared" si="28"/>
        <v>#VALUE!</v>
      </c>
      <c r="V121" s="426">
        <f t="shared" si="29"/>
        <v>-330.65960059138979</v>
      </c>
    </row>
    <row r="122" spans="2:22">
      <c r="B122" s="120"/>
      <c r="C122" s="7"/>
      <c r="D122" s="7"/>
      <c r="E122" s="11"/>
      <c r="F122" s="19"/>
      <c r="G122" s="16"/>
      <c r="H122" s="12"/>
      <c r="I122" s="12"/>
      <c r="J122" s="141"/>
      <c r="K122" s="267"/>
      <c r="L122" s="121"/>
      <c r="M122" s="12"/>
      <c r="N122" s="12"/>
      <c r="O122" s="12"/>
      <c r="Q122" s="12"/>
      <c r="R122" s="12"/>
      <c r="S122" s="12"/>
      <c r="T122" s="16"/>
      <c r="U122" s="16"/>
      <c r="V122" s="16"/>
    </row>
    <row r="123" spans="2:22" ht="15" thickBot="1">
      <c r="C123" s="7"/>
      <c r="D123" s="7"/>
      <c r="E123" s="11"/>
      <c r="F123" s="19"/>
      <c r="G123" s="16"/>
      <c r="H123" s="12"/>
      <c r="I123" s="12"/>
      <c r="J123" s="141"/>
      <c r="K123" s="11"/>
      <c r="L123" s="121"/>
      <c r="M123" s="11"/>
      <c r="N123" s="12"/>
      <c r="O123" s="12"/>
    </row>
    <row r="124" spans="2:22" ht="15" thickBot="1">
      <c r="C124" t="s">
        <v>237</v>
      </c>
      <c r="E124" s="7" t="s">
        <v>356</v>
      </c>
      <c r="F124" s="189" cm="1">
        <f t="array" ref="F124">x_at_ymax(C47:C98,M47:M98)</f>
        <v>0.80418269709225143</v>
      </c>
      <c r="G124" s="4"/>
      <c r="L124" s="55"/>
      <c r="M124" s="55"/>
      <c r="N124" s="12"/>
      <c r="O124" s="12"/>
      <c r="R124" s="276" t="s">
        <v>51</v>
      </c>
      <c r="S124" s="55" t="s">
        <v>358</v>
      </c>
      <c r="T124" t="s">
        <v>383</v>
      </c>
      <c r="U124" s="192" cm="1">
        <f t="array" ref="U124">x_at_y0(Q66:Q101,U66:U101)</f>
        <v>0.97543238093538831</v>
      </c>
    </row>
    <row r="125" spans="2:22" ht="15" thickBot="1">
      <c r="E125" s="7" t="s">
        <v>357</v>
      </c>
      <c r="F125" s="175" cm="1">
        <f t="array" ref="F125">y_max(C71:C91,M71:M91)</f>
        <v>5030.9910039881215</v>
      </c>
      <c r="G125" s="14"/>
      <c r="M125" s="12"/>
      <c r="N125" s="12"/>
      <c r="O125" s="12"/>
      <c r="U125" s="55"/>
    </row>
    <row r="126" spans="2:22" ht="15" thickBot="1">
      <c r="C126" s="7"/>
      <c r="M126" s="12"/>
      <c r="N126" s="12"/>
      <c r="O126" s="12"/>
      <c r="S126" s="55" t="s">
        <v>358</v>
      </c>
      <c r="T126" t="s">
        <v>175</v>
      </c>
      <c r="V126" s="192" cm="1">
        <f t="array" ref="V126">x_at_y0(Q42:Q121,V42:V121)</f>
        <v>1.1595605898737826</v>
      </c>
    </row>
    <row r="127" spans="2:22">
      <c r="C127" s="7"/>
      <c r="D127" s="7"/>
      <c r="E127" s="4"/>
      <c r="F127" s="2"/>
      <c r="M127" s="12"/>
      <c r="N127" s="12"/>
      <c r="O127" s="12"/>
    </row>
    <row r="128" spans="2:22">
      <c r="C128" s="7"/>
      <c r="D128" s="7"/>
      <c r="E128" s="4"/>
      <c r="F128" s="1"/>
      <c r="L128" s="12"/>
      <c r="M128" s="12"/>
      <c r="N128" s="12"/>
      <c r="O128" s="12"/>
    </row>
    <row r="129" spans="3:16" ht="15" thickBot="1">
      <c r="C129" s="7"/>
      <c r="D129" s="7"/>
      <c r="E129" s="11"/>
      <c r="F129" s="19"/>
      <c r="G129" s="16"/>
      <c r="J129" s="12"/>
      <c r="K129" s="12"/>
      <c r="L129" s="12"/>
      <c r="M129" s="12"/>
      <c r="N129" s="12"/>
      <c r="O129" s="12"/>
    </row>
    <row r="130" spans="3:16">
      <c r="C130" t="s">
        <v>238</v>
      </c>
      <c r="D130" s="7"/>
      <c r="E130" s="7" t="s">
        <v>356</v>
      </c>
      <c r="F130" s="189" cm="1">
        <f t="array" ref="F130">x_at_ymax(C47:C97,N47:N97)</f>
        <v>0.62427768439285647</v>
      </c>
      <c r="G130" s="4"/>
      <c r="J130" s="12"/>
      <c r="K130" s="12"/>
      <c r="L130" s="12"/>
      <c r="M130" s="12"/>
      <c r="N130" s="12"/>
      <c r="O130" s="12"/>
    </row>
    <row r="131" spans="3:16" ht="15" thickBot="1">
      <c r="C131" s="7"/>
      <c r="D131" s="7"/>
      <c r="E131" s="7" t="s">
        <v>357</v>
      </c>
      <c r="F131" s="174" cm="1">
        <f t="array" ref="F131">y_max(C47:C97,N47:N97)</f>
        <v>11.920754621909111</v>
      </c>
      <c r="G131" s="14"/>
      <c r="J131" s="12"/>
      <c r="K131" s="12"/>
      <c r="L131" s="12"/>
      <c r="M131" s="12"/>
      <c r="N131" s="12"/>
      <c r="O131" s="12"/>
    </row>
    <row r="132" spans="3:16">
      <c r="C132" s="7"/>
      <c r="D132" s="7"/>
      <c r="J132" s="12"/>
      <c r="K132" s="12"/>
      <c r="L132" s="12"/>
      <c r="M132" s="12"/>
      <c r="N132" s="12"/>
      <c r="O132" s="12"/>
    </row>
    <row r="133" spans="3:16">
      <c r="C133" s="7"/>
      <c r="D133" s="7"/>
      <c r="E133" s="4"/>
      <c r="F133" s="2"/>
      <c r="J133" s="12"/>
      <c r="K133" s="12"/>
      <c r="L133" s="12"/>
      <c r="M133" s="12"/>
      <c r="N133" s="12"/>
      <c r="O133" s="12"/>
    </row>
    <row r="134" spans="3:16">
      <c r="C134" s="7"/>
      <c r="D134" s="7"/>
      <c r="E134" s="4"/>
      <c r="F134" s="2"/>
      <c r="J134" s="12"/>
      <c r="K134" s="12"/>
      <c r="L134" s="12"/>
      <c r="M134" s="12"/>
      <c r="N134" s="12"/>
      <c r="O134" s="12"/>
      <c r="P134" s="12"/>
    </row>
    <row r="135" spans="3:16" ht="15" thickBot="1">
      <c r="C135" s="7"/>
      <c r="D135" s="7" t="s">
        <v>549</v>
      </c>
      <c r="E135" s="12">
        <v>1000</v>
      </c>
      <c r="F135" s="19" t="s">
        <v>547</v>
      </c>
      <c r="G135" s="16"/>
      <c r="H135" s="16"/>
      <c r="I135" s="12"/>
      <c r="J135" s="12"/>
      <c r="K135" s="12"/>
      <c r="L135" s="12"/>
      <c r="M135" s="12"/>
      <c r="N135" s="12"/>
      <c r="O135" s="12"/>
      <c r="P135" s="12"/>
    </row>
    <row r="136" spans="3:16" ht="15" thickBot="1">
      <c r="C136" s="7"/>
      <c r="D136" s="7"/>
      <c r="E136" s="143" t="s">
        <v>239</v>
      </c>
      <c r="F136" s="269">
        <f>F125*LN($D$5/($D$5-E135))</f>
        <v>530.06780645007404</v>
      </c>
      <c r="G136" s="144" t="s">
        <v>183</v>
      </c>
      <c r="H136" s="272" t="s">
        <v>376</v>
      </c>
      <c r="I136" s="190" cm="1">
        <f t="array" ref="I136">(F136/(F124*Linterp(D6,atmos_h,atmos_vela)))*(60/1)</f>
        <v>67.150640594006873</v>
      </c>
      <c r="J136" s="145" t="s">
        <v>201</v>
      </c>
      <c r="K136" s="12"/>
      <c r="L136" s="12"/>
      <c r="M136" s="12"/>
      <c r="N136" s="12"/>
      <c r="O136" s="12"/>
      <c r="P136" s="12"/>
    </row>
    <row r="137" spans="3:16" ht="15" thickBot="1">
      <c r="C137" s="7"/>
      <c r="D137" s="7"/>
      <c r="E137" s="143"/>
      <c r="F137" s="270"/>
      <c r="G137" s="144"/>
      <c r="H137" s="144"/>
      <c r="I137" s="271"/>
      <c r="J137" s="145"/>
      <c r="K137" s="12"/>
      <c r="L137" s="12"/>
      <c r="M137" s="12"/>
      <c r="N137" s="12"/>
      <c r="O137" s="12"/>
      <c r="P137" s="12"/>
    </row>
    <row r="138" spans="3:16" ht="15" thickBot="1">
      <c r="C138" s="7"/>
      <c r="D138" s="7"/>
      <c r="E138" s="143" t="s">
        <v>240</v>
      </c>
      <c r="F138" s="268">
        <f>F131*60*LN($D$5/($D$5-E135))</f>
        <v>75.358611239685644</v>
      </c>
      <c r="G138" s="144" t="s">
        <v>201</v>
      </c>
      <c r="H138" s="272" t="s">
        <v>377</v>
      </c>
      <c r="I138" s="269" cm="1">
        <f t="array" ref="I138">F138*F130*Linterp(D6,atmos_h,atmos_vela)/60</f>
        <v>461.7822557170096</v>
      </c>
      <c r="J138" s="145" t="s">
        <v>183</v>
      </c>
      <c r="K138" s="12"/>
      <c r="L138" s="12"/>
      <c r="M138" s="12"/>
      <c r="N138" s="12"/>
      <c r="O138" s="12"/>
      <c r="P138" s="12"/>
    </row>
    <row r="139" spans="3:16">
      <c r="C139" s="7"/>
      <c r="D139" s="7"/>
      <c r="E139" s="11"/>
      <c r="F139" s="19"/>
      <c r="G139" s="16"/>
      <c r="H139" s="16"/>
      <c r="I139" s="12"/>
      <c r="J139" s="12"/>
      <c r="K139" s="12"/>
    </row>
    <row r="140" spans="3:16">
      <c r="E140" t="s">
        <v>374</v>
      </c>
    </row>
    <row r="141" spans="3:16">
      <c r="E141" t="s">
        <v>375</v>
      </c>
    </row>
  </sheetData>
  <mergeCells count="2">
    <mergeCell ref="B2:D2"/>
    <mergeCell ref="B3:D3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0249E-96F3-4308-A4A2-57A51E7A626A}">
  <sheetPr codeName="Sheet22">
    <tabColor rgb="FFFFCCFF"/>
  </sheetPr>
  <dimension ref="B1:V141"/>
  <sheetViews>
    <sheetView topLeftCell="A99" workbookViewId="0">
      <selection activeCell="O129" sqref="O129"/>
    </sheetView>
  </sheetViews>
  <sheetFormatPr defaultRowHeight="14.5"/>
  <cols>
    <col min="1" max="1" width="2.7265625" customWidth="1"/>
    <col min="2" max="13" width="12.7265625" customWidth="1"/>
    <col min="14" max="16" width="10.7265625" customWidth="1"/>
    <col min="17" max="22" width="12.7265625" customWidth="1"/>
    <col min="23" max="66" width="10.7265625" customWidth="1"/>
  </cols>
  <sheetData>
    <row r="1" spans="2:22" ht="15" thickBot="1"/>
    <row r="2" spans="2:22">
      <c r="B2" s="601" t="s">
        <v>331</v>
      </c>
      <c r="C2" s="605"/>
      <c r="D2" s="606"/>
    </row>
    <row r="3" spans="2:22" ht="15" thickBot="1">
      <c r="B3" s="602" t="s">
        <v>378</v>
      </c>
      <c r="C3" s="607"/>
      <c r="D3" s="608"/>
    </row>
    <row r="5" spans="2:22">
      <c r="C5" t="s">
        <v>6</v>
      </c>
      <c r="D5" s="8">
        <v>10000</v>
      </c>
      <c r="E5" t="s">
        <v>5</v>
      </c>
      <c r="G5" t="s">
        <v>0</v>
      </c>
      <c r="H5" s="1">
        <f>Linterp(D6,atmos_h,atmos_qms)</f>
        <v>274.17821456777654</v>
      </c>
      <c r="I5" t="s">
        <v>19</v>
      </c>
    </row>
    <row r="6" spans="2:22">
      <c r="C6" t="s">
        <v>1</v>
      </c>
      <c r="D6" s="8">
        <v>40000</v>
      </c>
      <c r="E6" t="s">
        <v>2</v>
      </c>
      <c r="G6" t="s">
        <v>153</v>
      </c>
      <c r="H6" s="3">
        <f>Linterp(D6,atmos_h,atmos_aspeed)</f>
        <v>968.1005104214338</v>
      </c>
      <c r="I6" t="s">
        <v>20</v>
      </c>
    </row>
    <row r="7" spans="2:22">
      <c r="D7" s="8"/>
      <c r="G7" t="s">
        <v>155</v>
      </c>
      <c r="H7" s="9">
        <f>Linterp(D6,atmos_h,atmos_rho)</f>
        <v>5.8508505334522413E-4</v>
      </c>
      <c r="I7" t="s">
        <v>156</v>
      </c>
    </row>
    <row r="8" spans="2:22" ht="15" thickBot="1">
      <c r="H8" s="2"/>
      <c r="I8" s="1">
        <v>1</v>
      </c>
      <c r="L8" s="4"/>
      <c r="M8" s="4"/>
      <c r="N8" s="4"/>
      <c r="O8" s="4"/>
    </row>
    <row r="9" spans="2:22">
      <c r="B9" s="6" t="s">
        <v>1</v>
      </c>
      <c r="C9" s="6" t="s">
        <v>72</v>
      </c>
      <c r="D9" s="6" t="s">
        <v>232</v>
      </c>
      <c r="E9" s="6" t="s">
        <v>74</v>
      </c>
      <c r="F9" s="6" t="s">
        <v>75</v>
      </c>
      <c r="G9" s="6" t="s">
        <v>186</v>
      </c>
      <c r="H9" s="6" t="s">
        <v>294</v>
      </c>
      <c r="I9" s="6" t="s">
        <v>295</v>
      </c>
      <c r="J9" s="6" t="s">
        <v>233</v>
      </c>
      <c r="K9" s="6" t="s">
        <v>85</v>
      </c>
      <c r="L9" s="6" t="s">
        <v>234</v>
      </c>
      <c r="M9" s="312" t="s">
        <v>235</v>
      </c>
      <c r="N9" s="301" t="s">
        <v>236</v>
      </c>
      <c r="O9" s="310" t="s">
        <v>402</v>
      </c>
      <c r="P9" s="6"/>
      <c r="Q9" s="6" t="s">
        <v>72</v>
      </c>
      <c r="R9" s="312" t="s">
        <v>187</v>
      </c>
      <c r="S9" s="301" t="s">
        <v>202</v>
      </c>
      <c r="T9" s="301" t="s">
        <v>186</v>
      </c>
      <c r="U9" s="301" t="s">
        <v>381</v>
      </c>
      <c r="V9" s="310" t="s">
        <v>382</v>
      </c>
    </row>
    <row r="10" spans="2:22">
      <c r="B10" s="6" t="s">
        <v>30</v>
      </c>
      <c r="C10" s="6" t="s">
        <v>77</v>
      </c>
      <c r="D10" s="6" t="s">
        <v>69</v>
      </c>
      <c r="E10" s="6"/>
      <c r="F10" s="6"/>
      <c r="G10" s="6" t="s">
        <v>78</v>
      </c>
      <c r="H10" s="6" t="s">
        <v>78</v>
      </c>
      <c r="I10" s="6" t="s">
        <v>86</v>
      </c>
      <c r="J10" s="6" t="s">
        <v>87</v>
      </c>
      <c r="K10" s="6" t="s">
        <v>86</v>
      </c>
      <c r="L10" s="6" t="s">
        <v>414</v>
      </c>
      <c r="M10" s="317" t="s">
        <v>203</v>
      </c>
      <c r="N10" s="316" t="s">
        <v>415</v>
      </c>
      <c r="O10" s="318" t="s">
        <v>416</v>
      </c>
      <c r="P10" s="6"/>
      <c r="Q10" s="6" t="s">
        <v>77</v>
      </c>
      <c r="R10" s="317" t="s">
        <v>78</v>
      </c>
      <c r="S10" s="316" t="s">
        <v>78</v>
      </c>
      <c r="T10" s="316" t="s">
        <v>78</v>
      </c>
      <c r="U10" s="316" t="s">
        <v>78</v>
      </c>
      <c r="V10" s="318" t="s">
        <v>78</v>
      </c>
    </row>
    <row r="11" spans="2:22">
      <c r="B11" s="120">
        <f>D6</f>
        <v>40000</v>
      </c>
      <c r="C11" s="7">
        <v>0.1</v>
      </c>
      <c r="D11" s="7">
        <f t="shared" ref="D11:D19" si="0">C11*H$6</f>
        <v>96.810051042143385</v>
      </c>
      <c r="E11" s="11">
        <f t="shared" ref="E11:E74" si="1">D$5/(H$5*C11*C11*_xlfn.SINGLE(S))</f>
        <v>21.454487003825609</v>
      </c>
      <c r="F11" s="19" t="e">
        <f>InterpolateXY(E11,C11,CD_CL,CD_M,CD_table)</f>
        <v>#VALUE!</v>
      </c>
      <c r="G11" t="e">
        <f t="shared" ref="G11:G74" si="2">F11*$H$5*C11*C11*_xlfn.SINGLE(S)</f>
        <v>#VALUE!</v>
      </c>
      <c r="H11" s="12">
        <f t="shared" ref="H11:H74" si="3">_xlfn.SINGLE(InterpolateXY(B11,C11,Tnorm_h,Tnorm_M,Tnorm_table))*_xlfn.SINGLE(numeng)</f>
        <v>930.47251087347593</v>
      </c>
      <c r="I11" s="12">
        <f t="shared" ref="I11:I42" si="4">_xlfn.SINGLE(InterpolateXYZ($I$8,C11,B11,FFnorm_PS,FFnorm_M,FFnorm_h,FFnorm_table))*_xlfn.SINGLE(numeng)</f>
        <v>879.45012750557589</v>
      </c>
      <c r="J11" s="141" t="e">
        <f>G11/H11</f>
        <v>#VALUE!</v>
      </c>
      <c r="K11" s="267" t="e" cm="1">
        <f t="array" ref="K11">InterpolateXYZ(J11,C11,B11,FFnorm_PS,FFnorm_M,FFnorm_h,FFnorm_table)*numeng</f>
        <v>#VALUE!</v>
      </c>
      <c r="L11" s="11" t="e">
        <f>K11/G11</f>
        <v>#VALUE!</v>
      </c>
      <c r="M11" s="425" t="e" cm="1">
        <f t="array" ref="M11">($D$5/G11)*(C11*Linterp($D$6,atmos_h,atmos_vela)/L11)</f>
        <v>#VALUE!</v>
      </c>
      <c r="N11" s="55" t="e">
        <f>($D$5/G11)*(1/L11)</f>
        <v>#VALUE!</v>
      </c>
      <c r="O11" s="426" t="e">
        <f>M11/$D$5</f>
        <v>#VALUE!</v>
      </c>
      <c r="P11" s="3"/>
      <c r="Q11" s="7">
        <f>C11</f>
        <v>0.1</v>
      </c>
      <c r="R11" s="314" cm="1">
        <f t="array" ref="R11">numeng*InterpolateXY($D$6,$Q11,Tmil_h,Tmil_M,Tmil_table)</f>
        <v>994.52472833626018</v>
      </c>
      <c r="S11" s="12" cm="1">
        <f t="array" ref="S11">numeng*InterpolateXY($D$6,$Q11,Tmax_h,Tmax_M,Tmax_table)</f>
        <v>1501.6338719928681</v>
      </c>
      <c r="T11" s="16" t="e">
        <f>G11</f>
        <v>#VALUE!</v>
      </c>
      <c r="U11" s="55" t="e">
        <f>R11-T11</f>
        <v>#VALUE!</v>
      </c>
      <c r="V11" s="426" t="e">
        <f>S11-T11</f>
        <v>#VALUE!</v>
      </c>
    </row>
    <row r="12" spans="2:22">
      <c r="B12" s="120">
        <f>B11</f>
        <v>40000</v>
      </c>
      <c r="C12" s="7">
        <v>0.11</v>
      </c>
      <c r="D12" s="7">
        <f t="shared" si="0"/>
        <v>106.49105614635772</v>
      </c>
      <c r="E12" s="11">
        <f t="shared" si="1"/>
        <v>17.730980994897195</v>
      </c>
      <c r="F12" s="19" t="e">
        <f t="shared" ref="F12:F75" si="5">InterpolateXY(E12,C12,CD_CL,CD_M,CD_table)</f>
        <v>#VALUE!</v>
      </c>
      <c r="G12" t="e">
        <f t="shared" si="2"/>
        <v>#VALUE!</v>
      </c>
      <c r="H12" s="12">
        <f t="shared" si="3"/>
        <v>936.38027284727571</v>
      </c>
      <c r="I12" s="12">
        <f t="shared" si="4"/>
        <v>885.03393783894467</v>
      </c>
      <c r="J12" s="141" t="e">
        <f t="shared" ref="J12:J75" si="6">G12/H12</f>
        <v>#VALUE!</v>
      </c>
      <c r="K12" s="267" t="e" cm="1">
        <f t="array" ref="K12">InterpolateXYZ(J12,C12,B12,FFnorm_PS,FFnorm_M,FFnorm_h,FFnorm_table)*numeng</f>
        <v>#VALUE!</v>
      </c>
      <c r="L12" s="11" t="e">
        <f t="shared" ref="L12:L75" si="7">K12/G12</f>
        <v>#VALUE!</v>
      </c>
      <c r="M12" s="425" t="e" cm="1">
        <f t="array" ref="M12">($D$5/G12)*(C12*Linterp($D$6,atmos_h,atmos_vela)/L12)</f>
        <v>#VALUE!</v>
      </c>
      <c r="N12" s="55" t="e">
        <f t="shared" ref="N12:N75" si="8">($D$5/G12)*(1/L12)</f>
        <v>#VALUE!</v>
      </c>
      <c r="O12" s="426" t="e">
        <f t="shared" ref="O12:O75" si="9">M12/$D$5</f>
        <v>#VALUE!</v>
      </c>
      <c r="P12" s="12"/>
      <c r="Q12" s="7">
        <f t="shared" ref="Q12:Q75" si="10">C12</f>
        <v>0.11</v>
      </c>
      <c r="R12" s="314" cm="1">
        <f t="array" ref="R12">numeng*InterpolateXY($D$6,$Q12,Tmil_h,Tmil_M,Tmil_table)</f>
        <v>1000.4327960293468</v>
      </c>
      <c r="S12" s="12" cm="1">
        <f t="array" ref="S12">numeng*InterpolateXY($D$6,$Q12,Tmax_h,Tmax_M,Tmax_table)</f>
        <v>1516.4040412255847</v>
      </c>
      <c r="T12" s="16" t="e">
        <f t="shared" ref="T12:T75" si="11">G12</f>
        <v>#VALUE!</v>
      </c>
      <c r="U12" s="55" t="e">
        <f t="shared" ref="U12:U75" si="12">R12-T12</f>
        <v>#VALUE!</v>
      </c>
      <c r="V12" s="426" t="e">
        <f t="shared" ref="V12:V75" si="13">S12-T12</f>
        <v>#VALUE!</v>
      </c>
    </row>
    <row r="13" spans="2:22">
      <c r="B13" s="120">
        <f t="shared" ref="B13:B76" si="14">B12</f>
        <v>40000</v>
      </c>
      <c r="C13" s="7">
        <v>0.12</v>
      </c>
      <c r="D13" s="7">
        <f t="shared" si="0"/>
        <v>116.17206125057206</v>
      </c>
      <c r="E13" s="11">
        <f t="shared" si="1"/>
        <v>14.898949308212231</v>
      </c>
      <c r="F13" s="19" t="e">
        <f t="shared" si="5"/>
        <v>#VALUE!</v>
      </c>
      <c r="G13" t="e">
        <f t="shared" si="2"/>
        <v>#VALUE!</v>
      </c>
      <c r="H13" s="12">
        <f t="shared" si="3"/>
        <v>942.2880348210756</v>
      </c>
      <c r="I13" s="12">
        <f t="shared" si="4"/>
        <v>890.61774817231333</v>
      </c>
      <c r="J13" s="141" t="e">
        <f t="shared" si="6"/>
        <v>#VALUE!</v>
      </c>
      <c r="K13" s="267" t="e" cm="1">
        <f t="array" ref="K13">InterpolateXYZ(J13,C13,B13,FFnorm_PS,FFnorm_M,FFnorm_h,FFnorm_table)*numeng</f>
        <v>#VALUE!</v>
      </c>
      <c r="L13" s="11" t="e">
        <f t="shared" si="7"/>
        <v>#VALUE!</v>
      </c>
      <c r="M13" s="425" t="e" cm="1">
        <f t="array" ref="M13">($D$5/G13)*(C13*Linterp($D$6,atmos_h,atmos_vela)/L13)</f>
        <v>#VALUE!</v>
      </c>
      <c r="N13" s="55" t="e">
        <f t="shared" si="8"/>
        <v>#VALUE!</v>
      </c>
      <c r="O13" s="426" t="e">
        <f t="shared" si="9"/>
        <v>#VALUE!</v>
      </c>
      <c r="P13" s="12"/>
      <c r="Q13" s="7">
        <f t="shared" si="10"/>
        <v>0.12</v>
      </c>
      <c r="R13" s="314" cm="1">
        <f t="array" ref="R13">numeng*InterpolateXY($D$6,$Q13,Tmil_h,Tmil_M,Tmil_table)</f>
        <v>1006.3408637224336</v>
      </c>
      <c r="S13" s="12" cm="1">
        <f t="array" ref="S13">numeng*InterpolateXY($D$6,$Q13,Tmax_h,Tmax_M,Tmax_table)</f>
        <v>1531.1742104583016</v>
      </c>
      <c r="T13" s="16" t="e">
        <f t="shared" si="11"/>
        <v>#VALUE!</v>
      </c>
      <c r="U13" s="55" t="e">
        <f t="shared" si="12"/>
        <v>#VALUE!</v>
      </c>
      <c r="V13" s="426" t="e">
        <f t="shared" si="13"/>
        <v>#VALUE!</v>
      </c>
    </row>
    <row r="14" spans="2:22">
      <c r="B14" s="120">
        <f t="shared" si="14"/>
        <v>40000</v>
      </c>
      <c r="C14" s="7">
        <v>0.13</v>
      </c>
      <c r="D14" s="7">
        <f t="shared" si="0"/>
        <v>125.85306635478639</v>
      </c>
      <c r="E14" s="11">
        <f t="shared" si="1"/>
        <v>12.694962724157161</v>
      </c>
      <c r="F14" s="19" t="e">
        <f t="shared" si="5"/>
        <v>#VALUE!</v>
      </c>
      <c r="G14" t="e">
        <f t="shared" si="2"/>
        <v>#VALUE!</v>
      </c>
      <c r="H14" s="12">
        <f t="shared" si="3"/>
        <v>948.19579679487538</v>
      </c>
      <c r="I14" s="12">
        <f t="shared" si="4"/>
        <v>896.2015585056821</v>
      </c>
      <c r="J14" s="141" t="e">
        <f t="shared" si="6"/>
        <v>#VALUE!</v>
      </c>
      <c r="K14" s="267" t="e" cm="1">
        <f t="array" ref="K14">InterpolateXYZ(J14,C14,B14,FFnorm_PS,FFnorm_M,FFnorm_h,FFnorm_table)*numeng</f>
        <v>#VALUE!</v>
      </c>
      <c r="L14" s="11" t="e">
        <f t="shared" si="7"/>
        <v>#VALUE!</v>
      </c>
      <c r="M14" s="425" t="e" cm="1">
        <f t="array" ref="M14">($D$5/G14)*(C14*Linterp($D$6,atmos_h,atmos_vela)/L14)</f>
        <v>#VALUE!</v>
      </c>
      <c r="N14" s="55" t="e">
        <f t="shared" si="8"/>
        <v>#VALUE!</v>
      </c>
      <c r="O14" s="426" t="e">
        <f t="shared" si="9"/>
        <v>#VALUE!</v>
      </c>
      <c r="P14" s="12"/>
      <c r="Q14" s="7">
        <f t="shared" si="10"/>
        <v>0.13</v>
      </c>
      <c r="R14" s="314" cm="1">
        <f t="array" ref="R14">numeng*InterpolateXY($D$6,$Q14,Tmil_h,Tmil_M,Tmil_table)</f>
        <v>1012.2489314155202</v>
      </c>
      <c r="S14" s="12" cm="1">
        <f t="array" ref="S14">numeng*InterpolateXY($D$6,$Q14,Tmax_h,Tmax_M,Tmax_table)</f>
        <v>1545.9443796910182</v>
      </c>
      <c r="T14" s="16" t="e">
        <f t="shared" si="11"/>
        <v>#VALUE!</v>
      </c>
      <c r="U14" s="55" t="e">
        <f t="shared" si="12"/>
        <v>#VALUE!</v>
      </c>
      <c r="V14" s="426" t="e">
        <f t="shared" si="13"/>
        <v>#VALUE!</v>
      </c>
    </row>
    <row r="15" spans="2:22">
      <c r="B15" s="120">
        <f t="shared" si="14"/>
        <v>40000</v>
      </c>
      <c r="C15" s="7">
        <v>0.14000000000000001</v>
      </c>
      <c r="D15" s="7">
        <f t="shared" si="0"/>
        <v>135.53407145900076</v>
      </c>
      <c r="E15" s="11">
        <f t="shared" si="1"/>
        <v>10.946166838686532</v>
      </c>
      <c r="F15" s="19" t="e">
        <f t="shared" si="5"/>
        <v>#VALUE!</v>
      </c>
      <c r="G15" t="e">
        <f t="shared" si="2"/>
        <v>#VALUE!</v>
      </c>
      <c r="H15" s="12">
        <f t="shared" si="3"/>
        <v>954.10355876867527</v>
      </c>
      <c r="I15" s="12">
        <f t="shared" si="4"/>
        <v>901.78536883905088</v>
      </c>
      <c r="J15" s="141" t="e">
        <f t="shared" si="6"/>
        <v>#VALUE!</v>
      </c>
      <c r="K15" s="267" t="e" cm="1">
        <f t="array" ref="K15">InterpolateXYZ(J15,C15,B15,FFnorm_PS,FFnorm_M,FFnorm_h,FFnorm_table)*numeng</f>
        <v>#VALUE!</v>
      </c>
      <c r="L15" s="11" t="e">
        <f t="shared" si="7"/>
        <v>#VALUE!</v>
      </c>
      <c r="M15" s="425" t="e" cm="1">
        <f t="array" ref="M15">($D$5/G15)*(C15*Linterp($D$6,atmos_h,atmos_vela)/L15)</f>
        <v>#VALUE!</v>
      </c>
      <c r="N15" s="55" t="e">
        <f t="shared" si="8"/>
        <v>#VALUE!</v>
      </c>
      <c r="O15" s="426" t="e">
        <f t="shared" si="9"/>
        <v>#VALUE!</v>
      </c>
      <c r="P15" s="12"/>
      <c r="Q15" s="7">
        <f t="shared" si="10"/>
        <v>0.14000000000000001</v>
      </c>
      <c r="R15" s="314" cm="1">
        <f t="array" ref="R15">numeng*InterpolateXY($D$6,$Q15,Tmil_h,Tmil_M,Tmil_table)</f>
        <v>1018.1569991086069</v>
      </c>
      <c r="S15" s="12" cm="1">
        <f t="array" ref="S15">numeng*InterpolateXY($D$6,$Q15,Tmax_h,Tmax_M,Tmax_table)</f>
        <v>1560.714548923735</v>
      </c>
      <c r="T15" s="16" t="e">
        <f t="shared" si="11"/>
        <v>#VALUE!</v>
      </c>
      <c r="U15" s="55" t="e">
        <f t="shared" si="12"/>
        <v>#VALUE!</v>
      </c>
      <c r="V15" s="426" t="e">
        <f t="shared" si="13"/>
        <v>#VALUE!</v>
      </c>
    </row>
    <row r="16" spans="2:22">
      <c r="B16" s="120">
        <f t="shared" si="14"/>
        <v>40000</v>
      </c>
      <c r="C16" s="7">
        <v>0.15</v>
      </c>
      <c r="D16" s="7">
        <f t="shared" si="0"/>
        <v>145.21507656321506</v>
      </c>
      <c r="E16" s="11">
        <f t="shared" si="1"/>
        <v>9.5353275572558243</v>
      </c>
      <c r="F16" s="19" t="e">
        <f t="shared" si="5"/>
        <v>#VALUE!</v>
      </c>
      <c r="G16" t="e">
        <f t="shared" si="2"/>
        <v>#VALUE!</v>
      </c>
      <c r="H16" s="12">
        <f t="shared" si="3"/>
        <v>960.01132074247505</v>
      </c>
      <c r="I16" s="12">
        <f t="shared" si="4"/>
        <v>907.36917917241954</v>
      </c>
      <c r="J16" s="141" t="e">
        <f t="shared" si="6"/>
        <v>#VALUE!</v>
      </c>
      <c r="K16" s="267" t="e" cm="1">
        <f t="array" ref="K16">InterpolateXYZ(J16,C16,B16,FFnorm_PS,FFnorm_M,FFnorm_h,FFnorm_table)*numeng</f>
        <v>#VALUE!</v>
      </c>
      <c r="L16" s="11" t="e">
        <f t="shared" si="7"/>
        <v>#VALUE!</v>
      </c>
      <c r="M16" s="425" t="e" cm="1">
        <f t="array" ref="M16">($D$5/G16)*(C16*Linterp($D$6,atmos_h,atmos_vela)/L16)</f>
        <v>#VALUE!</v>
      </c>
      <c r="N16" s="55" t="e">
        <f t="shared" si="8"/>
        <v>#VALUE!</v>
      </c>
      <c r="O16" s="426" t="e">
        <f t="shared" si="9"/>
        <v>#VALUE!</v>
      </c>
      <c r="P16" s="12"/>
      <c r="Q16" s="7">
        <f t="shared" si="10"/>
        <v>0.15</v>
      </c>
      <c r="R16" s="314" cm="1">
        <f t="array" ref="R16">numeng*InterpolateXY($D$6,$Q16,Tmil_h,Tmil_M,Tmil_table)</f>
        <v>1024.0650668016935</v>
      </c>
      <c r="S16" s="12" cm="1">
        <f t="array" ref="S16">numeng*InterpolateXY($D$6,$Q16,Tmax_h,Tmax_M,Tmax_table)</f>
        <v>1575.4847181564517</v>
      </c>
      <c r="T16" s="16" t="e">
        <f t="shared" si="11"/>
        <v>#VALUE!</v>
      </c>
      <c r="U16" s="55" t="e">
        <f t="shared" si="12"/>
        <v>#VALUE!</v>
      </c>
      <c r="V16" s="426" t="e">
        <f t="shared" si="13"/>
        <v>#VALUE!</v>
      </c>
    </row>
    <row r="17" spans="2:22">
      <c r="B17" s="120">
        <f t="shared" si="14"/>
        <v>40000</v>
      </c>
      <c r="C17" s="7">
        <v>0.16</v>
      </c>
      <c r="D17" s="7">
        <f t="shared" si="0"/>
        <v>154.8960816674294</v>
      </c>
      <c r="E17" s="11">
        <f t="shared" si="1"/>
        <v>8.3806589858693776</v>
      </c>
      <c r="F17" s="19" t="e">
        <f t="shared" si="5"/>
        <v>#VALUE!</v>
      </c>
      <c r="G17" t="e">
        <f t="shared" si="2"/>
        <v>#VALUE!</v>
      </c>
      <c r="H17" s="12">
        <f t="shared" si="3"/>
        <v>965.91908271627494</v>
      </c>
      <c r="I17" s="12">
        <f t="shared" si="4"/>
        <v>912.95298950578831</v>
      </c>
      <c r="J17" s="141" t="e">
        <f t="shared" si="6"/>
        <v>#VALUE!</v>
      </c>
      <c r="K17" s="267" t="e" cm="1">
        <f t="array" ref="K17">InterpolateXYZ(J17,C17,B17,FFnorm_PS,FFnorm_M,FFnorm_h,FFnorm_table)*numeng</f>
        <v>#VALUE!</v>
      </c>
      <c r="L17" s="11" t="e">
        <f t="shared" si="7"/>
        <v>#VALUE!</v>
      </c>
      <c r="M17" s="425" t="e" cm="1">
        <f t="array" ref="M17">($D$5/G17)*(C17*Linterp($D$6,atmos_h,atmos_vela)/L17)</f>
        <v>#VALUE!</v>
      </c>
      <c r="N17" s="55" t="e">
        <f t="shared" si="8"/>
        <v>#VALUE!</v>
      </c>
      <c r="O17" s="426" t="e">
        <f t="shared" si="9"/>
        <v>#VALUE!</v>
      </c>
      <c r="P17" s="12"/>
      <c r="Q17" s="7">
        <f t="shared" si="10"/>
        <v>0.16</v>
      </c>
      <c r="R17" s="314" cm="1">
        <f t="array" ref="R17">numeng*InterpolateXY($D$6,$Q17,Tmil_h,Tmil_M,Tmil_table)</f>
        <v>1029.9731344947802</v>
      </c>
      <c r="S17" s="12" cm="1">
        <f t="array" ref="S17">numeng*InterpolateXY($D$6,$Q17,Tmax_h,Tmax_M,Tmax_table)</f>
        <v>1590.2548873891685</v>
      </c>
      <c r="T17" s="16" t="e">
        <f t="shared" si="11"/>
        <v>#VALUE!</v>
      </c>
      <c r="U17" s="55" t="e">
        <f t="shared" si="12"/>
        <v>#VALUE!</v>
      </c>
      <c r="V17" s="426" t="e">
        <f t="shared" si="13"/>
        <v>#VALUE!</v>
      </c>
    </row>
    <row r="18" spans="2:22">
      <c r="B18" s="120">
        <f t="shared" si="14"/>
        <v>40000</v>
      </c>
      <c r="C18" s="7">
        <v>0.17</v>
      </c>
      <c r="D18" s="7">
        <f t="shared" si="0"/>
        <v>164.57708677164376</v>
      </c>
      <c r="E18" s="11">
        <f t="shared" si="1"/>
        <v>7.4236979251991713</v>
      </c>
      <c r="F18" s="19" t="e">
        <f t="shared" si="5"/>
        <v>#VALUE!</v>
      </c>
      <c r="G18" t="e">
        <f t="shared" si="2"/>
        <v>#VALUE!</v>
      </c>
      <c r="H18" s="12">
        <f t="shared" si="3"/>
        <v>971.82684469007484</v>
      </c>
      <c r="I18" s="12">
        <f t="shared" si="4"/>
        <v>918.53679983915708</v>
      </c>
      <c r="J18" s="141" t="e">
        <f t="shared" si="6"/>
        <v>#VALUE!</v>
      </c>
      <c r="K18" s="267" t="e" cm="1">
        <f t="array" ref="K18">InterpolateXYZ(J18,C18,B18,FFnorm_PS,FFnorm_M,FFnorm_h,FFnorm_table)*numeng</f>
        <v>#VALUE!</v>
      </c>
      <c r="L18" s="11" t="e">
        <f t="shared" si="7"/>
        <v>#VALUE!</v>
      </c>
      <c r="M18" s="425" t="e" cm="1">
        <f t="array" ref="M18">($D$5/G18)*(C18*Linterp($D$6,atmos_h,atmos_vela)/L18)</f>
        <v>#VALUE!</v>
      </c>
      <c r="N18" s="55" t="e">
        <f t="shared" si="8"/>
        <v>#VALUE!</v>
      </c>
      <c r="O18" s="426" t="e">
        <f t="shared" si="9"/>
        <v>#VALUE!</v>
      </c>
      <c r="P18" s="12"/>
      <c r="Q18" s="7">
        <f t="shared" si="10"/>
        <v>0.17</v>
      </c>
      <c r="R18" s="314" cm="1">
        <f t="array" ref="R18">numeng*InterpolateXY($D$6,$Q18,Tmil_h,Tmil_M,Tmil_table)</f>
        <v>1035.8812021878671</v>
      </c>
      <c r="S18" s="12" cm="1">
        <f t="array" ref="S18">numeng*InterpolateXY($D$6,$Q18,Tmax_h,Tmax_M,Tmax_table)</f>
        <v>1605.0250566218854</v>
      </c>
      <c r="T18" s="16" t="e">
        <f t="shared" si="11"/>
        <v>#VALUE!</v>
      </c>
      <c r="U18" s="55" t="e">
        <f t="shared" si="12"/>
        <v>#VALUE!</v>
      </c>
      <c r="V18" s="426" t="e">
        <f t="shared" si="13"/>
        <v>#VALUE!</v>
      </c>
    </row>
    <row r="19" spans="2:22">
      <c r="B19" s="120">
        <f t="shared" si="14"/>
        <v>40000</v>
      </c>
      <c r="C19" s="7">
        <v>0.18</v>
      </c>
      <c r="D19" s="7">
        <f t="shared" si="0"/>
        <v>174.25809187585807</v>
      </c>
      <c r="E19" s="11">
        <f t="shared" si="1"/>
        <v>6.621755248094324</v>
      </c>
      <c r="F19" s="19" t="e">
        <f t="shared" si="5"/>
        <v>#VALUE!</v>
      </c>
      <c r="G19" t="e">
        <f t="shared" si="2"/>
        <v>#VALUE!</v>
      </c>
      <c r="H19" s="12">
        <f t="shared" si="3"/>
        <v>977.73460666387462</v>
      </c>
      <c r="I19" s="12">
        <f t="shared" si="4"/>
        <v>924.12061017252586</v>
      </c>
      <c r="J19" s="141" t="e">
        <f t="shared" si="6"/>
        <v>#VALUE!</v>
      </c>
      <c r="K19" s="267" t="e" cm="1">
        <f t="array" ref="K19">InterpolateXYZ(J19,C19,B19,FFnorm_PS,FFnorm_M,FFnorm_h,FFnorm_table)*numeng</f>
        <v>#VALUE!</v>
      </c>
      <c r="L19" s="11" t="e">
        <f t="shared" si="7"/>
        <v>#VALUE!</v>
      </c>
      <c r="M19" s="425" t="e" cm="1">
        <f t="array" ref="M19">($D$5/G19)*(C19*Linterp($D$6,atmos_h,atmos_vela)/L19)</f>
        <v>#VALUE!</v>
      </c>
      <c r="N19" s="55" t="e">
        <f t="shared" si="8"/>
        <v>#VALUE!</v>
      </c>
      <c r="O19" s="426" t="e">
        <f t="shared" si="9"/>
        <v>#VALUE!</v>
      </c>
      <c r="P19" s="12"/>
      <c r="Q19" s="7">
        <f t="shared" si="10"/>
        <v>0.18</v>
      </c>
      <c r="R19" s="314" cm="1">
        <f t="array" ref="R19">numeng*InterpolateXY($D$6,$Q19,Tmil_h,Tmil_M,Tmil_table)</f>
        <v>1041.7892698809537</v>
      </c>
      <c r="S19" s="12" cm="1">
        <f t="array" ref="S19">numeng*InterpolateXY($D$6,$Q19,Tmax_h,Tmax_M,Tmax_table)</f>
        <v>1619.795225854602</v>
      </c>
      <c r="T19" s="16" t="e">
        <f t="shared" si="11"/>
        <v>#VALUE!</v>
      </c>
      <c r="U19" s="55" t="e">
        <f t="shared" si="12"/>
        <v>#VALUE!</v>
      </c>
      <c r="V19" s="426" t="e">
        <f t="shared" si="13"/>
        <v>#VALUE!</v>
      </c>
    </row>
    <row r="20" spans="2:22">
      <c r="B20" s="120">
        <f t="shared" si="14"/>
        <v>40000</v>
      </c>
      <c r="C20" s="7">
        <v>0.19</v>
      </c>
      <c r="D20" s="7">
        <f>C20*H$6</f>
        <v>183.93909698007243</v>
      </c>
      <c r="E20" s="11">
        <f t="shared" si="1"/>
        <v>5.9430711921954584</v>
      </c>
      <c r="F20" s="19" t="e">
        <f t="shared" si="5"/>
        <v>#VALUE!</v>
      </c>
      <c r="G20" t="e">
        <f t="shared" si="2"/>
        <v>#VALUE!</v>
      </c>
      <c r="H20" s="12">
        <f t="shared" si="3"/>
        <v>983.64236863767439</v>
      </c>
      <c r="I20" s="12">
        <f t="shared" si="4"/>
        <v>929.70442050589452</v>
      </c>
      <c r="J20" s="141" t="e">
        <f t="shared" si="6"/>
        <v>#VALUE!</v>
      </c>
      <c r="K20" s="267" t="e" cm="1">
        <f t="array" ref="K20">InterpolateXYZ(J20,C20,B20,FFnorm_PS,FFnorm_M,FFnorm_h,FFnorm_table)*numeng</f>
        <v>#VALUE!</v>
      </c>
      <c r="L20" s="11" t="e">
        <f t="shared" si="7"/>
        <v>#VALUE!</v>
      </c>
      <c r="M20" s="425" t="e" cm="1">
        <f t="array" ref="M20">($D$5/G20)*(C20*Linterp($D$6,atmos_h,atmos_vela)/L20)</f>
        <v>#VALUE!</v>
      </c>
      <c r="N20" s="55" t="e">
        <f t="shared" si="8"/>
        <v>#VALUE!</v>
      </c>
      <c r="O20" s="426" t="e">
        <f t="shared" si="9"/>
        <v>#VALUE!</v>
      </c>
      <c r="P20" s="12"/>
      <c r="Q20" s="7">
        <f t="shared" si="10"/>
        <v>0.19</v>
      </c>
      <c r="R20" s="314" cm="1">
        <f t="array" ref="R20">numeng*InterpolateXY($D$6,$Q20,Tmil_h,Tmil_M,Tmil_table)</f>
        <v>1047.6973375740404</v>
      </c>
      <c r="S20" s="12" cm="1">
        <f t="array" ref="S20">numeng*InterpolateXY($D$6,$Q20,Tmax_h,Tmax_M,Tmax_table)</f>
        <v>1634.5653950873186</v>
      </c>
      <c r="T20" s="16" t="e">
        <f t="shared" si="11"/>
        <v>#VALUE!</v>
      </c>
      <c r="U20" s="55" t="e">
        <f t="shared" si="12"/>
        <v>#VALUE!</v>
      </c>
      <c r="V20" s="426" t="e">
        <f t="shared" si="13"/>
        <v>#VALUE!</v>
      </c>
    </row>
    <row r="21" spans="2:22">
      <c r="B21" s="120">
        <f t="shared" si="14"/>
        <v>40000</v>
      </c>
      <c r="C21" s="7">
        <v>0.2</v>
      </c>
      <c r="D21" s="7">
        <f t="shared" ref="D21:D84" si="15">C21*H$6</f>
        <v>193.62010208428677</v>
      </c>
      <c r="E21" s="11">
        <f t="shared" si="1"/>
        <v>5.3636217509564021</v>
      </c>
      <c r="F21" s="19" t="e">
        <f t="shared" si="5"/>
        <v>#VALUE!</v>
      </c>
      <c r="G21" t="e">
        <f t="shared" si="2"/>
        <v>#VALUE!</v>
      </c>
      <c r="H21" s="12">
        <f t="shared" si="3"/>
        <v>989.55013061147429</v>
      </c>
      <c r="I21" s="12">
        <f t="shared" si="4"/>
        <v>935.28823083926329</v>
      </c>
      <c r="J21" s="141" t="e">
        <f t="shared" si="6"/>
        <v>#VALUE!</v>
      </c>
      <c r="K21" s="267" t="e" cm="1">
        <f t="array" ref="K21">InterpolateXYZ(J21,C21,B21,FFnorm_PS,FFnorm_M,FFnorm_h,FFnorm_table)*numeng</f>
        <v>#VALUE!</v>
      </c>
      <c r="L21" s="11" t="e">
        <f t="shared" si="7"/>
        <v>#VALUE!</v>
      </c>
      <c r="M21" s="425" t="e" cm="1">
        <f t="array" ref="M21">($D$5/G21)*(C21*Linterp($D$6,atmos_h,atmos_vela)/L21)</f>
        <v>#VALUE!</v>
      </c>
      <c r="N21" s="55" t="e">
        <f t="shared" si="8"/>
        <v>#VALUE!</v>
      </c>
      <c r="O21" s="426" t="e">
        <f t="shared" si="9"/>
        <v>#VALUE!</v>
      </c>
      <c r="P21" s="12"/>
      <c r="Q21" s="7">
        <f t="shared" si="10"/>
        <v>0.2</v>
      </c>
      <c r="R21" s="314" cm="1">
        <f t="array" ref="R21">numeng*InterpolateXY($D$6,$Q21,Tmil_h,Tmil_M,Tmil_table)</f>
        <v>1053.605405267127</v>
      </c>
      <c r="S21" s="12" cm="1">
        <f t="array" ref="S21">numeng*InterpolateXY($D$6,$Q21,Tmax_h,Tmax_M,Tmax_table)</f>
        <v>1649.3355643200355</v>
      </c>
      <c r="T21" s="16" t="e">
        <f t="shared" si="11"/>
        <v>#VALUE!</v>
      </c>
      <c r="U21" s="55" t="e">
        <f t="shared" si="12"/>
        <v>#VALUE!</v>
      </c>
      <c r="V21" s="426" t="e">
        <f t="shared" si="13"/>
        <v>#VALUE!</v>
      </c>
    </row>
    <row r="22" spans="2:22">
      <c r="B22" s="120">
        <f t="shared" si="14"/>
        <v>40000</v>
      </c>
      <c r="C22" s="7">
        <v>0.21</v>
      </c>
      <c r="D22" s="7">
        <f t="shared" si="15"/>
        <v>203.30110718850108</v>
      </c>
      <c r="E22" s="11">
        <f t="shared" si="1"/>
        <v>4.8649630394162386</v>
      </c>
      <c r="F22" s="19" t="e">
        <f t="shared" si="5"/>
        <v>#VALUE!</v>
      </c>
      <c r="G22" t="e">
        <f t="shared" si="2"/>
        <v>#VALUE!</v>
      </c>
      <c r="H22" s="12">
        <f t="shared" si="3"/>
        <v>995.45789258527418</v>
      </c>
      <c r="I22" s="12">
        <f t="shared" si="4"/>
        <v>940.87204117263207</v>
      </c>
      <c r="J22" s="141" t="e">
        <f t="shared" si="6"/>
        <v>#VALUE!</v>
      </c>
      <c r="K22" s="267" t="e" cm="1">
        <f t="array" ref="K22">InterpolateXYZ(J22,C22,B22,FFnorm_PS,FFnorm_M,FFnorm_h,FFnorm_table)*numeng</f>
        <v>#VALUE!</v>
      </c>
      <c r="L22" s="11" t="e">
        <f t="shared" si="7"/>
        <v>#VALUE!</v>
      </c>
      <c r="M22" s="425" t="e" cm="1">
        <f t="array" ref="M22">($D$5/G22)*(C22*Linterp($D$6,atmos_h,atmos_vela)/L22)</f>
        <v>#VALUE!</v>
      </c>
      <c r="N22" s="55" t="e">
        <f t="shared" si="8"/>
        <v>#VALUE!</v>
      </c>
      <c r="O22" s="426" t="e">
        <f t="shared" si="9"/>
        <v>#VALUE!</v>
      </c>
      <c r="P22" s="12"/>
      <c r="Q22" s="7">
        <f t="shared" si="10"/>
        <v>0.21</v>
      </c>
      <c r="R22" s="314" cm="1">
        <f t="array" ref="R22">numeng*InterpolateXY($D$6,$Q22,Tmil_h,Tmil_M,Tmil_table)</f>
        <v>1059.5134729602137</v>
      </c>
      <c r="S22" s="12" cm="1">
        <f t="array" ref="S22">numeng*InterpolateXY($D$6,$Q22,Tmax_h,Tmax_M,Tmax_table)</f>
        <v>1664.1057335527521</v>
      </c>
      <c r="T22" s="16" t="e">
        <f t="shared" si="11"/>
        <v>#VALUE!</v>
      </c>
      <c r="U22" s="55" t="e">
        <f t="shared" si="12"/>
        <v>#VALUE!</v>
      </c>
      <c r="V22" s="426" t="e">
        <f t="shared" si="13"/>
        <v>#VALUE!</v>
      </c>
    </row>
    <row r="23" spans="2:22">
      <c r="B23" s="120">
        <f t="shared" si="14"/>
        <v>40000</v>
      </c>
      <c r="C23" s="7">
        <v>0.22</v>
      </c>
      <c r="D23" s="7">
        <f t="shared" si="15"/>
        <v>212.98211229271544</v>
      </c>
      <c r="E23" s="11">
        <f t="shared" si="1"/>
        <v>4.4327452487242986</v>
      </c>
      <c r="F23" s="19" t="e">
        <f t="shared" si="5"/>
        <v>#VALUE!</v>
      </c>
      <c r="G23" t="e">
        <f t="shared" si="2"/>
        <v>#VALUE!</v>
      </c>
      <c r="H23" s="12">
        <f t="shared" si="3"/>
        <v>1001.365654559074</v>
      </c>
      <c r="I23" s="12">
        <f t="shared" si="4"/>
        <v>946.45585150600073</v>
      </c>
      <c r="J23" s="141" t="e">
        <f t="shared" si="6"/>
        <v>#VALUE!</v>
      </c>
      <c r="K23" s="267" t="e" cm="1">
        <f t="array" ref="K23">InterpolateXYZ(J23,C23,B23,FFnorm_PS,FFnorm_M,FFnorm_h,FFnorm_table)*numeng</f>
        <v>#VALUE!</v>
      </c>
      <c r="L23" s="11" t="e">
        <f t="shared" si="7"/>
        <v>#VALUE!</v>
      </c>
      <c r="M23" s="425" t="e" cm="1">
        <f t="array" ref="M23">($D$5/G23)*(C23*Linterp($D$6,atmos_h,atmos_vela)/L23)</f>
        <v>#VALUE!</v>
      </c>
      <c r="N23" s="55" t="e">
        <f t="shared" si="8"/>
        <v>#VALUE!</v>
      </c>
      <c r="O23" s="426" t="e">
        <f t="shared" si="9"/>
        <v>#VALUE!</v>
      </c>
      <c r="P23" s="12"/>
      <c r="Q23" s="7">
        <f t="shared" si="10"/>
        <v>0.22</v>
      </c>
      <c r="R23" s="314" cm="1">
        <f t="array" ref="R23">numeng*InterpolateXY($D$6,$Q23,Tmil_h,Tmil_M,Tmil_table)</f>
        <v>1065.4215406533003</v>
      </c>
      <c r="S23" s="12" cm="1">
        <f t="array" ref="S23">numeng*InterpolateXY($D$6,$Q23,Tmax_h,Tmax_M,Tmax_table)</f>
        <v>1678.875902785469</v>
      </c>
      <c r="T23" s="16" t="e">
        <f t="shared" si="11"/>
        <v>#VALUE!</v>
      </c>
      <c r="U23" s="55" t="e">
        <f t="shared" si="12"/>
        <v>#VALUE!</v>
      </c>
      <c r="V23" s="426" t="e">
        <f t="shared" si="13"/>
        <v>#VALUE!</v>
      </c>
    </row>
    <row r="24" spans="2:22">
      <c r="B24" s="120">
        <f t="shared" si="14"/>
        <v>40000</v>
      </c>
      <c r="C24" s="7">
        <v>0.23</v>
      </c>
      <c r="D24" s="7">
        <f t="shared" si="15"/>
        <v>222.66311739692978</v>
      </c>
      <c r="E24" s="11">
        <f t="shared" si="1"/>
        <v>4.0556686207609847</v>
      </c>
      <c r="F24" s="19" t="e">
        <f t="shared" si="5"/>
        <v>#VALUE!</v>
      </c>
      <c r="G24" s="16" t="e">
        <f t="shared" si="2"/>
        <v>#VALUE!</v>
      </c>
      <c r="H24" s="12">
        <f t="shared" si="3"/>
        <v>1007.2734165328739</v>
      </c>
      <c r="I24" s="12">
        <f t="shared" si="4"/>
        <v>952.0396618393695</v>
      </c>
      <c r="J24" s="141" t="e">
        <f t="shared" si="6"/>
        <v>#VALUE!</v>
      </c>
      <c r="K24" s="267" t="e" cm="1">
        <f t="array" ref="K24">InterpolateXYZ(J24,C24,B24,FFnorm_PS,FFnorm_M,FFnorm_h,FFnorm_table)*numeng</f>
        <v>#VALUE!</v>
      </c>
      <c r="L24" s="11" t="e">
        <f t="shared" si="7"/>
        <v>#VALUE!</v>
      </c>
      <c r="M24" s="425" t="e" cm="1">
        <f t="array" ref="M24">($D$5/G24)*(C24*Linterp($D$6,atmos_h,atmos_vela)/L24)</f>
        <v>#VALUE!</v>
      </c>
      <c r="N24" s="55" t="e">
        <f t="shared" si="8"/>
        <v>#VALUE!</v>
      </c>
      <c r="O24" s="426" t="e">
        <f t="shared" si="9"/>
        <v>#VALUE!</v>
      </c>
      <c r="P24" s="12"/>
      <c r="Q24" s="7">
        <f t="shared" si="10"/>
        <v>0.23</v>
      </c>
      <c r="R24" s="314" cm="1">
        <f t="array" ref="R24">numeng*InterpolateXY($D$6,$Q24,Tmil_h,Tmil_M,Tmil_table)</f>
        <v>1071.3296083463872</v>
      </c>
      <c r="S24" s="12" cm="1">
        <f t="array" ref="S24">numeng*InterpolateXY($D$6,$Q24,Tmax_h,Tmax_M,Tmax_table)</f>
        <v>1693.6460720181858</v>
      </c>
      <c r="T24" s="16" t="e">
        <f t="shared" si="11"/>
        <v>#VALUE!</v>
      </c>
      <c r="U24" s="55" t="e">
        <f t="shared" si="12"/>
        <v>#VALUE!</v>
      </c>
      <c r="V24" s="426" t="e">
        <f t="shared" si="13"/>
        <v>#VALUE!</v>
      </c>
    </row>
    <row r="25" spans="2:22">
      <c r="B25" s="120">
        <f t="shared" si="14"/>
        <v>40000</v>
      </c>
      <c r="C25" s="7">
        <v>0.24</v>
      </c>
      <c r="D25" s="7">
        <f t="shared" si="15"/>
        <v>232.34412250114411</v>
      </c>
      <c r="E25" s="11">
        <f t="shared" si="1"/>
        <v>3.7247373270530577</v>
      </c>
      <c r="F25" s="19" t="e">
        <f t="shared" si="5"/>
        <v>#VALUE!</v>
      </c>
      <c r="G25" s="16" t="e">
        <f t="shared" si="2"/>
        <v>#VALUE!</v>
      </c>
      <c r="H25" s="12">
        <f t="shared" si="3"/>
        <v>1013.1811785066736</v>
      </c>
      <c r="I25" s="12">
        <f t="shared" si="4"/>
        <v>957.62347217273816</v>
      </c>
      <c r="J25" s="141" t="e">
        <f t="shared" si="6"/>
        <v>#VALUE!</v>
      </c>
      <c r="K25" s="267" t="e" cm="1">
        <f t="array" ref="K25">InterpolateXYZ(J25,C25,B25,FFnorm_PS,FFnorm_M,FFnorm_h,FFnorm_table)*numeng</f>
        <v>#VALUE!</v>
      </c>
      <c r="L25" s="11" t="e">
        <f t="shared" si="7"/>
        <v>#VALUE!</v>
      </c>
      <c r="M25" s="425" t="e" cm="1">
        <f t="array" ref="M25">($D$5/G25)*(C25*Linterp($D$6,atmos_h,atmos_vela)/L25)</f>
        <v>#VALUE!</v>
      </c>
      <c r="N25" s="55" t="e">
        <f t="shared" si="8"/>
        <v>#VALUE!</v>
      </c>
      <c r="O25" s="426" t="e">
        <f t="shared" si="9"/>
        <v>#VALUE!</v>
      </c>
      <c r="P25" s="12"/>
      <c r="Q25" s="7">
        <f t="shared" si="10"/>
        <v>0.24</v>
      </c>
      <c r="R25" s="314" cm="1">
        <f t="array" ref="R25">numeng*InterpolateXY($D$6,$Q25,Tmil_h,Tmil_M,Tmil_table)</f>
        <v>1077.2376760394739</v>
      </c>
      <c r="S25" s="12" cm="1">
        <f t="array" ref="S25">numeng*InterpolateXY($D$6,$Q25,Tmax_h,Tmax_M,Tmax_table)</f>
        <v>1708.4162412509024</v>
      </c>
      <c r="T25" s="16" t="e">
        <f t="shared" si="11"/>
        <v>#VALUE!</v>
      </c>
      <c r="U25" s="55" t="e">
        <f t="shared" si="12"/>
        <v>#VALUE!</v>
      </c>
      <c r="V25" s="426" t="e">
        <f t="shared" si="13"/>
        <v>#VALUE!</v>
      </c>
    </row>
    <row r="26" spans="2:22">
      <c r="B26" s="120">
        <f t="shared" si="14"/>
        <v>40000</v>
      </c>
      <c r="C26" s="7">
        <v>0.25</v>
      </c>
      <c r="D26" s="7">
        <f t="shared" si="15"/>
        <v>242.02512760535845</v>
      </c>
      <c r="E26" s="11">
        <f t="shared" si="1"/>
        <v>3.4327179206120975</v>
      </c>
      <c r="F26" s="19" t="e">
        <f t="shared" si="5"/>
        <v>#VALUE!</v>
      </c>
      <c r="G26" s="16" t="e">
        <f t="shared" si="2"/>
        <v>#VALUE!</v>
      </c>
      <c r="H26" s="12">
        <f t="shared" si="3"/>
        <v>1019.0889404804735</v>
      </c>
      <c r="I26" s="12">
        <f t="shared" si="4"/>
        <v>963.20728250610694</v>
      </c>
      <c r="J26" s="141" t="e">
        <f t="shared" si="6"/>
        <v>#VALUE!</v>
      </c>
      <c r="K26" s="267" t="e" cm="1">
        <f t="array" ref="K26">InterpolateXYZ(J26,C26,B26,FFnorm_PS,FFnorm_M,FFnorm_h,FFnorm_table)*numeng</f>
        <v>#VALUE!</v>
      </c>
      <c r="L26" s="11" t="e">
        <f t="shared" si="7"/>
        <v>#VALUE!</v>
      </c>
      <c r="M26" s="425" t="e" cm="1">
        <f t="array" ref="M26">($D$5/G26)*(C26*Linterp($D$6,atmos_h,atmos_vela)/L26)</f>
        <v>#VALUE!</v>
      </c>
      <c r="N26" s="55" t="e">
        <f t="shared" si="8"/>
        <v>#VALUE!</v>
      </c>
      <c r="O26" s="426" t="e">
        <f t="shared" si="9"/>
        <v>#VALUE!</v>
      </c>
      <c r="P26" s="12"/>
      <c r="Q26" s="7">
        <f t="shared" si="10"/>
        <v>0.25</v>
      </c>
      <c r="R26" s="314" cm="1">
        <f t="array" ref="R26">numeng*InterpolateXY($D$6,$Q26,Tmil_h,Tmil_M,Tmil_table)</f>
        <v>1083.1457437325605</v>
      </c>
      <c r="S26" s="12" cm="1">
        <f t="array" ref="S26">numeng*InterpolateXY($D$6,$Q26,Tmax_h,Tmax_M,Tmax_table)</f>
        <v>1723.1864104836191</v>
      </c>
      <c r="T26" s="16" t="e">
        <f t="shared" si="11"/>
        <v>#VALUE!</v>
      </c>
      <c r="U26" s="55" t="e">
        <f t="shared" si="12"/>
        <v>#VALUE!</v>
      </c>
      <c r="V26" s="426" t="e">
        <f t="shared" si="13"/>
        <v>#VALUE!</v>
      </c>
    </row>
    <row r="27" spans="2:22">
      <c r="B27" s="120">
        <f t="shared" si="14"/>
        <v>40000</v>
      </c>
      <c r="C27" s="7">
        <v>0.26</v>
      </c>
      <c r="D27" s="7">
        <f t="shared" si="15"/>
        <v>251.70613270957278</v>
      </c>
      <c r="E27" s="11">
        <f t="shared" si="1"/>
        <v>3.1737406810392903</v>
      </c>
      <c r="F27" s="19" t="e">
        <f t="shared" si="5"/>
        <v>#VALUE!</v>
      </c>
      <c r="G27" s="16" t="e">
        <f t="shared" si="2"/>
        <v>#VALUE!</v>
      </c>
      <c r="H27" s="12">
        <f t="shared" si="3"/>
        <v>1024.9967024542734</v>
      </c>
      <c r="I27" s="12">
        <f t="shared" si="4"/>
        <v>968.79109283947571</v>
      </c>
      <c r="J27" s="141" t="e">
        <f t="shared" si="6"/>
        <v>#VALUE!</v>
      </c>
      <c r="K27" s="267" t="e" cm="1">
        <f t="array" ref="K27">InterpolateXYZ(J27,C27,B27,FFnorm_PS,FFnorm_M,FFnorm_h,FFnorm_table)*numeng</f>
        <v>#VALUE!</v>
      </c>
      <c r="L27" s="11" t="e">
        <f t="shared" si="7"/>
        <v>#VALUE!</v>
      </c>
      <c r="M27" s="425" t="e" cm="1">
        <f t="array" ref="M27">($D$5/G27)*(C27*Linterp($D$6,atmos_h,atmos_vela)/L27)</f>
        <v>#VALUE!</v>
      </c>
      <c r="N27" s="55" t="e">
        <f t="shared" si="8"/>
        <v>#VALUE!</v>
      </c>
      <c r="O27" s="426" t="e">
        <f t="shared" si="9"/>
        <v>#VALUE!</v>
      </c>
      <c r="P27" s="12"/>
      <c r="Q27" s="7">
        <f t="shared" si="10"/>
        <v>0.26</v>
      </c>
      <c r="R27" s="314" cm="1">
        <f t="array" ref="R27">numeng*InterpolateXY($D$6,$Q27,Tmil_h,Tmil_M,Tmil_table)</f>
        <v>1089.0538114256472</v>
      </c>
      <c r="S27" s="12" cm="1">
        <f t="array" ref="S27">numeng*InterpolateXY($D$6,$Q27,Tmax_h,Tmax_M,Tmax_table)</f>
        <v>1737.9565797163359</v>
      </c>
      <c r="T27" s="16" t="e">
        <f t="shared" si="11"/>
        <v>#VALUE!</v>
      </c>
      <c r="U27" s="55" t="e">
        <f t="shared" si="12"/>
        <v>#VALUE!</v>
      </c>
      <c r="V27" s="426" t="e">
        <f t="shared" si="13"/>
        <v>#VALUE!</v>
      </c>
    </row>
    <row r="28" spans="2:22">
      <c r="B28" s="120">
        <f t="shared" si="14"/>
        <v>40000</v>
      </c>
      <c r="C28" s="7">
        <v>0.27</v>
      </c>
      <c r="D28" s="7">
        <f t="shared" si="15"/>
        <v>261.38713781378715</v>
      </c>
      <c r="E28" s="11">
        <f t="shared" si="1"/>
        <v>2.9430023324863654</v>
      </c>
      <c r="F28" s="19" t="e">
        <f t="shared" si="5"/>
        <v>#VALUE!</v>
      </c>
      <c r="G28" s="16" t="e">
        <f t="shared" si="2"/>
        <v>#VALUE!</v>
      </c>
      <c r="H28" s="12">
        <f t="shared" si="3"/>
        <v>1030.9044644280732</v>
      </c>
      <c r="I28" s="12">
        <f t="shared" si="4"/>
        <v>974.37490317284437</v>
      </c>
      <c r="J28" s="141" t="e">
        <f t="shared" si="6"/>
        <v>#VALUE!</v>
      </c>
      <c r="K28" s="267" t="e" cm="1">
        <f t="array" ref="K28">InterpolateXYZ(J28,C28,B28,FFnorm_PS,FFnorm_M,FFnorm_h,FFnorm_table)*numeng</f>
        <v>#VALUE!</v>
      </c>
      <c r="L28" s="11" t="e">
        <f t="shared" si="7"/>
        <v>#VALUE!</v>
      </c>
      <c r="M28" s="425" t="e" cm="1">
        <f t="array" ref="M28">($D$5/G28)*(C28*Linterp($D$6,atmos_h,atmos_vela)/L28)</f>
        <v>#VALUE!</v>
      </c>
      <c r="N28" s="55" t="e">
        <f t="shared" si="8"/>
        <v>#VALUE!</v>
      </c>
      <c r="O28" s="426" t="e">
        <f t="shared" si="9"/>
        <v>#VALUE!</v>
      </c>
      <c r="P28" s="12"/>
      <c r="Q28" s="7">
        <f t="shared" si="10"/>
        <v>0.27</v>
      </c>
      <c r="R28" s="314" cm="1">
        <f t="array" ref="R28">numeng*InterpolateXY($D$6,$Q28,Tmil_h,Tmil_M,Tmil_table)</f>
        <v>1094.9618791187338</v>
      </c>
      <c r="S28" s="12" cm="1">
        <f t="array" ref="S28">numeng*InterpolateXY($D$6,$Q28,Tmax_h,Tmax_M,Tmax_table)</f>
        <v>1752.7267489490528</v>
      </c>
      <c r="T28" s="16" t="e">
        <f t="shared" si="11"/>
        <v>#VALUE!</v>
      </c>
      <c r="U28" s="55" t="e">
        <f t="shared" si="12"/>
        <v>#VALUE!</v>
      </c>
      <c r="V28" s="426" t="e">
        <f t="shared" si="13"/>
        <v>#VALUE!</v>
      </c>
    </row>
    <row r="29" spans="2:22">
      <c r="B29" s="120">
        <f t="shared" si="14"/>
        <v>40000</v>
      </c>
      <c r="C29" s="7">
        <v>0.28000000000000003</v>
      </c>
      <c r="D29" s="7">
        <f t="shared" si="15"/>
        <v>271.06814291800151</v>
      </c>
      <c r="E29" s="11">
        <f t="shared" si="1"/>
        <v>2.7365417096716329</v>
      </c>
      <c r="F29" s="19" t="e">
        <f t="shared" si="5"/>
        <v>#VALUE!</v>
      </c>
      <c r="G29" s="16" t="e">
        <f t="shared" si="2"/>
        <v>#VALUE!</v>
      </c>
      <c r="H29" s="12">
        <f t="shared" si="3"/>
        <v>1036.812226401873</v>
      </c>
      <c r="I29" s="12">
        <f t="shared" si="4"/>
        <v>979.95871350621314</v>
      </c>
      <c r="J29" s="141" t="e">
        <f t="shared" si="6"/>
        <v>#VALUE!</v>
      </c>
      <c r="K29" s="267" t="e" cm="1">
        <f t="array" ref="K29">InterpolateXYZ(J29,C29,B29,FFnorm_PS,FFnorm_M,FFnorm_h,FFnorm_table)*numeng</f>
        <v>#VALUE!</v>
      </c>
      <c r="L29" s="11" t="e">
        <f t="shared" si="7"/>
        <v>#VALUE!</v>
      </c>
      <c r="M29" s="425" t="e" cm="1">
        <f t="array" ref="M29">($D$5/G29)*(C29*Linterp($D$6,atmos_h,atmos_vela)/L29)</f>
        <v>#VALUE!</v>
      </c>
      <c r="N29" s="55" t="e">
        <f t="shared" si="8"/>
        <v>#VALUE!</v>
      </c>
      <c r="O29" s="426" t="e">
        <f t="shared" si="9"/>
        <v>#VALUE!</v>
      </c>
      <c r="P29" s="12"/>
      <c r="Q29" s="7">
        <f t="shared" si="10"/>
        <v>0.28000000000000003</v>
      </c>
      <c r="R29" s="314" cm="1">
        <f t="array" ref="R29">numeng*InterpolateXY($D$6,$Q29,Tmil_h,Tmil_M,Tmil_table)</f>
        <v>1100.8699468118207</v>
      </c>
      <c r="S29" s="12" cm="1">
        <f t="array" ref="S29">numeng*InterpolateXY($D$6,$Q29,Tmax_h,Tmax_M,Tmax_table)</f>
        <v>1767.4969181817694</v>
      </c>
      <c r="T29" s="16" t="e">
        <f t="shared" si="11"/>
        <v>#VALUE!</v>
      </c>
      <c r="U29" s="55" t="e">
        <f t="shared" si="12"/>
        <v>#VALUE!</v>
      </c>
      <c r="V29" s="426" t="e">
        <f t="shared" si="13"/>
        <v>#VALUE!</v>
      </c>
    </row>
    <row r="30" spans="2:22">
      <c r="B30" s="120">
        <f t="shared" si="14"/>
        <v>40000</v>
      </c>
      <c r="C30" s="7">
        <v>0.28999999999999998</v>
      </c>
      <c r="D30" s="7">
        <f t="shared" si="15"/>
        <v>280.74914802221576</v>
      </c>
      <c r="E30" s="11">
        <f t="shared" si="1"/>
        <v>2.551068609253937</v>
      </c>
      <c r="F30" s="19" t="e">
        <f t="shared" si="5"/>
        <v>#VALUE!</v>
      </c>
      <c r="G30" s="16" t="e">
        <f t="shared" si="2"/>
        <v>#VALUE!</v>
      </c>
      <c r="H30" s="12">
        <f t="shared" si="3"/>
        <v>1042.719988375673</v>
      </c>
      <c r="I30" s="12">
        <f t="shared" si="4"/>
        <v>985.5425238395818</v>
      </c>
      <c r="J30" s="141" t="e">
        <f t="shared" si="6"/>
        <v>#VALUE!</v>
      </c>
      <c r="K30" s="267" t="e" cm="1">
        <f t="array" ref="K30">InterpolateXYZ(J30,C30,B30,FFnorm_PS,FFnorm_M,FFnorm_h,FFnorm_table)*numeng</f>
        <v>#VALUE!</v>
      </c>
      <c r="L30" s="11" t="e">
        <f t="shared" si="7"/>
        <v>#VALUE!</v>
      </c>
      <c r="M30" s="425" t="e" cm="1">
        <f t="array" ref="M30">($D$5/G30)*(C30*Linterp($D$6,atmos_h,atmos_vela)/L30)</f>
        <v>#VALUE!</v>
      </c>
      <c r="N30" s="55" t="e">
        <f t="shared" si="8"/>
        <v>#VALUE!</v>
      </c>
      <c r="O30" s="426" t="e">
        <f t="shared" si="9"/>
        <v>#VALUE!</v>
      </c>
      <c r="P30" s="12"/>
      <c r="Q30" s="7">
        <f t="shared" si="10"/>
        <v>0.28999999999999998</v>
      </c>
      <c r="R30" s="314" cm="1">
        <f t="array" ref="R30">numeng*InterpolateXY($D$6,$Q30,Tmil_h,Tmil_M,Tmil_table)</f>
        <v>1106.7780145049073</v>
      </c>
      <c r="S30" s="12" cm="1">
        <f t="array" ref="S30">numeng*InterpolateXY($D$6,$Q30,Tmax_h,Tmax_M,Tmax_table)</f>
        <v>1782.267087414486</v>
      </c>
      <c r="T30" s="16" t="e">
        <f t="shared" si="11"/>
        <v>#VALUE!</v>
      </c>
      <c r="U30" s="55" t="e">
        <f t="shared" si="12"/>
        <v>#VALUE!</v>
      </c>
      <c r="V30" s="426" t="e">
        <f t="shared" si="13"/>
        <v>#VALUE!</v>
      </c>
    </row>
    <row r="31" spans="2:22">
      <c r="B31" s="120">
        <f t="shared" si="14"/>
        <v>40000</v>
      </c>
      <c r="C31" s="7">
        <v>0.3</v>
      </c>
      <c r="D31" s="7">
        <f t="shared" si="15"/>
        <v>290.43015312643013</v>
      </c>
      <c r="E31" s="11">
        <f t="shared" si="1"/>
        <v>2.3838318893139561</v>
      </c>
      <c r="F31" s="19" t="e">
        <f t="shared" si="5"/>
        <v>#VALUE!</v>
      </c>
      <c r="G31" s="16" t="e">
        <f t="shared" si="2"/>
        <v>#VALUE!</v>
      </c>
      <c r="H31" s="12">
        <f t="shared" si="3"/>
        <v>1048.6277503494728</v>
      </c>
      <c r="I31" s="12">
        <f t="shared" si="4"/>
        <v>991.12633417295058</v>
      </c>
      <c r="J31" s="141" t="e">
        <f t="shared" si="6"/>
        <v>#VALUE!</v>
      </c>
      <c r="K31" s="267" t="e" cm="1">
        <f t="array" ref="K31">InterpolateXYZ(J31,C31,B31,FFnorm_PS,FFnorm_M,FFnorm_h,FFnorm_table)*numeng</f>
        <v>#VALUE!</v>
      </c>
      <c r="L31" s="11" t="e">
        <f t="shared" si="7"/>
        <v>#VALUE!</v>
      </c>
      <c r="M31" s="425" t="e" cm="1">
        <f t="array" ref="M31">($D$5/G31)*(C31*Linterp($D$6,atmos_h,atmos_vela)/L31)</f>
        <v>#VALUE!</v>
      </c>
      <c r="N31" s="55" t="e">
        <f t="shared" si="8"/>
        <v>#VALUE!</v>
      </c>
      <c r="O31" s="426" t="e">
        <f t="shared" si="9"/>
        <v>#VALUE!</v>
      </c>
      <c r="P31" s="12"/>
      <c r="Q31" s="7">
        <f t="shared" si="10"/>
        <v>0.3</v>
      </c>
      <c r="R31" s="314" cm="1">
        <f t="array" ref="R31">numeng*InterpolateXY($D$6,$Q31,Tmil_h,Tmil_M,Tmil_table)</f>
        <v>1112.686082197994</v>
      </c>
      <c r="S31" s="12" cm="1">
        <f t="array" ref="S31">numeng*InterpolateXY($D$6,$Q31,Tmax_h,Tmax_M,Tmax_table)</f>
        <v>1797.0372566472029</v>
      </c>
      <c r="T31" s="16" t="e">
        <f t="shared" si="11"/>
        <v>#VALUE!</v>
      </c>
      <c r="U31" s="55" t="e">
        <f t="shared" si="12"/>
        <v>#VALUE!</v>
      </c>
      <c r="V31" s="426" t="e">
        <f t="shared" si="13"/>
        <v>#VALUE!</v>
      </c>
    </row>
    <row r="32" spans="2:22">
      <c r="B32" s="120">
        <f t="shared" si="14"/>
        <v>40000</v>
      </c>
      <c r="C32" s="7">
        <v>0.31</v>
      </c>
      <c r="D32" s="7">
        <f t="shared" si="15"/>
        <v>300.11115823064449</v>
      </c>
      <c r="E32" s="11">
        <f t="shared" si="1"/>
        <v>2.2325168578382524</v>
      </c>
      <c r="F32" s="19" t="e">
        <f t="shared" si="5"/>
        <v>#VALUE!</v>
      </c>
      <c r="G32" s="16" t="e">
        <f t="shared" si="2"/>
        <v>#VALUE!</v>
      </c>
      <c r="H32" s="12">
        <f t="shared" si="3"/>
        <v>1054.5355123232725</v>
      </c>
      <c r="I32" s="12">
        <f t="shared" si="4"/>
        <v>996.71014450631935</v>
      </c>
      <c r="J32" s="141" t="e">
        <f t="shared" si="6"/>
        <v>#VALUE!</v>
      </c>
      <c r="K32" s="267" t="e" cm="1">
        <f t="array" ref="K32">InterpolateXYZ(J32,C32,B32,FFnorm_PS,FFnorm_M,FFnorm_h,FFnorm_table)*numeng</f>
        <v>#VALUE!</v>
      </c>
      <c r="L32" s="11" t="e">
        <f t="shared" si="7"/>
        <v>#VALUE!</v>
      </c>
      <c r="M32" s="425" t="e" cm="1">
        <f t="array" ref="M32">($D$5/G32)*(C32*Linterp($D$6,atmos_h,atmos_vela)/L32)</f>
        <v>#VALUE!</v>
      </c>
      <c r="N32" s="55" t="e">
        <f t="shared" si="8"/>
        <v>#VALUE!</v>
      </c>
      <c r="O32" s="426" t="e">
        <f t="shared" si="9"/>
        <v>#VALUE!</v>
      </c>
      <c r="P32" s="12"/>
      <c r="Q32" s="7">
        <f t="shared" si="10"/>
        <v>0.31</v>
      </c>
      <c r="R32" s="314" cm="1">
        <f t="array" ref="R32">numeng*InterpolateXY($D$6,$Q32,Tmil_h,Tmil_M,Tmil_table)</f>
        <v>1118.5941498910806</v>
      </c>
      <c r="S32" s="12" cm="1">
        <f t="array" ref="S32">numeng*InterpolateXY($D$6,$Q32,Tmax_h,Tmax_M,Tmax_table)</f>
        <v>1811.8074258799197</v>
      </c>
      <c r="T32" s="16" t="e">
        <f t="shared" si="11"/>
        <v>#VALUE!</v>
      </c>
      <c r="U32" s="55" t="e">
        <f t="shared" si="12"/>
        <v>#VALUE!</v>
      </c>
      <c r="V32" s="426" t="e">
        <f t="shared" si="13"/>
        <v>#VALUE!</v>
      </c>
    </row>
    <row r="33" spans="2:22">
      <c r="B33" s="120">
        <f t="shared" si="14"/>
        <v>40000</v>
      </c>
      <c r="C33" s="7">
        <v>0.32</v>
      </c>
      <c r="D33" s="7">
        <f t="shared" si="15"/>
        <v>309.7921633348588</v>
      </c>
      <c r="E33" s="11">
        <f t="shared" si="1"/>
        <v>2.0951647464673444</v>
      </c>
      <c r="F33" s="19" t="e">
        <f t="shared" si="5"/>
        <v>#VALUE!</v>
      </c>
      <c r="G33" s="16" t="e">
        <f t="shared" si="2"/>
        <v>#VALUE!</v>
      </c>
      <c r="H33" s="12">
        <f t="shared" si="3"/>
        <v>1060.4432742970725</v>
      </c>
      <c r="I33" s="12">
        <f t="shared" si="4"/>
        <v>1002.293954839688</v>
      </c>
      <c r="J33" s="141" t="e">
        <f t="shared" si="6"/>
        <v>#VALUE!</v>
      </c>
      <c r="K33" s="267" t="e" cm="1">
        <f t="array" ref="K33">InterpolateXYZ(J33,C33,B33,FFnorm_PS,FFnorm_M,FFnorm_h,FFnorm_table)*numeng</f>
        <v>#VALUE!</v>
      </c>
      <c r="L33" s="11" t="e">
        <f t="shared" si="7"/>
        <v>#VALUE!</v>
      </c>
      <c r="M33" s="425" t="e" cm="1">
        <f t="array" ref="M33">($D$5/G33)*(C33*Linterp($D$6,atmos_h,atmos_vela)/L33)</f>
        <v>#VALUE!</v>
      </c>
      <c r="N33" s="55" t="e">
        <f t="shared" si="8"/>
        <v>#VALUE!</v>
      </c>
      <c r="O33" s="426" t="e">
        <f t="shared" si="9"/>
        <v>#VALUE!</v>
      </c>
      <c r="P33" s="12"/>
      <c r="Q33" s="7">
        <f t="shared" si="10"/>
        <v>0.32</v>
      </c>
      <c r="R33" s="314" cm="1">
        <f t="array" ref="R33">numeng*InterpolateXY($D$6,$Q33,Tmil_h,Tmil_M,Tmil_table)</f>
        <v>1124.5022175841673</v>
      </c>
      <c r="S33" s="12" cm="1">
        <f t="array" ref="S33">numeng*InterpolateXY($D$6,$Q33,Tmax_h,Tmax_M,Tmax_table)</f>
        <v>1826.5775951126363</v>
      </c>
      <c r="T33" s="16" t="e">
        <f t="shared" si="11"/>
        <v>#VALUE!</v>
      </c>
      <c r="U33" s="55" t="e">
        <f t="shared" si="12"/>
        <v>#VALUE!</v>
      </c>
      <c r="V33" s="426" t="e">
        <f t="shared" si="13"/>
        <v>#VALUE!</v>
      </c>
    </row>
    <row r="34" spans="2:22">
      <c r="B34" s="120">
        <f t="shared" si="14"/>
        <v>40000</v>
      </c>
      <c r="C34" s="7">
        <v>0.33</v>
      </c>
      <c r="D34" s="7">
        <f t="shared" si="15"/>
        <v>319.47316843907316</v>
      </c>
      <c r="E34" s="11">
        <f t="shared" si="1"/>
        <v>1.9701089994330214</v>
      </c>
      <c r="F34" s="19" t="e">
        <f t="shared" si="5"/>
        <v>#VALUE!</v>
      </c>
      <c r="G34" s="16" t="e">
        <f t="shared" si="2"/>
        <v>#VALUE!</v>
      </c>
      <c r="H34" s="12">
        <f t="shared" si="3"/>
        <v>1066.3510362708723</v>
      </c>
      <c r="I34" s="12">
        <f t="shared" si="4"/>
        <v>1007.8777651730568</v>
      </c>
      <c r="J34" s="141" t="e">
        <f t="shared" si="6"/>
        <v>#VALUE!</v>
      </c>
      <c r="K34" s="267" t="e" cm="1">
        <f t="array" ref="K34">InterpolateXYZ(J34,C34,B34,FFnorm_PS,FFnorm_M,FFnorm_h,FFnorm_table)*numeng</f>
        <v>#VALUE!</v>
      </c>
      <c r="L34" s="11" t="e">
        <f t="shared" si="7"/>
        <v>#VALUE!</v>
      </c>
      <c r="M34" s="425" t="e" cm="1">
        <f t="array" ref="M34">($D$5/G34)*(C34*Linterp($D$6,atmos_h,atmos_vela)/L34)</f>
        <v>#VALUE!</v>
      </c>
      <c r="N34" s="55" t="e">
        <f t="shared" si="8"/>
        <v>#VALUE!</v>
      </c>
      <c r="O34" s="426" t="e">
        <f t="shared" si="9"/>
        <v>#VALUE!</v>
      </c>
      <c r="P34" s="12"/>
      <c r="Q34" s="7">
        <f t="shared" si="10"/>
        <v>0.33</v>
      </c>
      <c r="R34" s="314" cm="1">
        <f t="array" ref="R34">numeng*InterpolateXY($D$6,$Q34,Tmil_h,Tmil_M,Tmil_table)</f>
        <v>1130.4102852772542</v>
      </c>
      <c r="S34" s="12" cm="1">
        <f t="array" ref="S34">numeng*InterpolateXY($D$6,$Q34,Tmax_h,Tmax_M,Tmax_table)</f>
        <v>1841.3477643453532</v>
      </c>
      <c r="T34" s="16" t="e">
        <f t="shared" si="11"/>
        <v>#VALUE!</v>
      </c>
      <c r="U34" s="55" t="e">
        <f t="shared" si="12"/>
        <v>#VALUE!</v>
      </c>
      <c r="V34" s="426" t="e">
        <f t="shared" si="13"/>
        <v>#VALUE!</v>
      </c>
    </row>
    <row r="35" spans="2:22">
      <c r="B35" s="120">
        <f t="shared" si="14"/>
        <v>40000</v>
      </c>
      <c r="C35" s="7">
        <v>0.34</v>
      </c>
      <c r="D35" s="7">
        <f t="shared" si="15"/>
        <v>329.15417354328753</v>
      </c>
      <c r="E35" s="11">
        <f t="shared" si="1"/>
        <v>1.8559244812997928</v>
      </c>
      <c r="F35" s="19" t="e">
        <f t="shared" si="5"/>
        <v>#VALUE!</v>
      </c>
      <c r="G35" s="16" t="e">
        <f t="shared" si="2"/>
        <v>#VALUE!</v>
      </c>
      <c r="H35" s="12">
        <f t="shared" si="3"/>
        <v>1072.2587982446721</v>
      </c>
      <c r="I35" s="12">
        <f t="shared" si="4"/>
        <v>1013.4615755064256</v>
      </c>
      <c r="J35" s="141" t="e">
        <f t="shared" si="6"/>
        <v>#VALUE!</v>
      </c>
      <c r="K35" s="267" t="e" cm="1">
        <f t="array" ref="K35">InterpolateXYZ(J35,C35,B35,FFnorm_PS,FFnorm_M,FFnorm_h,FFnorm_table)*numeng</f>
        <v>#VALUE!</v>
      </c>
      <c r="L35" s="11" t="e">
        <f t="shared" si="7"/>
        <v>#VALUE!</v>
      </c>
      <c r="M35" s="425" t="e" cm="1">
        <f t="array" ref="M35">($D$5/G35)*(C35*Linterp($D$6,atmos_h,atmos_vela)/L35)</f>
        <v>#VALUE!</v>
      </c>
      <c r="N35" s="55" t="e">
        <f t="shared" si="8"/>
        <v>#VALUE!</v>
      </c>
      <c r="O35" s="426" t="e">
        <f t="shared" si="9"/>
        <v>#VALUE!</v>
      </c>
      <c r="P35" s="12"/>
      <c r="Q35" s="7">
        <f t="shared" si="10"/>
        <v>0.34</v>
      </c>
      <c r="R35" s="314" cm="1">
        <f t="array" ref="R35">numeng*InterpolateXY($D$6,$Q35,Tmil_h,Tmil_M,Tmil_table)</f>
        <v>1136.3183529703408</v>
      </c>
      <c r="S35" s="12" cm="1">
        <f t="array" ref="S35">numeng*InterpolateXY($D$6,$Q35,Tmax_h,Tmax_M,Tmax_table)</f>
        <v>1856.1179335780698</v>
      </c>
      <c r="T35" s="16" t="e">
        <f t="shared" si="11"/>
        <v>#VALUE!</v>
      </c>
      <c r="U35" s="55" t="e">
        <f t="shared" si="12"/>
        <v>#VALUE!</v>
      </c>
      <c r="V35" s="426" t="e">
        <f t="shared" si="13"/>
        <v>#VALUE!</v>
      </c>
    </row>
    <row r="36" spans="2:22">
      <c r="B36" s="120">
        <f t="shared" si="14"/>
        <v>40000</v>
      </c>
      <c r="C36" s="7">
        <v>0.35</v>
      </c>
      <c r="D36" s="7">
        <f t="shared" si="15"/>
        <v>338.83517864750183</v>
      </c>
      <c r="E36" s="11">
        <f t="shared" si="1"/>
        <v>1.7513866941898457</v>
      </c>
      <c r="F36" s="19" t="e">
        <f t="shared" si="5"/>
        <v>#VALUE!</v>
      </c>
      <c r="G36" s="16" t="e">
        <f t="shared" si="2"/>
        <v>#VALUE!</v>
      </c>
      <c r="H36" s="12">
        <f t="shared" si="3"/>
        <v>1078.1665602184719</v>
      </c>
      <c r="I36" s="12">
        <f t="shared" si="4"/>
        <v>1019.0453858397942</v>
      </c>
      <c r="J36" s="141" t="e">
        <f t="shared" si="6"/>
        <v>#VALUE!</v>
      </c>
      <c r="K36" s="267" t="e" cm="1">
        <f t="array" ref="K36">InterpolateXYZ(J36,C36,B36,FFnorm_PS,FFnorm_M,FFnorm_h,FFnorm_table)*numeng</f>
        <v>#VALUE!</v>
      </c>
      <c r="L36" s="11" t="e">
        <f t="shared" si="7"/>
        <v>#VALUE!</v>
      </c>
      <c r="M36" s="425" t="e" cm="1">
        <f t="array" ref="M36">($D$5/G36)*(C36*Linterp($D$6,atmos_h,atmos_vela)/L36)</f>
        <v>#VALUE!</v>
      </c>
      <c r="N36" s="55" t="e">
        <f t="shared" si="8"/>
        <v>#VALUE!</v>
      </c>
      <c r="O36" s="426" t="e">
        <f t="shared" si="9"/>
        <v>#VALUE!</v>
      </c>
      <c r="P36" s="12"/>
      <c r="Q36" s="7">
        <f t="shared" si="10"/>
        <v>0.35</v>
      </c>
      <c r="R36" s="314" cm="1">
        <f t="array" ref="R36">numeng*InterpolateXY($D$6,$Q36,Tmil_h,Tmil_M,Tmil_table)</f>
        <v>1142.2264206634275</v>
      </c>
      <c r="S36" s="12" cm="1">
        <f t="array" ref="S36">numeng*InterpolateXY($D$6,$Q36,Tmax_h,Tmax_M,Tmax_table)</f>
        <v>1870.8881028107864</v>
      </c>
      <c r="T36" s="16" t="e">
        <f t="shared" si="11"/>
        <v>#VALUE!</v>
      </c>
      <c r="U36" s="55" t="e">
        <f t="shared" si="12"/>
        <v>#VALUE!</v>
      </c>
      <c r="V36" s="426" t="e">
        <f t="shared" si="13"/>
        <v>#VALUE!</v>
      </c>
    </row>
    <row r="37" spans="2:22">
      <c r="B37" s="120">
        <f t="shared" si="14"/>
        <v>40000</v>
      </c>
      <c r="C37" s="7">
        <v>0.36</v>
      </c>
      <c r="D37" s="7">
        <f t="shared" si="15"/>
        <v>348.51618375171614</v>
      </c>
      <c r="E37" s="11">
        <f t="shared" si="1"/>
        <v>1.655438812023581</v>
      </c>
      <c r="F37" s="19" t="e">
        <f t="shared" si="5"/>
        <v>#VALUE!</v>
      </c>
      <c r="G37" s="16" t="e">
        <f t="shared" si="2"/>
        <v>#VALUE!</v>
      </c>
      <c r="H37" s="12">
        <f t="shared" si="3"/>
        <v>1084.0743221922719</v>
      </c>
      <c r="I37" s="12">
        <f t="shared" si="4"/>
        <v>1024.6291961731631</v>
      </c>
      <c r="J37" s="141" t="e">
        <f t="shared" si="6"/>
        <v>#VALUE!</v>
      </c>
      <c r="K37" s="267" t="e" cm="1">
        <f t="array" ref="K37">InterpolateXYZ(J37,C37,B37,FFnorm_PS,FFnorm_M,FFnorm_h,FFnorm_table)*numeng</f>
        <v>#VALUE!</v>
      </c>
      <c r="L37" s="11" t="e">
        <f t="shared" si="7"/>
        <v>#VALUE!</v>
      </c>
      <c r="M37" s="425" t="e" cm="1">
        <f t="array" ref="M37">($D$5/G37)*(C37*Linterp($D$6,atmos_h,atmos_vela)/L37)</f>
        <v>#VALUE!</v>
      </c>
      <c r="N37" s="55" t="e">
        <f t="shared" si="8"/>
        <v>#VALUE!</v>
      </c>
      <c r="O37" s="426" t="e">
        <f t="shared" si="9"/>
        <v>#VALUE!</v>
      </c>
      <c r="P37" s="12"/>
      <c r="Q37" s="7">
        <f t="shared" si="10"/>
        <v>0.36</v>
      </c>
      <c r="R37" s="314" cm="1">
        <f t="array" ref="R37">numeng*InterpolateXY($D$6,$Q37,Tmil_h,Tmil_M,Tmil_table)</f>
        <v>1148.1344883565141</v>
      </c>
      <c r="S37" s="12" cm="1">
        <f t="array" ref="S37">numeng*InterpolateXY($D$6,$Q37,Tmax_h,Tmax_M,Tmax_table)</f>
        <v>1885.6582720435033</v>
      </c>
      <c r="T37" s="16" t="e">
        <f t="shared" si="11"/>
        <v>#VALUE!</v>
      </c>
      <c r="U37" s="55" t="e">
        <f t="shared" si="12"/>
        <v>#VALUE!</v>
      </c>
      <c r="V37" s="426" t="e">
        <f t="shared" si="13"/>
        <v>#VALUE!</v>
      </c>
    </row>
    <row r="38" spans="2:22">
      <c r="B38" s="120">
        <f t="shared" si="14"/>
        <v>40000</v>
      </c>
      <c r="C38" s="7">
        <v>0.37</v>
      </c>
      <c r="D38" s="7">
        <f t="shared" si="15"/>
        <v>358.19718885593051</v>
      </c>
      <c r="E38" s="11">
        <f t="shared" si="1"/>
        <v>1.5671648651443102</v>
      </c>
      <c r="F38" s="19" t="e">
        <f t="shared" si="5"/>
        <v>#VALUE!</v>
      </c>
      <c r="G38" s="16" t="e">
        <f t="shared" si="2"/>
        <v>#VALUE!</v>
      </c>
      <c r="H38" s="12">
        <f t="shared" si="3"/>
        <v>1089.9820841660717</v>
      </c>
      <c r="I38" s="12">
        <f t="shared" si="4"/>
        <v>1030.2130065065317</v>
      </c>
      <c r="J38" s="141" t="e">
        <f t="shared" si="6"/>
        <v>#VALUE!</v>
      </c>
      <c r="K38" s="267" t="e" cm="1">
        <f t="array" ref="K38">InterpolateXYZ(J38,C38,B38,FFnorm_PS,FFnorm_M,FFnorm_h,FFnorm_table)*numeng</f>
        <v>#VALUE!</v>
      </c>
      <c r="L38" s="11" t="e">
        <f t="shared" si="7"/>
        <v>#VALUE!</v>
      </c>
      <c r="M38" s="425" t="e" cm="1">
        <f t="array" ref="M38">($D$5/G38)*(C38*Linterp($D$6,atmos_h,atmos_vela)/L38)</f>
        <v>#VALUE!</v>
      </c>
      <c r="N38" s="55" t="e">
        <f t="shared" si="8"/>
        <v>#VALUE!</v>
      </c>
      <c r="O38" s="426" t="e">
        <f t="shared" si="9"/>
        <v>#VALUE!</v>
      </c>
      <c r="P38" s="12"/>
      <c r="Q38" s="7">
        <f t="shared" si="10"/>
        <v>0.37</v>
      </c>
      <c r="R38" s="314" cm="1">
        <f t="array" ref="R38">numeng*InterpolateXY($D$6,$Q38,Tmil_h,Tmil_M,Tmil_table)</f>
        <v>1154.0425560496008</v>
      </c>
      <c r="S38" s="12" cm="1">
        <f t="array" ref="S38">numeng*InterpolateXY($D$6,$Q38,Tmax_h,Tmax_M,Tmax_table)</f>
        <v>1900.4284412762199</v>
      </c>
      <c r="T38" s="16" t="e">
        <f t="shared" si="11"/>
        <v>#VALUE!</v>
      </c>
      <c r="U38" s="55" t="e">
        <f t="shared" si="12"/>
        <v>#VALUE!</v>
      </c>
      <c r="V38" s="426" t="e">
        <f t="shared" si="13"/>
        <v>#VALUE!</v>
      </c>
    </row>
    <row r="39" spans="2:22">
      <c r="B39" s="120">
        <f t="shared" si="14"/>
        <v>40000</v>
      </c>
      <c r="C39" s="7">
        <v>0.38</v>
      </c>
      <c r="D39" s="7">
        <f t="shared" si="15"/>
        <v>367.87819396014487</v>
      </c>
      <c r="E39" s="11">
        <f t="shared" si="1"/>
        <v>1.4857677980488646</v>
      </c>
      <c r="F39" s="19" t="e">
        <f t="shared" si="5"/>
        <v>#VALUE!</v>
      </c>
      <c r="G39" s="16" t="e">
        <f t="shared" si="2"/>
        <v>#VALUE!</v>
      </c>
      <c r="H39" s="12">
        <f t="shared" si="3"/>
        <v>1095.8898461398715</v>
      </c>
      <c r="I39" s="12">
        <f t="shared" si="4"/>
        <v>1035.7968168399004</v>
      </c>
      <c r="J39" s="141" t="e">
        <f t="shared" si="6"/>
        <v>#VALUE!</v>
      </c>
      <c r="K39" s="267" t="e" cm="1">
        <f t="array" ref="K39">InterpolateXYZ(J39,C39,B39,FFnorm_PS,FFnorm_M,FFnorm_h,FFnorm_table)*numeng</f>
        <v>#VALUE!</v>
      </c>
      <c r="L39" s="11" t="e">
        <f t="shared" si="7"/>
        <v>#VALUE!</v>
      </c>
      <c r="M39" s="425" t="e" cm="1">
        <f t="array" ref="M39">($D$5/G39)*(C39*Linterp($D$6,atmos_h,atmos_vela)/L39)</f>
        <v>#VALUE!</v>
      </c>
      <c r="N39" s="55" t="e">
        <f t="shared" si="8"/>
        <v>#VALUE!</v>
      </c>
      <c r="O39" s="426" t="e">
        <f t="shared" si="9"/>
        <v>#VALUE!</v>
      </c>
      <c r="P39" s="12"/>
      <c r="Q39" s="7">
        <f t="shared" si="10"/>
        <v>0.38</v>
      </c>
      <c r="R39" s="314" cm="1">
        <f t="array" ref="R39">numeng*InterpolateXY($D$6,$Q39,Tmil_h,Tmil_M,Tmil_table)</f>
        <v>1159.9506237426876</v>
      </c>
      <c r="S39" s="12" cm="1">
        <f t="array" ref="S39">numeng*InterpolateXY($D$6,$Q39,Tmax_h,Tmax_M,Tmax_table)</f>
        <v>1915.1986105089368</v>
      </c>
      <c r="T39" s="16" t="e">
        <f t="shared" si="11"/>
        <v>#VALUE!</v>
      </c>
      <c r="U39" s="55" t="e">
        <f t="shared" si="12"/>
        <v>#VALUE!</v>
      </c>
      <c r="V39" s="426" t="e">
        <f t="shared" si="13"/>
        <v>#VALUE!</v>
      </c>
    </row>
    <row r="40" spans="2:22">
      <c r="B40" s="120">
        <f t="shared" si="14"/>
        <v>40000</v>
      </c>
      <c r="C40" s="7">
        <v>0.39</v>
      </c>
      <c r="D40" s="7">
        <f t="shared" si="15"/>
        <v>377.55919906435918</v>
      </c>
      <c r="E40" s="11">
        <f t="shared" si="1"/>
        <v>1.4105514137952404</v>
      </c>
      <c r="F40" s="19" t="e">
        <f t="shared" si="5"/>
        <v>#VALUE!</v>
      </c>
      <c r="G40" s="16" t="e">
        <f t="shared" si="2"/>
        <v>#VALUE!</v>
      </c>
      <c r="H40" s="12">
        <f t="shared" si="3"/>
        <v>1101.7976081136715</v>
      </c>
      <c r="I40" s="12">
        <f t="shared" si="4"/>
        <v>1041.3806271732692</v>
      </c>
      <c r="J40" s="141" t="e">
        <f t="shared" si="6"/>
        <v>#VALUE!</v>
      </c>
      <c r="K40" s="267" t="e" cm="1">
        <f t="array" ref="K40">InterpolateXYZ(J40,C40,B40,FFnorm_PS,FFnorm_M,FFnorm_h,FFnorm_table)*numeng</f>
        <v>#VALUE!</v>
      </c>
      <c r="L40" s="11" t="e">
        <f t="shared" si="7"/>
        <v>#VALUE!</v>
      </c>
      <c r="M40" s="425" t="e" cm="1">
        <f t="array" ref="M40">($D$5/G40)*(C40*Linterp($D$6,atmos_h,atmos_vela)/L40)</f>
        <v>#VALUE!</v>
      </c>
      <c r="N40" s="55" t="e">
        <f t="shared" si="8"/>
        <v>#VALUE!</v>
      </c>
      <c r="O40" s="426" t="e">
        <f t="shared" si="9"/>
        <v>#VALUE!</v>
      </c>
      <c r="P40" s="12"/>
      <c r="Q40" s="7">
        <f t="shared" si="10"/>
        <v>0.39</v>
      </c>
      <c r="R40" s="314" cm="1">
        <f t="array" ref="R40">numeng*InterpolateXY($D$6,$Q40,Tmil_h,Tmil_M,Tmil_table)</f>
        <v>1165.8586914357743</v>
      </c>
      <c r="S40" s="12" cm="1">
        <f t="array" ref="S40">numeng*InterpolateXY($D$6,$Q40,Tmax_h,Tmax_M,Tmax_table)</f>
        <v>1929.9687797416534</v>
      </c>
      <c r="T40" s="16" t="e">
        <f t="shared" si="11"/>
        <v>#VALUE!</v>
      </c>
      <c r="U40" s="55" t="e">
        <f t="shared" si="12"/>
        <v>#VALUE!</v>
      </c>
      <c r="V40" s="426" t="e">
        <f t="shared" si="13"/>
        <v>#VALUE!</v>
      </c>
    </row>
    <row r="41" spans="2:22">
      <c r="B41" s="120">
        <f t="shared" si="14"/>
        <v>40000</v>
      </c>
      <c r="C41" s="7">
        <v>0.4</v>
      </c>
      <c r="D41" s="7">
        <f t="shared" si="15"/>
        <v>387.24020416857354</v>
      </c>
      <c r="E41" s="11">
        <f t="shared" si="1"/>
        <v>1.3409054377391005</v>
      </c>
      <c r="F41" s="19" t="e">
        <f t="shared" si="5"/>
        <v>#VALUE!</v>
      </c>
      <c r="G41" s="16" t="e">
        <f t="shared" si="2"/>
        <v>#VALUE!</v>
      </c>
      <c r="H41" s="12">
        <f t="shared" si="3"/>
        <v>1107.7053700874712</v>
      </c>
      <c r="I41" s="12">
        <f t="shared" si="4"/>
        <v>1046.964437506638</v>
      </c>
      <c r="J41" s="141" t="e">
        <f t="shared" si="6"/>
        <v>#VALUE!</v>
      </c>
      <c r="K41" s="267" t="e" cm="1">
        <f t="array" ref="K41">InterpolateXYZ(J41,C41,B41,FFnorm_PS,FFnorm_M,FFnorm_h,FFnorm_table)*numeng</f>
        <v>#VALUE!</v>
      </c>
      <c r="L41" s="11" t="e">
        <f t="shared" si="7"/>
        <v>#VALUE!</v>
      </c>
      <c r="M41" s="425" t="e" cm="1">
        <f t="array" ref="M41">($D$5/G41)*(C41*Linterp($D$6,atmos_h,atmos_vela)/L41)</f>
        <v>#VALUE!</v>
      </c>
      <c r="N41" s="55" t="e">
        <f t="shared" si="8"/>
        <v>#VALUE!</v>
      </c>
      <c r="O41" s="426" t="e">
        <f t="shared" si="9"/>
        <v>#VALUE!</v>
      </c>
      <c r="P41" s="12"/>
      <c r="Q41" s="7">
        <f t="shared" si="10"/>
        <v>0.4</v>
      </c>
      <c r="R41" s="314" cm="1">
        <f t="array" ref="R41">numeng*InterpolateXY($D$6,$Q41,Tmil_h,Tmil_M,Tmil_table)</f>
        <v>1171.7667591288609</v>
      </c>
      <c r="S41" s="12" cm="1">
        <f t="array" ref="S41">numeng*InterpolateXY($D$6,$Q41,Tmax_h,Tmax_M,Tmax_table)</f>
        <v>1944.7389489743703</v>
      </c>
      <c r="T41" s="16" t="e">
        <f t="shared" si="11"/>
        <v>#VALUE!</v>
      </c>
      <c r="U41" s="55" t="e">
        <f t="shared" si="12"/>
        <v>#VALUE!</v>
      </c>
      <c r="V41" s="426" t="e">
        <f t="shared" si="13"/>
        <v>#VALUE!</v>
      </c>
    </row>
    <row r="42" spans="2:22">
      <c r="B42" s="120">
        <f t="shared" si="14"/>
        <v>40000</v>
      </c>
      <c r="C42" s="7">
        <v>0.41</v>
      </c>
      <c r="D42" s="7">
        <f t="shared" si="15"/>
        <v>396.92120927278785</v>
      </c>
      <c r="E42" s="11">
        <f t="shared" si="1"/>
        <v>1.2762930995732071</v>
      </c>
      <c r="F42" s="19" t="e">
        <f t="shared" si="5"/>
        <v>#VALUE!</v>
      </c>
      <c r="G42" s="16" t="e">
        <f t="shared" si="2"/>
        <v>#VALUE!</v>
      </c>
      <c r="H42" s="12">
        <f t="shared" si="3"/>
        <v>1113.613132061271</v>
      </c>
      <c r="I42" s="12">
        <f t="shared" si="4"/>
        <v>1052.5482478400068</v>
      </c>
      <c r="J42" s="141" t="e">
        <f t="shared" si="6"/>
        <v>#VALUE!</v>
      </c>
      <c r="K42" s="267" t="e" cm="1">
        <f t="array" ref="K42">InterpolateXYZ(J42,C42,B42,FFnorm_PS,FFnorm_M,FFnorm_h,FFnorm_table)*numeng</f>
        <v>#VALUE!</v>
      </c>
      <c r="L42" s="11" t="e">
        <f t="shared" si="7"/>
        <v>#VALUE!</v>
      </c>
      <c r="M42" s="425" t="e" cm="1">
        <f t="array" ref="M42">($D$5/G42)*(C42*Linterp($D$6,atmos_h,atmos_vela)/L42)</f>
        <v>#VALUE!</v>
      </c>
      <c r="N42" s="55" t="e">
        <f t="shared" si="8"/>
        <v>#VALUE!</v>
      </c>
      <c r="O42" s="426" t="e">
        <f t="shared" si="9"/>
        <v>#VALUE!</v>
      </c>
      <c r="P42" s="12"/>
      <c r="Q42" s="7">
        <f t="shared" si="10"/>
        <v>0.41</v>
      </c>
      <c r="R42" s="314" cm="1">
        <f t="array" ref="R42">numeng*InterpolateXY($D$6,$Q42,Tmil_h,Tmil_M,Tmil_table)</f>
        <v>1177.6748268219476</v>
      </c>
      <c r="S42" s="12" cm="1">
        <f t="array" ref="S42">numeng*InterpolateXY($D$6,$Q42,Tmax_h,Tmax_M,Tmax_table)</f>
        <v>1959.5091182070869</v>
      </c>
      <c r="T42" s="16" t="e">
        <f t="shared" si="11"/>
        <v>#VALUE!</v>
      </c>
      <c r="U42" s="55" t="e">
        <f t="shared" si="12"/>
        <v>#VALUE!</v>
      </c>
      <c r="V42" s="426" t="e">
        <f t="shared" si="13"/>
        <v>#VALUE!</v>
      </c>
    </row>
    <row r="43" spans="2:22">
      <c r="B43" s="120">
        <f t="shared" si="14"/>
        <v>40000</v>
      </c>
      <c r="C43" s="7">
        <v>0.42</v>
      </c>
      <c r="D43" s="7">
        <f t="shared" si="15"/>
        <v>406.60221437700216</v>
      </c>
      <c r="E43" s="11">
        <f t="shared" si="1"/>
        <v>1.2162407598540597</v>
      </c>
      <c r="F43" s="19" t="e">
        <f t="shared" si="5"/>
        <v>#VALUE!</v>
      </c>
      <c r="G43" s="16" t="e">
        <f t="shared" si="2"/>
        <v>#VALUE!</v>
      </c>
      <c r="H43" s="12">
        <f t="shared" si="3"/>
        <v>1119.520894035071</v>
      </c>
      <c r="I43" s="12">
        <f t="shared" ref="I43:I74" si="16">_xlfn.SINGLE(InterpolateXYZ($I$8,C43,B43,FFnorm_PS,FFnorm_M,FFnorm_h,FFnorm_table))*_xlfn.SINGLE(numeng)</f>
        <v>1058.1320581733755</v>
      </c>
      <c r="J43" s="141" t="e">
        <f t="shared" si="6"/>
        <v>#VALUE!</v>
      </c>
      <c r="K43" s="267" t="e" cm="1">
        <f t="array" ref="K43">InterpolateXYZ(J43,C43,B43,FFnorm_PS,FFnorm_M,FFnorm_h,FFnorm_table)*numeng</f>
        <v>#VALUE!</v>
      </c>
      <c r="L43" s="11" t="e">
        <f t="shared" si="7"/>
        <v>#VALUE!</v>
      </c>
      <c r="M43" s="425" t="e" cm="1">
        <f t="array" ref="M43">($D$5/G43)*(C43*Linterp($D$6,atmos_h,atmos_vela)/L43)</f>
        <v>#VALUE!</v>
      </c>
      <c r="N43" s="55" t="e">
        <f t="shared" si="8"/>
        <v>#VALUE!</v>
      </c>
      <c r="O43" s="426" t="e">
        <f t="shared" si="9"/>
        <v>#VALUE!</v>
      </c>
      <c r="P43" s="12"/>
      <c r="Q43" s="7">
        <f t="shared" si="10"/>
        <v>0.42</v>
      </c>
      <c r="R43" s="314" cm="1">
        <f t="array" ref="R43">numeng*InterpolateXY($D$6,$Q43,Tmil_h,Tmil_M,Tmil_table)</f>
        <v>1183.5828945150342</v>
      </c>
      <c r="S43" s="12" cm="1">
        <f t="array" ref="S43">numeng*InterpolateXY($D$6,$Q43,Tmax_h,Tmax_M,Tmax_table)</f>
        <v>1974.2792874398037</v>
      </c>
      <c r="T43" s="16" t="e">
        <f t="shared" si="11"/>
        <v>#VALUE!</v>
      </c>
      <c r="U43" s="55" t="e">
        <f t="shared" si="12"/>
        <v>#VALUE!</v>
      </c>
      <c r="V43" s="426" t="e">
        <f t="shared" si="13"/>
        <v>#VALUE!</v>
      </c>
    </row>
    <row r="44" spans="2:22">
      <c r="B44" s="120">
        <f t="shared" si="14"/>
        <v>40000</v>
      </c>
      <c r="C44" s="7">
        <v>0.43</v>
      </c>
      <c r="D44" s="7">
        <f t="shared" si="15"/>
        <v>416.28321948121652</v>
      </c>
      <c r="E44" s="11">
        <f t="shared" si="1"/>
        <v>1.160329205182564</v>
      </c>
      <c r="F44" s="19" t="e">
        <f t="shared" si="5"/>
        <v>#VALUE!</v>
      </c>
      <c r="G44" s="16" t="e">
        <f t="shared" si="2"/>
        <v>#VALUE!</v>
      </c>
      <c r="H44" s="12">
        <f t="shared" si="3"/>
        <v>1125.4286560088708</v>
      </c>
      <c r="I44" s="12">
        <f t="shared" si="16"/>
        <v>1063.7158685067441</v>
      </c>
      <c r="J44" s="141" t="e">
        <f t="shared" si="6"/>
        <v>#VALUE!</v>
      </c>
      <c r="K44" s="267" t="e" cm="1">
        <f t="array" ref="K44">InterpolateXYZ(J44,C44,B44,FFnorm_PS,FFnorm_M,FFnorm_h,FFnorm_table)*numeng</f>
        <v>#VALUE!</v>
      </c>
      <c r="L44" s="11" t="e">
        <f t="shared" si="7"/>
        <v>#VALUE!</v>
      </c>
      <c r="M44" s="425" t="e" cm="1">
        <f t="array" ref="M44">($D$5/G44)*(C44*Linterp($D$6,atmos_h,atmos_vela)/L44)</f>
        <v>#VALUE!</v>
      </c>
      <c r="N44" s="55" t="e">
        <f t="shared" si="8"/>
        <v>#VALUE!</v>
      </c>
      <c r="O44" s="426" t="e">
        <f t="shared" si="9"/>
        <v>#VALUE!</v>
      </c>
      <c r="P44" s="12"/>
      <c r="Q44" s="7">
        <f t="shared" si="10"/>
        <v>0.43</v>
      </c>
      <c r="R44" s="314" cm="1">
        <f t="array" ref="R44">numeng*InterpolateXY($D$6,$Q44,Tmil_h,Tmil_M,Tmil_table)</f>
        <v>1189.4909622081211</v>
      </c>
      <c r="S44" s="12" cm="1">
        <f t="array" ref="S44">numeng*InterpolateXY($D$6,$Q44,Tmax_h,Tmax_M,Tmax_table)</f>
        <v>1989.0494566725204</v>
      </c>
      <c r="T44" s="16" t="e">
        <f t="shared" si="11"/>
        <v>#VALUE!</v>
      </c>
      <c r="U44" s="55" t="e">
        <f t="shared" si="12"/>
        <v>#VALUE!</v>
      </c>
      <c r="V44" s="426" t="e">
        <f t="shared" si="13"/>
        <v>#VALUE!</v>
      </c>
    </row>
    <row r="45" spans="2:22">
      <c r="B45" s="120">
        <f t="shared" si="14"/>
        <v>40000</v>
      </c>
      <c r="C45" s="7">
        <v>0.44</v>
      </c>
      <c r="D45" s="7">
        <f t="shared" si="15"/>
        <v>425.96422458543088</v>
      </c>
      <c r="E45" s="11">
        <f t="shared" si="1"/>
        <v>1.1081863121810747</v>
      </c>
      <c r="F45" s="19" t="e">
        <f t="shared" si="5"/>
        <v>#VALUE!</v>
      </c>
      <c r="G45" s="16" t="e">
        <f t="shared" si="2"/>
        <v>#VALUE!</v>
      </c>
      <c r="H45" s="12">
        <f t="shared" si="3"/>
        <v>1131.3364179826706</v>
      </c>
      <c r="I45" s="12">
        <f t="shared" si="16"/>
        <v>1069.2996788401128</v>
      </c>
      <c r="J45" s="141" t="e">
        <f t="shared" si="6"/>
        <v>#VALUE!</v>
      </c>
      <c r="K45" s="267" t="e" cm="1">
        <f t="array" ref="K45">InterpolateXYZ(J45,C45,B45,FFnorm_PS,FFnorm_M,FFnorm_h,FFnorm_table)*numeng</f>
        <v>#VALUE!</v>
      </c>
      <c r="L45" s="11" t="e">
        <f t="shared" si="7"/>
        <v>#VALUE!</v>
      </c>
      <c r="M45" s="425" t="e" cm="1">
        <f t="array" ref="M45">($D$5/G45)*(C45*Linterp($D$6,atmos_h,atmos_vela)/L45)</f>
        <v>#VALUE!</v>
      </c>
      <c r="N45" s="55" t="e">
        <f t="shared" si="8"/>
        <v>#VALUE!</v>
      </c>
      <c r="O45" s="426" t="e">
        <f t="shared" si="9"/>
        <v>#VALUE!</v>
      </c>
      <c r="P45" s="12"/>
      <c r="Q45" s="7">
        <f t="shared" si="10"/>
        <v>0.44</v>
      </c>
      <c r="R45" s="314" cm="1">
        <f t="array" ref="R45">numeng*InterpolateXY($D$6,$Q45,Tmil_h,Tmil_M,Tmil_table)</f>
        <v>1195.3990299012078</v>
      </c>
      <c r="S45" s="12" cm="1">
        <f t="array" ref="S45">numeng*InterpolateXY($D$6,$Q45,Tmax_h,Tmax_M,Tmax_table)</f>
        <v>2003.8196259052372</v>
      </c>
      <c r="T45" s="16" t="e">
        <f t="shared" si="11"/>
        <v>#VALUE!</v>
      </c>
      <c r="U45" s="55" t="e">
        <f t="shared" si="12"/>
        <v>#VALUE!</v>
      </c>
      <c r="V45" s="426" t="e">
        <f t="shared" si="13"/>
        <v>#VALUE!</v>
      </c>
    </row>
    <row r="46" spans="2:22">
      <c r="B46" s="120">
        <f t="shared" si="14"/>
        <v>40000</v>
      </c>
      <c r="C46" s="7">
        <v>0.45</v>
      </c>
      <c r="D46" s="7">
        <f t="shared" si="15"/>
        <v>435.64522968964519</v>
      </c>
      <c r="E46" s="11">
        <f t="shared" si="1"/>
        <v>1.0594808396950917</v>
      </c>
      <c r="F46" s="19" t="e">
        <f t="shared" si="5"/>
        <v>#VALUE!</v>
      </c>
      <c r="G46" s="16" t="e">
        <f t="shared" si="2"/>
        <v>#VALUE!</v>
      </c>
      <c r="H46" s="12">
        <f t="shared" si="3"/>
        <v>1137.2441799564704</v>
      </c>
      <c r="I46" s="12">
        <f t="shared" si="16"/>
        <v>1074.8834891734816</v>
      </c>
      <c r="J46" s="141" t="e">
        <f t="shared" si="6"/>
        <v>#VALUE!</v>
      </c>
      <c r="K46" s="267" t="e" cm="1">
        <f t="array" ref="K46">InterpolateXYZ(J46,C46,B46,FFnorm_PS,FFnorm_M,FFnorm_h,FFnorm_table)*numeng</f>
        <v>#VALUE!</v>
      </c>
      <c r="L46" s="11" t="e">
        <f t="shared" si="7"/>
        <v>#VALUE!</v>
      </c>
      <c r="M46" s="425" t="e" cm="1">
        <f t="array" ref="M46">($D$5/G46)*(C46*Linterp($D$6,atmos_h,atmos_vela)/L46)</f>
        <v>#VALUE!</v>
      </c>
      <c r="N46" s="55" t="e">
        <f t="shared" si="8"/>
        <v>#VALUE!</v>
      </c>
      <c r="O46" s="426" t="e">
        <f t="shared" si="9"/>
        <v>#VALUE!</v>
      </c>
      <c r="P46" s="12"/>
      <c r="Q46" s="7">
        <f t="shared" si="10"/>
        <v>0.45</v>
      </c>
      <c r="R46" s="314" cm="1">
        <f t="array" ref="R46">numeng*InterpolateXY($D$6,$Q46,Tmil_h,Tmil_M,Tmil_table)</f>
        <v>1201.3070975942944</v>
      </c>
      <c r="S46" s="12" cm="1">
        <f t="array" ref="S46">numeng*InterpolateXY($D$6,$Q46,Tmax_h,Tmax_M,Tmax_table)</f>
        <v>2018.5897951379538</v>
      </c>
      <c r="T46" s="16" t="e">
        <f t="shared" si="11"/>
        <v>#VALUE!</v>
      </c>
      <c r="U46" s="55" t="e">
        <f t="shared" si="12"/>
        <v>#VALUE!</v>
      </c>
      <c r="V46" s="426" t="e">
        <f t="shared" si="13"/>
        <v>#VALUE!</v>
      </c>
    </row>
    <row r="47" spans="2:22">
      <c r="B47" s="120">
        <f t="shared" si="14"/>
        <v>40000</v>
      </c>
      <c r="C47" s="7">
        <v>0.46</v>
      </c>
      <c r="D47" s="7">
        <f t="shared" si="15"/>
        <v>445.32623479385956</v>
      </c>
      <c r="E47" s="11">
        <f t="shared" si="1"/>
        <v>1.0139171551902462</v>
      </c>
      <c r="F47" s="19" t="e">
        <f t="shared" si="5"/>
        <v>#VALUE!</v>
      </c>
      <c r="G47" s="16" t="e">
        <f t="shared" si="2"/>
        <v>#VALUE!</v>
      </c>
      <c r="H47" s="12">
        <f t="shared" si="3"/>
        <v>1143.1519419302704</v>
      </c>
      <c r="I47" s="12">
        <f t="shared" si="16"/>
        <v>1080.4672995068504</v>
      </c>
      <c r="J47" s="141" t="e">
        <f t="shared" si="6"/>
        <v>#VALUE!</v>
      </c>
      <c r="K47" s="267" t="e" cm="1">
        <f t="array" ref="K47">InterpolateXYZ(J47,C47,B47,FFnorm_PS,FFnorm_M,FFnorm_h,FFnorm_table)*numeng</f>
        <v>#VALUE!</v>
      </c>
      <c r="L47" s="11" t="e">
        <f t="shared" si="7"/>
        <v>#VALUE!</v>
      </c>
      <c r="M47" s="425" t="e" cm="1">
        <f t="array" ref="M47">($D$5/G47)*(C47*Linterp($D$6,atmos_h,atmos_vela)/L47)</f>
        <v>#VALUE!</v>
      </c>
      <c r="N47" s="55" t="e">
        <f t="shared" si="8"/>
        <v>#VALUE!</v>
      </c>
      <c r="O47" s="426" t="e">
        <f t="shared" si="9"/>
        <v>#VALUE!</v>
      </c>
      <c r="P47" s="12"/>
      <c r="Q47" s="7">
        <f t="shared" si="10"/>
        <v>0.46</v>
      </c>
      <c r="R47" s="314" cm="1">
        <f t="array" ref="R47">numeng*InterpolateXY($D$6,$Q47,Tmil_h,Tmil_M,Tmil_table)</f>
        <v>1207.2151652873811</v>
      </c>
      <c r="S47" s="12" cm="1">
        <f t="array" ref="S47">numeng*InterpolateXY($D$6,$Q47,Tmax_h,Tmax_M,Tmax_table)</f>
        <v>2033.3599643706707</v>
      </c>
      <c r="T47" s="16" t="e">
        <f t="shared" si="11"/>
        <v>#VALUE!</v>
      </c>
      <c r="U47" s="55" t="e">
        <f t="shared" si="12"/>
        <v>#VALUE!</v>
      </c>
      <c r="V47" s="426" t="e">
        <f t="shared" si="13"/>
        <v>#VALUE!</v>
      </c>
    </row>
    <row r="48" spans="2:22">
      <c r="B48" s="120">
        <f t="shared" si="14"/>
        <v>40000</v>
      </c>
      <c r="C48" s="7">
        <v>0.47</v>
      </c>
      <c r="D48" s="7">
        <f t="shared" si="15"/>
        <v>455.00723989807386</v>
      </c>
      <c r="E48" s="11">
        <f t="shared" si="1"/>
        <v>0.97123073806363103</v>
      </c>
      <c r="F48" s="19" t="e">
        <f t="shared" si="5"/>
        <v>#VALUE!</v>
      </c>
      <c r="G48" s="16" t="e">
        <f t="shared" si="2"/>
        <v>#VALUE!</v>
      </c>
      <c r="H48" s="12">
        <f t="shared" si="3"/>
        <v>1149.0597039040701</v>
      </c>
      <c r="I48" s="12">
        <f t="shared" si="16"/>
        <v>1086.0511098402192</v>
      </c>
      <c r="J48" s="141" t="e">
        <f t="shared" si="6"/>
        <v>#VALUE!</v>
      </c>
      <c r="K48" s="267" t="e" cm="1">
        <f t="array" ref="K48">InterpolateXYZ(J48,C48,B48,FFnorm_PS,FFnorm_M,FFnorm_h,FFnorm_table)*numeng</f>
        <v>#VALUE!</v>
      </c>
      <c r="L48" s="11" t="e">
        <f t="shared" si="7"/>
        <v>#VALUE!</v>
      </c>
      <c r="M48" s="425" t="e" cm="1">
        <f t="array" ref="M48">($D$5/G48)*(C48*Linterp($D$6,atmos_h,atmos_vela)/L48)</f>
        <v>#VALUE!</v>
      </c>
      <c r="N48" s="55" t="e">
        <f t="shared" si="8"/>
        <v>#VALUE!</v>
      </c>
      <c r="O48" s="426" t="e">
        <f t="shared" si="9"/>
        <v>#VALUE!</v>
      </c>
      <c r="P48" s="12"/>
      <c r="Q48" s="7">
        <f t="shared" si="10"/>
        <v>0.47</v>
      </c>
      <c r="R48" s="314" cm="1">
        <f t="array" ref="R48">numeng*InterpolateXY($D$6,$Q48,Tmil_h,Tmil_M,Tmil_table)</f>
        <v>1213.1232329804677</v>
      </c>
      <c r="S48" s="12" cm="1">
        <f t="array" ref="S48">numeng*InterpolateXY($D$6,$Q48,Tmax_h,Tmax_M,Tmax_table)</f>
        <v>2048.1301336033875</v>
      </c>
      <c r="T48" s="16" t="e">
        <f t="shared" si="11"/>
        <v>#VALUE!</v>
      </c>
      <c r="U48" s="55" t="e">
        <f t="shared" si="12"/>
        <v>#VALUE!</v>
      </c>
      <c r="V48" s="426" t="e">
        <f t="shared" si="13"/>
        <v>#VALUE!</v>
      </c>
    </row>
    <row r="49" spans="2:22">
      <c r="B49" s="120">
        <f t="shared" si="14"/>
        <v>40000</v>
      </c>
      <c r="C49" s="7">
        <v>0.48</v>
      </c>
      <c r="D49" s="7">
        <f t="shared" si="15"/>
        <v>464.68824500228823</v>
      </c>
      <c r="E49" s="11">
        <f t="shared" si="1"/>
        <v>0.93118433176326443</v>
      </c>
      <c r="F49" s="19" t="e">
        <f t="shared" si="5"/>
        <v>#VALUE!</v>
      </c>
      <c r="G49" s="16" t="e">
        <f t="shared" si="2"/>
        <v>#VALUE!</v>
      </c>
      <c r="H49" s="12">
        <f t="shared" si="3"/>
        <v>1154.9674658778699</v>
      </c>
      <c r="I49" s="12">
        <f t="shared" si="16"/>
        <v>1091.6349201735877</v>
      </c>
      <c r="J49" s="141" t="e">
        <f t="shared" si="6"/>
        <v>#VALUE!</v>
      </c>
      <c r="K49" s="267" t="e" cm="1">
        <f t="array" ref="K49">InterpolateXYZ(J49,C49,B49,FFnorm_PS,FFnorm_M,FFnorm_h,FFnorm_table)*numeng</f>
        <v>#VALUE!</v>
      </c>
      <c r="L49" s="11" t="e">
        <f t="shared" si="7"/>
        <v>#VALUE!</v>
      </c>
      <c r="M49" s="425" t="e" cm="1">
        <f t="array" ref="M49">($D$5/G49)*(C49*Linterp($D$6,atmos_h,atmos_vela)/L49)</f>
        <v>#VALUE!</v>
      </c>
      <c r="N49" s="55" t="e">
        <f t="shared" si="8"/>
        <v>#VALUE!</v>
      </c>
      <c r="O49" s="426" t="e">
        <f t="shared" si="9"/>
        <v>#VALUE!</v>
      </c>
      <c r="P49" s="12"/>
      <c r="Q49" s="7">
        <f t="shared" si="10"/>
        <v>0.48</v>
      </c>
      <c r="R49" s="314" cm="1">
        <f t="array" ref="R49">numeng*InterpolateXY($D$6,$Q49,Tmil_h,Tmil_M,Tmil_table)</f>
        <v>1219.0313006735546</v>
      </c>
      <c r="S49" s="12" cm="1">
        <f t="array" ref="S49">numeng*InterpolateXY($D$6,$Q49,Tmax_h,Tmax_M,Tmax_table)</f>
        <v>2062.9003028361039</v>
      </c>
      <c r="T49" s="16" t="e">
        <f t="shared" si="11"/>
        <v>#VALUE!</v>
      </c>
      <c r="U49" s="55" t="e">
        <f t="shared" si="12"/>
        <v>#VALUE!</v>
      </c>
      <c r="V49" s="426" t="e">
        <f t="shared" si="13"/>
        <v>#VALUE!</v>
      </c>
    </row>
    <row r="50" spans="2:22">
      <c r="B50" s="120">
        <f t="shared" si="14"/>
        <v>40000</v>
      </c>
      <c r="C50" s="7">
        <v>0.49</v>
      </c>
      <c r="D50" s="7">
        <f t="shared" si="15"/>
        <v>474.36925010650253</v>
      </c>
      <c r="E50" s="11">
        <f t="shared" si="1"/>
        <v>0.89356463989277846</v>
      </c>
      <c r="F50" s="19" t="e">
        <f t="shared" si="5"/>
        <v>#VALUE!</v>
      </c>
      <c r="G50" s="16" t="e">
        <f t="shared" si="2"/>
        <v>#VALUE!</v>
      </c>
      <c r="H50" s="12">
        <f t="shared" si="3"/>
        <v>1160.8752278516699</v>
      </c>
      <c r="I50" s="12">
        <f t="shared" si="16"/>
        <v>1097.2187305069565</v>
      </c>
      <c r="J50" s="141" t="e">
        <f t="shared" si="6"/>
        <v>#VALUE!</v>
      </c>
      <c r="K50" s="267" t="e" cm="1">
        <f t="array" ref="K50">InterpolateXYZ(J50,C50,B50,FFnorm_PS,FFnorm_M,FFnorm_h,FFnorm_table)*numeng</f>
        <v>#VALUE!</v>
      </c>
      <c r="L50" s="11" t="e">
        <f t="shared" si="7"/>
        <v>#VALUE!</v>
      </c>
      <c r="M50" s="425" t="e" cm="1">
        <f t="array" ref="M50">($D$5/G50)*(C50*Linterp($D$6,atmos_h,atmos_vela)/L50)</f>
        <v>#VALUE!</v>
      </c>
      <c r="N50" s="55" t="e">
        <f t="shared" si="8"/>
        <v>#VALUE!</v>
      </c>
      <c r="O50" s="426" t="e">
        <f t="shared" si="9"/>
        <v>#VALUE!</v>
      </c>
      <c r="P50" s="12"/>
      <c r="Q50" s="7">
        <f t="shared" si="10"/>
        <v>0.49</v>
      </c>
      <c r="R50" s="314" cm="1">
        <f t="array" ref="R50">numeng*InterpolateXY($D$6,$Q50,Tmil_h,Tmil_M,Tmil_table)</f>
        <v>1224.9393683666412</v>
      </c>
      <c r="S50" s="12" cm="1">
        <f t="array" ref="S50">numeng*InterpolateXY($D$6,$Q50,Tmax_h,Tmax_M,Tmax_table)</f>
        <v>2077.6704720688208</v>
      </c>
      <c r="T50" s="16" t="e">
        <f t="shared" si="11"/>
        <v>#VALUE!</v>
      </c>
      <c r="U50" s="55" t="e">
        <f t="shared" si="12"/>
        <v>#VALUE!</v>
      </c>
      <c r="V50" s="426" t="e">
        <f t="shared" si="13"/>
        <v>#VALUE!</v>
      </c>
    </row>
    <row r="51" spans="2:22">
      <c r="B51" s="120">
        <f t="shared" si="14"/>
        <v>40000</v>
      </c>
      <c r="C51" s="7">
        <v>0.5</v>
      </c>
      <c r="D51" s="7">
        <f t="shared" si="15"/>
        <v>484.0502552107169</v>
      </c>
      <c r="E51" s="11">
        <f t="shared" si="1"/>
        <v>0.85817948015302437</v>
      </c>
      <c r="F51" s="19" t="e">
        <f t="shared" si="5"/>
        <v>#VALUE!</v>
      </c>
      <c r="G51" s="16" t="e">
        <f t="shared" si="2"/>
        <v>#VALUE!</v>
      </c>
      <c r="H51" s="12">
        <f t="shared" si="3"/>
        <v>1166.7829898254697</v>
      </c>
      <c r="I51" s="12">
        <f t="shared" si="16"/>
        <v>1102.8025408403253</v>
      </c>
      <c r="J51" s="141" t="e">
        <f t="shared" si="6"/>
        <v>#VALUE!</v>
      </c>
      <c r="K51" s="267" t="e" cm="1">
        <f t="array" ref="K51">InterpolateXYZ(J51,C51,B51,FFnorm_PS,FFnorm_M,FFnorm_h,FFnorm_table)*numeng</f>
        <v>#VALUE!</v>
      </c>
      <c r="L51" s="11" t="e">
        <f t="shared" si="7"/>
        <v>#VALUE!</v>
      </c>
      <c r="M51" s="425" t="e" cm="1">
        <f t="array" ref="M51">($D$5/G51)*(C51*Linterp($D$6,atmos_h,atmos_vela)/L51)</f>
        <v>#VALUE!</v>
      </c>
      <c r="N51" s="55" t="e">
        <f t="shared" si="8"/>
        <v>#VALUE!</v>
      </c>
      <c r="O51" s="426" t="e">
        <f t="shared" si="9"/>
        <v>#VALUE!</v>
      </c>
      <c r="P51" s="12"/>
      <c r="Q51" s="7">
        <f t="shared" si="10"/>
        <v>0.5</v>
      </c>
      <c r="R51" s="314" cm="1">
        <f t="array" ref="R51">numeng*InterpolateXY($D$6,$Q51,Tmil_h,Tmil_M,Tmil_table)</f>
        <v>1230.8474360597279</v>
      </c>
      <c r="S51" s="12" cm="1">
        <f t="array" ref="S51">numeng*InterpolateXY($D$6,$Q51,Tmax_h,Tmax_M,Tmax_table)</f>
        <v>2092.4406413015377</v>
      </c>
      <c r="T51" s="16" t="e">
        <f t="shared" si="11"/>
        <v>#VALUE!</v>
      </c>
      <c r="U51" s="55" t="e">
        <f t="shared" si="12"/>
        <v>#VALUE!</v>
      </c>
      <c r="V51" s="426" t="e">
        <f t="shared" si="13"/>
        <v>#VALUE!</v>
      </c>
    </row>
    <row r="52" spans="2:22">
      <c r="B52" s="120">
        <f t="shared" si="14"/>
        <v>40000</v>
      </c>
      <c r="C52" s="7">
        <v>0.51</v>
      </c>
      <c r="D52" s="7">
        <f t="shared" si="15"/>
        <v>493.73126031493126</v>
      </c>
      <c r="E52" s="11">
        <f t="shared" si="1"/>
        <v>0.8248553250221301</v>
      </c>
      <c r="F52" s="19" t="e">
        <f t="shared" si="5"/>
        <v>#VALUE!</v>
      </c>
      <c r="G52" s="16" t="e">
        <f t="shared" si="2"/>
        <v>#VALUE!</v>
      </c>
      <c r="H52" s="12">
        <f t="shared" si="3"/>
        <v>1172.6907517992695</v>
      </c>
      <c r="I52" s="12">
        <f t="shared" si="16"/>
        <v>1108.386351173694</v>
      </c>
      <c r="J52" s="141" t="e">
        <f t="shared" si="6"/>
        <v>#VALUE!</v>
      </c>
      <c r="K52" s="267" t="e" cm="1">
        <f t="array" ref="K52">InterpolateXYZ(J52,C52,B52,FFnorm_PS,FFnorm_M,FFnorm_h,FFnorm_table)*numeng</f>
        <v>#VALUE!</v>
      </c>
      <c r="L52" s="11" t="e">
        <f t="shared" si="7"/>
        <v>#VALUE!</v>
      </c>
      <c r="M52" s="425" t="e" cm="1">
        <f t="array" ref="M52">($D$5/G52)*(C52*Linterp($D$6,atmos_h,atmos_vela)/L52)</f>
        <v>#VALUE!</v>
      </c>
      <c r="N52" s="55" t="e">
        <f t="shared" si="8"/>
        <v>#VALUE!</v>
      </c>
      <c r="O52" s="426" t="e">
        <f t="shared" si="9"/>
        <v>#VALUE!</v>
      </c>
      <c r="P52" s="12"/>
      <c r="Q52" s="7">
        <f t="shared" si="10"/>
        <v>0.51</v>
      </c>
      <c r="R52" s="314" cm="1">
        <f t="array" ref="R52">numeng*InterpolateXY($D$6,$Q52,Tmil_h,Tmil_M,Tmil_table)</f>
        <v>1236.7555037528145</v>
      </c>
      <c r="S52" s="12" cm="1">
        <f t="array" ref="S52">numeng*InterpolateXY($D$6,$Q52,Tmax_h,Tmax_M,Tmax_table)</f>
        <v>2107.2108105342545</v>
      </c>
      <c r="T52" s="16" t="e">
        <f t="shared" si="11"/>
        <v>#VALUE!</v>
      </c>
      <c r="U52" s="55" t="e">
        <f t="shared" si="12"/>
        <v>#VALUE!</v>
      </c>
      <c r="V52" s="426" t="e">
        <f t="shared" si="13"/>
        <v>#VALUE!</v>
      </c>
    </row>
    <row r="53" spans="2:22">
      <c r="B53" s="120">
        <f t="shared" si="14"/>
        <v>40000</v>
      </c>
      <c r="C53" s="7">
        <v>0.52</v>
      </c>
      <c r="D53" s="7">
        <f t="shared" si="15"/>
        <v>503.41226541914557</v>
      </c>
      <c r="E53" s="11">
        <f t="shared" si="1"/>
        <v>0.79343517025982258</v>
      </c>
      <c r="F53" s="19">
        <f t="shared" si="5"/>
        <v>0.1873206833634001</v>
      </c>
      <c r="G53" s="16">
        <f t="shared" si="2"/>
        <v>2360.882027728353</v>
      </c>
      <c r="H53" s="12">
        <f t="shared" si="3"/>
        <v>1178.5985137730695</v>
      </c>
      <c r="I53" s="12">
        <f t="shared" si="16"/>
        <v>1113.9701615070628</v>
      </c>
      <c r="J53" s="141">
        <f t="shared" si="6"/>
        <v>2.0031265949677954</v>
      </c>
      <c r="K53" s="267" t="e" cm="1">
        <f t="array" ref="K53">InterpolateXYZ(J53,C53,B53,FFnorm_PS,FFnorm_M,FFnorm_h,FFnorm_table)*numeng</f>
        <v>#VALUE!</v>
      </c>
      <c r="L53" s="11" t="e">
        <f t="shared" si="7"/>
        <v>#VALUE!</v>
      </c>
      <c r="M53" s="425" t="e" cm="1">
        <f t="array" ref="M53">($D$5/G53)*(C53*Linterp($D$6,atmos_h,atmos_vela)/L53)</f>
        <v>#VALUE!</v>
      </c>
      <c r="N53" s="55" t="e">
        <f t="shared" si="8"/>
        <v>#VALUE!</v>
      </c>
      <c r="O53" s="426" t="e">
        <f t="shared" si="9"/>
        <v>#VALUE!</v>
      </c>
      <c r="P53" s="12"/>
      <c r="Q53" s="7">
        <f t="shared" si="10"/>
        <v>0.52</v>
      </c>
      <c r="R53" s="314" cm="1">
        <f t="array" ref="R53">numeng*InterpolateXY($D$6,$Q53,Tmil_h,Tmil_M,Tmil_table)</f>
        <v>1242.6635714459012</v>
      </c>
      <c r="S53" s="12" cm="1">
        <f t="array" ref="S53">numeng*InterpolateXY($D$6,$Q53,Tmax_h,Tmax_M,Tmax_table)</f>
        <v>2121.9809797669709</v>
      </c>
      <c r="T53" s="16">
        <f t="shared" si="11"/>
        <v>2360.882027728353</v>
      </c>
      <c r="U53" s="55">
        <f t="shared" si="12"/>
        <v>-1118.2184562824518</v>
      </c>
      <c r="V53" s="426">
        <f t="shared" si="13"/>
        <v>-238.90104796138212</v>
      </c>
    </row>
    <row r="54" spans="2:22">
      <c r="B54" s="120">
        <f t="shared" si="14"/>
        <v>40000</v>
      </c>
      <c r="C54" s="7">
        <v>0.53</v>
      </c>
      <c r="D54" s="7">
        <f t="shared" si="15"/>
        <v>513.09327052335993</v>
      </c>
      <c r="E54" s="11">
        <f t="shared" si="1"/>
        <v>0.76377668222946271</v>
      </c>
      <c r="F54" s="19">
        <f t="shared" si="5"/>
        <v>0.16998185823618261</v>
      </c>
      <c r="G54" s="16">
        <f t="shared" si="2"/>
        <v>2225.5439605724268</v>
      </c>
      <c r="H54" s="12">
        <f t="shared" si="3"/>
        <v>1184.5062757468693</v>
      </c>
      <c r="I54" s="12">
        <f t="shared" si="16"/>
        <v>1119.5539718404314</v>
      </c>
      <c r="J54" s="141">
        <f t="shared" si="6"/>
        <v>1.8788789946842197</v>
      </c>
      <c r="K54" s="267" t="e" cm="1">
        <f t="array" ref="K54">InterpolateXYZ(J54,C54,B54,FFnorm_PS,FFnorm_M,FFnorm_h,FFnorm_table)*numeng</f>
        <v>#VALUE!</v>
      </c>
      <c r="L54" s="11" t="e">
        <f t="shared" si="7"/>
        <v>#VALUE!</v>
      </c>
      <c r="M54" s="425" t="e" cm="1">
        <f t="array" ref="M54">($D$5/G54)*(C54*Linterp($D$6,atmos_h,atmos_vela)/L54)</f>
        <v>#VALUE!</v>
      </c>
      <c r="N54" s="55" t="e">
        <f t="shared" si="8"/>
        <v>#VALUE!</v>
      </c>
      <c r="O54" s="426" t="e">
        <f t="shared" si="9"/>
        <v>#VALUE!</v>
      </c>
      <c r="P54" s="12"/>
      <c r="Q54" s="7">
        <f t="shared" si="10"/>
        <v>0.53</v>
      </c>
      <c r="R54" s="314" cm="1">
        <f t="array" ref="R54">numeng*InterpolateXY($D$6,$Q54,Tmil_h,Tmil_M,Tmil_table)</f>
        <v>1248.5716391389881</v>
      </c>
      <c r="S54" s="12" cm="1">
        <f t="array" ref="S54">numeng*InterpolateXY($D$6,$Q54,Tmax_h,Tmax_M,Tmax_table)</f>
        <v>2136.7511489996878</v>
      </c>
      <c r="T54" s="16">
        <f t="shared" si="11"/>
        <v>2225.5439605724268</v>
      </c>
      <c r="U54" s="55">
        <f t="shared" si="12"/>
        <v>-976.97232143343876</v>
      </c>
      <c r="V54" s="426">
        <f t="shared" si="13"/>
        <v>-88.792811572739083</v>
      </c>
    </row>
    <row r="55" spans="2:22">
      <c r="B55" s="120">
        <f t="shared" si="14"/>
        <v>40000</v>
      </c>
      <c r="C55" s="7">
        <v>0.54</v>
      </c>
      <c r="D55" s="7">
        <f t="shared" si="15"/>
        <v>522.7742756275743</v>
      </c>
      <c r="E55" s="11">
        <f t="shared" si="1"/>
        <v>0.73575058312159136</v>
      </c>
      <c r="F55" s="19">
        <f t="shared" si="5"/>
        <v>0.15359625291771761</v>
      </c>
      <c r="G55" s="16">
        <f t="shared" si="2"/>
        <v>2087.6130640094111</v>
      </c>
      <c r="H55" s="12">
        <f t="shared" si="3"/>
        <v>1190.4140377206691</v>
      </c>
      <c r="I55" s="12">
        <f t="shared" si="16"/>
        <v>1125.1377821738001</v>
      </c>
      <c r="J55" s="141">
        <f t="shared" si="6"/>
        <v>1.7536865307860809</v>
      </c>
      <c r="K55" s="267" t="e" cm="1">
        <f t="array" ref="K55">InterpolateXYZ(J55,C55,B55,FFnorm_PS,FFnorm_M,FFnorm_h,FFnorm_table)*numeng</f>
        <v>#VALUE!</v>
      </c>
      <c r="L55" s="11" t="e">
        <f t="shared" si="7"/>
        <v>#VALUE!</v>
      </c>
      <c r="M55" s="425" t="e" cm="1">
        <f t="array" ref="M55">($D$5/G55)*(C55*Linterp($D$6,atmos_h,atmos_vela)/L55)</f>
        <v>#VALUE!</v>
      </c>
      <c r="N55" s="55" t="e">
        <f t="shared" si="8"/>
        <v>#VALUE!</v>
      </c>
      <c r="O55" s="426" t="e">
        <f t="shared" si="9"/>
        <v>#VALUE!</v>
      </c>
      <c r="P55" s="12"/>
      <c r="Q55" s="7">
        <f t="shared" si="10"/>
        <v>0.54</v>
      </c>
      <c r="R55" s="314" cm="1">
        <f t="array" ref="R55">numeng*InterpolateXY($D$6,$Q55,Tmil_h,Tmil_M,Tmil_table)</f>
        <v>1254.4797068320747</v>
      </c>
      <c r="S55" s="12" cm="1">
        <f t="array" ref="S55">numeng*InterpolateXY($D$6,$Q55,Tmax_h,Tmax_M,Tmax_table)</f>
        <v>2151.5213182324046</v>
      </c>
      <c r="T55" s="16">
        <f t="shared" si="11"/>
        <v>2087.6130640094111</v>
      </c>
      <c r="U55" s="55">
        <f t="shared" si="12"/>
        <v>-833.13335717733639</v>
      </c>
      <c r="V55" s="426">
        <f t="shared" si="13"/>
        <v>63.908254222993492</v>
      </c>
    </row>
    <row r="56" spans="2:22">
      <c r="B56" s="120">
        <f t="shared" si="14"/>
        <v>40000</v>
      </c>
      <c r="C56" s="7">
        <v>0.55000000000000004</v>
      </c>
      <c r="D56" s="7">
        <f t="shared" si="15"/>
        <v>532.45528073178866</v>
      </c>
      <c r="E56" s="11">
        <f t="shared" si="1"/>
        <v>0.70923923979588777</v>
      </c>
      <c r="F56" s="19">
        <f t="shared" si="5"/>
        <v>0.13809517652314615</v>
      </c>
      <c r="G56" s="16">
        <f t="shared" si="2"/>
        <v>1947.0887787157494</v>
      </c>
      <c r="H56" s="12">
        <f t="shared" si="3"/>
        <v>1196.3217996944691</v>
      </c>
      <c r="I56" s="12">
        <f t="shared" si="16"/>
        <v>1130.7215925071689</v>
      </c>
      <c r="J56" s="141">
        <f t="shared" si="6"/>
        <v>1.6275627337168144</v>
      </c>
      <c r="K56" s="267" t="e" cm="1">
        <f t="array" ref="K56">InterpolateXYZ(J56,C56,B56,FFnorm_PS,FFnorm_M,FFnorm_h,FFnorm_table)*numeng</f>
        <v>#VALUE!</v>
      </c>
      <c r="L56" s="11" t="e">
        <f t="shared" si="7"/>
        <v>#VALUE!</v>
      </c>
      <c r="M56" s="425" t="e" cm="1">
        <f t="array" ref="M56">($D$5/G56)*(C56*Linterp($D$6,atmos_h,atmos_vela)/L56)</f>
        <v>#VALUE!</v>
      </c>
      <c r="N56" s="55" t="e">
        <f t="shared" si="8"/>
        <v>#VALUE!</v>
      </c>
      <c r="O56" s="426" t="e">
        <f t="shared" si="9"/>
        <v>#VALUE!</v>
      </c>
      <c r="P56" s="12"/>
      <c r="Q56" s="7">
        <f t="shared" si="10"/>
        <v>0.55000000000000004</v>
      </c>
      <c r="R56" s="314" cm="1">
        <f t="array" ref="R56">numeng*InterpolateXY($D$6,$Q56,Tmil_h,Tmil_M,Tmil_table)</f>
        <v>1260.3877745251614</v>
      </c>
      <c r="S56" s="12" cm="1">
        <f t="array" ref="S56">numeng*InterpolateXY($D$6,$Q56,Tmax_h,Tmax_M,Tmax_table)</f>
        <v>2166.2914874651215</v>
      </c>
      <c r="T56" s="16">
        <f t="shared" si="11"/>
        <v>1947.0887787157494</v>
      </c>
      <c r="U56" s="55">
        <f t="shared" si="12"/>
        <v>-686.70100419058804</v>
      </c>
      <c r="V56" s="426">
        <f t="shared" si="13"/>
        <v>219.20270874937205</v>
      </c>
    </row>
    <row r="57" spans="2:22">
      <c r="B57" s="120">
        <f t="shared" si="14"/>
        <v>40000</v>
      </c>
      <c r="C57" s="7">
        <v>0.56000000000000005</v>
      </c>
      <c r="D57" s="7">
        <f t="shared" si="15"/>
        <v>542.13628583600303</v>
      </c>
      <c r="E57" s="11">
        <f t="shared" si="1"/>
        <v>0.68413542741790823</v>
      </c>
      <c r="F57" s="19">
        <f t="shared" si="5"/>
        <v>0.12573131720904382</v>
      </c>
      <c r="G57" s="16">
        <f t="shared" si="2"/>
        <v>1837.8132774615115</v>
      </c>
      <c r="H57" s="12">
        <f t="shared" si="3"/>
        <v>1202.2295616682688</v>
      </c>
      <c r="I57" s="12">
        <f t="shared" si="16"/>
        <v>1136.3054028405377</v>
      </c>
      <c r="J57" s="141">
        <f t="shared" si="6"/>
        <v>1.528670842955548</v>
      </c>
      <c r="K57" s="267" t="e" cm="1">
        <f t="array" ref="K57">InterpolateXYZ(J57,C57,B57,FFnorm_PS,FFnorm_M,FFnorm_h,FFnorm_table)*numeng</f>
        <v>#VALUE!</v>
      </c>
      <c r="L57" s="11" t="e">
        <f t="shared" si="7"/>
        <v>#VALUE!</v>
      </c>
      <c r="M57" s="425" t="e" cm="1">
        <f t="array" ref="M57">($D$5/G57)*(C57*Linterp($D$6,atmos_h,atmos_vela)/L57)</f>
        <v>#VALUE!</v>
      </c>
      <c r="N57" s="55" t="e">
        <f t="shared" si="8"/>
        <v>#VALUE!</v>
      </c>
      <c r="O57" s="426" t="e">
        <f t="shared" si="9"/>
        <v>#VALUE!</v>
      </c>
      <c r="P57" s="12"/>
      <c r="Q57" s="7">
        <f t="shared" si="10"/>
        <v>0.56000000000000005</v>
      </c>
      <c r="R57" s="314" cm="1">
        <f t="array" ref="R57">numeng*InterpolateXY($D$6,$Q57,Tmil_h,Tmil_M,Tmil_table)</f>
        <v>1266.295842218248</v>
      </c>
      <c r="S57" s="12" cm="1">
        <f t="array" ref="S57">numeng*InterpolateXY($D$6,$Q57,Tmax_h,Tmax_M,Tmax_table)</f>
        <v>2181.0616566978379</v>
      </c>
      <c r="T57" s="16">
        <f t="shared" si="11"/>
        <v>1837.8132774615115</v>
      </c>
      <c r="U57" s="55">
        <f t="shared" si="12"/>
        <v>-571.51743524326344</v>
      </c>
      <c r="V57" s="426">
        <f t="shared" si="13"/>
        <v>343.2483792363264</v>
      </c>
    </row>
    <row r="58" spans="2:22">
      <c r="B58" s="120">
        <f t="shared" si="14"/>
        <v>40000</v>
      </c>
      <c r="C58" s="7">
        <v>0.56999999999999995</v>
      </c>
      <c r="D58" s="7">
        <f t="shared" si="15"/>
        <v>551.81729094021716</v>
      </c>
      <c r="E58" s="11">
        <f t="shared" si="1"/>
        <v>0.66034124357727331</v>
      </c>
      <c r="F58" s="19">
        <f t="shared" si="5"/>
        <v>0.11528946468684571</v>
      </c>
      <c r="G58" s="16">
        <f t="shared" si="2"/>
        <v>1745.9073745308851</v>
      </c>
      <c r="H58" s="12">
        <f t="shared" si="3"/>
        <v>1208.1373236420686</v>
      </c>
      <c r="I58" s="12">
        <f t="shared" si="16"/>
        <v>1141.8892131739065</v>
      </c>
      <c r="J58" s="141">
        <f t="shared" si="6"/>
        <v>1.4451232822338829</v>
      </c>
      <c r="K58" s="267" t="e" cm="1">
        <f t="array" ref="K58">InterpolateXYZ(J58,C58,B58,FFnorm_PS,FFnorm_M,FFnorm_h,FFnorm_table)*numeng</f>
        <v>#VALUE!</v>
      </c>
      <c r="L58" s="11" t="e">
        <f t="shared" si="7"/>
        <v>#VALUE!</v>
      </c>
      <c r="M58" s="425" t="e" cm="1">
        <f t="array" ref="M58">($D$5/G58)*(C58*Linterp($D$6,atmos_h,atmos_vela)/L58)</f>
        <v>#VALUE!</v>
      </c>
      <c r="N58" s="55" t="e">
        <f t="shared" si="8"/>
        <v>#VALUE!</v>
      </c>
      <c r="O58" s="426" t="e">
        <f t="shared" si="9"/>
        <v>#VALUE!</v>
      </c>
      <c r="P58" s="12"/>
      <c r="Q58" s="7">
        <f t="shared" si="10"/>
        <v>0.56999999999999995</v>
      </c>
      <c r="R58" s="314" cm="1">
        <f t="array" ref="R58">numeng*InterpolateXY($D$6,$Q58,Tmil_h,Tmil_M,Tmil_table)</f>
        <v>1272.2039099113347</v>
      </c>
      <c r="S58" s="12" cm="1">
        <f t="array" ref="S58">numeng*InterpolateXY($D$6,$Q58,Tmax_h,Tmax_M,Tmax_table)</f>
        <v>2195.8318259305547</v>
      </c>
      <c r="T58" s="16">
        <f t="shared" si="11"/>
        <v>1745.9073745308851</v>
      </c>
      <c r="U58" s="55">
        <f t="shared" si="12"/>
        <v>-473.70346461955046</v>
      </c>
      <c r="V58" s="426">
        <f t="shared" si="13"/>
        <v>449.92445139966958</v>
      </c>
    </row>
    <row r="59" spans="2:22">
      <c r="B59" s="120">
        <f t="shared" si="14"/>
        <v>40000</v>
      </c>
      <c r="C59" s="7">
        <v>0.57999999999999996</v>
      </c>
      <c r="D59" s="7">
        <f t="shared" si="15"/>
        <v>561.49829604443153</v>
      </c>
      <c r="E59" s="11">
        <f t="shared" si="1"/>
        <v>0.63776715231348424</v>
      </c>
      <c r="F59" s="19">
        <f t="shared" si="5"/>
        <v>0.10538201271330611</v>
      </c>
      <c r="G59" s="16">
        <f t="shared" si="2"/>
        <v>1652.3587383112397</v>
      </c>
      <c r="H59" s="12">
        <f t="shared" si="3"/>
        <v>1214.0450856158684</v>
      </c>
      <c r="I59" s="12">
        <f t="shared" si="16"/>
        <v>1147.473023507275</v>
      </c>
      <c r="J59" s="141">
        <f t="shared" si="6"/>
        <v>1.3610357291409987</v>
      </c>
      <c r="K59" s="267" t="e" cm="1">
        <f t="array" ref="K59">InterpolateXYZ(J59,C59,B59,FFnorm_PS,FFnorm_M,FFnorm_h,FFnorm_table)*numeng</f>
        <v>#VALUE!</v>
      </c>
      <c r="L59" s="11" t="e">
        <f t="shared" si="7"/>
        <v>#VALUE!</v>
      </c>
      <c r="M59" s="425" t="e" cm="1">
        <f t="array" ref="M59">($D$5/G59)*(C59*Linterp($D$6,atmos_h,atmos_vela)/L59)</f>
        <v>#VALUE!</v>
      </c>
      <c r="N59" s="55" t="e">
        <f t="shared" si="8"/>
        <v>#VALUE!</v>
      </c>
      <c r="O59" s="426" t="e">
        <f t="shared" si="9"/>
        <v>#VALUE!</v>
      </c>
      <c r="P59" s="12"/>
      <c r="Q59" s="7">
        <f t="shared" si="10"/>
        <v>0.57999999999999996</v>
      </c>
      <c r="R59" s="314" cm="1">
        <f t="array" ref="R59">numeng*InterpolateXY($D$6,$Q59,Tmil_h,Tmil_M,Tmil_table)</f>
        <v>1278.1119776044216</v>
      </c>
      <c r="S59" s="12" cm="1">
        <f t="array" ref="S59">numeng*InterpolateXY($D$6,$Q59,Tmax_h,Tmax_M,Tmax_table)</f>
        <v>2210.6019951632716</v>
      </c>
      <c r="T59" s="16">
        <f t="shared" si="11"/>
        <v>1652.3587383112397</v>
      </c>
      <c r="U59" s="55">
        <f t="shared" si="12"/>
        <v>-374.24676070681812</v>
      </c>
      <c r="V59" s="426">
        <f t="shared" si="13"/>
        <v>558.24325685203189</v>
      </c>
    </row>
    <row r="60" spans="2:22">
      <c r="B60" s="120">
        <f t="shared" si="14"/>
        <v>40000</v>
      </c>
      <c r="C60" s="7">
        <v>0.59</v>
      </c>
      <c r="D60" s="7">
        <f t="shared" si="15"/>
        <v>571.17930114864589</v>
      </c>
      <c r="E60" s="11">
        <f t="shared" si="1"/>
        <v>0.61633114058677418</v>
      </c>
      <c r="F60" s="19">
        <f t="shared" si="5"/>
        <v>9.5973039577007105E-2</v>
      </c>
      <c r="G60" s="16">
        <f t="shared" si="2"/>
        <v>1557.1668094790177</v>
      </c>
      <c r="H60" s="12">
        <f t="shared" si="3"/>
        <v>1219.9528475896684</v>
      </c>
      <c r="I60" s="12">
        <f t="shared" si="16"/>
        <v>1153.0568338406438</v>
      </c>
      <c r="J60" s="141">
        <f t="shared" si="6"/>
        <v>1.2764155701227327</v>
      </c>
      <c r="K60" s="267" t="e" cm="1">
        <f t="array" ref="K60">InterpolateXYZ(J60,C60,B60,FFnorm_PS,FFnorm_M,FFnorm_h,FFnorm_table)*numeng</f>
        <v>#VALUE!</v>
      </c>
      <c r="L60" s="11" t="e">
        <f t="shared" si="7"/>
        <v>#VALUE!</v>
      </c>
      <c r="M60" s="425" t="e" cm="1">
        <f t="array" ref="M60">($D$5/G60)*(C60*Linterp($D$6,atmos_h,atmos_vela)/L60)</f>
        <v>#VALUE!</v>
      </c>
      <c r="N60" s="55" t="e">
        <f t="shared" si="8"/>
        <v>#VALUE!</v>
      </c>
      <c r="O60" s="426" t="e">
        <f t="shared" si="9"/>
        <v>#VALUE!</v>
      </c>
      <c r="P60" s="12"/>
      <c r="Q60" s="7">
        <f t="shared" si="10"/>
        <v>0.59</v>
      </c>
      <c r="R60" s="314" cm="1">
        <f t="array" ref="R60">numeng*InterpolateXY($D$6,$Q60,Tmil_h,Tmil_M,Tmil_table)</f>
        <v>1284.0200452975082</v>
      </c>
      <c r="S60" s="12" cm="1">
        <f t="array" ref="S60">numeng*InterpolateXY($D$6,$Q60,Tmax_h,Tmax_M,Tmax_table)</f>
        <v>2225.372164395988</v>
      </c>
      <c r="T60" s="16">
        <f t="shared" si="11"/>
        <v>1557.1668094790177</v>
      </c>
      <c r="U60" s="55">
        <f t="shared" si="12"/>
        <v>-273.14676418150952</v>
      </c>
      <c r="V60" s="426">
        <f t="shared" si="13"/>
        <v>668.20535491697024</v>
      </c>
    </row>
    <row r="61" spans="2:22">
      <c r="B61" s="120">
        <f t="shared" si="14"/>
        <v>40000</v>
      </c>
      <c r="C61" s="7">
        <v>0.6</v>
      </c>
      <c r="D61" s="7">
        <f t="shared" si="15"/>
        <v>580.86030625286025</v>
      </c>
      <c r="E61" s="11">
        <f t="shared" si="1"/>
        <v>0.59595797232848902</v>
      </c>
      <c r="F61" s="19">
        <f t="shared" si="5"/>
        <v>8.7534845338817058E-2</v>
      </c>
      <c r="G61" s="16">
        <f t="shared" si="2"/>
        <v>1468.8090335767547</v>
      </c>
      <c r="H61" s="12">
        <f t="shared" si="3"/>
        <v>1225.8606095634682</v>
      </c>
      <c r="I61" s="12">
        <f t="shared" si="16"/>
        <v>1158.6406441740126</v>
      </c>
      <c r="J61" s="141">
        <f t="shared" si="6"/>
        <v>1.198186010805748</v>
      </c>
      <c r="K61" s="267" t="e" cm="1">
        <f t="array" ref="K61">InterpolateXYZ(J61,C61,B61,FFnorm_PS,FFnorm_M,FFnorm_h,FFnorm_table)*numeng</f>
        <v>#VALUE!</v>
      </c>
      <c r="L61" s="11" t="e">
        <f t="shared" si="7"/>
        <v>#VALUE!</v>
      </c>
      <c r="M61" s="425" t="e" cm="1">
        <f t="array" ref="M61">($D$5/G61)*(C61*Linterp($D$6,atmos_h,atmos_vela)/L61)</f>
        <v>#VALUE!</v>
      </c>
      <c r="N61" s="55" t="e">
        <f t="shared" si="8"/>
        <v>#VALUE!</v>
      </c>
      <c r="O61" s="426" t="e">
        <f t="shared" si="9"/>
        <v>#VALUE!</v>
      </c>
      <c r="P61" s="12"/>
      <c r="Q61" s="7">
        <f t="shared" si="10"/>
        <v>0.6</v>
      </c>
      <c r="R61" s="314" cm="1">
        <f t="array" ref="R61">numeng*InterpolateXY($D$6,$Q61,Tmil_h,Tmil_M,Tmil_table)</f>
        <v>1289.9281129905949</v>
      </c>
      <c r="S61" s="12" cm="1">
        <f t="array" ref="S61">numeng*InterpolateXY($D$6,$Q61,Tmax_h,Tmax_M,Tmax_table)</f>
        <v>2240.1423336287048</v>
      </c>
      <c r="T61" s="16">
        <f t="shared" si="11"/>
        <v>1468.8090335767547</v>
      </c>
      <c r="U61" s="55">
        <f t="shared" si="12"/>
        <v>-178.88092058615985</v>
      </c>
      <c r="V61" s="426">
        <f t="shared" si="13"/>
        <v>771.33330005195012</v>
      </c>
    </row>
    <row r="62" spans="2:22">
      <c r="B62" s="120">
        <f t="shared" si="14"/>
        <v>40000</v>
      </c>
      <c r="C62" s="7">
        <v>0.61</v>
      </c>
      <c r="D62" s="7">
        <f t="shared" si="15"/>
        <v>590.54131135707462</v>
      </c>
      <c r="E62" s="11">
        <f t="shared" si="1"/>
        <v>0.57657852738042481</v>
      </c>
      <c r="F62" s="19">
        <f t="shared" si="5"/>
        <v>8.1449079070072955E-2</v>
      </c>
      <c r="G62" s="16">
        <f t="shared" si="2"/>
        <v>1412.6276856011509</v>
      </c>
      <c r="H62" s="12">
        <f t="shared" si="3"/>
        <v>1231.768371537268</v>
      </c>
      <c r="I62" s="12">
        <f t="shared" si="16"/>
        <v>1164.2244545073813</v>
      </c>
      <c r="J62" s="141">
        <f t="shared" si="6"/>
        <v>1.1468289966222849</v>
      </c>
      <c r="K62" s="267" t="e" cm="1">
        <f t="array" ref="K62">InterpolateXYZ(J62,C62,B62,FFnorm_PS,FFnorm_M,FFnorm_h,FFnorm_table)*numeng</f>
        <v>#VALUE!</v>
      </c>
      <c r="L62" s="11" t="e">
        <f t="shared" si="7"/>
        <v>#VALUE!</v>
      </c>
      <c r="M62" s="425" t="e" cm="1">
        <f t="array" ref="M62">($D$5/G62)*(C62*Linterp($D$6,atmos_h,atmos_vela)/L62)</f>
        <v>#VALUE!</v>
      </c>
      <c r="N62" s="55" t="e">
        <f t="shared" si="8"/>
        <v>#VALUE!</v>
      </c>
      <c r="O62" s="426" t="e">
        <f t="shared" si="9"/>
        <v>#VALUE!</v>
      </c>
      <c r="P62" s="12"/>
      <c r="Q62" s="7">
        <f t="shared" si="10"/>
        <v>0.61</v>
      </c>
      <c r="R62" s="314" cm="1">
        <f t="array" ref="R62">numeng*InterpolateXY($D$6,$Q62,Tmil_h,Tmil_M,Tmil_table)</f>
        <v>1295.8361806836815</v>
      </c>
      <c r="S62" s="12" cm="1">
        <f t="array" ref="S62">numeng*InterpolateXY($D$6,$Q62,Tmax_h,Tmax_M,Tmax_table)</f>
        <v>2254.9125028614217</v>
      </c>
      <c r="T62" s="16">
        <f t="shared" si="11"/>
        <v>1412.6276856011509</v>
      </c>
      <c r="U62" s="55">
        <f t="shared" si="12"/>
        <v>-116.79150491746941</v>
      </c>
      <c r="V62" s="426">
        <f t="shared" si="13"/>
        <v>842.28481726027076</v>
      </c>
    </row>
    <row r="63" spans="2:22">
      <c r="B63" s="120">
        <f t="shared" si="14"/>
        <v>40000</v>
      </c>
      <c r="C63" s="7">
        <v>0.62</v>
      </c>
      <c r="D63" s="7">
        <f t="shared" si="15"/>
        <v>600.22231646128898</v>
      </c>
      <c r="E63" s="11">
        <f t="shared" si="1"/>
        <v>0.55812921445956309</v>
      </c>
      <c r="F63" s="19">
        <f t="shared" si="5"/>
        <v>7.5654444125843254E-2</v>
      </c>
      <c r="G63" s="16">
        <f t="shared" si="2"/>
        <v>1355.5005214894456</v>
      </c>
      <c r="H63" s="12">
        <f t="shared" si="3"/>
        <v>1237.676133511068</v>
      </c>
      <c r="I63" s="12">
        <f t="shared" si="16"/>
        <v>1169.8082648407501</v>
      </c>
      <c r="J63" s="141">
        <f t="shared" si="6"/>
        <v>1.0951980770964136</v>
      </c>
      <c r="K63" s="267" t="e" cm="1">
        <f t="array" ref="K63">InterpolateXYZ(J63,C63,B63,FFnorm_PS,FFnorm_M,FFnorm_h,FFnorm_table)*numeng</f>
        <v>#VALUE!</v>
      </c>
      <c r="L63" s="11" t="e">
        <f t="shared" si="7"/>
        <v>#VALUE!</v>
      </c>
      <c r="M63" s="425" t="e" cm="1">
        <f t="array" ref="M63">($D$5/G63)*(C63*Linterp($D$6,atmos_h,atmos_vela)/L63)</f>
        <v>#VALUE!</v>
      </c>
      <c r="N63" s="55" t="e">
        <f t="shared" si="8"/>
        <v>#VALUE!</v>
      </c>
      <c r="O63" s="426" t="e">
        <f t="shared" si="9"/>
        <v>#VALUE!</v>
      </c>
      <c r="P63" s="12"/>
      <c r="Q63" s="7">
        <f t="shared" si="10"/>
        <v>0.62</v>
      </c>
      <c r="R63" s="314" cm="1">
        <f t="array" ref="R63">numeng*InterpolateXY($D$6,$Q63,Tmil_h,Tmil_M,Tmil_table)</f>
        <v>1301.7442483767682</v>
      </c>
      <c r="S63" s="12" cm="1">
        <f t="array" ref="S63">numeng*InterpolateXY($D$6,$Q63,Tmax_h,Tmax_M,Tmax_table)</f>
        <v>2269.6826720941385</v>
      </c>
      <c r="T63" s="16">
        <f t="shared" si="11"/>
        <v>1355.5005214894456</v>
      </c>
      <c r="U63" s="55">
        <f t="shared" si="12"/>
        <v>-53.756273112677491</v>
      </c>
      <c r="V63" s="426">
        <f t="shared" si="13"/>
        <v>914.18215060469288</v>
      </c>
    </row>
    <row r="64" spans="2:22">
      <c r="B64" s="120">
        <f t="shared" si="14"/>
        <v>40000</v>
      </c>
      <c r="C64" s="7">
        <v>0.63</v>
      </c>
      <c r="D64" s="7">
        <f t="shared" si="15"/>
        <v>609.90332156550335</v>
      </c>
      <c r="E64" s="11">
        <f t="shared" si="1"/>
        <v>0.54055144882402639</v>
      </c>
      <c r="F64" s="19">
        <f t="shared" si="5"/>
        <v>7.0132603481920255E-2</v>
      </c>
      <c r="G64" s="16">
        <f t="shared" si="2"/>
        <v>1297.4269819180811</v>
      </c>
      <c r="H64" s="12">
        <f t="shared" si="3"/>
        <v>1243.5838954848678</v>
      </c>
      <c r="I64" s="12">
        <f t="shared" si="16"/>
        <v>1175.3920751741189</v>
      </c>
      <c r="J64" s="141">
        <f t="shared" si="6"/>
        <v>1.0432967060997684</v>
      </c>
      <c r="K64" s="267" t="e" cm="1">
        <f t="array" ref="K64">InterpolateXYZ(J64,C64,B64,FFnorm_PS,FFnorm_M,FFnorm_h,FFnorm_table)*numeng</f>
        <v>#VALUE!</v>
      </c>
      <c r="L64" s="11" t="e">
        <f t="shared" si="7"/>
        <v>#VALUE!</v>
      </c>
      <c r="M64" s="425" t="e" cm="1">
        <f t="array" ref="M64">($D$5/G64)*(C64*Linterp($D$6,atmos_h,atmos_vela)/L64)</f>
        <v>#VALUE!</v>
      </c>
      <c r="N64" s="55" t="e">
        <f t="shared" si="8"/>
        <v>#VALUE!</v>
      </c>
      <c r="O64" s="426" t="e">
        <f t="shared" si="9"/>
        <v>#VALUE!</v>
      </c>
      <c r="P64" s="12"/>
      <c r="Q64" s="7">
        <f t="shared" si="10"/>
        <v>0.63</v>
      </c>
      <c r="R64" s="314" cm="1">
        <f t="array" ref="R64">numeng*InterpolateXY($D$6,$Q64,Tmil_h,Tmil_M,Tmil_table)</f>
        <v>1307.652316069855</v>
      </c>
      <c r="S64" s="12" cm="1">
        <f t="array" ref="S64">numeng*InterpolateXY($D$6,$Q64,Tmax_h,Tmax_M,Tmax_table)</f>
        <v>2284.4528413268554</v>
      </c>
      <c r="T64" s="16">
        <f t="shared" si="11"/>
        <v>1297.4269819180811</v>
      </c>
      <c r="U64" s="55">
        <f t="shared" si="12"/>
        <v>10.22533415177395</v>
      </c>
      <c r="V64" s="426">
        <f t="shared" si="13"/>
        <v>987.02585940877429</v>
      </c>
    </row>
    <row r="65" spans="2:22">
      <c r="B65" s="120">
        <f t="shared" si="14"/>
        <v>40000</v>
      </c>
      <c r="C65" s="7">
        <v>0.64</v>
      </c>
      <c r="D65" s="7">
        <f t="shared" si="15"/>
        <v>619.5843266697176</v>
      </c>
      <c r="E65" s="11">
        <f t="shared" si="1"/>
        <v>0.5237911866168361</v>
      </c>
      <c r="F65" s="19">
        <f t="shared" si="5"/>
        <v>6.4866641411069709E-2</v>
      </c>
      <c r="G65" s="16">
        <f t="shared" si="2"/>
        <v>1238.4065075634992</v>
      </c>
      <c r="H65" s="12">
        <f t="shared" si="3"/>
        <v>1249.4916574586675</v>
      </c>
      <c r="I65" s="12">
        <f t="shared" si="16"/>
        <v>1180.9758855074876</v>
      </c>
      <c r="J65" s="141">
        <f t="shared" si="6"/>
        <v>0.99112827218253352</v>
      </c>
      <c r="K65" s="267" cm="1">
        <f t="array" ref="K65">InterpolateXYZ(J65,C65,B65,FFnorm_PS,FFnorm_M,FFnorm_h,FFnorm_table)*numeng</f>
        <v>1170.4985888922736</v>
      </c>
      <c r="L65" s="11">
        <f t="shared" si="7"/>
        <v>0.94516508250200415</v>
      </c>
      <c r="M65" s="425" cm="1">
        <f t="array" ref="M65">($D$5/G65)*(C65*Linterp($D$6,atmos_h,atmos_vela)/L65)</f>
        <v>3134.2125848991</v>
      </c>
      <c r="N65" s="55">
        <f t="shared" si="8"/>
        <v>8.54336783905371</v>
      </c>
      <c r="O65" s="426">
        <f t="shared" si="9"/>
        <v>0.31342125848990998</v>
      </c>
      <c r="P65" s="12"/>
      <c r="Q65" s="7">
        <f t="shared" si="10"/>
        <v>0.64</v>
      </c>
      <c r="R65" s="314" cm="1">
        <f t="array" ref="R65">numeng*InterpolateXY($D$6,$Q65,Tmil_h,Tmil_M,Tmil_table)</f>
        <v>1313.5603837629417</v>
      </c>
      <c r="S65" s="12" cm="1">
        <f t="array" ref="S65">numeng*InterpolateXY($D$6,$Q65,Tmax_h,Tmax_M,Tmax_table)</f>
        <v>2299.2230105595718</v>
      </c>
      <c r="T65" s="16">
        <f t="shared" si="11"/>
        <v>1238.4065075634992</v>
      </c>
      <c r="U65" s="55">
        <f t="shared" si="12"/>
        <v>75.153876199442493</v>
      </c>
      <c r="V65" s="426">
        <f t="shared" si="13"/>
        <v>1060.8165029960726</v>
      </c>
    </row>
    <row r="66" spans="2:22">
      <c r="B66" s="120">
        <f t="shared" si="14"/>
        <v>40000</v>
      </c>
      <c r="C66" s="7">
        <v>0.65</v>
      </c>
      <c r="D66" s="7">
        <f t="shared" si="15"/>
        <v>629.26533177393196</v>
      </c>
      <c r="E66" s="11">
        <f t="shared" si="1"/>
        <v>0.50779850896628653</v>
      </c>
      <c r="F66" s="19">
        <f t="shared" si="5"/>
        <v>5.9840933306447686E-2</v>
      </c>
      <c r="G66" s="16">
        <f t="shared" si="2"/>
        <v>1178.4385391021424</v>
      </c>
      <c r="H66" s="12">
        <f t="shared" si="3"/>
        <v>1255.3994194324675</v>
      </c>
      <c r="I66" s="12">
        <f t="shared" si="16"/>
        <v>1186.5596958408564</v>
      </c>
      <c r="J66" s="141">
        <f t="shared" si="6"/>
        <v>0.93869610011041971</v>
      </c>
      <c r="K66" s="267" cm="1">
        <f t="array" ref="K66">InterpolateXYZ(J66,C66,B66,FFnorm_PS,FFnorm_M,FFnorm_h,FFnorm_table)*numeng</f>
        <v>1113.8189590340176</v>
      </c>
      <c r="L66" s="11">
        <f t="shared" si="7"/>
        <v>0.94516508250200404</v>
      </c>
      <c r="M66" s="425" cm="1">
        <f t="array" ref="M66">($D$5/G66)*(C66*Linterp($D$6,atmos_h,atmos_vela)/L66)</f>
        <v>3345.169444676013</v>
      </c>
      <c r="N66" s="55">
        <f t="shared" si="8"/>
        <v>8.9781197553619556</v>
      </c>
      <c r="O66" s="426">
        <f t="shared" si="9"/>
        <v>0.33451694446760127</v>
      </c>
      <c r="P66" s="12"/>
      <c r="Q66" s="7">
        <f t="shared" si="10"/>
        <v>0.65</v>
      </c>
      <c r="R66" s="314" cm="1">
        <f t="array" ref="R66">numeng*InterpolateXY($D$6,$Q66,Tmil_h,Tmil_M,Tmil_table)</f>
        <v>1319.4684514560283</v>
      </c>
      <c r="S66" s="12" cm="1">
        <f t="array" ref="S66">numeng*InterpolateXY($D$6,$Q66,Tmax_h,Tmax_M,Tmax_table)</f>
        <v>2313.9931797922886</v>
      </c>
      <c r="T66" s="16">
        <f t="shared" si="11"/>
        <v>1178.4385391021424</v>
      </c>
      <c r="U66" s="55">
        <f t="shared" si="12"/>
        <v>141.02991235388595</v>
      </c>
      <c r="V66" s="426">
        <f t="shared" si="13"/>
        <v>1135.5546406901462</v>
      </c>
    </row>
    <row r="67" spans="2:22">
      <c r="B67" s="120">
        <f t="shared" si="14"/>
        <v>40000</v>
      </c>
      <c r="C67" s="7">
        <v>0.66</v>
      </c>
      <c r="D67" s="7">
        <f t="shared" si="15"/>
        <v>638.94633687814633</v>
      </c>
      <c r="E67" s="11">
        <f t="shared" si="1"/>
        <v>0.49252724985825536</v>
      </c>
      <c r="F67" s="19">
        <f t="shared" si="5"/>
        <v>5.5877977221509327E-2</v>
      </c>
      <c r="G67" s="16">
        <f t="shared" si="2"/>
        <v>1134.5154453401406</v>
      </c>
      <c r="H67" s="12">
        <f t="shared" si="3"/>
        <v>1261.3071814062673</v>
      </c>
      <c r="I67" s="12">
        <f t="shared" si="16"/>
        <v>1192.1435061742252</v>
      </c>
      <c r="J67" s="141">
        <f t="shared" si="6"/>
        <v>0.89947592629674633</v>
      </c>
      <c r="K67" s="267" cm="1">
        <f t="array" ref="K67">InterpolateXYZ(J67,C67,B67,FFnorm_PS,FFnorm_M,FFnorm_h,FFnorm_table)*numeng</f>
        <v>1072.3043844947119</v>
      </c>
      <c r="L67" s="11">
        <f t="shared" si="7"/>
        <v>0.94516508250200415</v>
      </c>
      <c r="M67" s="425" cm="1">
        <f t="array" ref="M67">($D$5/G67)*(C67*Linterp($D$6,atmos_h,atmos_vela)/L67)</f>
        <v>3528.135242301375</v>
      </c>
      <c r="N67" s="55">
        <f t="shared" si="8"/>
        <v>9.3257102596966153</v>
      </c>
      <c r="O67" s="426">
        <f t="shared" si="9"/>
        <v>0.35281352423013751</v>
      </c>
      <c r="P67" s="12"/>
      <c r="Q67" s="7">
        <f t="shared" si="10"/>
        <v>0.66</v>
      </c>
      <c r="R67" s="314" cm="1">
        <f t="array" ref="R67">numeng*InterpolateXY($D$6,$Q67,Tmil_h,Tmil_M,Tmil_table)</f>
        <v>1325.376519149115</v>
      </c>
      <c r="S67" s="12" cm="1">
        <f t="array" ref="S67">numeng*InterpolateXY($D$6,$Q67,Tmax_h,Tmax_M,Tmax_table)</f>
        <v>2328.7633490250055</v>
      </c>
      <c r="T67" s="16">
        <f t="shared" si="11"/>
        <v>1134.5154453401406</v>
      </c>
      <c r="U67" s="55">
        <f t="shared" si="12"/>
        <v>190.86107380897442</v>
      </c>
      <c r="V67" s="426">
        <f t="shared" si="13"/>
        <v>1194.2479036848649</v>
      </c>
    </row>
    <row r="68" spans="2:22">
      <c r="B68" s="120">
        <f t="shared" si="14"/>
        <v>40000</v>
      </c>
      <c r="C68" s="7">
        <v>0.67</v>
      </c>
      <c r="D68" s="7">
        <f t="shared" si="15"/>
        <v>648.62734198236069</v>
      </c>
      <c r="E68" s="11">
        <f t="shared" si="1"/>
        <v>0.47793466259357553</v>
      </c>
      <c r="F68" s="19">
        <f t="shared" si="5"/>
        <v>5.2924867181308684E-2</v>
      </c>
      <c r="G68" s="16">
        <f t="shared" si="2"/>
        <v>1107.3661595102751</v>
      </c>
      <c r="H68" s="12">
        <f t="shared" si="3"/>
        <v>1267.2149433800671</v>
      </c>
      <c r="I68" s="12">
        <f t="shared" si="16"/>
        <v>1197.7273165075937</v>
      </c>
      <c r="J68" s="141">
        <f t="shared" si="6"/>
        <v>0.87385819216791727</v>
      </c>
      <c r="K68" s="267" cm="1">
        <f t="array" ref="K68">InterpolateXYZ(J68,C68,B68,FFnorm_PS,FFnorm_M,FFnorm_h,FFnorm_table)*numeng</f>
        <v>1046.6438275134567</v>
      </c>
      <c r="L68" s="11">
        <f t="shared" si="7"/>
        <v>0.94516508250200415</v>
      </c>
      <c r="M68" s="425" cm="1">
        <f t="array" ref="M68">($D$5/G68)*(C68*Linterp($D$6,atmos_h,atmos_vela)/L68)</f>
        <v>3669.4016906236775</v>
      </c>
      <c r="N68" s="55">
        <f t="shared" si="8"/>
        <v>9.554348611367919</v>
      </c>
      <c r="O68" s="426">
        <f t="shared" si="9"/>
        <v>0.36694016906236776</v>
      </c>
      <c r="P68" s="12"/>
      <c r="Q68" s="7">
        <f t="shared" si="10"/>
        <v>0.67</v>
      </c>
      <c r="R68" s="314" cm="1">
        <f t="array" ref="R68">numeng*InterpolateXY($D$6,$Q68,Tmil_h,Tmil_M,Tmil_table)</f>
        <v>1331.2845868422019</v>
      </c>
      <c r="S68" s="12" cm="1">
        <f t="array" ref="S68">numeng*InterpolateXY($D$6,$Q68,Tmax_h,Tmax_M,Tmax_table)</f>
        <v>2343.5335182577223</v>
      </c>
      <c r="T68" s="16">
        <f t="shared" si="11"/>
        <v>1107.3661595102751</v>
      </c>
      <c r="U68" s="55">
        <f t="shared" si="12"/>
        <v>223.91842733192675</v>
      </c>
      <c r="V68" s="426">
        <f t="shared" si="13"/>
        <v>1236.1673587474472</v>
      </c>
    </row>
    <row r="69" spans="2:22">
      <c r="B69" s="120">
        <f t="shared" si="14"/>
        <v>40000</v>
      </c>
      <c r="C69" s="7">
        <v>0.68</v>
      </c>
      <c r="D69" s="7">
        <f t="shared" si="15"/>
        <v>658.30834708657505</v>
      </c>
      <c r="E69" s="11">
        <f t="shared" si="1"/>
        <v>0.4639811203249482</v>
      </c>
      <c r="F69" s="19">
        <f t="shared" si="5"/>
        <v>5.0100205185314592E-2</v>
      </c>
      <c r="G69" s="16">
        <f t="shared" si="2"/>
        <v>1079.7897369234984</v>
      </c>
      <c r="H69" s="12">
        <f t="shared" si="3"/>
        <v>1273.1227053538671</v>
      </c>
      <c r="I69" s="12">
        <f t="shared" si="16"/>
        <v>1203.3111268409625</v>
      </c>
      <c r="J69" s="141">
        <f t="shared" si="6"/>
        <v>0.84814270641993506</v>
      </c>
      <c r="K69" s="267" cm="1">
        <f t="array" ref="K69">InterpolateXYZ(J69,C69,B69,FFnorm_PS,FFnorm_M,FFnorm_h,FFnorm_table)*numeng</f>
        <v>1020.5795557841158</v>
      </c>
      <c r="L69" s="11">
        <f t="shared" si="7"/>
        <v>0.94516508250200426</v>
      </c>
      <c r="M69" s="425" cm="1">
        <f t="array" ref="M69">($D$5/G69)*(C69*Linterp($D$6,atmos_h,atmos_vela)/L69)</f>
        <v>3819.2792995080085</v>
      </c>
      <c r="N69" s="55">
        <f t="shared" si="8"/>
        <v>9.7983542226817946</v>
      </c>
      <c r="O69" s="426">
        <f t="shared" si="9"/>
        <v>0.38192792995080083</v>
      </c>
      <c r="P69" s="12"/>
      <c r="Q69" s="7">
        <f t="shared" si="10"/>
        <v>0.68</v>
      </c>
      <c r="R69" s="314" cm="1">
        <f t="array" ref="R69">numeng*InterpolateXY($D$6,$Q69,Tmil_h,Tmil_M,Tmil_table)</f>
        <v>1337.1926545352885</v>
      </c>
      <c r="S69" s="12" cm="1">
        <f t="array" ref="S69">numeng*InterpolateXY($D$6,$Q69,Tmax_h,Tmax_M,Tmax_table)</f>
        <v>2358.3036874904392</v>
      </c>
      <c r="T69" s="16">
        <f t="shared" si="11"/>
        <v>1079.7897369234984</v>
      </c>
      <c r="U69" s="55">
        <f t="shared" si="12"/>
        <v>257.40291761179014</v>
      </c>
      <c r="V69" s="426">
        <f t="shared" si="13"/>
        <v>1278.5139505669408</v>
      </c>
    </row>
    <row r="70" spans="2:22">
      <c r="B70" s="120">
        <f t="shared" si="14"/>
        <v>40000</v>
      </c>
      <c r="C70" s="7">
        <v>0.69</v>
      </c>
      <c r="D70" s="7">
        <f t="shared" si="15"/>
        <v>667.9893521907893</v>
      </c>
      <c r="E70" s="11">
        <f t="shared" si="1"/>
        <v>0.45062984675122064</v>
      </c>
      <c r="F70" s="19">
        <f t="shared" si="5"/>
        <v>4.7396599196995348E-2</v>
      </c>
      <c r="G70" s="16">
        <f t="shared" si="2"/>
        <v>1051.7856182562539</v>
      </c>
      <c r="H70" s="12">
        <f t="shared" si="3"/>
        <v>1279.0304673276669</v>
      </c>
      <c r="I70" s="12">
        <f t="shared" si="16"/>
        <v>1208.8949371743313</v>
      </c>
      <c r="J70" s="141">
        <f t="shared" si="6"/>
        <v>0.82233038627593802</v>
      </c>
      <c r="K70" s="267" cm="1">
        <f t="array" ref="K70">InterpolateXYZ(J70,C70,B70,FFnorm_PS,FFnorm_M,FFnorm_h,FFnorm_table)*numeng</f>
        <v>994.11104065359359</v>
      </c>
      <c r="L70" s="11">
        <f t="shared" si="7"/>
        <v>0.94516508250200415</v>
      </c>
      <c r="M70" s="425" cm="1">
        <f t="array" ref="M70">($D$5/G70)*(C70*Linterp($D$6,atmos_h,atmos_vela)/L70)</f>
        <v>3978.6301025844969</v>
      </c>
      <c r="N70" s="55">
        <f t="shared" si="8"/>
        <v>10.059238446265866</v>
      </c>
      <c r="O70" s="426">
        <f t="shared" si="9"/>
        <v>0.39786301025844967</v>
      </c>
      <c r="P70" s="12"/>
      <c r="Q70" s="7">
        <f t="shared" si="10"/>
        <v>0.69</v>
      </c>
      <c r="R70" s="314" cm="1">
        <f t="array" ref="R70">numeng*InterpolateXY($D$6,$Q70,Tmil_h,Tmil_M,Tmil_table)</f>
        <v>1343.1007222283752</v>
      </c>
      <c r="S70" s="12" cm="1">
        <f t="array" ref="S70">numeng*InterpolateXY($D$6,$Q70,Tmax_h,Tmax_M,Tmax_table)</f>
        <v>2373.0738567231556</v>
      </c>
      <c r="T70" s="16">
        <f t="shared" si="11"/>
        <v>1051.7856182562539</v>
      </c>
      <c r="U70" s="55">
        <f t="shared" si="12"/>
        <v>291.31510397212128</v>
      </c>
      <c r="V70" s="426">
        <f t="shared" si="13"/>
        <v>1321.2882384669017</v>
      </c>
    </row>
    <row r="71" spans="2:22">
      <c r="B71" s="120">
        <f t="shared" si="14"/>
        <v>40000</v>
      </c>
      <c r="C71" s="7">
        <v>0.7</v>
      </c>
      <c r="D71" s="7">
        <f t="shared" si="15"/>
        <v>677.67035729500367</v>
      </c>
      <c r="E71" s="11">
        <f t="shared" si="1"/>
        <v>0.43784667354746143</v>
      </c>
      <c r="F71" s="19">
        <f t="shared" si="5"/>
        <v>4.4807181383039747E-2</v>
      </c>
      <c r="G71" s="16">
        <f t="shared" si="2"/>
        <v>1023.353244184982</v>
      </c>
      <c r="H71" s="12">
        <f t="shared" si="3"/>
        <v>1284.9382293014667</v>
      </c>
      <c r="I71" s="12">
        <f t="shared" si="16"/>
        <v>1214.4787475077001</v>
      </c>
      <c r="J71" s="141">
        <f t="shared" si="6"/>
        <v>0.79642213209059043</v>
      </c>
      <c r="K71" s="267" cm="1">
        <f t="array" ref="K71">InterpolateXYZ(J71,C71,B71,FFnorm_PS,FFnorm_M,FFnorm_h,FFnorm_table)*numeng</f>
        <v>967.23775346879233</v>
      </c>
      <c r="L71" s="11">
        <f t="shared" si="7"/>
        <v>0.94516508250200437</v>
      </c>
      <c r="M71" s="425" cm="1">
        <f t="array" ref="M71">($D$5/G71)*(C71*Linterp($D$6,atmos_h,atmos_vela)/L71)</f>
        <v>4148.4338654219919</v>
      </c>
      <c r="N71" s="55">
        <f t="shared" si="8"/>
        <v>10.338719683073915</v>
      </c>
      <c r="O71" s="426">
        <f t="shared" si="9"/>
        <v>0.41484338654219921</v>
      </c>
      <c r="P71" s="12"/>
      <c r="Q71" s="7">
        <f t="shared" si="10"/>
        <v>0.7</v>
      </c>
      <c r="R71" s="314" cm="1">
        <f t="array" ref="R71">numeng*InterpolateXY($D$6,$Q71,Tmil_h,Tmil_M,Tmil_table)</f>
        <v>1349.0087899214618</v>
      </c>
      <c r="S71" s="12" cm="1">
        <f t="array" ref="S71">numeng*InterpolateXY($D$6,$Q71,Tmax_h,Tmax_M,Tmax_table)</f>
        <v>2387.8440259558724</v>
      </c>
      <c r="T71" s="16">
        <f t="shared" si="11"/>
        <v>1023.353244184982</v>
      </c>
      <c r="U71" s="55">
        <f t="shared" si="12"/>
        <v>325.65554573647978</v>
      </c>
      <c r="V71" s="426">
        <f t="shared" si="13"/>
        <v>1364.4907817708904</v>
      </c>
    </row>
    <row r="72" spans="2:22">
      <c r="B72" s="120">
        <f t="shared" si="14"/>
        <v>40000</v>
      </c>
      <c r="C72" s="7">
        <v>0.71</v>
      </c>
      <c r="D72" s="7">
        <f t="shared" si="15"/>
        <v>687.35136239921792</v>
      </c>
      <c r="E72" s="11">
        <f t="shared" si="1"/>
        <v>0.42559982153988513</v>
      </c>
      <c r="F72" s="19">
        <f t="shared" si="5"/>
        <v>4.2293564352592058E-2</v>
      </c>
      <c r="G72" s="16">
        <f t="shared" si="2"/>
        <v>993.74018061303411</v>
      </c>
      <c r="H72" s="12">
        <f t="shared" si="3"/>
        <v>1290.8459912752664</v>
      </c>
      <c r="I72" s="12">
        <f t="shared" si="16"/>
        <v>1220.0625578410688</v>
      </c>
      <c r="J72" s="141">
        <f t="shared" si="6"/>
        <v>0.76983636106061548</v>
      </c>
      <c r="K72" s="267" cm="1">
        <f t="array" ref="K72">InterpolateXYZ(J72,C72,B72,FFnorm_PS,FFnorm_M,FFnorm_h,FFnorm_table)*numeng</f>
        <v>939.24851979467508</v>
      </c>
      <c r="L72" s="11">
        <f t="shared" si="7"/>
        <v>0.94516508250200437</v>
      </c>
      <c r="M72" s="425" cm="1">
        <f t="array" ref="M72">($D$5/G72)*(C72*Linterp($D$6,atmos_h,atmos_vela)/L72)</f>
        <v>4333.0849156333561</v>
      </c>
      <c r="N72" s="55">
        <f t="shared" si="8"/>
        <v>10.64680943248764</v>
      </c>
      <c r="O72" s="426">
        <f t="shared" si="9"/>
        <v>0.43330849156333562</v>
      </c>
      <c r="P72" s="12"/>
      <c r="Q72" s="7">
        <f t="shared" si="10"/>
        <v>0.71</v>
      </c>
      <c r="R72" s="314" cm="1">
        <f t="array" ref="R72">numeng*InterpolateXY($D$6,$Q72,Tmil_h,Tmil_M,Tmil_table)</f>
        <v>1354.9168576145485</v>
      </c>
      <c r="S72" s="12" cm="1">
        <f t="array" ref="S72">numeng*InterpolateXY($D$6,$Q72,Tmax_h,Tmax_M,Tmax_table)</f>
        <v>2402.6141951885893</v>
      </c>
      <c r="T72" s="16">
        <f t="shared" si="11"/>
        <v>993.74018061303411</v>
      </c>
      <c r="U72" s="55">
        <f t="shared" si="12"/>
        <v>361.17667700151435</v>
      </c>
      <c r="V72" s="426">
        <f t="shared" si="13"/>
        <v>1408.8740145755551</v>
      </c>
    </row>
    <row r="73" spans="2:22">
      <c r="B73" s="120">
        <f t="shared" si="14"/>
        <v>40000</v>
      </c>
      <c r="C73" s="7">
        <v>0.72</v>
      </c>
      <c r="D73" s="7">
        <f t="shared" si="15"/>
        <v>697.03236750343228</v>
      </c>
      <c r="E73" s="11">
        <f t="shared" si="1"/>
        <v>0.41385970300589525</v>
      </c>
      <c r="F73" s="19">
        <f t="shared" si="5"/>
        <v>3.9911151046670208E-2</v>
      </c>
      <c r="G73" s="16">
        <f t="shared" si="2"/>
        <v>964.36427022955866</v>
      </c>
      <c r="H73" s="12">
        <f t="shared" si="3"/>
        <v>1296.7537532490664</v>
      </c>
      <c r="I73" s="12">
        <f t="shared" si="16"/>
        <v>1225.6463681744376</v>
      </c>
      <c r="J73" s="141">
        <f t="shared" si="6"/>
        <v>0.743675711609322</v>
      </c>
      <c r="K73" s="267" cm="1">
        <f t="array" ref="K73">InterpolateXYZ(J73,C73,B73,FFnorm_PS,FFnorm_M,FFnorm_h,FFnorm_table)*numeng</f>
        <v>911.48343503350588</v>
      </c>
      <c r="L73" s="11">
        <f t="shared" si="7"/>
        <v>0.94516508250200415</v>
      </c>
      <c r="M73" s="425" cm="1">
        <f t="array" ref="M73">($D$5/G73)*(C73*Linterp($D$6,atmos_h,atmos_vela)/L73)</f>
        <v>4527.9652654907413</v>
      </c>
      <c r="N73" s="55">
        <f t="shared" si="8"/>
        <v>10.971126424949679</v>
      </c>
      <c r="O73" s="426">
        <f t="shared" si="9"/>
        <v>0.45279652654907415</v>
      </c>
      <c r="P73" s="12"/>
      <c r="Q73" s="7">
        <f t="shared" si="10"/>
        <v>0.72</v>
      </c>
      <c r="R73" s="314" cm="1">
        <f t="array" ref="R73">numeng*InterpolateXY($D$6,$Q73,Tmil_h,Tmil_M,Tmil_table)</f>
        <v>1360.8249253076351</v>
      </c>
      <c r="S73" s="12" cm="1">
        <f t="array" ref="S73">numeng*InterpolateXY($D$6,$Q73,Tmax_h,Tmax_M,Tmax_table)</f>
        <v>2417.3843644213057</v>
      </c>
      <c r="T73" s="16">
        <f t="shared" si="11"/>
        <v>964.36427022955866</v>
      </c>
      <c r="U73" s="55">
        <f t="shared" si="12"/>
        <v>396.46065507807646</v>
      </c>
      <c r="V73" s="426">
        <f t="shared" si="13"/>
        <v>1453.0200941917469</v>
      </c>
    </row>
    <row r="74" spans="2:22">
      <c r="B74" s="120">
        <f t="shared" si="14"/>
        <v>40000</v>
      </c>
      <c r="C74" s="7">
        <v>0.73</v>
      </c>
      <c r="D74" s="7">
        <f t="shared" si="15"/>
        <v>706.71337260764665</v>
      </c>
      <c r="E74" s="11">
        <f t="shared" si="1"/>
        <v>0.40259874280025537</v>
      </c>
      <c r="F74" s="19">
        <f t="shared" si="5"/>
        <v>3.7652602017350371E-2</v>
      </c>
      <c r="G74" s="16">
        <f t="shared" si="2"/>
        <v>935.23893679994092</v>
      </c>
      <c r="H74" s="12">
        <f t="shared" si="3"/>
        <v>1302.6615152228662</v>
      </c>
      <c r="I74" s="12">
        <f t="shared" si="16"/>
        <v>1231.2301785078062</v>
      </c>
      <c r="J74" s="141">
        <f t="shared" si="6"/>
        <v>0.71794470464565407</v>
      </c>
      <c r="K74" s="267" cm="1">
        <f t="array" ref="K74">InterpolateXYZ(J74,C74,B74,FFnorm_PS,FFnorm_M,FFnorm_h,FFnorm_table)*numeng</f>
        <v>883.95518685960292</v>
      </c>
      <c r="L74" s="11">
        <f t="shared" si="7"/>
        <v>0.94516508250200426</v>
      </c>
      <c r="M74" s="425" cm="1">
        <f t="array" ref="M74">($D$5/G74)*(C74*Linterp($D$6,atmos_h,atmos_vela)/L74)</f>
        <v>4733.8226381323948</v>
      </c>
      <c r="N74" s="55">
        <f t="shared" si="8"/>
        <v>11.312790680630153</v>
      </c>
      <c r="O74" s="426">
        <f t="shared" si="9"/>
        <v>0.4733822638132395</v>
      </c>
      <c r="P74" s="12"/>
      <c r="Q74" s="7">
        <f t="shared" si="10"/>
        <v>0.73</v>
      </c>
      <c r="R74" s="314" cm="1">
        <f t="array" ref="R74">numeng*InterpolateXY($D$6,$Q74,Tmil_h,Tmil_M,Tmil_table)</f>
        <v>1366.732993000722</v>
      </c>
      <c r="S74" s="12" cm="1">
        <f t="array" ref="S74">numeng*InterpolateXY($D$6,$Q74,Tmax_h,Tmax_M,Tmax_table)</f>
        <v>2432.1545336540225</v>
      </c>
      <c r="T74" s="16">
        <f t="shared" si="11"/>
        <v>935.23893679994092</v>
      </c>
      <c r="U74" s="55">
        <f t="shared" si="12"/>
        <v>431.49405620078107</v>
      </c>
      <c r="V74" s="426">
        <f t="shared" si="13"/>
        <v>1496.9155968540817</v>
      </c>
    </row>
    <row r="75" spans="2:22">
      <c r="B75" s="120">
        <f t="shared" si="14"/>
        <v>40000</v>
      </c>
      <c r="C75" s="7">
        <v>0.74</v>
      </c>
      <c r="D75" s="7">
        <f t="shared" si="15"/>
        <v>716.39437771186101</v>
      </c>
      <c r="E75" s="11">
        <f t="shared" ref="E75:E101" si="17">D$5/(H$5*C75*C75*_xlfn.SINGLE(S))</f>
        <v>0.39179121628607755</v>
      </c>
      <c r="F75" s="19">
        <f t="shared" si="5"/>
        <v>3.5956404908551495E-2</v>
      </c>
      <c r="G75" s="16">
        <f t="shared" ref="G75:G101" si="18">F75*$H$5*C75*C75*_xlfn.SINGLE(S)</f>
        <v>917.74402829635915</v>
      </c>
      <c r="H75" s="12">
        <f t="shared" ref="H75:H101" si="19">_xlfn.SINGLE(InterpolateXY(B75,C75,Tnorm_h,Tnorm_M,Tnorm_table))*_xlfn.SINGLE(numeng)</f>
        <v>1308.569277196666</v>
      </c>
      <c r="I75" s="12">
        <f t="shared" ref="I75:I101" si="20">_xlfn.SINGLE(InterpolateXYZ($I$8,C75,B75,FFnorm_PS,FFnorm_M,FFnorm_h,FFnorm_table))*_xlfn.SINGLE(numeng)</f>
        <v>1236.8139888411749</v>
      </c>
      <c r="J75" s="141">
        <f t="shared" si="6"/>
        <v>0.70133392575319542</v>
      </c>
      <c r="K75" s="267" cm="1">
        <f t="array" ref="K75">InterpolateXYZ(J75,C75,B75,FFnorm_PS,FFnorm_M,FFnorm_h,FFnorm_table)*numeng</f>
        <v>867.41961022045007</v>
      </c>
      <c r="L75" s="11">
        <f t="shared" si="7"/>
        <v>0.94516508250200426</v>
      </c>
      <c r="M75" s="425" cm="1">
        <f t="array" ref="M75">($D$5/G75)*(C75*Linterp($D$6,atmos_h,atmos_vela)/L75)</f>
        <v>4890.1463206730405</v>
      </c>
      <c r="N75" s="55">
        <f t="shared" si="8"/>
        <v>11.528445843481167</v>
      </c>
      <c r="O75" s="426">
        <f t="shared" si="9"/>
        <v>0.48901463206730406</v>
      </c>
      <c r="P75" s="12"/>
      <c r="Q75" s="7">
        <f t="shared" si="10"/>
        <v>0.74</v>
      </c>
      <c r="R75" s="314" cm="1">
        <f t="array" ref="R75">numeng*InterpolateXY($D$6,$Q75,Tmil_h,Tmil_M,Tmil_table)</f>
        <v>1372.6410606938086</v>
      </c>
      <c r="S75" s="12" cm="1">
        <f t="array" ref="S75">numeng*InterpolateXY($D$6,$Q75,Tmax_h,Tmax_M,Tmax_table)</f>
        <v>2446.9247028867394</v>
      </c>
      <c r="T75" s="16">
        <f t="shared" si="11"/>
        <v>917.74402829635915</v>
      </c>
      <c r="U75" s="55">
        <f t="shared" si="12"/>
        <v>454.89703239744949</v>
      </c>
      <c r="V75" s="426">
        <f t="shared" si="13"/>
        <v>1529.1806745903802</v>
      </c>
    </row>
    <row r="76" spans="2:22">
      <c r="B76" s="120">
        <f t="shared" si="14"/>
        <v>40000</v>
      </c>
      <c r="C76" s="7">
        <v>0.75</v>
      </c>
      <c r="D76" s="7">
        <f t="shared" si="15"/>
        <v>726.07538281607538</v>
      </c>
      <c r="E76" s="11">
        <f t="shared" si="17"/>
        <v>0.38141310229023301</v>
      </c>
      <c r="F76" s="19">
        <f t="shared" ref="F76:F101" si="21">InterpolateXY(E76,C76,CD_CL,CD_M,CD_table)</f>
        <v>3.4465307249640531E-2</v>
      </c>
      <c r="G76" s="16">
        <f t="shared" si="18"/>
        <v>903.62148134634469</v>
      </c>
      <c r="H76" s="12">
        <f t="shared" si="19"/>
        <v>1314.477039170466</v>
      </c>
      <c r="I76" s="12">
        <f t="shared" si="20"/>
        <v>1242.3977991745437</v>
      </c>
      <c r="J76" s="141">
        <f t="shared" ref="J76:J101" si="22">G76/H76</f>
        <v>0.68743801102573676</v>
      </c>
      <c r="K76" s="267" cm="1">
        <f t="array" ref="K76">InterpolateXYZ(J76,C76,B76,FFnorm_PS,FFnorm_M,FFnorm_h,FFnorm_table)*numeng</f>
        <v>854.07147196730102</v>
      </c>
      <c r="L76" s="11">
        <f t="shared" ref="L76:L101" si="23">K76/G76</f>
        <v>0.94516508250200404</v>
      </c>
      <c r="M76" s="425" cm="1">
        <f t="array" ref="M76">($D$5/G76)*(C76*Linterp($D$6,atmos_h,atmos_vela)/L76)</f>
        <v>5033.6894478456616</v>
      </c>
      <c r="N76" s="55">
        <f t="shared" ref="N76:N121" si="24">($D$5/G76)*(1/L76)</f>
        <v>11.708621969266362</v>
      </c>
      <c r="O76" s="426">
        <f t="shared" ref="O76:O121" si="25">M76/$D$5</f>
        <v>0.50336894478456617</v>
      </c>
      <c r="P76" s="12"/>
      <c r="Q76" s="7">
        <f t="shared" ref="Q76:Q121" si="26">C76</f>
        <v>0.75</v>
      </c>
      <c r="R76" s="314" cm="1">
        <f t="array" ref="R76">numeng*InterpolateXY($D$6,$Q76,Tmil_h,Tmil_M,Tmil_table)</f>
        <v>1378.5491283868953</v>
      </c>
      <c r="S76" s="12" cm="1">
        <f t="array" ref="S76">numeng*InterpolateXY($D$6,$Q76,Tmax_h,Tmax_M,Tmax_table)</f>
        <v>2461.6948721194558</v>
      </c>
      <c r="T76" s="16">
        <f t="shared" ref="T76:T121" si="27">G76</f>
        <v>903.62148134634469</v>
      </c>
      <c r="U76" s="55">
        <f t="shared" ref="U76:U121" si="28">R76-T76</f>
        <v>474.9276470405506</v>
      </c>
      <c r="V76" s="426">
        <f t="shared" ref="V76:V121" si="29">S76-T76</f>
        <v>1558.073390773111</v>
      </c>
    </row>
    <row r="77" spans="2:22">
      <c r="B77" s="120">
        <f t="shared" ref="B77:B121" si="30">B76</f>
        <v>40000</v>
      </c>
      <c r="C77" s="7">
        <v>0.76</v>
      </c>
      <c r="D77" s="7">
        <f t="shared" si="15"/>
        <v>735.75638792028974</v>
      </c>
      <c r="E77" s="11">
        <f t="shared" si="17"/>
        <v>0.37144194951221615</v>
      </c>
      <c r="F77" s="19">
        <f t="shared" si="21"/>
        <v>3.303189634335664E-2</v>
      </c>
      <c r="G77" s="16">
        <f t="shared" si="18"/>
        <v>889.28825585625634</v>
      </c>
      <c r="H77" s="12">
        <f t="shared" si="19"/>
        <v>1320.3848011442658</v>
      </c>
      <c r="I77" s="12">
        <f t="shared" si="20"/>
        <v>1247.9816095079125</v>
      </c>
      <c r="J77" s="141">
        <f t="shared" si="22"/>
        <v>0.67350688608774156</v>
      </c>
      <c r="K77" s="267" cm="1">
        <f t="array" ref="K77">InterpolateXYZ(J77,C77,B77,FFnorm_PS,FFnorm_M,FFnorm_h,FFnorm_table)*numeng</f>
        <v>840.52420771444201</v>
      </c>
      <c r="L77" s="11">
        <f t="shared" si="23"/>
        <v>0.94516508250200426</v>
      </c>
      <c r="M77" s="425" cm="1">
        <f t="array" ref="M77">($D$5/G77)*(C77*Linterp($D$6,atmos_h,atmos_vela)/L77)</f>
        <v>5183.01823661039</v>
      </c>
      <c r="N77" s="55">
        <f t="shared" si="24"/>
        <v>11.897337290489295</v>
      </c>
      <c r="O77" s="426">
        <f t="shared" si="25"/>
        <v>0.51830182366103905</v>
      </c>
      <c r="P77" s="12"/>
      <c r="Q77" s="7">
        <f t="shared" si="26"/>
        <v>0.76</v>
      </c>
      <c r="R77" s="314" cm="1">
        <f t="array" ref="R77">numeng*InterpolateXY($D$6,$Q77,Tmil_h,Tmil_M,Tmil_table)</f>
        <v>1384.4571960799819</v>
      </c>
      <c r="S77" s="12" cm="1">
        <f t="array" ref="S77">numeng*InterpolateXY($D$6,$Q77,Tmax_h,Tmax_M,Tmax_table)</f>
        <v>2476.4650413521726</v>
      </c>
      <c r="T77" s="16">
        <f t="shared" si="27"/>
        <v>889.28825585625634</v>
      </c>
      <c r="U77" s="55">
        <f t="shared" si="28"/>
        <v>495.1689402237256</v>
      </c>
      <c r="V77" s="426">
        <f t="shared" si="29"/>
        <v>1587.1767854959162</v>
      </c>
    </row>
    <row r="78" spans="2:22">
      <c r="B78" s="120">
        <f t="shared" si="30"/>
        <v>40000</v>
      </c>
      <c r="C78" s="7">
        <v>0.77</v>
      </c>
      <c r="D78" s="7">
        <f t="shared" si="15"/>
        <v>745.43739302450399</v>
      </c>
      <c r="E78" s="11">
        <f t="shared" si="17"/>
        <v>0.36185675499790199</v>
      </c>
      <c r="F78" s="19">
        <f t="shared" si="21"/>
        <v>3.165319502095261E-2</v>
      </c>
      <c r="G78" s="16">
        <f t="shared" si="18"/>
        <v>874.74379250253696</v>
      </c>
      <c r="H78" s="12">
        <f t="shared" si="19"/>
        <v>1326.2925631180656</v>
      </c>
      <c r="I78" s="12">
        <f t="shared" si="20"/>
        <v>1253.5654198412813</v>
      </c>
      <c r="J78" s="141">
        <f t="shared" si="22"/>
        <v>0.6595405997346816</v>
      </c>
      <c r="K78" s="267" cm="1">
        <f t="array" ref="K78">InterpolateXYZ(J78,C78,B78,FFnorm_PS,FFnorm_M,FFnorm_h,FFnorm_table)*numeng</f>
        <v>826.77728880877658</v>
      </c>
      <c r="L78" s="11">
        <f t="shared" si="23"/>
        <v>0.94516508250200437</v>
      </c>
      <c r="M78" s="425" cm="1">
        <f t="array" ref="M78">($D$5/G78)*(C78*Linterp($D$6,atmos_h,atmos_vela)/L78)</f>
        <v>5338.5284010455462</v>
      </c>
      <c r="N78" s="55">
        <f t="shared" si="24"/>
        <v>12.095155654805216</v>
      </c>
      <c r="O78" s="426">
        <f t="shared" si="25"/>
        <v>0.53385284010455458</v>
      </c>
      <c r="P78" s="12"/>
      <c r="Q78" s="7">
        <f t="shared" si="26"/>
        <v>0.77</v>
      </c>
      <c r="R78" s="314" cm="1">
        <f t="array" ref="R78">numeng*InterpolateXY($D$6,$Q78,Tmil_h,Tmil_M,Tmil_table)</f>
        <v>1390.3652637730686</v>
      </c>
      <c r="S78" s="12" cm="1">
        <f t="array" ref="S78">numeng*InterpolateXY($D$6,$Q78,Tmax_h,Tmax_M,Tmax_table)</f>
        <v>2491.2352105848895</v>
      </c>
      <c r="T78" s="16">
        <f t="shared" si="27"/>
        <v>874.74379250253696</v>
      </c>
      <c r="U78" s="55">
        <f t="shared" si="28"/>
        <v>515.62147127053163</v>
      </c>
      <c r="V78" s="426">
        <f t="shared" si="29"/>
        <v>1616.4914180823525</v>
      </c>
    </row>
    <row r="79" spans="2:22">
      <c r="B79" s="120">
        <f t="shared" si="30"/>
        <v>40000</v>
      </c>
      <c r="C79" s="7">
        <v>0.78</v>
      </c>
      <c r="D79" s="7">
        <f t="shared" si="15"/>
        <v>755.11839812871835</v>
      </c>
      <c r="E79" s="11">
        <f t="shared" si="17"/>
        <v>0.3526378534488101</v>
      </c>
      <c r="F79" s="19">
        <f t="shared" si="21"/>
        <v>3.0326415726368836E-2</v>
      </c>
      <c r="G79" s="16">
        <f t="shared" si="18"/>
        <v>859.98753196162772</v>
      </c>
      <c r="H79" s="12">
        <f t="shared" si="19"/>
        <v>1332.2003250918654</v>
      </c>
      <c r="I79" s="12">
        <f t="shared" si="20"/>
        <v>1259.1492301746498</v>
      </c>
      <c r="J79" s="141">
        <f t="shared" si="22"/>
        <v>0.64553919989647579</v>
      </c>
      <c r="K79" s="267" cm="1">
        <f t="array" ref="K79">InterpolateXYZ(J79,C79,B79,FFnorm_PS,FFnorm_M,FFnorm_h,FFnorm_table)*numeng</f>
        <v>812.83018659720699</v>
      </c>
      <c r="L79" s="11">
        <f t="shared" si="23"/>
        <v>0.94516508250200437</v>
      </c>
      <c r="M79" s="425" cm="1">
        <f t="array" ref="M79">($D$5/G79)*(C79*Linterp($D$6,atmos_h,atmos_vela)/L79)</f>
        <v>5500.6517377403352</v>
      </c>
      <c r="N79" s="55">
        <f t="shared" si="24"/>
        <v>12.302692696322607</v>
      </c>
      <c r="O79" s="426">
        <f t="shared" si="25"/>
        <v>0.55006517377403352</v>
      </c>
      <c r="P79" s="12"/>
      <c r="Q79" s="7">
        <f t="shared" si="26"/>
        <v>0.78</v>
      </c>
      <c r="R79" s="314" cm="1">
        <f t="array" ref="R79">numeng*InterpolateXY($D$6,$Q79,Tmil_h,Tmil_M,Tmil_table)</f>
        <v>1396.2733314661555</v>
      </c>
      <c r="S79" s="12" cm="1">
        <f t="array" ref="S79">numeng*InterpolateXY($D$6,$Q79,Tmax_h,Tmax_M,Tmax_table)</f>
        <v>2506.0053798176064</v>
      </c>
      <c r="T79" s="16">
        <f t="shared" si="27"/>
        <v>859.98753196162772</v>
      </c>
      <c r="U79" s="55">
        <f t="shared" si="28"/>
        <v>536.28579950452774</v>
      </c>
      <c r="V79" s="426">
        <f t="shared" si="29"/>
        <v>1646.0178478559787</v>
      </c>
    </row>
    <row r="80" spans="2:22">
      <c r="B80" s="120">
        <f t="shared" si="30"/>
        <v>40000</v>
      </c>
      <c r="C80" s="7">
        <v>0.79</v>
      </c>
      <c r="D80" s="7">
        <f t="shared" si="15"/>
        <v>764.79940323293272</v>
      </c>
      <c r="E80" s="11">
        <f t="shared" si="17"/>
        <v>0.34376681627664807</v>
      </c>
      <c r="F80" s="19">
        <f t="shared" si="21"/>
        <v>2.9426053822477656E-2</v>
      </c>
      <c r="G80" s="16">
        <f t="shared" si="18"/>
        <v>855.98878161634104</v>
      </c>
      <c r="H80" s="12">
        <f t="shared" si="19"/>
        <v>1338.1080870656654</v>
      </c>
      <c r="I80" s="12">
        <f t="shared" si="20"/>
        <v>1264.7330405080186</v>
      </c>
      <c r="J80" s="141">
        <f t="shared" si="22"/>
        <v>0.63970077596155717</v>
      </c>
      <c r="K80" s="267" cm="1">
        <f t="array" ref="K80">InterpolateXYZ(J80,C80,B80,FFnorm_PS,FFnorm_M,FFnorm_h,FFnorm_table)*numeng</f>
        <v>809.05070739719906</v>
      </c>
      <c r="L80" s="11">
        <f t="shared" si="23"/>
        <v>0.94516508250200426</v>
      </c>
      <c r="M80" s="425" cm="1">
        <f t="array" ref="M80">($D$5/G80)*(C80*Linterp($D$6,atmos_h,atmos_vela)/L80)</f>
        <v>5597.1986400095466</v>
      </c>
      <c r="N80" s="55">
        <f t="shared" si="24"/>
        <v>12.360164707316118</v>
      </c>
      <c r="O80" s="426">
        <f t="shared" si="25"/>
        <v>0.55971986400095464</v>
      </c>
      <c r="P80" s="12"/>
      <c r="Q80" s="7">
        <f t="shared" si="26"/>
        <v>0.79</v>
      </c>
      <c r="R80" s="314" cm="1">
        <f t="array" ref="R80">numeng*InterpolateXY($D$6,$Q80,Tmil_h,Tmil_M,Tmil_table)</f>
        <v>1402.1813991592421</v>
      </c>
      <c r="S80" s="12" cm="1">
        <f t="array" ref="S80">numeng*InterpolateXY($D$6,$Q80,Tmax_h,Tmax_M,Tmax_table)</f>
        <v>2520.7755490503228</v>
      </c>
      <c r="T80" s="16">
        <f t="shared" si="27"/>
        <v>855.98878161634104</v>
      </c>
      <c r="U80" s="55">
        <f t="shared" si="28"/>
        <v>546.19261754290108</v>
      </c>
      <c r="V80" s="426">
        <f t="shared" si="29"/>
        <v>1664.7867674339818</v>
      </c>
    </row>
    <row r="81" spans="2:22">
      <c r="B81" s="120">
        <f t="shared" si="30"/>
        <v>40000</v>
      </c>
      <c r="C81" s="7">
        <v>0.8</v>
      </c>
      <c r="D81" s="7">
        <f t="shared" si="15"/>
        <v>774.48040833714708</v>
      </c>
      <c r="E81" s="11">
        <f t="shared" si="17"/>
        <v>0.33522635943477513</v>
      </c>
      <c r="F81" s="19">
        <f t="shared" si="21"/>
        <v>2.8712141704075479E-2</v>
      </c>
      <c r="G81" s="16">
        <f t="shared" si="18"/>
        <v>856.50011987383687</v>
      </c>
      <c r="H81" s="12">
        <f t="shared" si="19"/>
        <v>1344.0158490394651</v>
      </c>
      <c r="I81" s="12">
        <f t="shared" si="20"/>
        <v>1270.3168508413873</v>
      </c>
      <c r="J81" s="141">
        <f t="shared" si="22"/>
        <v>0.6372693599453878</v>
      </c>
      <c r="K81" s="267" cm="1">
        <f t="array" ref="K81">InterpolateXYZ(J81,C81,B81,FFnorm_PS,FFnorm_M,FFnorm_h,FFnorm_table)*numeng</f>
        <v>809.53400646353168</v>
      </c>
      <c r="L81" s="11">
        <f t="shared" si="23"/>
        <v>0.94516508250200437</v>
      </c>
      <c r="M81" s="425" cm="1">
        <f t="array" ref="M81">($D$5/G81)*(C81*Linterp($D$6,atmos_h,atmos_vela)/L81)</f>
        <v>5664.6653794371305</v>
      </c>
      <c r="N81" s="55">
        <f t="shared" si="24"/>
        <v>12.352785578070073</v>
      </c>
      <c r="O81" s="426">
        <f t="shared" si="25"/>
        <v>0.56646653794371304</v>
      </c>
      <c r="P81" s="12"/>
      <c r="Q81" s="7">
        <f t="shared" si="26"/>
        <v>0.8</v>
      </c>
      <c r="R81" s="314" cm="1">
        <f t="array" ref="R81">numeng*InterpolateXY($D$6,$Q81,Tmil_h,Tmil_M,Tmil_table)</f>
        <v>1408.0894668523288</v>
      </c>
      <c r="S81" s="12" cm="1">
        <f t="array" ref="S81">numeng*InterpolateXY($D$6,$Q81,Tmax_h,Tmax_M,Tmax_table)</f>
        <v>2535.5457182830396</v>
      </c>
      <c r="T81" s="16">
        <f t="shared" si="27"/>
        <v>856.50011987383687</v>
      </c>
      <c r="U81" s="55">
        <f t="shared" si="28"/>
        <v>551.5893469784919</v>
      </c>
      <c r="V81" s="426">
        <f t="shared" si="29"/>
        <v>1679.0455984092027</v>
      </c>
    </row>
    <row r="82" spans="2:22">
      <c r="B82" s="120">
        <f t="shared" si="30"/>
        <v>40000</v>
      </c>
      <c r="C82" s="7">
        <v>0.81</v>
      </c>
      <c r="D82" s="7">
        <f t="shared" si="15"/>
        <v>784.16141344136145</v>
      </c>
      <c r="E82" s="11">
        <f t="shared" si="17"/>
        <v>0.32700025916515174</v>
      </c>
      <c r="F82" s="19">
        <f t="shared" si="21"/>
        <v>2.8123771057168578E-2</v>
      </c>
      <c r="G82" s="16">
        <f t="shared" si="18"/>
        <v>860.05347913087269</v>
      </c>
      <c r="H82" s="12">
        <f t="shared" si="19"/>
        <v>1349.9236110132649</v>
      </c>
      <c r="I82" s="12">
        <f t="shared" si="20"/>
        <v>1275.9006611747561</v>
      </c>
      <c r="J82" s="141">
        <f t="shared" si="22"/>
        <v>0.63711270187007751</v>
      </c>
      <c r="K82" s="267" cm="1">
        <f t="array" ref="K82">InterpolateXYZ(J82,C82,B82,FFnorm_PS,FFnorm_M,FFnorm_h,FFnorm_table)*numeng</f>
        <v>812.89251755886721</v>
      </c>
      <c r="L82" s="11">
        <f t="shared" si="23"/>
        <v>0.94516508250200437</v>
      </c>
      <c r="M82" s="425" cm="1">
        <f t="array" ref="M82">($D$5/G82)*(C82*Linterp($D$6,atmos_h,atmos_vela)/L82)</f>
        <v>5711.7772649486888</v>
      </c>
      <c r="N82" s="55">
        <f t="shared" si="24"/>
        <v>12.301749350615509</v>
      </c>
      <c r="O82" s="426">
        <f t="shared" si="25"/>
        <v>0.57117772649486886</v>
      </c>
      <c r="P82" s="12"/>
      <c r="Q82" s="7">
        <f t="shared" si="26"/>
        <v>0.81</v>
      </c>
      <c r="R82" s="314" cm="1">
        <f t="array" ref="R82">numeng*InterpolateXY($D$6,$Q82,Tmil_h,Tmil_M,Tmil_table)</f>
        <v>1413.9975345454154</v>
      </c>
      <c r="S82" s="12" cm="1">
        <f t="array" ref="S82">numeng*InterpolateXY($D$6,$Q82,Tmax_h,Tmax_M,Tmax_table)</f>
        <v>2550.3158875157565</v>
      </c>
      <c r="T82" s="16">
        <f t="shared" si="27"/>
        <v>860.05347913087269</v>
      </c>
      <c r="U82" s="55">
        <f t="shared" si="28"/>
        <v>553.94405541454273</v>
      </c>
      <c r="V82" s="426">
        <f t="shared" si="29"/>
        <v>1690.2624083848837</v>
      </c>
    </row>
    <row r="83" spans="2:22">
      <c r="B83" s="120">
        <f t="shared" si="30"/>
        <v>40000</v>
      </c>
      <c r="C83" s="7">
        <v>0.82</v>
      </c>
      <c r="D83" s="7">
        <f t="shared" si="15"/>
        <v>793.8424185455757</v>
      </c>
      <c r="E83" s="11">
        <f t="shared" si="17"/>
        <v>0.31907327489330178</v>
      </c>
      <c r="F83" s="19">
        <f t="shared" si="21"/>
        <v>2.755970358508077E-2</v>
      </c>
      <c r="G83" s="16">
        <f t="shared" si="18"/>
        <v>863.74214807858004</v>
      </c>
      <c r="H83" s="12">
        <f t="shared" si="19"/>
        <v>1355.8313729870647</v>
      </c>
      <c r="I83" s="12">
        <f t="shared" si="20"/>
        <v>1281.4844715081247</v>
      </c>
      <c r="J83" s="141">
        <f t="shared" si="22"/>
        <v>0.63705720732486737</v>
      </c>
      <c r="K83" s="267" cm="1">
        <f t="array" ref="K83">InterpolateXYZ(J83,C83,B83,FFnorm_PS,FFnorm_M,FFnorm_h,FFnorm_table)*numeng</f>
        <v>816.37891864914957</v>
      </c>
      <c r="L83" s="11">
        <f t="shared" si="23"/>
        <v>0.94516508250200437</v>
      </c>
      <c r="M83" s="425" cm="1">
        <f t="array" ref="M83">($D$5/G83)*(C83*Linterp($D$6,atmos_h,atmos_vela)/L83)</f>
        <v>5757.5993622739934</v>
      </c>
      <c r="N83" s="55">
        <f t="shared" si="24"/>
        <v>12.249213902469279</v>
      </c>
      <c r="O83" s="426">
        <f t="shared" si="25"/>
        <v>0.57575993622739929</v>
      </c>
      <c r="P83" s="12"/>
      <c r="Q83" s="7">
        <f t="shared" si="26"/>
        <v>0.82</v>
      </c>
      <c r="R83" s="314" cm="1">
        <f t="array" ref="R83">numeng*InterpolateXY($D$6,$Q83,Tmil_h,Tmil_M,Tmil_table)</f>
        <v>1419.9056022385021</v>
      </c>
      <c r="S83" s="12" cm="1">
        <f t="array" ref="S83">numeng*InterpolateXY($D$6,$Q83,Tmax_h,Tmax_M,Tmax_table)</f>
        <v>2565.0860567484729</v>
      </c>
      <c r="T83" s="16">
        <f t="shared" si="27"/>
        <v>863.74214807858004</v>
      </c>
      <c r="U83" s="55">
        <f t="shared" si="28"/>
        <v>556.16345415992203</v>
      </c>
      <c r="V83" s="426">
        <f t="shared" si="29"/>
        <v>1701.3439086698927</v>
      </c>
    </row>
    <row r="84" spans="2:22">
      <c r="B84" s="120">
        <f t="shared" si="30"/>
        <v>40000</v>
      </c>
      <c r="C84" s="7">
        <v>0.83</v>
      </c>
      <c r="D84" s="7">
        <f t="shared" si="15"/>
        <v>803.52342364979006</v>
      </c>
      <c r="E84" s="11">
        <f t="shared" si="17"/>
        <v>0.31143107858652358</v>
      </c>
      <c r="F84" s="19">
        <f t="shared" si="21"/>
        <v>2.7018775135155042E-2</v>
      </c>
      <c r="G84" s="16">
        <f t="shared" si="18"/>
        <v>867.56836401118937</v>
      </c>
      <c r="H84" s="12">
        <f t="shared" si="19"/>
        <v>1361.7391349608647</v>
      </c>
      <c r="I84" s="12">
        <f t="shared" si="20"/>
        <v>1287.0682818414934</v>
      </c>
      <c r="J84" s="141">
        <f t="shared" si="22"/>
        <v>0.63710320261605946</v>
      </c>
      <c r="K84" s="267" cm="1">
        <f t="array" ref="K84">InterpolateXYZ(J84,C84,B84,FFnorm_PS,FFnorm_M,FFnorm_h,FFnorm_table)*numeng</f>
        <v>819.99532434676462</v>
      </c>
      <c r="L84" s="11">
        <f t="shared" si="23"/>
        <v>0.94516508250200415</v>
      </c>
      <c r="M84" s="425" cm="1">
        <f t="array" ref="M84">($D$5/G84)*(C84*Linterp($D$6,atmos_h,atmos_vela)/L84)</f>
        <v>5802.1117204870143</v>
      </c>
      <c r="N84" s="55">
        <f t="shared" si="24"/>
        <v>12.195191488398219</v>
      </c>
      <c r="O84" s="426">
        <f t="shared" si="25"/>
        <v>0.58021117204870143</v>
      </c>
      <c r="P84" s="12"/>
      <c r="Q84" s="7">
        <f t="shared" si="26"/>
        <v>0.83</v>
      </c>
      <c r="R84" s="314" cm="1">
        <f t="array" ref="R84">numeng*InterpolateXY($D$6,$Q84,Tmil_h,Tmil_M,Tmil_table)</f>
        <v>1425.8136699315887</v>
      </c>
      <c r="S84" s="12" cm="1">
        <f t="array" ref="S84">numeng*InterpolateXY($D$6,$Q84,Tmax_h,Tmax_M,Tmax_table)</f>
        <v>2579.8562259811897</v>
      </c>
      <c r="T84" s="16">
        <f t="shared" si="27"/>
        <v>867.56836401118937</v>
      </c>
      <c r="U84" s="55">
        <f t="shared" si="28"/>
        <v>558.24530592039935</v>
      </c>
      <c r="V84" s="426">
        <f t="shared" si="29"/>
        <v>1712.2878619700004</v>
      </c>
    </row>
    <row r="85" spans="2:22">
      <c r="B85" s="120">
        <f t="shared" si="30"/>
        <v>40000</v>
      </c>
      <c r="C85" s="7">
        <v>0.84</v>
      </c>
      <c r="D85" s="7">
        <f t="shared" ref="D85:D101" si="31">C85*H$6</f>
        <v>813.20442875400431</v>
      </c>
      <c r="E85" s="11">
        <f t="shared" si="17"/>
        <v>0.30406018996351492</v>
      </c>
      <c r="F85" s="19">
        <f t="shared" si="21"/>
        <v>2.6499890434535586E-2</v>
      </c>
      <c r="G85" s="16">
        <f t="shared" si="18"/>
        <v>871.53436422293203</v>
      </c>
      <c r="H85" s="12">
        <f t="shared" si="19"/>
        <v>1367.6468969346645</v>
      </c>
      <c r="I85" s="12">
        <f t="shared" si="20"/>
        <v>1292.6520921748622</v>
      </c>
      <c r="J85" s="141">
        <f t="shared" si="22"/>
        <v>0.63725100841183513</v>
      </c>
      <c r="K85" s="267" cm="1">
        <f t="array" ref="K85">InterpolateXYZ(J85,C85,B85,FFnorm_PS,FFnorm_M,FFnorm_h,FFnorm_table)*numeng</f>
        <v>823.74384926409948</v>
      </c>
      <c r="L85" s="11">
        <f t="shared" si="23"/>
        <v>0.94516508250200437</v>
      </c>
      <c r="M85" s="425" cm="1">
        <f t="array" ref="M85">($D$5/G85)*(C85*Linterp($D$6,atmos_h,atmos_vela)/L85)</f>
        <v>5845.2955092618995</v>
      </c>
      <c r="N85" s="55">
        <f t="shared" si="24"/>
        <v>12.13969610690703</v>
      </c>
      <c r="O85" s="426">
        <f t="shared" si="25"/>
        <v>0.58452955092618997</v>
      </c>
      <c r="P85" s="12"/>
      <c r="Q85" s="7">
        <f t="shared" si="26"/>
        <v>0.84</v>
      </c>
      <c r="R85" s="314" cm="1">
        <f t="array" ref="R85">numeng*InterpolateXY($D$6,$Q85,Tmil_h,Tmil_M,Tmil_table)</f>
        <v>1431.7217376246756</v>
      </c>
      <c r="S85" s="12" cm="1">
        <f t="array" ref="S85">numeng*InterpolateXY($D$6,$Q85,Tmax_h,Tmax_M,Tmax_table)</f>
        <v>2594.6263952139066</v>
      </c>
      <c r="T85" s="16">
        <f t="shared" si="27"/>
        <v>871.53436422293203</v>
      </c>
      <c r="U85" s="55">
        <f t="shared" si="28"/>
        <v>560.18737340174357</v>
      </c>
      <c r="V85" s="426">
        <f t="shared" si="29"/>
        <v>1723.0920309909745</v>
      </c>
    </row>
    <row r="86" spans="2:22">
      <c r="B86" s="120">
        <f t="shared" si="30"/>
        <v>40000</v>
      </c>
      <c r="C86" s="7">
        <v>0.85</v>
      </c>
      <c r="D86" s="7">
        <f t="shared" si="31"/>
        <v>822.88543385821868</v>
      </c>
      <c r="E86" s="11">
        <f t="shared" si="17"/>
        <v>0.29694791700796686</v>
      </c>
      <c r="F86" s="19">
        <f t="shared" si="21"/>
        <v>2.6059244812997928E-2</v>
      </c>
      <c r="G86" s="16">
        <f t="shared" si="18"/>
        <v>877.56954403215354</v>
      </c>
      <c r="H86" s="12">
        <f t="shared" si="19"/>
        <v>1373.5546589084643</v>
      </c>
      <c r="I86" s="12">
        <f t="shared" si="20"/>
        <v>1298.235902508231</v>
      </c>
      <c r="J86" s="141">
        <f t="shared" si="22"/>
        <v>0.6389039841556361</v>
      </c>
      <c r="K86" s="267" cm="1">
        <f t="array" ref="K86">InterpolateXYZ(J86,C86,B86,FFnorm_PS,FFnorm_M,FFnorm_h,FFnorm_table)*numeng</f>
        <v>829.44809048639672</v>
      </c>
      <c r="L86" s="11">
        <f t="shared" si="23"/>
        <v>0.94516508250200437</v>
      </c>
      <c r="M86" s="425" cm="1">
        <f t="array" ref="M86">($D$5/G86)*(C86*Linterp($D$6,atmos_h,atmos_vela)/L86)</f>
        <v>5874.2048110292171</v>
      </c>
      <c r="N86" s="55">
        <f t="shared" si="24"/>
        <v>12.056209562355974</v>
      </c>
      <c r="O86" s="426">
        <f t="shared" si="25"/>
        <v>0.58742048110292167</v>
      </c>
      <c r="P86" s="12"/>
      <c r="Q86" s="7">
        <f t="shared" si="26"/>
        <v>0.85</v>
      </c>
      <c r="R86" s="314" cm="1">
        <f t="array" ref="R86">numeng*InterpolateXY($D$6,$Q86,Tmil_h,Tmil_M,Tmil_table)</f>
        <v>1437.6298053177622</v>
      </c>
      <c r="S86" s="12" cm="1">
        <f t="array" ref="S86">numeng*InterpolateXY($D$6,$Q86,Tmax_h,Tmax_M,Tmax_table)</f>
        <v>2609.396564446623</v>
      </c>
      <c r="T86" s="16">
        <f t="shared" si="27"/>
        <v>877.56954403215354</v>
      </c>
      <c r="U86" s="55">
        <f t="shared" si="28"/>
        <v>560.0602612856087</v>
      </c>
      <c r="V86" s="426">
        <f t="shared" si="29"/>
        <v>1731.8270204144694</v>
      </c>
    </row>
    <row r="87" spans="2:22">
      <c r="B87" s="120">
        <f t="shared" si="30"/>
        <v>40000</v>
      </c>
      <c r="C87" s="7">
        <v>0.86</v>
      </c>
      <c r="D87" s="7">
        <f t="shared" si="31"/>
        <v>832.56643896243304</v>
      </c>
      <c r="E87" s="11">
        <f t="shared" si="17"/>
        <v>0.290082301295641</v>
      </c>
      <c r="F87" s="19">
        <f t="shared" si="21"/>
        <v>2.5847152061107128E-2</v>
      </c>
      <c r="G87" s="16">
        <f t="shared" si="18"/>
        <v>891.02823390678645</v>
      </c>
      <c r="H87" s="12">
        <f t="shared" si="19"/>
        <v>1379.4624208822643</v>
      </c>
      <c r="I87" s="12">
        <f t="shared" si="20"/>
        <v>1303.8197128415998</v>
      </c>
      <c r="J87" s="141">
        <f t="shared" si="22"/>
        <v>0.64592425311369528</v>
      </c>
      <c r="K87" s="267" cm="1">
        <f t="array" ref="K87">InterpolateXYZ(J87,C87,B87,FFnorm_PS,FFnorm_M,FFnorm_h,FFnorm_table)*numeng</f>
        <v>842.16877421212291</v>
      </c>
      <c r="L87" s="11">
        <f t="shared" si="23"/>
        <v>0.94516508250200415</v>
      </c>
      <c r="M87" s="425" cm="1">
        <f t="array" ref="M87">($D$5/G87)*(C87*Linterp($D$6,atmos_h,atmos_vela)/L87)</f>
        <v>5853.5413035168622</v>
      </c>
      <c r="N87" s="55">
        <f t="shared" si="24"/>
        <v>11.874104462440245</v>
      </c>
      <c r="O87" s="426">
        <f t="shared" si="25"/>
        <v>0.58535413035168626</v>
      </c>
      <c r="P87" s="12"/>
      <c r="Q87" s="7">
        <f t="shared" si="26"/>
        <v>0.86</v>
      </c>
      <c r="R87" s="314" cm="1">
        <f t="array" ref="R87">numeng*InterpolateXY($D$6,$Q87,Tmil_h,Tmil_M,Tmil_table)</f>
        <v>1443.5378730108489</v>
      </c>
      <c r="S87" s="12" cm="1">
        <f t="array" ref="S87">numeng*InterpolateXY($D$6,$Q87,Tmax_h,Tmax_M,Tmax_table)</f>
        <v>2624.1667336793398</v>
      </c>
      <c r="T87" s="16">
        <f t="shared" si="27"/>
        <v>891.02823390678645</v>
      </c>
      <c r="U87" s="55">
        <f t="shared" si="28"/>
        <v>552.50963910406244</v>
      </c>
      <c r="V87" s="426">
        <f t="shared" si="29"/>
        <v>1733.1384997725534</v>
      </c>
    </row>
    <row r="88" spans="2:22">
      <c r="B88" s="120">
        <f t="shared" si="30"/>
        <v>40000</v>
      </c>
      <c r="C88" s="7">
        <v>0.87</v>
      </c>
      <c r="D88" s="7">
        <f t="shared" si="31"/>
        <v>842.2474440666474</v>
      </c>
      <c r="E88" s="11">
        <f t="shared" si="17"/>
        <v>0.28345206769488185</v>
      </c>
      <c r="F88" s="19">
        <f t="shared" si="21"/>
        <v>2.5648444644469092E-2</v>
      </c>
      <c r="G88" s="16">
        <f t="shared" si="18"/>
        <v>904.8600298826542</v>
      </c>
      <c r="H88" s="12">
        <f t="shared" si="19"/>
        <v>1385.370182856064</v>
      </c>
      <c r="I88" s="12">
        <f t="shared" si="20"/>
        <v>1309.4035231749685</v>
      </c>
      <c r="J88" s="141">
        <f t="shared" si="22"/>
        <v>0.6531539664129371</v>
      </c>
      <c r="K88" s="267" cm="1">
        <f t="array" ref="K88">InterpolateXYZ(J88,C88,B88,FFnorm_PS,FFnorm_M,FFnorm_h,FFnorm_table)*numeng</f>
        <v>855.24210479680482</v>
      </c>
      <c r="L88" s="11">
        <f t="shared" si="23"/>
        <v>0.94516508250200415</v>
      </c>
      <c r="M88" s="425" cm="1">
        <f t="array" ref="M88">($D$5/G88)*(C88*Linterp($D$6,atmos_h,atmos_vela)/L88)</f>
        <v>5831.0873811764841</v>
      </c>
      <c r="N88" s="55">
        <f t="shared" si="24"/>
        <v>11.692595516419154</v>
      </c>
      <c r="O88" s="426">
        <f t="shared" si="25"/>
        <v>0.58310873811764841</v>
      </c>
      <c r="P88" s="12"/>
      <c r="Q88" s="7">
        <f t="shared" si="26"/>
        <v>0.87</v>
      </c>
      <c r="R88" s="314" cm="1">
        <f t="array" ref="R88">numeng*InterpolateXY($D$6,$Q88,Tmil_h,Tmil_M,Tmil_table)</f>
        <v>1449.4459407039355</v>
      </c>
      <c r="S88" s="12" cm="1">
        <f t="array" ref="S88">numeng*InterpolateXY($D$6,$Q88,Tmax_h,Tmax_M,Tmax_table)</f>
        <v>2638.9369029120567</v>
      </c>
      <c r="T88" s="16">
        <f t="shared" si="27"/>
        <v>904.8600298826542</v>
      </c>
      <c r="U88" s="55">
        <f t="shared" si="28"/>
        <v>544.58591082128135</v>
      </c>
      <c r="V88" s="426">
        <f t="shared" si="29"/>
        <v>1734.0768730294026</v>
      </c>
    </row>
    <row r="89" spans="2:22">
      <c r="B89" s="120">
        <f t="shared" si="30"/>
        <v>40000</v>
      </c>
      <c r="C89" s="7">
        <v>0.88</v>
      </c>
      <c r="D89" s="7">
        <f t="shared" si="31"/>
        <v>851.92844917086177</v>
      </c>
      <c r="E89" s="11">
        <f t="shared" si="17"/>
        <v>0.27704657804526867</v>
      </c>
      <c r="F89" s="19">
        <f t="shared" si="21"/>
        <v>2.5462525101242871E-2</v>
      </c>
      <c r="G89" s="16">
        <f t="shared" si="18"/>
        <v>919.0701896011999</v>
      </c>
      <c r="H89" s="12">
        <f t="shared" si="19"/>
        <v>1391.2779448298638</v>
      </c>
      <c r="I89" s="12">
        <f t="shared" si="20"/>
        <v>1314.9873335083371</v>
      </c>
      <c r="J89" s="141">
        <f t="shared" si="22"/>
        <v>0.66059423497408409</v>
      </c>
      <c r="K89" s="267" cm="1">
        <f t="array" ref="K89">InterpolateXYZ(J89,C89,B89,FFnorm_PS,FFnorm_M,FFnorm_h,FFnorm_table)*numeng</f>
        <v>868.67305157955082</v>
      </c>
      <c r="L89" s="11">
        <f t="shared" si="23"/>
        <v>0.94516508250200426</v>
      </c>
      <c r="M89" s="425" cm="1">
        <f t="array" ref="M89">($D$5/G89)*(C89*Linterp($D$6,atmos_h,atmos_vela)/L89)</f>
        <v>5806.9180075377953</v>
      </c>
      <c r="N89" s="55">
        <f t="shared" si="24"/>
        <v>11.511811010847534</v>
      </c>
      <c r="O89" s="426">
        <f t="shared" si="25"/>
        <v>0.58069180075377957</v>
      </c>
      <c r="P89" s="12"/>
      <c r="Q89" s="7">
        <f t="shared" si="26"/>
        <v>0.88</v>
      </c>
      <c r="R89" s="314" cm="1">
        <f t="array" ref="R89">numeng*InterpolateXY($D$6,$Q89,Tmil_h,Tmil_M,Tmil_table)</f>
        <v>1455.3540083970224</v>
      </c>
      <c r="S89" s="12" cm="1">
        <f t="array" ref="S89">numeng*InterpolateXY($D$6,$Q89,Tmax_h,Tmax_M,Tmax_table)</f>
        <v>2653.7070721447735</v>
      </c>
      <c r="T89" s="16">
        <f t="shared" si="27"/>
        <v>919.0701896011999</v>
      </c>
      <c r="U89" s="55">
        <f t="shared" si="28"/>
        <v>536.28381879582253</v>
      </c>
      <c r="V89" s="426">
        <f t="shared" si="29"/>
        <v>1734.6368825435736</v>
      </c>
    </row>
    <row r="90" spans="2:22">
      <c r="B90" s="120">
        <f t="shared" si="30"/>
        <v>40000</v>
      </c>
      <c r="C90" s="7">
        <v>0.89</v>
      </c>
      <c r="D90" s="7">
        <f t="shared" si="31"/>
        <v>861.60945427507613</v>
      </c>
      <c r="E90" s="11">
        <f t="shared" si="17"/>
        <v>0.27085578845885128</v>
      </c>
      <c r="F90" s="19">
        <f t="shared" si="21"/>
        <v>2.5288829094061747E-2</v>
      </c>
      <c r="G90" s="16">
        <f t="shared" si="18"/>
        <v>933.6639707038662</v>
      </c>
      <c r="H90" s="12">
        <f t="shared" si="19"/>
        <v>1397.1857068036638</v>
      </c>
      <c r="I90" s="12">
        <f t="shared" si="20"/>
        <v>1320.5711438417059</v>
      </c>
      <c r="J90" s="141">
        <f t="shared" si="22"/>
        <v>0.66824615092850148</v>
      </c>
      <c r="K90" s="267" cm="1">
        <f t="array" ref="K90">InterpolateXYZ(J90,C90,B90,FFnorm_PS,FFnorm_M,FFnorm_h,FFnorm_table)*numeng</f>
        <v>882.46658389946845</v>
      </c>
      <c r="L90" s="11">
        <f t="shared" si="23"/>
        <v>0.94516508250200415</v>
      </c>
      <c r="M90" s="425" cm="1">
        <f t="array" ref="M90">($D$5/G90)*(C90*Linterp($D$6,atmos_h,atmos_vela)/L90)</f>
        <v>5781.108338499901</v>
      </c>
      <c r="N90" s="55">
        <f t="shared" si="24"/>
        <v>11.331873843666369</v>
      </c>
      <c r="O90" s="426">
        <f t="shared" si="25"/>
        <v>0.57811083384999007</v>
      </c>
      <c r="P90" s="12"/>
      <c r="Q90" s="7">
        <f t="shared" si="26"/>
        <v>0.89</v>
      </c>
      <c r="R90" s="314" cm="1">
        <f t="array" ref="R90">numeng*InterpolateXY($D$6,$Q90,Tmil_h,Tmil_M,Tmil_table)</f>
        <v>1461.2620760901091</v>
      </c>
      <c r="S90" s="12" cm="1">
        <f t="array" ref="S90">numeng*InterpolateXY($D$6,$Q90,Tmax_h,Tmax_M,Tmax_table)</f>
        <v>2668.4772413774899</v>
      </c>
      <c r="T90" s="16">
        <f t="shared" si="27"/>
        <v>933.6639707038662</v>
      </c>
      <c r="U90" s="55">
        <f t="shared" si="28"/>
        <v>527.59810538624288</v>
      </c>
      <c r="V90" s="426">
        <f t="shared" si="29"/>
        <v>1734.8132706736237</v>
      </c>
    </row>
    <row r="91" spans="2:22">
      <c r="B91" s="120">
        <f t="shared" si="30"/>
        <v>40000</v>
      </c>
      <c r="C91" s="7">
        <v>0.9</v>
      </c>
      <c r="D91" s="7">
        <f t="shared" si="31"/>
        <v>871.29045937929038</v>
      </c>
      <c r="E91" s="11">
        <f t="shared" si="17"/>
        <v>0.26487020992377291</v>
      </c>
      <c r="F91" s="19">
        <f t="shared" si="21"/>
        <v>2.5126823225197693E-2</v>
      </c>
      <c r="G91" s="16">
        <f t="shared" si="18"/>
        <v>948.64663083209518</v>
      </c>
      <c r="H91" s="12">
        <f t="shared" si="19"/>
        <v>1403.0934687774636</v>
      </c>
      <c r="I91" s="12">
        <f t="shared" si="20"/>
        <v>1326.1549541750746</v>
      </c>
      <c r="J91" s="141">
        <f t="shared" si="22"/>
        <v>0.67611078801376301</v>
      </c>
      <c r="K91" s="267" cm="1">
        <f t="array" ref="K91">InterpolateXYZ(J91,C91,B91,FFnorm_PS,FFnorm_M,FFnorm_h,FFnorm_table)*numeng</f>
        <v>896.62767109566551</v>
      </c>
      <c r="L91" s="11">
        <f t="shared" si="23"/>
        <v>0.94516508250200415</v>
      </c>
      <c r="M91" s="425" cm="1">
        <f t="array" ref="M91">($D$5/G91)*(C91*Linterp($D$6,atmos_h,atmos_vela)/L91)</f>
        <v>5753.7334990712588</v>
      </c>
      <c r="N91" s="55">
        <f t="shared" si="24"/>
        <v>11.152901390808239</v>
      </c>
      <c r="O91" s="426">
        <f t="shared" si="25"/>
        <v>0.57537334990712585</v>
      </c>
      <c r="P91" s="12"/>
      <c r="Q91" s="7">
        <f t="shared" si="26"/>
        <v>0.9</v>
      </c>
      <c r="R91" s="314" cm="1">
        <f t="array" ref="R91">numeng*InterpolateXY($D$6,$Q91,Tmil_h,Tmil_M,Tmil_table)</f>
        <v>1467.1701437831957</v>
      </c>
      <c r="S91" s="12" cm="1">
        <f t="array" ref="S91">numeng*InterpolateXY($D$6,$Q91,Tmax_h,Tmax_M,Tmax_table)</f>
        <v>2683.2474106102068</v>
      </c>
      <c r="T91" s="16">
        <f t="shared" si="27"/>
        <v>948.64663083209518</v>
      </c>
      <c r="U91" s="55">
        <f t="shared" si="28"/>
        <v>518.52351295110054</v>
      </c>
      <c r="V91" s="426">
        <f t="shared" si="29"/>
        <v>1734.6007797781117</v>
      </c>
    </row>
    <row r="92" spans="2:22">
      <c r="B92" s="120">
        <f t="shared" si="30"/>
        <v>40000</v>
      </c>
      <c r="C92" s="7">
        <v>0.91</v>
      </c>
      <c r="D92" s="7">
        <f t="shared" si="31"/>
        <v>880.97146448350475</v>
      </c>
      <c r="E92" s="11">
        <f t="shared" si="17"/>
        <v>0.25908087192157481</v>
      </c>
      <c r="F92" s="19">
        <f t="shared" si="21"/>
        <v>2.5046865149039609E-2</v>
      </c>
      <c r="G92" s="16">
        <f t="shared" si="18"/>
        <v>966.75856319572051</v>
      </c>
      <c r="H92" s="12">
        <f t="shared" si="19"/>
        <v>1409.0012307512634</v>
      </c>
      <c r="I92" s="12">
        <f t="shared" si="20"/>
        <v>1331.7387645084434</v>
      </c>
      <c r="J92" s="141">
        <f t="shared" si="22"/>
        <v>0.68613038945342575</v>
      </c>
      <c r="K92" s="267" cm="1">
        <f t="array" ref="K92">InterpolateXYZ(J92,C92,B92,FFnorm_PS,FFnorm_M,FFnorm_h,FFnorm_table)*numeng</f>
        <v>913.74643714240233</v>
      </c>
      <c r="L92" s="11">
        <f t="shared" si="23"/>
        <v>0.94516508250200426</v>
      </c>
      <c r="M92" s="425" cm="1">
        <f t="array" ref="M92">($D$5/G92)*(C92*Linterp($D$6,atmos_h,atmos_vela)/L92)</f>
        <v>5708.6716796829342</v>
      </c>
      <c r="N92" s="55">
        <f t="shared" si="24"/>
        <v>10.943955120934231</v>
      </c>
      <c r="O92" s="426">
        <f t="shared" si="25"/>
        <v>0.5708671679682934</v>
      </c>
      <c r="P92" s="12"/>
      <c r="Q92" s="7">
        <f t="shared" si="26"/>
        <v>0.91</v>
      </c>
      <c r="R92" s="314" cm="1">
        <f t="array" ref="R92">numeng*InterpolateXY($D$6,$Q92,Tmil_h,Tmil_M,Tmil_table)</f>
        <v>1473.0782114762824</v>
      </c>
      <c r="S92" s="12" cm="1">
        <f t="array" ref="S92">numeng*InterpolateXY($D$6,$Q92,Tmax_h,Tmax_M,Tmax_table)</f>
        <v>2698.0175798429236</v>
      </c>
      <c r="T92" s="16">
        <f t="shared" si="27"/>
        <v>966.75856319572051</v>
      </c>
      <c r="U92" s="55">
        <f t="shared" si="28"/>
        <v>506.31964828056186</v>
      </c>
      <c r="V92" s="426">
        <f t="shared" si="29"/>
        <v>1731.2590166472032</v>
      </c>
    </row>
    <row r="93" spans="2:22">
      <c r="B93" s="120">
        <f t="shared" si="30"/>
        <v>40000</v>
      </c>
      <c r="C93" s="7">
        <v>0.92</v>
      </c>
      <c r="D93" s="7">
        <f t="shared" si="31"/>
        <v>890.65246958771911</v>
      </c>
      <c r="E93" s="11">
        <f t="shared" si="17"/>
        <v>0.25347928879756154</v>
      </c>
      <c r="F93" s="19">
        <f t="shared" si="21"/>
        <v>2.4975934838645162E-2</v>
      </c>
      <c r="G93" s="16">
        <f t="shared" si="18"/>
        <v>985.32447984702696</v>
      </c>
      <c r="H93" s="12">
        <f t="shared" si="19"/>
        <v>1414.9089927250634</v>
      </c>
      <c r="I93" s="12">
        <f t="shared" si="20"/>
        <v>1337.3225748418122</v>
      </c>
      <c r="J93" s="141">
        <f t="shared" si="22"/>
        <v>0.69638717748858725</v>
      </c>
      <c r="K93" s="267" cm="1">
        <f t="array" ref="K93">InterpolateXYZ(J93,C93,B93,FFnorm_PS,FFnorm_M,FFnorm_h,FFnorm_table)*numeng</f>
        <v>931.29429328585957</v>
      </c>
      <c r="L93" s="11">
        <f t="shared" si="23"/>
        <v>0.94516508250200415</v>
      </c>
      <c r="M93" s="425" cm="1">
        <f t="array" ref="M93">($D$5/G93)*(C93*Linterp($D$6,atmos_h,atmos_vela)/L93)</f>
        <v>5662.6569999349585</v>
      </c>
      <c r="N93" s="55">
        <f t="shared" si="24"/>
        <v>10.737744311432726</v>
      </c>
      <c r="O93" s="426">
        <f t="shared" si="25"/>
        <v>0.56626569999349585</v>
      </c>
      <c r="P93" s="12"/>
      <c r="Q93" s="7">
        <f t="shared" si="26"/>
        <v>0.92</v>
      </c>
      <c r="R93" s="314" cm="1">
        <f t="array" ref="R93">numeng*InterpolateXY($D$6,$Q93,Tmil_h,Tmil_M,Tmil_table)</f>
        <v>1478.986279169369</v>
      </c>
      <c r="S93" s="12" cm="1">
        <f t="array" ref="S93">numeng*InterpolateXY($D$6,$Q93,Tmax_h,Tmax_M,Tmax_table)</f>
        <v>2712.7877490756405</v>
      </c>
      <c r="T93" s="16">
        <f t="shared" si="27"/>
        <v>985.32447984702696</v>
      </c>
      <c r="U93" s="55">
        <f t="shared" si="28"/>
        <v>493.66179932234206</v>
      </c>
      <c r="V93" s="426">
        <f t="shared" si="29"/>
        <v>1727.4632692286136</v>
      </c>
    </row>
    <row r="94" spans="2:22">
      <c r="B94" s="120">
        <f t="shared" si="30"/>
        <v>40000</v>
      </c>
      <c r="C94" s="7">
        <v>0.93</v>
      </c>
      <c r="D94" s="7">
        <f t="shared" si="31"/>
        <v>900.33347469193347</v>
      </c>
      <c r="E94" s="11">
        <f t="shared" si="17"/>
        <v>0.24805742864869471</v>
      </c>
      <c r="F94" s="19">
        <f t="shared" si="21"/>
        <v>2.5163661076354291E-2</v>
      </c>
      <c r="G94" s="16">
        <f t="shared" si="18"/>
        <v>1014.4288447007855</v>
      </c>
      <c r="H94" s="12">
        <f t="shared" si="19"/>
        <v>1420.8167546988632</v>
      </c>
      <c r="I94" s="12">
        <f t="shared" si="20"/>
        <v>1342.9063851751807</v>
      </c>
      <c r="J94" s="141">
        <f t="shared" si="22"/>
        <v>0.71397584617855236</v>
      </c>
      <c r="K94" s="267" cm="1">
        <f t="array" ref="K94">InterpolateXYZ(J94,C94,B94,FFnorm_PS,FFnorm_M,FFnorm_h,FFnorm_table)*numeng</f>
        <v>958.80272269403065</v>
      </c>
      <c r="L94" s="11">
        <f t="shared" si="23"/>
        <v>0.94516508250200415</v>
      </c>
      <c r="M94" s="425" cm="1">
        <f t="array" ref="M94">($D$5/G94)*(C94*Linterp($D$6,atmos_h,atmos_vela)/L94)</f>
        <v>5559.9778384489146</v>
      </c>
      <c r="N94" s="55">
        <f t="shared" si="24"/>
        <v>10.429674179378775</v>
      </c>
      <c r="O94" s="426">
        <f t="shared" si="25"/>
        <v>0.5559977838448914</v>
      </c>
      <c r="P94" s="12"/>
      <c r="Q94" s="7">
        <f t="shared" si="26"/>
        <v>0.93</v>
      </c>
      <c r="R94" s="314" cm="1">
        <f t="array" ref="R94">numeng*InterpolateXY($D$6,$Q94,Tmil_h,Tmil_M,Tmil_table)</f>
        <v>1484.8943468624559</v>
      </c>
      <c r="S94" s="12" cm="1">
        <f t="array" ref="S94">numeng*InterpolateXY($D$6,$Q94,Tmax_h,Tmax_M,Tmax_table)</f>
        <v>2727.5579183083573</v>
      </c>
      <c r="T94" s="16">
        <f t="shared" si="27"/>
        <v>1014.4288447007855</v>
      </c>
      <c r="U94" s="55">
        <f t="shared" si="28"/>
        <v>470.46550216167043</v>
      </c>
      <c r="V94" s="426">
        <f t="shared" si="29"/>
        <v>1713.1290736075719</v>
      </c>
    </row>
    <row r="95" spans="2:22">
      <c r="B95" s="120">
        <f t="shared" si="30"/>
        <v>40000</v>
      </c>
      <c r="C95" s="7">
        <v>0.94</v>
      </c>
      <c r="D95" s="7">
        <f t="shared" si="31"/>
        <v>910.01447979614773</v>
      </c>
      <c r="E95" s="11">
        <f t="shared" si="17"/>
        <v>0.24280768451590776</v>
      </c>
      <c r="F95" s="19">
        <f t="shared" si="21"/>
        <v>2.5359691809018096E-2</v>
      </c>
      <c r="G95" s="16">
        <f t="shared" si="18"/>
        <v>1044.4353052325507</v>
      </c>
      <c r="H95" s="12">
        <f t="shared" si="19"/>
        <v>1426.724516672663</v>
      </c>
      <c r="I95" s="12">
        <f t="shared" si="20"/>
        <v>1348.4901955085495</v>
      </c>
      <c r="J95" s="141">
        <f t="shared" si="22"/>
        <v>0.73205113743214534</v>
      </c>
      <c r="K95" s="267" cm="1">
        <f t="array" ref="K95">InterpolateXYZ(J95,C95,B95,FFnorm_PS,FFnorm_M,FFnorm_h,FFnorm_table)*numeng</f>
        <v>987.16378143812972</v>
      </c>
      <c r="L95" s="11">
        <f t="shared" si="23"/>
        <v>0.94516508250200415</v>
      </c>
      <c r="M95" s="425" cm="1">
        <f t="array" ref="M95">($D$5/G95)*(C95*Linterp($D$6,atmos_h,atmos_vela)/L95)</f>
        <v>5458.307660479777</v>
      </c>
      <c r="N95" s="55">
        <f t="shared" si="24"/>
        <v>10.130031295750843</v>
      </c>
      <c r="O95" s="426">
        <f t="shared" si="25"/>
        <v>0.54583076604797776</v>
      </c>
      <c r="P95" s="12"/>
      <c r="Q95" s="7">
        <f t="shared" si="26"/>
        <v>0.94</v>
      </c>
      <c r="R95" s="314" cm="1">
        <f t="array" ref="R95">numeng*InterpolateXY($D$6,$Q95,Tmil_h,Tmil_M,Tmil_table)</f>
        <v>1490.8024145555426</v>
      </c>
      <c r="S95" s="12" cm="1">
        <f t="array" ref="S95">numeng*InterpolateXY($D$6,$Q95,Tmax_h,Tmax_M,Tmax_table)</f>
        <v>2742.3280875410737</v>
      </c>
      <c r="T95" s="16">
        <f t="shared" si="27"/>
        <v>1044.4353052325507</v>
      </c>
      <c r="U95" s="55">
        <f t="shared" si="28"/>
        <v>446.36710932299184</v>
      </c>
      <c r="V95" s="426">
        <f t="shared" si="29"/>
        <v>1697.892782308523</v>
      </c>
    </row>
    <row r="96" spans="2:22">
      <c r="B96" s="120">
        <f t="shared" si="30"/>
        <v>40000</v>
      </c>
      <c r="C96" s="7">
        <v>0.95</v>
      </c>
      <c r="D96" s="7">
        <f t="shared" si="31"/>
        <v>919.69548490036209</v>
      </c>
      <c r="E96" s="11">
        <f t="shared" si="17"/>
        <v>0.2377228476878184</v>
      </c>
      <c r="F96" s="19">
        <f t="shared" si="21"/>
        <v>2.6563692963942336E-2</v>
      </c>
      <c r="G96" s="16">
        <f t="shared" si="18"/>
        <v>1117.42279811599</v>
      </c>
      <c r="H96" s="12">
        <f t="shared" si="19"/>
        <v>1432.6322786464627</v>
      </c>
      <c r="I96" s="12">
        <f t="shared" si="20"/>
        <v>1354.0740058419183</v>
      </c>
      <c r="J96" s="141">
        <f t="shared" si="22"/>
        <v>0.77997879481796983</v>
      </c>
      <c r="K96" s="267" cm="1">
        <f t="array" ref="K96">InterpolateXYZ(J96,C96,B96,FFnorm_PS,FFnorm_M,FFnorm_h,FFnorm_table)*numeng</f>
        <v>1056.1490111709199</v>
      </c>
      <c r="L96" s="11">
        <f t="shared" si="23"/>
        <v>0.94516508250200415</v>
      </c>
      <c r="M96" s="425" cm="1">
        <f t="array" ref="M96">($D$5/G96)*(C96*Linterp($D$6,atmos_h,atmos_vela)/L96)</f>
        <v>5156.0578228286504</v>
      </c>
      <c r="N96" s="55">
        <f t="shared" si="24"/>
        <v>9.46836089815897</v>
      </c>
      <c r="O96" s="426">
        <f t="shared" si="25"/>
        <v>0.51560578228286502</v>
      </c>
      <c r="P96" s="12"/>
      <c r="Q96" s="7">
        <f t="shared" si="26"/>
        <v>0.95</v>
      </c>
      <c r="R96" s="314" cm="1">
        <f t="array" ref="R96">numeng*InterpolateXY($D$6,$Q96,Tmil_h,Tmil_M,Tmil_table)</f>
        <v>1496.7104822486292</v>
      </c>
      <c r="S96" s="12" cm="1">
        <f t="array" ref="S96">numeng*InterpolateXY($D$6,$Q96,Tmax_h,Tmax_M,Tmax_table)</f>
        <v>2757.0982567737906</v>
      </c>
      <c r="T96" s="16">
        <f t="shared" si="27"/>
        <v>1117.42279811599</v>
      </c>
      <c r="U96" s="55">
        <f t="shared" si="28"/>
        <v>379.28768413263924</v>
      </c>
      <c r="V96" s="426">
        <f t="shared" si="29"/>
        <v>1639.6754586578006</v>
      </c>
    </row>
    <row r="97" spans="2:22">
      <c r="B97" s="120">
        <f t="shared" si="30"/>
        <v>40000</v>
      </c>
      <c r="C97" s="7">
        <v>0.96</v>
      </c>
      <c r="D97" s="7">
        <f t="shared" si="31"/>
        <v>929.37649000457645</v>
      </c>
      <c r="E97" s="11">
        <f t="shared" si="17"/>
        <v>0.23279608294081611</v>
      </c>
      <c r="F97" s="19">
        <f t="shared" si="21"/>
        <v>2.7775347349682639E-2</v>
      </c>
      <c r="G97" s="16">
        <f t="shared" si="18"/>
        <v>1193.119188210052</v>
      </c>
      <c r="H97" s="12">
        <f t="shared" si="19"/>
        <v>1438.5400406202627</v>
      </c>
      <c r="I97" s="12">
        <f t="shared" si="20"/>
        <v>1359.6578161752871</v>
      </c>
      <c r="J97" s="141">
        <f t="shared" si="22"/>
        <v>0.82939588368747019</v>
      </c>
      <c r="K97" s="267" cm="1">
        <f t="array" ref="K97">InterpolateXYZ(J97,C97,B97,FFnorm_PS,FFnorm_M,FFnorm_h,FFnorm_table)*numeng</f>
        <v>1127.6945959592781</v>
      </c>
      <c r="L97" s="11">
        <f t="shared" si="23"/>
        <v>0.94516508250200426</v>
      </c>
      <c r="M97" s="425" cm="1">
        <f t="array" ref="M97">($D$5/G97)*(C97*Linterp($D$6,atmos_h,atmos_vela)/L97)</f>
        <v>4879.7672096567494</v>
      </c>
      <c r="N97" s="55">
        <f t="shared" si="24"/>
        <v>8.8676491275489866</v>
      </c>
      <c r="O97" s="426">
        <f t="shared" si="25"/>
        <v>0.48797672096567496</v>
      </c>
      <c r="P97" s="12"/>
      <c r="Q97" s="7">
        <f t="shared" si="26"/>
        <v>0.96</v>
      </c>
      <c r="R97" s="314" cm="1">
        <f t="array" ref="R97">numeng*InterpolateXY($D$6,$Q97,Tmil_h,Tmil_M,Tmil_table)</f>
        <v>1502.6185499417159</v>
      </c>
      <c r="S97" s="12" cm="1">
        <f t="array" ref="S97">numeng*InterpolateXY($D$6,$Q97,Tmax_h,Tmax_M,Tmax_table)</f>
        <v>2771.8684260065074</v>
      </c>
      <c r="T97" s="16">
        <f t="shared" si="27"/>
        <v>1193.119188210052</v>
      </c>
      <c r="U97" s="55">
        <f t="shared" si="28"/>
        <v>309.49936173166384</v>
      </c>
      <c r="V97" s="426">
        <f t="shared" si="29"/>
        <v>1578.7492377964554</v>
      </c>
    </row>
    <row r="98" spans="2:22">
      <c r="B98" s="120">
        <f t="shared" si="30"/>
        <v>40000</v>
      </c>
      <c r="C98" s="7">
        <v>0.97</v>
      </c>
      <c r="D98" s="7">
        <f t="shared" si="31"/>
        <v>939.0574951087907</v>
      </c>
      <c r="E98" s="11">
        <f t="shared" si="17"/>
        <v>0.22802090555665433</v>
      </c>
      <c r="F98" s="19">
        <f t="shared" si="21"/>
        <v>3.1771358861182535E-2</v>
      </c>
      <c r="G98" s="16">
        <f t="shared" si="18"/>
        <v>1393.3528938331744</v>
      </c>
      <c r="H98" s="12">
        <f t="shared" si="19"/>
        <v>1444.4478025940625</v>
      </c>
      <c r="I98" s="12">
        <f t="shared" si="20"/>
        <v>1365.2416265086558</v>
      </c>
      <c r="J98" s="141">
        <f t="shared" si="22"/>
        <v>0.9646266838655384</v>
      </c>
      <c r="K98" s="267" cm="1">
        <f t="array" ref="K98">InterpolateXYZ(J98,C98,B98,FFnorm_PS,FFnorm_M,FFnorm_h,FFnorm_table)*numeng</f>
        <v>1316.9485028542385</v>
      </c>
      <c r="L98" s="11">
        <f t="shared" si="23"/>
        <v>0.94516508250200415</v>
      </c>
      <c r="M98" s="425" cm="1">
        <f t="array" ref="M98">($D$5/G98)*(C98*Linterp($D$6,atmos_h,atmos_vela)/L98)</f>
        <v>4222.0396929470908</v>
      </c>
      <c r="N98" s="55">
        <f t="shared" si="24"/>
        <v>7.5933113393020895</v>
      </c>
      <c r="O98" s="426">
        <f t="shared" si="25"/>
        <v>0.4222039692947091</v>
      </c>
      <c r="P98" s="12"/>
      <c r="Q98" s="7">
        <f t="shared" si="26"/>
        <v>0.97</v>
      </c>
      <c r="R98" s="314" cm="1">
        <f t="array" ref="R98">numeng*InterpolateXY($D$6,$Q98,Tmil_h,Tmil_M,Tmil_table)</f>
        <v>1508.5266176348025</v>
      </c>
      <c r="S98" s="12" cm="1">
        <f t="array" ref="S98">numeng*InterpolateXY($D$6,$Q98,Tmax_h,Tmax_M,Tmax_table)</f>
        <v>2786.6385952392238</v>
      </c>
      <c r="T98" s="16">
        <f t="shared" si="27"/>
        <v>1393.3528938331744</v>
      </c>
      <c r="U98" s="55">
        <f t="shared" si="28"/>
        <v>115.17372380162806</v>
      </c>
      <c r="V98" s="426">
        <f t="shared" si="29"/>
        <v>1393.2857014060494</v>
      </c>
    </row>
    <row r="99" spans="2:22">
      <c r="B99" s="120">
        <f t="shared" si="30"/>
        <v>40000</v>
      </c>
      <c r="C99" s="7">
        <v>0.98</v>
      </c>
      <c r="D99" s="7">
        <f t="shared" si="31"/>
        <v>948.73850021300507</v>
      </c>
      <c r="E99" s="11">
        <f t="shared" si="17"/>
        <v>0.22339115997319461</v>
      </c>
      <c r="F99" s="19">
        <f t="shared" si="21"/>
        <v>3.5772120978244247E-2</v>
      </c>
      <c r="G99" s="16">
        <f t="shared" si="18"/>
        <v>1601.3221374801337</v>
      </c>
      <c r="H99" s="12">
        <f t="shared" si="19"/>
        <v>1450.3555645678623</v>
      </c>
      <c r="I99" s="12">
        <f t="shared" si="20"/>
        <v>1370.8254368420244</v>
      </c>
      <c r="J99" s="141">
        <f t="shared" si="22"/>
        <v>1.1040893533974563</v>
      </c>
      <c r="K99" s="267" t="e" cm="1">
        <f t="array" ref="K99">InterpolateXYZ(J99,C99,B99,FFnorm_PS,FFnorm_M,FFnorm_h,FFnorm_table)*numeng</f>
        <v>#VALUE!</v>
      </c>
      <c r="L99" s="11" t="e">
        <f t="shared" si="23"/>
        <v>#VALUE!</v>
      </c>
      <c r="M99" s="425" t="e" cm="1">
        <f t="array" ref="M99">($D$5/G99)*(C99*Linterp($D$6,atmos_h,atmos_vela)/L99)</f>
        <v>#VALUE!</v>
      </c>
      <c r="N99" s="55" t="e">
        <f t="shared" si="24"/>
        <v>#VALUE!</v>
      </c>
      <c r="O99" s="426" t="e">
        <f t="shared" si="25"/>
        <v>#VALUE!</v>
      </c>
      <c r="P99" s="12"/>
      <c r="Q99" s="7">
        <f t="shared" si="26"/>
        <v>0.98</v>
      </c>
      <c r="R99" s="314" cm="1">
        <f t="array" ref="R99">numeng*InterpolateXY($D$6,$Q99,Tmil_h,Tmil_M,Tmil_table)</f>
        <v>1514.4346853278894</v>
      </c>
      <c r="S99" s="12" cm="1">
        <f t="array" ref="S99">numeng*InterpolateXY($D$6,$Q99,Tmax_h,Tmax_M,Tmax_table)</f>
        <v>2801.4087644719407</v>
      </c>
      <c r="T99" s="16">
        <f t="shared" si="27"/>
        <v>1601.3221374801337</v>
      </c>
      <c r="U99" s="55">
        <f t="shared" si="28"/>
        <v>-86.88745215224435</v>
      </c>
      <c r="V99" s="426">
        <f t="shared" si="29"/>
        <v>1200.086626991807</v>
      </c>
    </row>
    <row r="100" spans="2:22">
      <c r="B100" s="120">
        <f t="shared" si="30"/>
        <v>40000</v>
      </c>
      <c r="C100" s="7">
        <v>0.99</v>
      </c>
      <c r="D100" s="7">
        <f t="shared" si="31"/>
        <v>958.41950531721943</v>
      </c>
      <c r="E100" s="11">
        <f t="shared" si="17"/>
        <v>0.21890099993700241</v>
      </c>
      <c r="F100" s="19">
        <f t="shared" si="21"/>
        <v>3.7552191245826413E-2</v>
      </c>
      <c r="G100" s="16">
        <f t="shared" si="18"/>
        <v>1715.4874238415339</v>
      </c>
      <c r="H100" s="12">
        <f t="shared" si="19"/>
        <v>1456.2633265416623</v>
      </c>
      <c r="I100" s="12">
        <f t="shared" si="20"/>
        <v>1376.4092471753931</v>
      </c>
      <c r="J100" s="141">
        <f t="shared" si="22"/>
        <v>1.1780063348264613</v>
      </c>
      <c r="K100" s="267" t="e" cm="1">
        <f t="array" ref="K100">InterpolateXYZ(J100,C100,B100,FFnorm_PS,FFnorm_M,FFnorm_h,FFnorm_table)*numeng</f>
        <v>#VALUE!</v>
      </c>
      <c r="L100" s="11" t="e">
        <f t="shared" si="23"/>
        <v>#VALUE!</v>
      </c>
      <c r="M100" s="425" t="e" cm="1">
        <f t="array" ref="M100">($D$5/G100)*(C100*Linterp($D$6,atmos_h,atmos_vela)/L100)</f>
        <v>#VALUE!</v>
      </c>
      <c r="N100" s="55" t="e">
        <f t="shared" si="24"/>
        <v>#VALUE!</v>
      </c>
      <c r="O100" s="426" t="e">
        <f t="shared" si="25"/>
        <v>#VALUE!</v>
      </c>
      <c r="P100" s="12"/>
      <c r="Q100" s="7">
        <f t="shared" si="26"/>
        <v>0.99</v>
      </c>
      <c r="R100" s="314" cm="1">
        <f t="array" ref="R100">numeng*InterpolateXY($D$6,$Q100,Tmil_h,Tmil_M,Tmil_table)</f>
        <v>1520.342753020976</v>
      </c>
      <c r="S100" s="12" cm="1">
        <f t="array" ref="S100">numeng*InterpolateXY($D$6,$Q100,Tmax_h,Tmax_M,Tmax_table)</f>
        <v>2816.1789337046575</v>
      </c>
      <c r="T100" s="16">
        <f t="shared" si="27"/>
        <v>1715.4874238415339</v>
      </c>
      <c r="U100" s="55">
        <f t="shared" si="28"/>
        <v>-195.14467082055785</v>
      </c>
      <c r="V100" s="426">
        <f t="shared" si="29"/>
        <v>1100.6915098631237</v>
      </c>
    </row>
    <row r="101" spans="2:22">
      <c r="B101" s="120">
        <f t="shared" si="30"/>
        <v>40000</v>
      </c>
      <c r="C101" s="7">
        <v>1</v>
      </c>
      <c r="D101" s="7">
        <f t="shared" si="31"/>
        <v>968.1005104214338</v>
      </c>
      <c r="E101" s="11">
        <f t="shared" si="17"/>
        <v>0.21454487003825609</v>
      </c>
      <c r="F101" s="19">
        <f t="shared" si="21"/>
        <v>3.9334506292563159E-2</v>
      </c>
      <c r="G101" s="16">
        <f t="shared" si="18"/>
        <v>1833.3930000539897</v>
      </c>
      <c r="H101" s="12">
        <f t="shared" si="19"/>
        <v>1462.1710885154621</v>
      </c>
      <c r="I101" s="12">
        <f t="shared" si="20"/>
        <v>1381.9930575087619</v>
      </c>
      <c r="J101" s="141">
        <f t="shared" si="22"/>
        <v>1.2538840457551572</v>
      </c>
      <c r="K101" s="267" t="e" cm="1">
        <f t="array" ref="K101">InterpolateXYZ(J101,C101,B101,FFnorm_PS,FFnorm_M,FFnorm_h,FFnorm_table)*numeng</f>
        <v>#VALUE!</v>
      </c>
      <c r="L101" s="11" t="e">
        <f t="shared" si="23"/>
        <v>#VALUE!</v>
      </c>
      <c r="M101" s="425" t="e" cm="1">
        <f t="array" ref="M101">($D$5/G101)*(C101*Linterp($D$6,atmos_h,atmos_vela)/L101)</f>
        <v>#VALUE!</v>
      </c>
      <c r="N101" s="55" t="e">
        <f t="shared" si="24"/>
        <v>#VALUE!</v>
      </c>
      <c r="O101" s="426" t="e">
        <f t="shared" si="25"/>
        <v>#VALUE!</v>
      </c>
      <c r="P101" s="12"/>
      <c r="Q101" s="7">
        <f t="shared" si="26"/>
        <v>1</v>
      </c>
      <c r="R101" s="314" cm="1">
        <f t="array" ref="R101">numeng*InterpolateXY($D$6,$Q101,Tmil_h,Tmil_M,Tmil_table)</f>
        <v>1526.2508207140627</v>
      </c>
      <c r="S101" s="12" cm="1">
        <f t="array" ref="S101">numeng*InterpolateXY($D$6,$Q101,Tmax_h,Tmax_M,Tmax_table)</f>
        <v>2830.9491029373744</v>
      </c>
      <c r="T101" s="16">
        <f t="shared" si="27"/>
        <v>1833.3930000539897</v>
      </c>
      <c r="U101" s="55">
        <f t="shared" si="28"/>
        <v>-307.142179339927</v>
      </c>
      <c r="V101" s="426">
        <f t="shared" si="29"/>
        <v>997.55610288338471</v>
      </c>
    </row>
    <row r="102" spans="2:22">
      <c r="B102" s="120">
        <f t="shared" si="30"/>
        <v>40000</v>
      </c>
      <c r="C102" s="7">
        <v>1.01</v>
      </c>
      <c r="D102" s="7">
        <f t="shared" ref="D102:D121" si="32">C102*H$6</f>
        <v>977.78151552564816</v>
      </c>
      <c r="E102" s="11">
        <f t="shared" ref="E102:E121" si="33">D$5/(H$5*C102*C102*_xlfn.SINGLE(S))</f>
        <v>0.21031748851902371</v>
      </c>
      <c r="F102" s="19">
        <f t="shared" ref="F102:F121" si="34">InterpolateXY(E102,C102,CD_CL,CD_M,CD_table)</f>
        <v>4.0141589219293616E-2</v>
      </c>
      <c r="G102" s="16">
        <f t="shared" ref="G102:G121" si="35">F102*$H$5*C102*C102*_xlfn.SINGLE(S)</f>
        <v>1908.6187031784909</v>
      </c>
      <c r="H102" s="12"/>
      <c r="I102" s="12"/>
      <c r="J102" s="141"/>
      <c r="K102" s="267"/>
      <c r="L102" s="11"/>
      <c r="M102" s="425" t="e" cm="1">
        <f t="array" ref="M102">($D$5/G102)*(C102*Linterp($D$6,atmos_h,atmos_vela)/L102)</f>
        <v>#DIV/0!</v>
      </c>
      <c r="N102" s="55" t="e">
        <f t="shared" si="24"/>
        <v>#DIV/0!</v>
      </c>
      <c r="O102" s="426" t="e">
        <f t="shared" si="25"/>
        <v>#DIV/0!</v>
      </c>
      <c r="P102" s="12"/>
      <c r="Q102" s="7">
        <f t="shared" si="26"/>
        <v>1.01</v>
      </c>
      <c r="R102" s="314" t="e" cm="1">
        <f t="array" ref="R102">numeng*InterpolateXY($D$6,$Q102,Tmil_h,Tmil_M,Tmil_table)</f>
        <v>#VALUE!</v>
      </c>
      <c r="S102" s="12" cm="1">
        <f t="array" ref="S102">numeng*InterpolateXY($D$6,$Q102,Tmax_h,Tmax_M,Tmax_table)</f>
        <v>2845.7192721700912</v>
      </c>
      <c r="T102" s="16">
        <f t="shared" si="27"/>
        <v>1908.6187031784909</v>
      </c>
      <c r="U102" s="55" t="e">
        <f t="shared" si="28"/>
        <v>#VALUE!</v>
      </c>
      <c r="V102" s="426">
        <f t="shared" si="29"/>
        <v>937.10056899160031</v>
      </c>
    </row>
    <row r="103" spans="2:22">
      <c r="B103" s="120">
        <f t="shared" si="30"/>
        <v>40000</v>
      </c>
      <c r="C103" s="7">
        <v>1.02</v>
      </c>
      <c r="D103" s="7">
        <f t="shared" si="32"/>
        <v>987.46252062986252</v>
      </c>
      <c r="E103" s="11">
        <f t="shared" si="33"/>
        <v>0.20621383125553253</v>
      </c>
      <c r="F103" s="19">
        <f t="shared" si="34"/>
        <v>4.0948754356631742E-2</v>
      </c>
      <c r="G103" s="16">
        <f t="shared" si="35"/>
        <v>1985.742377575516</v>
      </c>
      <c r="H103" s="12"/>
      <c r="I103" s="12"/>
      <c r="J103" s="141"/>
      <c r="K103" s="267"/>
      <c r="L103" s="11"/>
      <c r="M103" s="425" t="e" cm="1">
        <f t="array" ref="M103">($D$5/G103)*(C103*Linterp($D$6,atmos_h,atmos_vela)/L103)</f>
        <v>#DIV/0!</v>
      </c>
      <c r="N103" s="55" t="e">
        <f t="shared" si="24"/>
        <v>#DIV/0!</v>
      </c>
      <c r="O103" s="426" t="e">
        <f t="shared" si="25"/>
        <v>#DIV/0!</v>
      </c>
      <c r="P103" s="12"/>
      <c r="Q103" s="7">
        <f t="shared" si="26"/>
        <v>1.02</v>
      </c>
      <c r="R103" s="314" t="e" cm="1">
        <f t="array" ref="R103">numeng*InterpolateXY($D$6,$Q103,Tmil_h,Tmil_M,Tmil_table)</f>
        <v>#VALUE!</v>
      </c>
      <c r="S103" s="12" cm="1">
        <f t="array" ref="S103">numeng*InterpolateXY($D$6,$Q103,Tmax_h,Tmax_M,Tmax_table)</f>
        <v>2860.4894414028076</v>
      </c>
      <c r="T103" s="16">
        <f t="shared" si="27"/>
        <v>1985.742377575516</v>
      </c>
      <c r="U103" s="55" t="e">
        <f t="shared" si="28"/>
        <v>#VALUE!</v>
      </c>
      <c r="V103" s="426">
        <f t="shared" si="29"/>
        <v>874.74706382729164</v>
      </c>
    </row>
    <row r="104" spans="2:22">
      <c r="B104" s="120">
        <f t="shared" si="30"/>
        <v>40000</v>
      </c>
      <c r="C104" s="7">
        <v>1.03</v>
      </c>
      <c r="D104" s="7">
        <f t="shared" si="32"/>
        <v>997.14352573407689</v>
      </c>
      <c r="E104" s="11">
        <f t="shared" si="33"/>
        <v>0.20222911682369316</v>
      </c>
      <c r="F104" s="19">
        <f t="shared" si="34"/>
        <v>4.1526595456864449E-2</v>
      </c>
      <c r="G104" s="16">
        <f t="shared" si="35"/>
        <v>2053.4429516926612</v>
      </c>
      <c r="H104" s="12"/>
      <c r="I104" s="12"/>
      <c r="J104" s="141"/>
      <c r="K104" s="267"/>
      <c r="L104" s="11"/>
      <c r="M104" s="425" t="e" cm="1">
        <f t="array" ref="M104">($D$5/G104)*(C104*Linterp($D$6,atmos_h,atmos_vela)/L104)</f>
        <v>#DIV/0!</v>
      </c>
      <c r="N104" s="55" t="e">
        <f t="shared" si="24"/>
        <v>#DIV/0!</v>
      </c>
      <c r="O104" s="426" t="e">
        <f t="shared" si="25"/>
        <v>#DIV/0!</v>
      </c>
      <c r="P104" s="12"/>
      <c r="Q104" s="7">
        <f t="shared" si="26"/>
        <v>1.03</v>
      </c>
      <c r="R104" s="314" t="e" cm="1">
        <f t="array" ref="R104">numeng*InterpolateXY($D$6,$Q104,Tmil_h,Tmil_M,Tmil_table)</f>
        <v>#VALUE!</v>
      </c>
      <c r="S104" s="12" cm="1">
        <f t="array" ref="S104">numeng*InterpolateXY($D$6,$Q104,Tmax_h,Tmax_M,Tmax_table)</f>
        <v>2875.2596106355245</v>
      </c>
      <c r="T104" s="16">
        <f t="shared" si="27"/>
        <v>2053.4429516926612</v>
      </c>
      <c r="U104" s="55" t="e">
        <f t="shared" si="28"/>
        <v>#VALUE!</v>
      </c>
      <c r="V104" s="426">
        <f t="shared" si="29"/>
        <v>821.81665894286334</v>
      </c>
    </row>
    <row r="105" spans="2:22">
      <c r="B105" s="120">
        <f t="shared" si="30"/>
        <v>40000</v>
      </c>
      <c r="C105" s="7">
        <v>1.04</v>
      </c>
      <c r="D105" s="7">
        <f t="shared" si="32"/>
        <v>1006.8245308382911</v>
      </c>
      <c r="E105" s="11">
        <f t="shared" si="33"/>
        <v>0.19835879256495564</v>
      </c>
      <c r="F105" s="19">
        <f t="shared" si="34"/>
        <v>4.2149592201036597E-2</v>
      </c>
      <c r="G105" s="16">
        <f t="shared" si="35"/>
        <v>2124.9167559453685</v>
      </c>
      <c r="H105" s="12"/>
      <c r="I105" s="12"/>
      <c r="J105" s="141"/>
      <c r="K105" s="267"/>
      <c r="L105" s="11"/>
      <c r="M105" s="425" t="e" cm="1">
        <f t="array" ref="M105">($D$5/G105)*(C105*Linterp($D$6,atmos_h,atmos_vela)/L105)</f>
        <v>#DIV/0!</v>
      </c>
      <c r="N105" s="55" t="e">
        <f t="shared" si="24"/>
        <v>#DIV/0!</v>
      </c>
      <c r="O105" s="426" t="e">
        <f t="shared" si="25"/>
        <v>#DIV/0!</v>
      </c>
      <c r="P105" s="12"/>
      <c r="Q105" s="7">
        <f t="shared" si="26"/>
        <v>1.04</v>
      </c>
      <c r="R105" s="314" t="e" cm="1">
        <f t="array" ref="R105">numeng*InterpolateXY($D$6,$Q105,Tmil_h,Tmil_M,Tmil_table)</f>
        <v>#VALUE!</v>
      </c>
      <c r="S105" s="12" cm="1">
        <f t="array" ref="S105">numeng*InterpolateXY($D$6,$Q105,Tmax_h,Tmax_M,Tmax_table)</f>
        <v>2890.0297798682413</v>
      </c>
      <c r="T105" s="16">
        <f t="shared" si="27"/>
        <v>2124.9167559453685</v>
      </c>
      <c r="U105" s="55" t="e">
        <f t="shared" si="28"/>
        <v>#VALUE!</v>
      </c>
      <c r="V105" s="426">
        <f t="shared" si="29"/>
        <v>765.1130239228728</v>
      </c>
    </row>
    <row r="106" spans="2:22">
      <c r="B106" s="120">
        <f t="shared" si="30"/>
        <v>40000</v>
      </c>
      <c r="C106" s="7">
        <v>1.05</v>
      </c>
      <c r="D106" s="7">
        <f t="shared" si="32"/>
        <v>1016.5055359425055</v>
      </c>
      <c r="E106" s="11">
        <f t="shared" si="33"/>
        <v>0.1945985215766495</v>
      </c>
      <c r="F106" s="19">
        <f t="shared" si="34"/>
        <v>4.2622605023293743E-2</v>
      </c>
      <c r="G106" s="16">
        <f t="shared" si="35"/>
        <v>2190.2841130530032</v>
      </c>
      <c r="H106" s="12"/>
      <c r="I106" s="12"/>
      <c r="J106" s="141"/>
      <c r="K106" s="267"/>
      <c r="L106" s="11"/>
      <c r="M106" s="425" t="e" cm="1">
        <f t="array" ref="M106">($D$5/G106)*(C106*Linterp($D$6,atmos_h,atmos_vela)/L106)</f>
        <v>#DIV/0!</v>
      </c>
      <c r="N106" s="55" t="e">
        <f t="shared" si="24"/>
        <v>#DIV/0!</v>
      </c>
      <c r="O106" s="426" t="e">
        <f t="shared" si="25"/>
        <v>#DIV/0!</v>
      </c>
      <c r="P106" s="12"/>
      <c r="Q106" s="7">
        <f t="shared" si="26"/>
        <v>1.05</v>
      </c>
      <c r="R106" s="314" t="e" cm="1">
        <f t="array" ref="R106">numeng*InterpolateXY($D$6,$Q106,Tmil_h,Tmil_M,Tmil_table)</f>
        <v>#VALUE!</v>
      </c>
      <c r="S106" s="12" cm="1">
        <f t="array" ref="S106">numeng*InterpolateXY($D$6,$Q106,Tmax_h,Tmax_M,Tmax_table)</f>
        <v>2904.7999491009577</v>
      </c>
      <c r="T106" s="16">
        <f t="shared" si="27"/>
        <v>2190.2841130530032</v>
      </c>
      <c r="U106" s="55" t="e">
        <f t="shared" si="28"/>
        <v>#VALUE!</v>
      </c>
      <c r="V106" s="426">
        <f t="shared" si="29"/>
        <v>714.51583604795451</v>
      </c>
    </row>
    <row r="107" spans="2:22">
      <c r="B107" s="120">
        <f t="shared" si="30"/>
        <v>40000</v>
      </c>
      <c r="C107" s="7">
        <v>1.06</v>
      </c>
      <c r="D107" s="7">
        <f t="shared" si="32"/>
        <v>1026.1865410467199</v>
      </c>
      <c r="E107" s="11">
        <f t="shared" si="33"/>
        <v>0.19094417055736568</v>
      </c>
      <c r="F107" s="19">
        <f t="shared" si="34"/>
        <v>4.3092487675081455E-2</v>
      </c>
      <c r="G107" s="16">
        <f t="shared" si="35"/>
        <v>2256.8108546751946</v>
      </c>
      <c r="H107" s="12"/>
      <c r="I107" s="12"/>
      <c r="J107" s="141"/>
      <c r="K107" s="267"/>
      <c r="L107" s="11"/>
      <c r="M107" s="425" t="e" cm="1">
        <f t="array" ref="M107">($D$5/G107)*(C107*Linterp($D$6,atmos_h,atmos_vela)/L107)</f>
        <v>#DIV/0!</v>
      </c>
      <c r="N107" s="55" t="e">
        <f t="shared" si="24"/>
        <v>#DIV/0!</v>
      </c>
      <c r="O107" s="426" t="e">
        <f t="shared" si="25"/>
        <v>#DIV/0!</v>
      </c>
      <c r="P107" s="12"/>
      <c r="Q107" s="7">
        <f t="shared" si="26"/>
        <v>1.06</v>
      </c>
      <c r="R107" s="314" t="e" cm="1">
        <f t="array" ref="R107">numeng*InterpolateXY($D$6,$Q107,Tmil_h,Tmil_M,Tmil_table)</f>
        <v>#VALUE!</v>
      </c>
      <c r="S107" s="12" cm="1">
        <f t="array" ref="S107">numeng*InterpolateXY($D$6,$Q107,Tmax_h,Tmax_M,Tmax_table)</f>
        <v>2919.5701183336746</v>
      </c>
      <c r="T107" s="16">
        <f t="shared" si="27"/>
        <v>2256.8108546751946</v>
      </c>
      <c r="U107" s="55" t="e">
        <f t="shared" si="28"/>
        <v>#VALUE!</v>
      </c>
      <c r="V107" s="426">
        <f t="shared" si="29"/>
        <v>662.75926365847999</v>
      </c>
    </row>
    <row r="108" spans="2:22">
      <c r="B108" s="120">
        <f t="shared" si="30"/>
        <v>40000</v>
      </c>
      <c r="C108" s="7">
        <v>1.07</v>
      </c>
      <c r="D108" s="7">
        <f t="shared" si="32"/>
        <v>1035.8675461509342</v>
      </c>
      <c r="E108" s="11">
        <f t="shared" si="33"/>
        <v>0.18739179844375584</v>
      </c>
      <c r="F108" s="19">
        <f t="shared" si="34"/>
        <v>4.3577501088101517E-2</v>
      </c>
      <c r="G108" s="16">
        <f t="shared" si="35"/>
        <v>2325.4753649840741</v>
      </c>
      <c r="H108" s="12"/>
      <c r="I108" s="12"/>
      <c r="J108" s="141"/>
      <c r="K108" s="267"/>
      <c r="L108" s="11"/>
      <c r="M108" s="425" t="e" cm="1">
        <f t="array" ref="M108">($D$5/G108)*(C108*Linterp($D$6,atmos_h,atmos_vela)/L108)</f>
        <v>#DIV/0!</v>
      </c>
      <c r="N108" s="55" t="e">
        <f t="shared" si="24"/>
        <v>#DIV/0!</v>
      </c>
      <c r="O108" s="426" t="e">
        <f t="shared" si="25"/>
        <v>#DIV/0!</v>
      </c>
      <c r="P108" s="12"/>
      <c r="Q108" s="7">
        <f t="shared" si="26"/>
        <v>1.07</v>
      </c>
      <c r="R108" s="314" t="e" cm="1">
        <f t="array" ref="R108">numeng*InterpolateXY($D$6,$Q108,Tmil_h,Tmil_M,Tmil_table)</f>
        <v>#VALUE!</v>
      </c>
      <c r="S108" s="12" cm="1">
        <f t="array" ref="S108">numeng*InterpolateXY($D$6,$Q108,Tmax_h,Tmax_M,Tmax_table)</f>
        <v>2934.3402875663915</v>
      </c>
      <c r="T108" s="16">
        <f t="shared" si="27"/>
        <v>2325.4753649840741</v>
      </c>
      <c r="U108" s="55" t="e">
        <f t="shared" si="28"/>
        <v>#VALUE!</v>
      </c>
      <c r="V108" s="426">
        <f t="shared" si="29"/>
        <v>608.86492258231738</v>
      </c>
    </row>
    <row r="109" spans="2:22">
      <c r="B109" s="120">
        <f t="shared" si="30"/>
        <v>40000</v>
      </c>
      <c r="C109" s="7">
        <v>1.08</v>
      </c>
      <c r="D109" s="7">
        <f t="shared" si="32"/>
        <v>1045.5485512551486</v>
      </c>
      <c r="E109" s="11">
        <f t="shared" si="33"/>
        <v>0.18393764578039784</v>
      </c>
      <c r="F109" s="19">
        <f t="shared" si="34"/>
        <v>4.4058644409990855E-2</v>
      </c>
      <c r="G109" s="16">
        <f t="shared" si="35"/>
        <v>2395.3032682930084</v>
      </c>
      <c r="H109" s="12"/>
      <c r="I109" s="12"/>
      <c r="J109" s="141"/>
      <c r="K109" s="267"/>
      <c r="L109" s="11"/>
      <c r="M109" s="425" t="e" cm="1">
        <f t="array" ref="M109">($D$5/G109)*(C109*Linterp($D$6,atmos_h,atmos_vela)/L109)</f>
        <v>#DIV/0!</v>
      </c>
      <c r="N109" s="55" t="e">
        <f t="shared" si="24"/>
        <v>#DIV/0!</v>
      </c>
      <c r="O109" s="426" t="e">
        <f t="shared" si="25"/>
        <v>#DIV/0!</v>
      </c>
      <c r="P109" s="12"/>
      <c r="Q109" s="7">
        <f t="shared" si="26"/>
        <v>1.08</v>
      </c>
      <c r="R109" s="314" t="e" cm="1">
        <f t="array" ref="R109">numeng*InterpolateXY($D$6,$Q109,Tmil_h,Tmil_M,Tmil_table)</f>
        <v>#VALUE!</v>
      </c>
      <c r="S109" s="12" cm="1">
        <f t="array" ref="S109">numeng*InterpolateXY($D$6,$Q109,Tmax_h,Tmax_M,Tmax_table)</f>
        <v>2949.1104567991083</v>
      </c>
      <c r="T109" s="16">
        <f t="shared" si="27"/>
        <v>2395.3032682930084</v>
      </c>
      <c r="U109" s="55" t="e">
        <f t="shared" si="28"/>
        <v>#VALUE!</v>
      </c>
      <c r="V109" s="426">
        <f t="shared" si="29"/>
        <v>553.80718850609992</v>
      </c>
    </row>
    <row r="110" spans="2:22">
      <c r="B110" s="120">
        <f t="shared" si="30"/>
        <v>40000</v>
      </c>
      <c r="C110" s="7">
        <v>1.0900000000000001</v>
      </c>
      <c r="D110" s="7">
        <f t="shared" si="32"/>
        <v>1055.229556359363</v>
      </c>
      <c r="E110" s="11">
        <f t="shared" si="33"/>
        <v>0.18057812476917437</v>
      </c>
      <c r="F110" s="19">
        <f t="shared" si="34"/>
        <v>4.4436096863781874E-2</v>
      </c>
      <c r="G110" s="16">
        <f t="shared" si="35"/>
        <v>2460.768541072332</v>
      </c>
      <c r="H110" s="12"/>
      <c r="I110" s="12"/>
      <c r="J110" s="141"/>
      <c r="K110" s="267"/>
      <c r="L110" s="11"/>
      <c r="M110" s="425" t="e" cm="1">
        <f t="array" ref="M110">($D$5/G110)*(C110*Linterp($D$6,atmos_h,atmos_vela)/L110)</f>
        <v>#DIV/0!</v>
      </c>
      <c r="N110" s="55" t="e">
        <f t="shared" si="24"/>
        <v>#DIV/0!</v>
      </c>
      <c r="O110" s="426" t="e">
        <f t="shared" si="25"/>
        <v>#DIV/0!</v>
      </c>
      <c r="P110" s="12"/>
      <c r="Q110" s="7">
        <f t="shared" si="26"/>
        <v>1.0900000000000001</v>
      </c>
      <c r="R110" s="314" t="e" cm="1">
        <f t="array" ref="R110">numeng*InterpolateXY($D$6,$Q110,Tmil_h,Tmil_M,Tmil_table)</f>
        <v>#VALUE!</v>
      </c>
      <c r="S110" s="12" cm="1">
        <f t="array" ref="S110">numeng*InterpolateXY($D$6,$Q110,Tmax_h,Tmax_M,Tmax_table)</f>
        <v>2963.8806260318247</v>
      </c>
      <c r="T110" s="16">
        <f t="shared" si="27"/>
        <v>2460.768541072332</v>
      </c>
      <c r="U110" s="55" t="e">
        <f t="shared" si="28"/>
        <v>#VALUE!</v>
      </c>
      <c r="V110" s="426">
        <f t="shared" si="29"/>
        <v>503.11208495949268</v>
      </c>
    </row>
    <row r="111" spans="2:22">
      <c r="B111" s="120">
        <f t="shared" si="30"/>
        <v>40000</v>
      </c>
      <c r="C111" s="7">
        <v>1.1000000000000001</v>
      </c>
      <c r="D111" s="7">
        <f t="shared" si="32"/>
        <v>1064.9105614635773</v>
      </c>
      <c r="E111" s="11">
        <f t="shared" si="33"/>
        <v>0.17730980994897194</v>
      </c>
      <c r="F111" s="19">
        <f t="shared" si="34"/>
        <v>4.4810028535458804E-2</v>
      </c>
      <c r="G111" s="16">
        <f t="shared" si="35"/>
        <v>2527.2165453425673</v>
      </c>
      <c r="H111" s="12"/>
      <c r="I111" s="12"/>
      <c r="J111" s="141"/>
      <c r="K111" s="267"/>
      <c r="L111" s="11"/>
      <c r="M111" s="425" t="e" cm="1">
        <f t="array" ref="M111">($D$5/G111)*(C111*Linterp($D$6,atmos_h,atmos_vela)/L111)</f>
        <v>#DIV/0!</v>
      </c>
      <c r="N111" s="55" t="e">
        <f t="shared" si="24"/>
        <v>#DIV/0!</v>
      </c>
      <c r="O111" s="426" t="e">
        <f t="shared" si="25"/>
        <v>#DIV/0!</v>
      </c>
      <c r="P111" s="12"/>
      <c r="Q111" s="7">
        <f t="shared" si="26"/>
        <v>1.1000000000000001</v>
      </c>
      <c r="R111" s="314" t="e" cm="1">
        <f t="array" ref="R111">numeng*InterpolateXY($D$6,$Q111,Tmil_h,Tmil_M,Tmil_table)</f>
        <v>#VALUE!</v>
      </c>
      <c r="S111" s="12" cm="1">
        <f t="array" ref="S111">numeng*InterpolateXY($D$6,$Q111,Tmax_h,Tmax_M,Tmax_table)</f>
        <v>2978.6507952645416</v>
      </c>
      <c r="T111" s="16">
        <f t="shared" si="27"/>
        <v>2527.2165453425673</v>
      </c>
      <c r="U111" s="55" t="e">
        <f t="shared" si="28"/>
        <v>#VALUE!</v>
      </c>
      <c r="V111" s="426">
        <f t="shared" si="29"/>
        <v>451.43424992197424</v>
      </c>
    </row>
    <row r="112" spans="2:22">
      <c r="B112" s="120">
        <f t="shared" si="30"/>
        <v>40000</v>
      </c>
      <c r="C112" s="7">
        <v>1.1100000000000001</v>
      </c>
      <c r="D112" s="7">
        <f t="shared" si="32"/>
        <v>1074.5915665677917</v>
      </c>
      <c r="E112" s="11">
        <f t="shared" si="33"/>
        <v>0.17412942946047891</v>
      </c>
      <c r="F112" s="19">
        <f t="shared" si="34"/>
        <v>4.5074153136716803E-2</v>
      </c>
      <c r="G112" s="16">
        <f t="shared" si="35"/>
        <v>2588.5430898369195</v>
      </c>
      <c r="H112" s="12"/>
      <c r="I112" s="12"/>
      <c r="J112" s="141"/>
      <c r="K112" s="267"/>
      <c r="L112" s="11"/>
      <c r="M112" s="425" t="e" cm="1">
        <f t="array" ref="M112">($D$5/G112)*(C112*Linterp($D$6,atmos_h,atmos_vela)/L112)</f>
        <v>#DIV/0!</v>
      </c>
      <c r="N112" s="55" t="e">
        <f t="shared" si="24"/>
        <v>#DIV/0!</v>
      </c>
      <c r="O112" s="426" t="e">
        <f t="shared" si="25"/>
        <v>#DIV/0!</v>
      </c>
      <c r="P112" s="12"/>
      <c r="Q112" s="7">
        <f t="shared" si="26"/>
        <v>1.1100000000000001</v>
      </c>
      <c r="R112" s="314" t="e" cm="1">
        <f t="array" ref="R112">numeng*InterpolateXY($D$6,$Q112,Tmil_h,Tmil_M,Tmil_table)</f>
        <v>#VALUE!</v>
      </c>
      <c r="S112" s="12" cm="1">
        <f t="array" ref="S112">numeng*InterpolateXY($D$6,$Q112,Tmax_h,Tmax_M,Tmax_table)</f>
        <v>2993.4209644972584</v>
      </c>
      <c r="T112" s="16">
        <f t="shared" si="27"/>
        <v>2588.5430898369195</v>
      </c>
      <c r="U112" s="55" t="e">
        <f t="shared" si="28"/>
        <v>#VALUE!</v>
      </c>
      <c r="V112" s="426">
        <f t="shared" si="29"/>
        <v>404.87787466033888</v>
      </c>
    </row>
    <row r="113" spans="2:22">
      <c r="B113" s="120">
        <f t="shared" si="30"/>
        <v>40000</v>
      </c>
      <c r="C113" s="7">
        <v>1.1200000000000001</v>
      </c>
      <c r="D113" s="7">
        <f t="shared" si="32"/>
        <v>1084.2725716720061</v>
      </c>
      <c r="E113" s="11">
        <f t="shared" si="33"/>
        <v>0.17103385685447706</v>
      </c>
      <c r="F113" s="19">
        <f t="shared" si="34"/>
        <v>4.5335443264981172E-2</v>
      </c>
      <c r="G113" s="16">
        <f t="shared" si="35"/>
        <v>2650.6706975306361</v>
      </c>
      <c r="H113" s="12"/>
      <c r="I113" s="12"/>
      <c r="J113" s="141"/>
      <c r="K113" s="267"/>
      <c r="L113" s="11"/>
      <c r="M113" s="425" t="e" cm="1">
        <f t="array" ref="M113">($D$5/G113)*(C113*Linterp($D$6,atmos_h,atmos_vela)/L113)</f>
        <v>#DIV/0!</v>
      </c>
      <c r="N113" s="55" t="e">
        <f t="shared" si="24"/>
        <v>#DIV/0!</v>
      </c>
      <c r="O113" s="426" t="e">
        <f t="shared" si="25"/>
        <v>#DIV/0!</v>
      </c>
      <c r="P113" s="12"/>
      <c r="Q113" s="7">
        <f t="shared" si="26"/>
        <v>1.1200000000000001</v>
      </c>
      <c r="R113" s="314" t="e" cm="1">
        <f t="array" ref="R113">numeng*InterpolateXY($D$6,$Q113,Tmil_h,Tmil_M,Tmil_table)</f>
        <v>#VALUE!</v>
      </c>
      <c r="S113" s="12" cm="1">
        <f t="array" ref="S113">numeng*InterpolateXY($D$6,$Q113,Tmax_h,Tmax_M,Tmax_table)</f>
        <v>3008.1911337299753</v>
      </c>
      <c r="T113" s="16">
        <f t="shared" si="27"/>
        <v>2650.6706975306361</v>
      </c>
      <c r="U113" s="55" t="e">
        <f t="shared" si="28"/>
        <v>#VALUE!</v>
      </c>
      <c r="V113" s="426">
        <f t="shared" si="29"/>
        <v>357.5204361993392</v>
      </c>
    </row>
    <row r="114" spans="2:22">
      <c r="B114" s="120">
        <f t="shared" si="30"/>
        <v>40000</v>
      </c>
      <c r="C114" s="7">
        <v>1.1299999999999999</v>
      </c>
      <c r="D114" s="7">
        <f t="shared" si="32"/>
        <v>1093.9535767762202</v>
      </c>
      <c r="E114" s="11">
        <f t="shared" si="33"/>
        <v>0.16802010340532234</v>
      </c>
      <c r="F114" s="19">
        <f t="shared" si="34"/>
        <v>4.5594029903231255E-2</v>
      </c>
      <c r="G114" s="16">
        <f t="shared" si="35"/>
        <v>2713.605632847562</v>
      </c>
      <c r="H114" s="12"/>
      <c r="I114" s="12"/>
      <c r="J114" s="141"/>
      <c r="K114" s="267"/>
      <c r="L114" s="11"/>
      <c r="M114" s="425" t="e" cm="1">
        <f t="array" ref="M114">($D$5/G114)*(C114*Linterp($D$6,atmos_h,atmos_vela)/L114)</f>
        <v>#DIV/0!</v>
      </c>
      <c r="N114" s="55" t="e">
        <f t="shared" si="24"/>
        <v>#DIV/0!</v>
      </c>
      <c r="O114" s="426" t="e">
        <f t="shared" si="25"/>
        <v>#DIV/0!</v>
      </c>
      <c r="P114" s="12"/>
      <c r="Q114" s="7">
        <f t="shared" si="26"/>
        <v>1.1299999999999999</v>
      </c>
      <c r="R114" s="314" t="e" cm="1">
        <f t="array" ref="R114">numeng*InterpolateXY($D$6,$Q114,Tmil_h,Tmil_M,Tmil_table)</f>
        <v>#VALUE!</v>
      </c>
      <c r="S114" s="12" cm="1">
        <f t="array" ref="S114">numeng*InterpolateXY($D$6,$Q114,Tmax_h,Tmax_M,Tmax_table)</f>
        <v>3022.9613029626917</v>
      </c>
      <c r="T114" s="16">
        <f t="shared" si="27"/>
        <v>2713.605632847562</v>
      </c>
      <c r="U114" s="55" t="e">
        <f t="shared" si="28"/>
        <v>#VALUE!</v>
      </c>
      <c r="V114" s="426">
        <f t="shared" si="29"/>
        <v>309.35567011512967</v>
      </c>
    </row>
    <row r="115" spans="2:22">
      <c r="B115" s="120">
        <f t="shared" si="30"/>
        <v>40000</v>
      </c>
      <c r="C115" s="7">
        <v>1.1399999999999999</v>
      </c>
      <c r="D115" s="7">
        <f t="shared" si="32"/>
        <v>1103.6345818804343</v>
      </c>
      <c r="E115" s="11">
        <f t="shared" si="33"/>
        <v>0.16508531089431833</v>
      </c>
      <c r="F115" s="19">
        <f t="shared" si="34"/>
        <v>4.585003750021515E-2</v>
      </c>
      <c r="G115" s="16">
        <f t="shared" si="35"/>
        <v>2777.3541602115461</v>
      </c>
      <c r="H115" s="12"/>
      <c r="I115" s="12"/>
      <c r="J115" s="141"/>
      <c r="K115" s="267"/>
      <c r="L115" s="11"/>
      <c r="M115" s="425" t="e" cm="1">
        <f t="array" ref="M115">($D$5/G115)*(C115*Linterp($D$6,atmos_h,atmos_vela)/L115)</f>
        <v>#DIV/0!</v>
      </c>
      <c r="N115" s="55" t="e">
        <f t="shared" si="24"/>
        <v>#DIV/0!</v>
      </c>
      <c r="O115" s="426" t="e">
        <f t="shared" si="25"/>
        <v>#DIV/0!</v>
      </c>
      <c r="P115" s="12"/>
      <c r="Q115" s="7">
        <f t="shared" si="26"/>
        <v>1.1399999999999999</v>
      </c>
      <c r="R115" s="314" t="e" cm="1">
        <f t="array" ref="R115">numeng*InterpolateXY($D$6,$Q115,Tmil_h,Tmil_M,Tmil_table)</f>
        <v>#VALUE!</v>
      </c>
      <c r="S115" s="12" cm="1">
        <f t="array" ref="S115">numeng*InterpolateXY($D$6,$Q115,Tmax_h,Tmax_M,Tmax_table)</f>
        <v>3037.7314721954085</v>
      </c>
      <c r="T115" s="16">
        <f t="shared" si="27"/>
        <v>2777.3541602115461</v>
      </c>
      <c r="U115" s="55" t="e">
        <f t="shared" si="28"/>
        <v>#VALUE!</v>
      </c>
      <c r="V115" s="426">
        <f t="shared" si="29"/>
        <v>260.37731198386246</v>
      </c>
    </row>
    <row r="116" spans="2:22">
      <c r="B116" s="120">
        <f t="shared" si="30"/>
        <v>40000</v>
      </c>
      <c r="C116" s="7">
        <v>1.1499999999999999</v>
      </c>
      <c r="D116" s="7">
        <f t="shared" si="32"/>
        <v>1113.3155869846487</v>
      </c>
      <c r="E116" s="11">
        <f t="shared" si="33"/>
        <v>0.16222674483043939</v>
      </c>
      <c r="F116" s="19">
        <f t="shared" si="34"/>
        <v>4.6103584338089393E-2</v>
      </c>
      <c r="G116" s="16">
        <f t="shared" si="35"/>
        <v>2841.9225440464334</v>
      </c>
      <c r="H116" s="12"/>
      <c r="I116" s="12"/>
      <c r="J116" s="141"/>
      <c r="K116" s="267"/>
      <c r="L116" s="11"/>
      <c r="M116" s="425" t="e" cm="1">
        <f t="array" ref="M116">($D$5/G116)*(C116*Linterp($D$6,atmos_h,atmos_vela)/L116)</f>
        <v>#DIV/0!</v>
      </c>
      <c r="N116" s="55" t="e">
        <f t="shared" si="24"/>
        <v>#DIV/0!</v>
      </c>
      <c r="O116" s="426" t="e">
        <f t="shared" si="25"/>
        <v>#DIV/0!</v>
      </c>
      <c r="P116" s="12"/>
      <c r="Q116" s="7">
        <f t="shared" si="26"/>
        <v>1.1499999999999999</v>
      </c>
      <c r="R116" s="314" t="e" cm="1">
        <f t="array" ref="R116">numeng*InterpolateXY($D$6,$Q116,Tmil_h,Tmil_M,Tmil_table)</f>
        <v>#VALUE!</v>
      </c>
      <c r="S116" s="12" cm="1">
        <f t="array" ref="S116">numeng*InterpolateXY($D$6,$Q116,Tmax_h,Tmax_M,Tmax_table)</f>
        <v>3052.5016414281254</v>
      </c>
      <c r="T116" s="16">
        <f t="shared" si="27"/>
        <v>2841.9225440464334</v>
      </c>
      <c r="U116" s="55" t="e">
        <f t="shared" si="28"/>
        <v>#VALUE!</v>
      </c>
      <c r="V116" s="426">
        <f t="shared" si="29"/>
        <v>210.57909738169201</v>
      </c>
    </row>
    <row r="117" spans="2:22">
      <c r="B117" s="120">
        <f t="shared" si="30"/>
        <v>40000</v>
      </c>
      <c r="C117" s="7">
        <v>1.1599999999999999</v>
      </c>
      <c r="D117" s="7">
        <f t="shared" si="32"/>
        <v>1122.9965920888631</v>
      </c>
      <c r="E117" s="11">
        <f t="shared" si="33"/>
        <v>0.15944178807837106</v>
      </c>
      <c r="F117" s="19">
        <f t="shared" si="34"/>
        <v>4.6272516847620133E-2</v>
      </c>
      <c r="G117" s="16">
        <f t="shared" si="35"/>
        <v>2902.1574209187629</v>
      </c>
      <c r="H117" s="12"/>
      <c r="I117" s="12"/>
      <c r="J117" s="141"/>
      <c r="K117" s="267"/>
      <c r="L117" s="11"/>
      <c r="M117" s="425" t="e" cm="1">
        <f t="array" ref="M117">($D$5/G117)*(C117*Linterp($D$6,atmos_h,atmos_vela)/L117)</f>
        <v>#DIV/0!</v>
      </c>
      <c r="N117" s="55" t="e">
        <f t="shared" si="24"/>
        <v>#DIV/0!</v>
      </c>
      <c r="O117" s="426" t="e">
        <f t="shared" si="25"/>
        <v>#DIV/0!</v>
      </c>
      <c r="P117" s="12"/>
      <c r="Q117" s="7">
        <f t="shared" si="26"/>
        <v>1.1599999999999999</v>
      </c>
      <c r="R117" s="314" t="e" cm="1">
        <f t="array" ref="R117">numeng*InterpolateXY($D$6,$Q117,Tmil_h,Tmil_M,Tmil_table)</f>
        <v>#VALUE!</v>
      </c>
      <c r="S117" s="12" cm="1">
        <f t="array" ref="S117">numeng*InterpolateXY($D$6,$Q117,Tmax_h,Tmax_M,Tmax_table)</f>
        <v>3067.2718106608422</v>
      </c>
      <c r="T117" s="16">
        <f t="shared" si="27"/>
        <v>2902.1574209187629</v>
      </c>
      <c r="U117" s="55" t="e">
        <f t="shared" si="28"/>
        <v>#VALUE!</v>
      </c>
      <c r="V117" s="426">
        <f t="shared" si="29"/>
        <v>165.11438974207931</v>
      </c>
    </row>
    <row r="118" spans="2:22">
      <c r="B118" s="120">
        <f t="shared" si="30"/>
        <v>40000</v>
      </c>
      <c r="C118" s="7">
        <v>1.17</v>
      </c>
      <c r="D118" s="7">
        <f t="shared" si="32"/>
        <v>1132.6775971930774</v>
      </c>
      <c r="E118" s="11">
        <f t="shared" si="33"/>
        <v>0.15672793486613787</v>
      </c>
      <c r="F118" s="19">
        <f t="shared" si="34"/>
        <v>4.6440510667829699E-2</v>
      </c>
      <c r="G118" s="16">
        <f t="shared" si="35"/>
        <v>2963.1291133577929</v>
      </c>
      <c r="H118" s="12"/>
      <c r="I118" s="12"/>
      <c r="J118" s="141"/>
      <c r="K118" s="267"/>
      <c r="L118" s="11"/>
      <c r="M118" s="425" t="e" cm="1">
        <f t="array" ref="M118">($D$5/G118)*(C118*Linterp($D$6,atmos_h,atmos_vela)/L118)</f>
        <v>#DIV/0!</v>
      </c>
      <c r="N118" s="55" t="e">
        <f t="shared" si="24"/>
        <v>#DIV/0!</v>
      </c>
      <c r="O118" s="426" t="e">
        <f t="shared" si="25"/>
        <v>#DIV/0!</v>
      </c>
      <c r="P118" s="12"/>
      <c r="Q118" s="7">
        <f t="shared" si="26"/>
        <v>1.17</v>
      </c>
      <c r="R118" s="314" t="e" cm="1">
        <f t="array" ref="R118">numeng*InterpolateXY($D$6,$Q118,Tmil_h,Tmil_M,Tmil_table)</f>
        <v>#VALUE!</v>
      </c>
      <c r="S118" s="12" cm="1">
        <f t="array" ref="S118">numeng*InterpolateXY($D$6,$Q118,Tmax_h,Tmax_M,Tmax_table)</f>
        <v>3082.0419798935586</v>
      </c>
      <c r="T118" s="16">
        <f t="shared" si="27"/>
        <v>2963.1291133577929</v>
      </c>
      <c r="U118" s="55" t="e">
        <f t="shared" si="28"/>
        <v>#VALUE!</v>
      </c>
      <c r="V118" s="426">
        <f t="shared" si="29"/>
        <v>118.91286653576572</v>
      </c>
    </row>
    <row r="119" spans="2:22">
      <c r="B119" s="120">
        <f t="shared" si="30"/>
        <v>40000</v>
      </c>
      <c r="C119" s="7">
        <v>1.18</v>
      </c>
      <c r="D119" s="7">
        <f t="shared" si="32"/>
        <v>1142.3586022972918</v>
      </c>
      <c r="E119" s="11">
        <f t="shared" si="33"/>
        <v>0.15408278514669355</v>
      </c>
      <c r="F119" s="19">
        <f t="shared" si="34"/>
        <v>4.6607618095537567E-2</v>
      </c>
      <c r="G119" s="16">
        <f t="shared" si="35"/>
        <v>3024.8426552755441</v>
      </c>
      <c r="H119" s="12"/>
      <c r="I119" s="12"/>
      <c r="J119" s="141"/>
      <c r="K119" s="267"/>
      <c r="L119" s="11"/>
      <c r="M119" s="425" t="e" cm="1">
        <f t="array" ref="M119">($D$5/G119)*(C119*Linterp($D$6,atmos_h,atmos_vela)/L119)</f>
        <v>#DIV/0!</v>
      </c>
      <c r="N119" s="55" t="e">
        <f t="shared" si="24"/>
        <v>#DIV/0!</v>
      </c>
      <c r="O119" s="426" t="e">
        <f t="shared" si="25"/>
        <v>#DIV/0!</v>
      </c>
      <c r="P119" s="12"/>
      <c r="Q119" s="7">
        <f t="shared" si="26"/>
        <v>1.18</v>
      </c>
      <c r="R119" s="314" t="e" cm="1">
        <f t="array" ref="R119">numeng*InterpolateXY($D$6,$Q119,Tmil_h,Tmil_M,Tmil_table)</f>
        <v>#VALUE!</v>
      </c>
      <c r="S119" s="12" cm="1">
        <f t="array" ref="S119">numeng*InterpolateXY($D$6,$Q119,Tmax_h,Tmax_M,Tmax_table)</f>
        <v>3096.8121491262755</v>
      </c>
      <c r="T119" s="16">
        <f t="shared" si="27"/>
        <v>3024.8426552755441</v>
      </c>
      <c r="U119" s="55" t="e">
        <f t="shared" si="28"/>
        <v>#VALUE!</v>
      </c>
      <c r="V119" s="426">
        <f t="shared" si="29"/>
        <v>71.969493850731396</v>
      </c>
    </row>
    <row r="120" spans="2:22">
      <c r="B120" s="120">
        <f t="shared" si="30"/>
        <v>40000</v>
      </c>
      <c r="C120" s="7">
        <v>1.19</v>
      </c>
      <c r="D120" s="7">
        <f t="shared" si="32"/>
        <v>1152.0396074015061</v>
      </c>
      <c r="E120" s="11">
        <f t="shared" si="33"/>
        <v>0.15150403928977904</v>
      </c>
      <c r="F120" s="19">
        <f t="shared" si="34"/>
        <v>4.6773888722025946E-2</v>
      </c>
      <c r="G120" s="16">
        <f t="shared" si="35"/>
        <v>3087.3030805840349</v>
      </c>
      <c r="H120" s="12"/>
      <c r="I120" s="12"/>
      <c r="J120" s="141"/>
      <c r="K120" s="267"/>
      <c r="L120" s="11"/>
      <c r="M120" s="425" t="e" cm="1">
        <f t="array" ref="M120">($D$5/G120)*(C120*Linterp($D$6,atmos_h,atmos_vela)/L120)</f>
        <v>#DIV/0!</v>
      </c>
      <c r="N120" s="55" t="e">
        <f t="shared" si="24"/>
        <v>#DIV/0!</v>
      </c>
      <c r="O120" s="426" t="e">
        <f t="shared" si="25"/>
        <v>#DIV/0!</v>
      </c>
      <c r="P120" s="12"/>
      <c r="Q120" s="7">
        <f t="shared" si="26"/>
        <v>1.19</v>
      </c>
      <c r="R120" s="314" t="e" cm="1">
        <f t="array" ref="R120">numeng*InterpolateXY($D$6,$Q120,Tmil_h,Tmil_M,Tmil_table)</f>
        <v>#VALUE!</v>
      </c>
      <c r="S120" s="12" cm="1">
        <f t="array" ref="S120">numeng*InterpolateXY($D$6,$Q120,Tmax_h,Tmax_M,Tmax_table)</f>
        <v>3111.5823183589923</v>
      </c>
      <c r="T120" s="16">
        <f t="shared" si="27"/>
        <v>3087.3030805840349</v>
      </c>
      <c r="U120" s="55" t="e">
        <f t="shared" si="28"/>
        <v>#VALUE!</v>
      </c>
      <c r="V120" s="426">
        <f t="shared" si="29"/>
        <v>24.279237774957437</v>
      </c>
    </row>
    <row r="121" spans="2:22">
      <c r="B121" s="120">
        <f t="shared" si="30"/>
        <v>40000</v>
      </c>
      <c r="C121" s="7">
        <v>1.2</v>
      </c>
      <c r="D121" s="7">
        <f t="shared" si="32"/>
        <v>1161.7206125057205</v>
      </c>
      <c r="E121" s="11">
        <f t="shared" si="33"/>
        <v>0.14898949308212225</v>
      </c>
      <c r="F121" s="19">
        <f t="shared" si="34"/>
        <v>4.6939369584927337E-2</v>
      </c>
      <c r="G121" s="16">
        <f t="shared" si="35"/>
        <v>3150.5154231952847</v>
      </c>
      <c r="H121" s="12"/>
      <c r="I121" s="12"/>
      <c r="J121" s="141"/>
      <c r="K121" s="267"/>
      <c r="L121" s="11"/>
      <c r="M121" s="425" t="e" cm="1">
        <f t="array" ref="M121">($D$5/G121)*(C121*Linterp($D$6,atmos_h,atmos_vela)/L121)</f>
        <v>#DIV/0!</v>
      </c>
      <c r="N121" s="55" t="e">
        <f t="shared" si="24"/>
        <v>#DIV/0!</v>
      </c>
      <c r="O121" s="426" t="e">
        <f t="shared" si="25"/>
        <v>#DIV/0!</v>
      </c>
      <c r="P121" s="12"/>
      <c r="Q121" s="7">
        <f t="shared" si="26"/>
        <v>1.2</v>
      </c>
      <c r="R121" s="314" t="e" cm="1">
        <f t="array" ref="R121">numeng*InterpolateXY($D$6,$Q121,Tmil_h,Tmil_M,Tmil_table)</f>
        <v>#VALUE!</v>
      </c>
      <c r="S121" s="12" cm="1">
        <f t="array" ref="S121">numeng*InterpolateXY($D$6,$Q121,Tmax_h,Tmax_M,Tmax_table)</f>
        <v>3126.3524875917092</v>
      </c>
      <c r="T121" s="16">
        <f t="shared" si="27"/>
        <v>3150.5154231952847</v>
      </c>
      <c r="U121" s="55" t="e">
        <f t="shared" si="28"/>
        <v>#VALUE!</v>
      </c>
      <c r="V121" s="426">
        <f t="shared" si="29"/>
        <v>-24.162935603575534</v>
      </c>
    </row>
    <row r="122" spans="2:22">
      <c r="B122" s="120"/>
      <c r="C122" s="7"/>
      <c r="D122" s="7"/>
      <c r="E122" s="11"/>
      <c r="F122" s="19"/>
      <c r="G122" s="16"/>
      <c r="H122" s="12"/>
      <c r="I122" s="12"/>
      <c r="J122" s="141"/>
      <c r="K122" s="11"/>
      <c r="L122" s="121"/>
      <c r="M122" s="12"/>
      <c r="N122" s="12"/>
      <c r="O122" s="12"/>
      <c r="Q122" s="12"/>
      <c r="R122" s="12"/>
      <c r="S122" s="12"/>
      <c r="T122" s="16"/>
      <c r="U122" s="16"/>
      <c r="V122" s="16"/>
    </row>
    <row r="123" spans="2:22" ht="15" thickBot="1">
      <c r="C123" s="7"/>
      <c r="D123" s="7"/>
      <c r="E123" s="11"/>
      <c r="F123" s="19"/>
      <c r="G123" s="16"/>
      <c r="H123" s="12"/>
      <c r="I123" s="12"/>
      <c r="J123" s="141"/>
      <c r="L123" s="121"/>
      <c r="M123" s="11"/>
      <c r="N123" s="12"/>
      <c r="O123" s="12"/>
    </row>
    <row r="124" spans="2:22" ht="15" thickBot="1">
      <c r="C124" t="s">
        <v>237</v>
      </c>
      <c r="E124" s="7" t="s">
        <v>356</v>
      </c>
      <c r="F124" s="189" cm="1">
        <f t="array" ref="F124">x_at_ymax(C65:C98,M65:M98)</f>
        <v>0.85083168518939922</v>
      </c>
      <c r="G124" s="4"/>
      <c r="L124" s="55"/>
      <c r="M124" s="55"/>
      <c r="N124" s="12"/>
      <c r="O124" s="12"/>
      <c r="R124" s="276" t="s">
        <v>51</v>
      </c>
      <c r="S124" s="55" t="s">
        <v>358</v>
      </c>
      <c r="T124" t="s">
        <v>383</v>
      </c>
      <c r="U124" s="192" cm="1">
        <f t="array" ref="U124">x_at_y0(Q90:Q101,U90:U101)</f>
        <v>0.97511998312581238</v>
      </c>
    </row>
    <row r="125" spans="2:22" ht="15" thickBot="1">
      <c r="E125" s="7" t="s">
        <v>357</v>
      </c>
      <c r="F125" s="175" cm="1">
        <f t="array" ref="F125">y_max(C65:C98,M65:M98)</f>
        <v>5874.3762586530938</v>
      </c>
      <c r="G125" s="14"/>
      <c r="M125" s="12"/>
      <c r="N125" s="12"/>
      <c r="O125" s="12"/>
      <c r="U125" s="55"/>
    </row>
    <row r="126" spans="2:22" ht="15" thickBot="1">
      <c r="C126" s="7"/>
      <c r="M126" s="12"/>
      <c r="N126" s="12"/>
      <c r="O126" s="12"/>
      <c r="S126" s="55" t="s">
        <v>358</v>
      </c>
      <c r="T126" t="s">
        <v>175</v>
      </c>
      <c r="V126" s="192" cm="1">
        <f t="array" ref="V126">x_at_y0(Q53:Q121,V53:V121)</f>
        <v>1.1950329243985875</v>
      </c>
    </row>
    <row r="127" spans="2:22">
      <c r="C127" s="7"/>
      <c r="D127" s="7"/>
      <c r="E127" s="4"/>
      <c r="F127" s="2"/>
      <c r="M127" s="12"/>
      <c r="N127" s="12"/>
      <c r="O127" s="12"/>
    </row>
    <row r="128" spans="2:22">
      <c r="C128" s="7"/>
      <c r="D128" s="7"/>
      <c r="E128" s="4"/>
      <c r="F128" s="1"/>
      <c r="K128" s="12"/>
      <c r="L128" s="12"/>
      <c r="M128" s="12"/>
      <c r="N128" s="12"/>
      <c r="O128" s="12"/>
    </row>
    <row r="129" spans="3:16" ht="15" thickBot="1">
      <c r="C129" s="7"/>
      <c r="D129" s="7"/>
      <c r="E129" s="11"/>
      <c r="F129" s="19"/>
      <c r="G129" s="16"/>
      <c r="J129" s="12"/>
      <c r="K129" s="12"/>
      <c r="L129" s="12"/>
      <c r="M129" s="12"/>
      <c r="N129" s="12"/>
      <c r="O129" s="12"/>
    </row>
    <row r="130" spans="3:16">
      <c r="C130" t="s">
        <v>238</v>
      </c>
      <c r="D130" s="7"/>
      <c r="E130" s="7" t="s">
        <v>356</v>
      </c>
      <c r="F130" s="189" cm="1">
        <f t="array" ref="F130">x_at_ymax(C65:C98,N65:N98)</f>
        <v>0.79386214348448059</v>
      </c>
      <c r="G130" s="4"/>
      <c r="J130" s="12"/>
      <c r="K130" s="12"/>
      <c r="L130" s="12"/>
      <c r="M130" s="12"/>
      <c r="N130" s="12"/>
      <c r="O130" s="12"/>
    </row>
    <row r="131" spans="3:16" ht="15" thickBot="1">
      <c r="C131" s="7"/>
      <c r="D131" s="7"/>
      <c r="E131" s="7" t="s">
        <v>357</v>
      </c>
      <c r="F131" s="174" cm="1">
        <f t="array" ref="F131">y_max(C65:C98,N65:N98)</f>
        <v>12.365001354737586</v>
      </c>
      <c r="G131" s="14"/>
      <c r="J131" s="12"/>
      <c r="K131" s="12"/>
      <c r="L131" s="12"/>
      <c r="M131" s="12"/>
      <c r="N131" s="12"/>
      <c r="O131" s="12"/>
    </row>
    <row r="132" spans="3:16">
      <c r="C132" s="7"/>
      <c r="D132" s="7"/>
      <c r="J132" s="12"/>
      <c r="K132" s="12"/>
      <c r="L132" s="12"/>
      <c r="M132" s="12"/>
      <c r="N132" s="12"/>
      <c r="O132" s="12"/>
    </row>
    <row r="133" spans="3:16">
      <c r="C133" s="7"/>
      <c r="D133" s="7"/>
      <c r="E133" s="4"/>
      <c r="F133" s="2"/>
      <c r="J133" s="12"/>
      <c r="K133" s="12"/>
      <c r="L133" s="12"/>
      <c r="M133" s="12"/>
      <c r="N133" s="12"/>
      <c r="O133" s="12"/>
    </row>
    <row r="134" spans="3:16">
      <c r="C134" s="7"/>
      <c r="D134" s="7"/>
      <c r="E134" s="4"/>
      <c r="F134" s="2"/>
      <c r="J134" s="12"/>
      <c r="K134" s="12"/>
      <c r="L134" s="12"/>
      <c r="M134" s="12"/>
      <c r="N134" s="12"/>
      <c r="O134" s="12"/>
      <c r="P134" s="12"/>
    </row>
    <row r="135" spans="3:16" ht="15" thickBot="1">
      <c r="C135" s="7"/>
      <c r="D135" s="7" t="s">
        <v>549</v>
      </c>
      <c r="E135" s="12">
        <v>1000</v>
      </c>
      <c r="F135" s="19" t="s">
        <v>547</v>
      </c>
      <c r="G135" s="16"/>
      <c r="H135" s="16"/>
      <c r="I135" s="12"/>
      <c r="J135" s="12"/>
      <c r="K135" s="12"/>
      <c r="L135" s="12"/>
      <c r="M135" s="12"/>
      <c r="N135" s="12"/>
      <c r="O135" s="12"/>
      <c r="P135" s="12"/>
    </row>
    <row r="136" spans="3:16" ht="15" thickBot="1">
      <c r="C136" s="7"/>
      <c r="D136" s="7"/>
      <c r="E136" s="143" t="s">
        <v>239</v>
      </c>
      <c r="F136" s="269">
        <f>F125*LN($D$5/($D$5-E135))</f>
        <v>618.92731177978271</v>
      </c>
      <c r="G136" s="144" t="s">
        <v>183</v>
      </c>
      <c r="H136" s="272" t="s">
        <v>376</v>
      </c>
      <c r="I136" s="190" cm="1">
        <f t="array" ref="I136">(F136/(F124*Linterp(D6,atmos_h,atmos_vela)))*(60/1)</f>
        <v>76.142629833320612</v>
      </c>
      <c r="J136" s="145" t="s">
        <v>201</v>
      </c>
      <c r="K136" s="12"/>
      <c r="L136" s="12"/>
      <c r="M136" s="12"/>
      <c r="N136" s="12"/>
      <c r="O136" s="12"/>
      <c r="P136" s="12"/>
    </row>
    <row r="137" spans="3:16" ht="15" thickBot="1">
      <c r="C137" s="7"/>
      <c r="D137" s="7"/>
      <c r="E137" s="143"/>
      <c r="F137" s="270"/>
      <c r="G137" s="144"/>
      <c r="H137" s="144"/>
      <c r="I137" s="271"/>
      <c r="J137" s="145"/>
      <c r="K137" s="12"/>
      <c r="L137" s="12"/>
      <c r="M137" s="12"/>
      <c r="N137" s="12"/>
      <c r="O137" s="12"/>
      <c r="P137" s="12"/>
    </row>
    <row r="138" spans="3:16" ht="15" thickBot="1">
      <c r="C138" s="7"/>
      <c r="D138" s="7"/>
      <c r="E138" s="143" t="s">
        <v>240</v>
      </c>
      <c r="F138" s="268">
        <f>F131*60*LN($D$5/($D$5-E135))</f>
        <v>78.166975130692407</v>
      </c>
      <c r="G138" s="144" t="s">
        <v>201</v>
      </c>
      <c r="H138" s="272" t="s">
        <v>377</v>
      </c>
      <c r="I138" s="269" cm="1">
        <f t="array" ref="I138">F138*F130*Linterp(D6,atmos_h,atmos_vela)/60</f>
        <v>592.83866253079611</v>
      </c>
      <c r="J138" s="145" t="s">
        <v>183</v>
      </c>
      <c r="K138" s="12"/>
      <c r="L138" s="12"/>
      <c r="M138" s="12"/>
      <c r="N138" s="12"/>
      <c r="O138" s="12"/>
      <c r="P138" s="12"/>
    </row>
    <row r="139" spans="3:16">
      <c r="C139" s="7"/>
      <c r="D139" s="7"/>
      <c r="E139" s="11"/>
      <c r="F139" s="19"/>
      <c r="G139" s="16"/>
      <c r="H139" s="16"/>
      <c r="I139" s="12"/>
      <c r="J139" s="12"/>
    </row>
    <row r="140" spans="3:16">
      <c r="E140" t="s">
        <v>374</v>
      </c>
    </row>
    <row r="141" spans="3:16">
      <c r="E141" t="s">
        <v>375</v>
      </c>
    </row>
  </sheetData>
  <mergeCells count="2">
    <mergeCell ref="B2:D2"/>
    <mergeCell ref="B3:D3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E5261-8715-4516-94DA-FE7416FD6BDB}">
  <sheetPr codeName="Sheet45">
    <tabColor rgb="FFFFCCFF"/>
  </sheetPr>
  <dimension ref="A2:AE164"/>
  <sheetViews>
    <sheetView topLeftCell="C11" workbookViewId="0">
      <selection activeCell="AA15" sqref="AA15"/>
    </sheetView>
  </sheetViews>
  <sheetFormatPr defaultRowHeight="14.5"/>
  <sheetData>
    <row r="2" spans="1:9">
      <c r="A2" t="s">
        <v>76</v>
      </c>
      <c r="B2" t="s">
        <v>55</v>
      </c>
      <c r="C2" t="s">
        <v>551</v>
      </c>
      <c r="D2" t="s">
        <v>552</v>
      </c>
      <c r="E2" t="s">
        <v>553</v>
      </c>
      <c r="F2" t="s">
        <v>554</v>
      </c>
      <c r="I2" t="s">
        <v>566</v>
      </c>
    </row>
    <row r="3" spans="1:9">
      <c r="A3" t="s">
        <v>202</v>
      </c>
      <c r="B3" t="s">
        <v>367</v>
      </c>
      <c r="C3" t="s">
        <v>555</v>
      </c>
    </row>
    <row r="4" spans="1:9">
      <c r="A4" t="s">
        <v>187</v>
      </c>
    </row>
    <row r="50" spans="1:31">
      <c r="A50" t="s">
        <v>556</v>
      </c>
      <c r="C50" t="s">
        <v>55</v>
      </c>
      <c r="F50" t="s">
        <v>557</v>
      </c>
      <c r="K50" t="s">
        <v>558</v>
      </c>
      <c r="P50" t="s">
        <v>559</v>
      </c>
      <c r="U50" t="s">
        <v>560</v>
      </c>
      <c r="Z50" t="s">
        <v>561</v>
      </c>
    </row>
    <row r="51" spans="1:31">
      <c r="A51" t="str" cm="1">
        <f t="array" ref="A51:A163">'10 - Cruise at SL'!C9:C121</f>
        <v>Mach</v>
      </c>
      <c r="B51" t="str" cm="1">
        <f t="array" ref="B51:B163">'10 - Cruise at SL'!G9:G121</f>
        <v>D</v>
      </c>
      <c r="C51" t="str" cm="1">
        <f t="array" ref="C51:C163">'10 - Cruise at SL'!R9:R121</f>
        <v>Tmil</v>
      </c>
      <c r="D51" t="str" cm="1">
        <f t="array" ref="D51:D163">'10 - Cruise at SL'!S9:S121</f>
        <v>Tmax</v>
      </c>
      <c r="F51" t="str" cm="1">
        <f t="array" ref="F51:F163">'10 - Cruise at 10k'!C9:C121</f>
        <v>Mach</v>
      </c>
      <c r="G51" t="str" cm="1">
        <f t="array" ref="G51:G163">'10 - Cruise at 10k'!G9:G121</f>
        <v>D</v>
      </c>
      <c r="H51" t="str" cm="1">
        <f t="array" ref="H51:H163">'10 - Cruise at 10k'!R9:R121</f>
        <v>Tmil</v>
      </c>
      <c r="I51" t="str" cm="1">
        <f t="array" ref="I51:I163">'10 - Cruise at 10k'!S9:S121</f>
        <v>Tmax</v>
      </c>
      <c r="K51" t="str" cm="1">
        <f t="array" ref="K51:K163">'10 - Cruise at 20k'!C9:C121</f>
        <v>Mach</v>
      </c>
      <c r="L51" t="str" cm="1">
        <f t="array" ref="L51:L163">'10 - Cruise at 20k'!G9:G121</f>
        <v>D</v>
      </c>
      <c r="M51" t="str" cm="1">
        <f t="array" ref="M51:M163">'10 - Cruise at 20k'!R9:R121</f>
        <v>Tmil</v>
      </c>
      <c r="N51" t="str" cm="1">
        <f t="array" ref="N51:N163">'10 - Cruise at 20k'!S9:S121</f>
        <v>Tmax</v>
      </c>
      <c r="P51" t="str" cm="1">
        <f t="array" ref="P51:P163">'10 - Cruise at 30k'!C9:C121</f>
        <v>Mach</v>
      </c>
      <c r="Q51" t="str" cm="1">
        <f t="array" ref="Q51:Q163">'10 - Cruise at 30k'!G9:G121</f>
        <v>D</v>
      </c>
      <c r="R51" t="str" cm="1">
        <f t="array" ref="R51:R163">'10 - Cruise at 30k'!R9:R121</f>
        <v>Tmil</v>
      </c>
      <c r="S51" t="str" cm="1">
        <f t="array" ref="S51:S163">'10 - Cruise at 30k'!S9:S121</f>
        <v>Tmax</v>
      </c>
      <c r="U51" t="str" cm="1">
        <f t="array" ref="U51:U163">'10 - Cruise at 40k'!C9:C121</f>
        <v>Mach</v>
      </c>
      <c r="V51" t="str" cm="1">
        <f t="array" ref="V51:V163">'10 - Cruise at 40k'!G9:G121</f>
        <v>D</v>
      </c>
      <c r="W51" t="str" cm="1">
        <f t="array" ref="W51:W163">'10 - Cruise at 40k'!R9:R121</f>
        <v>Tmil</v>
      </c>
      <c r="X51" t="str" cm="1">
        <f t="array" ref="X51:X163">'10 - Cruise at 40k'!S9:S121</f>
        <v>Tmax</v>
      </c>
      <c r="Z51" t="s">
        <v>72</v>
      </c>
      <c r="AA51" t="s">
        <v>55</v>
      </c>
      <c r="AB51" t="s">
        <v>562</v>
      </c>
      <c r="AC51" t="s">
        <v>563</v>
      </c>
      <c r="AD51" t="s">
        <v>564</v>
      </c>
      <c r="AE51" t="s">
        <v>565</v>
      </c>
    </row>
    <row r="52" spans="1:31">
      <c r="A52" t="str">
        <v>(--)</v>
      </c>
      <c r="B52" t="str">
        <v>(lb)</v>
      </c>
      <c r="C52" t="str">
        <v>(lb)</v>
      </c>
      <c r="D52" t="str">
        <v>(lb)</v>
      </c>
      <c r="F52" t="str">
        <v>(--)</v>
      </c>
      <c r="G52" t="str">
        <v>(lb)</v>
      </c>
      <c r="H52" t="str">
        <v>(lb)</v>
      </c>
      <c r="I52" t="str">
        <v>(lb)</v>
      </c>
      <c r="K52" t="str">
        <v>(--)</v>
      </c>
      <c r="L52" t="str">
        <v>(lb)</v>
      </c>
      <c r="M52" t="str">
        <v>(lb)</v>
      </c>
      <c r="N52" t="str">
        <v>(lb)</v>
      </c>
      <c r="P52" t="str">
        <v>(--)</v>
      </c>
      <c r="Q52" t="str">
        <v>(lb)</v>
      </c>
      <c r="R52" t="str">
        <v>(lb)</v>
      </c>
      <c r="S52" t="str">
        <v>(lb)</v>
      </c>
      <c r="U52" t="str">
        <v>(--)</v>
      </c>
      <c r="V52" t="str">
        <v>(lb)</v>
      </c>
      <c r="W52" t="str">
        <v>(lb)</v>
      </c>
      <c r="X52" t="str">
        <v>(lb)</v>
      </c>
      <c r="Z52" t="str" cm="1">
        <f t="array" ref="Z52:Z164">'10 - Cruise at SL'!C9:C121</f>
        <v>Mach</v>
      </c>
      <c r="AA52" t="str" cm="1">
        <f t="array" ref="AA52:AA164">'10 - Cruise at SL'!O9:O121</f>
        <v>SR</v>
      </c>
      <c r="AB52" t="str" cm="1">
        <f t="array" ref="AB52:AB164">'10 - Cruise at 10k'!O9:O121</f>
        <v>SR</v>
      </c>
      <c r="AC52" t="str" cm="1">
        <f t="array" ref="AC52:AC164">'10 - Cruise at 20k'!O9:O121</f>
        <v>SR</v>
      </c>
      <c r="AD52" t="str" cm="1">
        <f t="array" ref="AD52:AD164">'10 - Cruise at 30k'!O9:O121</f>
        <v>SR</v>
      </c>
      <c r="AE52" t="str" cm="1">
        <f t="array" ref="AE52:AE164">'10 - Cruise at 40k'!O9:O121</f>
        <v>SR</v>
      </c>
    </row>
    <row r="53" spans="1:31">
      <c r="A53">
        <v>0.1</v>
      </c>
      <c r="B53" t="e">
        <v>#VALUE!</v>
      </c>
      <c r="C53">
        <v>3839.9999900654411</v>
      </c>
      <c r="D53">
        <v>5739.999985153494</v>
      </c>
      <c r="F53">
        <v>0.1</v>
      </c>
      <c r="G53" t="e">
        <v>#VALUE!</v>
      </c>
      <c r="H53">
        <v>2894.8223671633441</v>
      </c>
      <c r="I53">
        <v>4327.4640488717332</v>
      </c>
      <c r="K53">
        <v>0.1</v>
      </c>
      <c r="L53" t="e">
        <v>#VALUE!</v>
      </c>
      <c r="M53">
        <v>2109.9111414925355</v>
      </c>
      <c r="N53">
        <v>3164.8667122388038</v>
      </c>
      <c r="P53">
        <v>0.1</v>
      </c>
      <c r="Q53" t="e">
        <v>#VALUE!</v>
      </c>
      <c r="R53">
        <v>1496.5084454290716</v>
      </c>
      <c r="S53">
        <v>2252.2452103707528</v>
      </c>
      <c r="U53">
        <v>0.1</v>
      </c>
      <c r="V53" t="e">
        <v>#VALUE!</v>
      </c>
      <c r="W53">
        <v>994.52472833626018</v>
      </c>
      <c r="X53">
        <v>1501.6338719928681</v>
      </c>
      <c r="Z53" t="str">
        <v>(--)</v>
      </c>
      <c r="AA53" t="str">
        <v>(NM/lb)</v>
      </c>
      <c r="AB53" t="str">
        <v>(NM/lb)</v>
      </c>
      <c r="AC53" t="str">
        <v>(NM/lb)</v>
      </c>
      <c r="AD53" t="str">
        <v>(NM/lb)</v>
      </c>
      <c r="AE53" t="str">
        <v>(NM/lb)</v>
      </c>
    </row>
    <row r="54" spans="1:31">
      <c r="A54">
        <v>0.11</v>
      </c>
      <c r="B54" t="e">
        <v>#VALUE!</v>
      </c>
      <c r="C54">
        <v>3843.9999901233082</v>
      </c>
      <c r="D54">
        <v>5763.999985190495</v>
      </c>
      <c r="F54">
        <v>0.11</v>
      </c>
      <c r="G54" t="e">
        <v>#VALUE!</v>
      </c>
      <c r="H54">
        <v>2903.6840682873135</v>
      </c>
      <c r="I54">
        <v>4354.0491522436414</v>
      </c>
      <c r="K54">
        <v>0.11</v>
      </c>
      <c r="L54" t="e">
        <v>#VALUE!</v>
      </c>
      <c r="M54">
        <v>2118.4360349935155</v>
      </c>
      <c r="N54">
        <v>3188.3101693664985</v>
      </c>
      <c r="P54">
        <v>0.11</v>
      </c>
      <c r="Q54" t="e">
        <v>#VALUE!</v>
      </c>
      <c r="R54">
        <v>1503.9909876562169</v>
      </c>
      <c r="S54">
        <v>2271.6998201613305</v>
      </c>
      <c r="U54">
        <v>0.11</v>
      </c>
      <c r="V54" t="e">
        <v>#VALUE!</v>
      </c>
      <c r="W54">
        <v>1000.4327960293468</v>
      </c>
      <c r="X54">
        <v>1516.4040412255847</v>
      </c>
      <c r="Z54">
        <v>0.1</v>
      </c>
      <c r="AA54" t="e">
        <v>#VALUE!</v>
      </c>
      <c r="AB54" t="e">
        <v>#VALUE!</v>
      </c>
      <c r="AC54" t="e">
        <v>#VALUE!</v>
      </c>
      <c r="AD54" t="e">
        <v>#VALUE!</v>
      </c>
      <c r="AE54" t="e">
        <v>#VALUE!</v>
      </c>
    </row>
    <row r="55" spans="1:31">
      <c r="A55">
        <v>0.12</v>
      </c>
      <c r="B55" t="e">
        <v>#VALUE!</v>
      </c>
      <c r="C55">
        <v>3847.9999901811748</v>
      </c>
      <c r="D55">
        <v>5787.9999852274959</v>
      </c>
      <c r="F55">
        <v>0.12</v>
      </c>
      <c r="G55" t="e">
        <v>#VALUE!</v>
      </c>
      <c r="H55">
        <v>2912.5457694112829</v>
      </c>
      <c r="I55">
        <v>4380.6342556155496</v>
      </c>
      <c r="K55">
        <v>0.12</v>
      </c>
      <c r="L55" t="e">
        <v>#VALUE!</v>
      </c>
      <c r="M55">
        <v>2126.9609284944954</v>
      </c>
      <c r="N55">
        <v>3211.7536264941932</v>
      </c>
      <c r="P55">
        <v>0.12</v>
      </c>
      <c r="Q55" t="e">
        <v>#VALUE!</v>
      </c>
      <c r="R55">
        <v>1511.4735298833623</v>
      </c>
      <c r="S55">
        <v>2291.1544299519087</v>
      </c>
      <c r="U55">
        <v>0.12</v>
      </c>
      <c r="V55" t="e">
        <v>#VALUE!</v>
      </c>
      <c r="W55">
        <v>1006.3408637224336</v>
      </c>
      <c r="X55">
        <v>1531.1742104583016</v>
      </c>
      <c r="Z55">
        <v>0.11</v>
      </c>
      <c r="AA55" t="e">
        <v>#VALUE!</v>
      </c>
      <c r="AB55" t="e">
        <v>#VALUE!</v>
      </c>
      <c r="AC55" t="e">
        <v>#VALUE!</v>
      </c>
      <c r="AD55" t="e">
        <v>#VALUE!</v>
      </c>
      <c r="AE55" t="e">
        <v>#VALUE!</v>
      </c>
    </row>
    <row r="56" spans="1:31">
      <c r="A56">
        <v>0.13</v>
      </c>
      <c r="B56" t="e">
        <v>#VALUE!</v>
      </c>
      <c r="C56">
        <v>3851.9999902390418</v>
      </c>
      <c r="D56">
        <v>5811.9999852644969</v>
      </c>
      <c r="F56">
        <v>0.13</v>
      </c>
      <c r="G56" t="e">
        <v>#VALUE!</v>
      </c>
      <c r="H56">
        <v>2921.4074705352523</v>
      </c>
      <c r="I56">
        <v>4407.2193589874578</v>
      </c>
      <c r="K56">
        <v>0.13</v>
      </c>
      <c r="L56" t="e">
        <v>#VALUE!</v>
      </c>
      <c r="M56">
        <v>2135.4858219954754</v>
      </c>
      <c r="N56">
        <v>3235.1970836218884</v>
      </c>
      <c r="P56">
        <v>0.13</v>
      </c>
      <c r="Q56" t="e">
        <v>#VALUE!</v>
      </c>
      <c r="R56">
        <v>1518.9560721105076</v>
      </c>
      <c r="S56">
        <v>2310.6090397424864</v>
      </c>
      <c r="U56">
        <v>0.13</v>
      </c>
      <c r="V56" t="e">
        <v>#VALUE!</v>
      </c>
      <c r="W56">
        <v>1012.2489314155202</v>
      </c>
      <c r="X56">
        <v>1545.9443796910182</v>
      </c>
      <c r="Z56">
        <v>0.12</v>
      </c>
      <c r="AA56" t="e">
        <v>#VALUE!</v>
      </c>
      <c r="AB56" t="e">
        <v>#VALUE!</v>
      </c>
      <c r="AC56" t="e">
        <v>#VALUE!</v>
      </c>
      <c r="AD56" t="e">
        <v>#VALUE!</v>
      </c>
      <c r="AE56" t="e">
        <v>#VALUE!</v>
      </c>
    </row>
    <row r="57" spans="1:31">
      <c r="A57">
        <v>0.14000000000000001</v>
      </c>
      <c r="B57" t="e">
        <v>#VALUE!</v>
      </c>
      <c r="C57">
        <v>3855.9999902969084</v>
      </c>
      <c r="D57">
        <v>5835.9999853014979</v>
      </c>
      <c r="F57">
        <v>0.14000000000000001</v>
      </c>
      <c r="G57" t="e">
        <v>#VALUE!</v>
      </c>
      <c r="H57">
        <v>2930.2691716592217</v>
      </c>
      <c r="I57">
        <v>4433.804462359366</v>
      </c>
      <c r="K57">
        <v>0.14000000000000001</v>
      </c>
      <c r="L57" t="e">
        <v>#VALUE!</v>
      </c>
      <c r="M57">
        <v>2144.0107154964553</v>
      </c>
      <c r="N57">
        <v>3258.6405407495831</v>
      </c>
      <c r="P57">
        <v>0.14000000000000001</v>
      </c>
      <c r="Q57" t="e">
        <v>#VALUE!</v>
      </c>
      <c r="R57">
        <v>1526.438614337653</v>
      </c>
      <c r="S57">
        <v>2330.0636495330646</v>
      </c>
      <c r="U57">
        <v>0.14000000000000001</v>
      </c>
      <c r="V57" t="e">
        <v>#VALUE!</v>
      </c>
      <c r="W57">
        <v>1018.1569991086069</v>
      </c>
      <c r="X57">
        <v>1560.714548923735</v>
      </c>
      <c r="Z57">
        <v>0.13</v>
      </c>
      <c r="AA57" t="e">
        <v>#VALUE!</v>
      </c>
      <c r="AB57" t="e">
        <v>#VALUE!</v>
      </c>
      <c r="AC57" t="e">
        <v>#VALUE!</v>
      </c>
      <c r="AD57" t="e">
        <v>#VALUE!</v>
      </c>
      <c r="AE57" t="e">
        <v>#VALUE!</v>
      </c>
    </row>
    <row r="58" spans="1:31">
      <c r="A58">
        <v>0.15</v>
      </c>
      <c r="B58" t="e">
        <v>#VALUE!</v>
      </c>
      <c r="C58">
        <v>3859.9999903547755</v>
      </c>
      <c r="D58">
        <v>5859.9999853384979</v>
      </c>
      <c r="F58">
        <v>0.15</v>
      </c>
      <c r="G58" t="e">
        <v>#VALUE!</v>
      </c>
      <c r="H58">
        <v>2939.1308727831911</v>
      </c>
      <c r="I58">
        <v>4460.3895657312742</v>
      </c>
      <c r="K58">
        <v>0.15</v>
      </c>
      <c r="L58" t="e">
        <v>#VALUE!</v>
      </c>
      <c r="M58">
        <v>2152.5356089974352</v>
      </c>
      <c r="N58">
        <v>3282.0839978772779</v>
      </c>
      <c r="P58">
        <v>0.15</v>
      </c>
      <c r="Q58" t="e">
        <v>#VALUE!</v>
      </c>
      <c r="R58">
        <v>1533.9211565647984</v>
      </c>
      <c r="S58">
        <v>2349.5182593236423</v>
      </c>
      <c r="U58">
        <v>0.15</v>
      </c>
      <c r="V58" t="e">
        <v>#VALUE!</v>
      </c>
      <c r="W58">
        <v>1024.0650668016935</v>
      </c>
      <c r="X58">
        <v>1575.4847181564517</v>
      </c>
      <c r="Z58">
        <v>0.14000000000000001</v>
      </c>
      <c r="AA58" t="e">
        <v>#VALUE!</v>
      </c>
      <c r="AB58" t="e">
        <v>#VALUE!</v>
      </c>
      <c r="AC58" t="e">
        <v>#VALUE!</v>
      </c>
      <c r="AD58" t="e">
        <v>#VALUE!</v>
      </c>
      <c r="AE58" t="e">
        <v>#VALUE!</v>
      </c>
    </row>
    <row r="59" spans="1:31">
      <c r="A59">
        <v>0.16</v>
      </c>
      <c r="B59" t="e">
        <v>#VALUE!</v>
      </c>
      <c r="C59">
        <v>3863.9999904126425</v>
      </c>
      <c r="D59">
        <v>5883.9999853754989</v>
      </c>
      <c r="F59">
        <v>0.16</v>
      </c>
      <c r="G59" t="e">
        <v>#VALUE!</v>
      </c>
      <c r="H59">
        <v>2947.9925739071605</v>
      </c>
      <c r="I59">
        <v>4486.9746691031833</v>
      </c>
      <c r="K59">
        <v>0.16</v>
      </c>
      <c r="L59" t="e">
        <v>#VALUE!</v>
      </c>
      <c r="M59">
        <v>2161.0605024984152</v>
      </c>
      <c r="N59">
        <v>3305.5274550049726</v>
      </c>
      <c r="P59">
        <v>0.16</v>
      </c>
      <c r="Q59" t="e">
        <v>#VALUE!</v>
      </c>
      <c r="R59">
        <v>1541.4036987919437</v>
      </c>
      <c r="S59">
        <v>2368.9728691142204</v>
      </c>
      <c r="U59">
        <v>0.16</v>
      </c>
      <c r="V59" t="e">
        <v>#VALUE!</v>
      </c>
      <c r="W59">
        <v>1029.9731344947802</v>
      </c>
      <c r="X59">
        <v>1590.2548873891685</v>
      </c>
      <c r="Z59">
        <v>0.15</v>
      </c>
      <c r="AA59" t="e">
        <v>#VALUE!</v>
      </c>
      <c r="AB59" t="e">
        <v>#VALUE!</v>
      </c>
      <c r="AC59" t="e">
        <v>#VALUE!</v>
      </c>
      <c r="AD59" t="e">
        <v>#VALUE!</v>
      </c>
      <c r="AE59" t="e">
        <v>#VALUE!</v>
      </c>
    </row>
    <row r="60" spans="1:31">
      <c r="A60">
        <v>0.17</v>
      </c>
      <c r="B60" t="e">
        <v>#VALUE!</v>
      </c>
      <c r="C60">
        <v>3867.9999904705091</v>
      </c>
      <c r="D60">
        <v>5907.9999854124999</v>
      </c>
      <c r="F60">
        <v>0.17</v>
      </c>
      <c r="G60" t="e">
        <v>#VALUE!</v>
      </c>
      <c r="H60">
        <v>2956.8542750311299</v>
      </c>
      <c r="I60">
        <v>4513.5597724750914</v>
      </c>
      <c r="K60">
        <v>0.17</v>
      </c>
      <c r="L60" t="e">
        <v>#VALUE!</v>
      </c>
      <c r="M60">
        <v>2169.5853959993951</v>
      </c>
      <c r="N60">
        <v>3328.9709121326673</v>
      </c>
      <c r="P60">
        <v>0.17</v>
      </c>
      <c r="Q60" t="e">
        <v>#VALUE!</v>
      </c>
      <c r="R60">
        <v>1548.8862410190891</v>
      </c>
      <c r="S60">
        <v>2388.4274789047986</v>
      </c>
      <c r="U60">
        <v>0.17</v>
      </c>
      <c r="V60" t="e">
        <v>#VALUE!</v>
      </c>
      <c r="W60">
        <v>1035.8812021878671</v>
      </c>
      <c r="X60">
        <v>1605.0250566218854</v>
      </c>
      <c r="Z60">
        <v>0.16</v>
      </c>
      <c r="AA60" t="e">
        <v>#VALUE!</v>
      </c>
      <c r="AB60" t="e">
        <v>#VALUE!</v>
      </c>
      <c r="AC60" t="e">
        <v>#VALUE!</v>
      </c>
      <c r="AD60" t="e">
        <v>#VALUE!</v>
      </c>
      <c r="AE60" t="e">
        <v>#VALUE!</v>
      </c>
    </row>
    <row r="61" spans="1:31">
      <c r="A61">
        <v>0.18</v>
      </c>
      <c r="B61" t="e">
        <v>#VALUE!</v>
      </c>
      <c r="C61">
        <v>3871.9999905283762</v>
      </c>
      <c r="D61">
        <v>5931.9999854495009</v>
      </c>
      <c r="F61">
        <v>0.18</v>
      </c>
      <c r="G61" t="e">
        <v>#VALUE!</v>
      </c>
      <c r="H61">
        <v>2965.7159761550993</v>
      </c>
      <c r="I61">
        <v>4540.1448758469996</v>
      </c>
      <c r="K61">
        <v>0.18</v>
      </c>
      <c r="L61" t="e">
        <v>#VALUE!</v>
      </c>
      <c r="M61">
        <v>2178.1102895003751</v>
      </c>
      <c r="N61">
        <v>3352.4143692603625</v>
      </c>
      <c r="P61">
        <v>0.18</v>
      </c>
      <c r="Q61" t="e">
        <v>#VALUE!</v>
      </c>
      <c r="R61">
        <v>1556.3687832462344</v>
      </c>
      <c r="S61">
        <v>2407.8820886953763</v>
      </c>
      <c r="U61">
        <v>0.18</v>
      </c>
      <c r="V61" t="e">
        <v>#VALUE!</v>
      </c>
      <c r="W61">
        <v>1041.7892698809537</v>
      </c>
      <c r="X61">
        <v>1619.795225854602</v>
      </c>
      <c r="Z61">
        <v>0.17</v>
      </c>
      <c r="AA61" t="e">
        <v>#VALUE!</v>
      </c>
      <c r="AB61" t="e">
        <v>#VALUE!</v>
      </c>
      <c r="AC61" t="e">
        <v>#VALUE!</v>
      </c>
      <c r="AD61" t="e">
        <v>#VALUE!</v>
      </c>
      <c r="AE61" t="e">
        <v>#VALUE!</v>
      </c>
    </row>
    <row r="62" spans="1:31">
      <c r="A62">
        <v>0.19</v>
      </c>
      <c r="B62" t="e">
        <v>#VALUE!</v>
      </c>
      <c r="C62">
        <v>3875.9999905862428</v>
      </c>
      <c r="D62">
        <v>5955.9999854865018</v>
      </c>
      <c r="F62">
        <v>0.19</v>
      </c>
      <c r="G62" t="e">
        <v>#VALUE!</v>
      </c>
      <c r="H62">
        <v>2974.5776772790687</v>
      </c>
      <c r="I62">
        <v>4566.7299792189078</v>
      </c>
      <c r="K62">
        <v>0.19</v>
      </c>
      <c r="L62" t="e">
        <v>#VALUE!</v>
      </c>
      <c r="M62">
        <v>2186.635183001355</v>
      </c>
      <c r="N62">
        <v>3375.8578263880572</v>
      </c>
      <c r="P62">
        <v>0.19</v>
      </c>
      <c r="Q62" t="e">
        <v>#VALUE!</v>
      </c>
      <c r="R62">
        <v>1563.8513254733798</v>
      </c>
      <c r="S62">
        <v>2427.336698485954</v>
      </c>
      <c r="U62">
        <v>0.19</v>
      </c>
      <c r="V62" t="e">
        <v>#VALUE!</v>
      </c>
      <c r="W62">
        <v>1047.6973375740404</v>
      </c>
      <c r="X62">
        <v>1634.5653950873186</v>
      </c>
      <c r="Z62">
        <v>0.18</v>
      </c>
      <c r="AA62" t="e">
        <v>#VALUE!</v>
      </c>
      <c r="AB62" t="e">
        <v>#VALUE!</v>
      </c>
      <c r="AC62" t="e">
        <v>#VALUE!</v>
      </c>
      <c r="AD62" t="e">
        <v>#VALUE!</v>
      </c>
      <c r="AE62" t="e">
        <v>#VALUE!</v>
      </c>
    </row>
    <row r="63" spans="1:31">
      <c r="A63">
        <v>0.2</v>
      </c>
      <c r="B63" t="e">
        <v>#VALUE!</v>
      </c>
      <c r="C63">
        <v>3879.9999906441099</v>
      </c>
      <c r="D63">
        <v>5979.9999855235028</v>
      </c>
      <c r="F63">
        <v>0.2</v>
      </c>
      <c r="G63" t="e">
        <v>#VALUE!</v>
      </c>
      <c r="H63">
        <v>2983.4393784030381</v>
      </c>
      <c r="I63">
        <v>4593.315082590816</v>
      </c>
      <c r="K63">
        <v>0.2</v>
      </c>
      <c r="L63" t="e">
        <v>#VALUE!</v>
      </c>
      <c r="M63">
        <v>2195.160076502335</v>
      </c>
      <c r="N63">
        <v>3399.3012835157519</v>
      </c>
      <c r="P63">
        <v>0.2</v>
      </c>
      <c r="Q63" t="e">
        <v>#VALUE!</v>
      </c>
      <c r="R63">
        <v>1571.3338677005252</v>
      </c>
      <c r="S63">
        <v>2446.7913082765322</v>
      </c>
      <c r="U63">
        <v>0.2</v>
      </c>
      <c r="V63" t="e">
        <v>#VALUE!</v>
      </c>
      <c r="W63">
        <v>1053.605405267127</v>
      </c>
      <c r="X63">
        <v>1649.3355643200355</v>
      </c>
      <c r="Z63">
        <v>0.19</v>
      </c>
      <c r="AA63" t="e">
        <v>#VALUE!</v>
      </c>
      <c r="AB63" t="e">
        <v>#VALUE!</v>
      </c>
      <c r="AC63" t="e">
        <v>#VALUE!</v>
      </c>
      <c r="AD63" t="e">
        <v>#VALUE!</v>
      </c>
      <c r="AE63" t="e">
        <v>#VALUE!</v>
      </c>
    </row>
    <row r="64" spans="1:31">
      <c r="A64">
        <v>0.21</v>
      </c>
      <c r="B64" t="e">
        <v>#VALUE!</v>
      </c>
      <c r="C64">
        <v>3883.9999907019769</v>
      </c>
      <c r="D64">
        <v>6003.9999855605038</v>
      </c>
      <c r="F64">
        <v>0.21</v>
      </c>
      <c r="G64" t="e">
        <v>#VALUE!</v>
      </c>
      <c r="H64">
        <v>2992.3010795270075</v>
      </c>
      <c r="I64">
        <v>4619.9001859627242</v>
      </c>
      <c r="K64">
        <v>0.21</v>
      </c>
      <c r="L64" t="e">
        <v>#VALUE!</v>
      </c>
      <c r="M64">
        <v>2203.6849700033149</v>
      </c>
      <c r="N64">
        <v>3422.7447406434467</v>
      </c>
      <c r="P64">
        <v>0.21</v>
      </c>
      <c r="Q64" t="e">
        <v>#VALUE!</v>
      </c>
      <c r="R64">
        <v>1578.8164099276705</v>
      </c>
      <c r="S64">
        <v>2466.2459180671099</v>
      </c>
      <c r="U64">
        <v>0.21</v>
      </c>
      <c r="V64" t="e">
        <v>#VALUE!</v>
      </c>
      <c r="W64">
        <v>1059.5134729602137</v>
      </c>
      <c r="X64">
        <v>1664.1057335527521</v>
      </c>
      <c r="Z64">
        <v>0.2</v>
      </c>
      <c r="AA64" t="e">
        <v>#VALUE!</v>
      </c>
      <c r="AB64" t="e">
        <v>#VALUE!</v>
      </c>
      <c r="AC64" t="e">
        <v>#VALUE!</v>
      </c>
      <c r="AD64" t="e">
        <v>#VALUE!</v>
      </c>
      <c r="AE64" t="e">
        <v>#VALUE!</v>
      </c>
    </row>
    <row r="65" spans="1:31">
      <c r="A65">
        <v>0.22</v>
      </c>
      <c r="B65" t="e">
        <v>#VALUE!</v>
      </c>
      <c r="C65">
        <v>3887.9999907598435</v>
      </c>
      <c r="D65">
        <v>6027.9999855975047</v>
      </c>
      <c r="F65">
        <v>0.22</v>
      </c>
      <c r="G65" t="e">
        <v>#VALUE!</v>
      </c>
      <c r="H65">
        <v>3001.1627806509769</v>
      </c>
      <c r="I65">
        <v>4646.4852893346324</v>
      </c>
      <c r="K65">
        <v>0.22</v>
      </c>
      <c r="L65" t="e">
        <v>#VALUE!</v>
      </c>
      <c r="M65">
        <v>2212.2098635042948</v>
      </c>
      <c r="N65">
        <v>3446.1881977711419</v>
      </c>
      <c r="P65">
        <v>0.22</v>
      </c>
      <c r="Q65" t="e">
        <v>#VALUE!</v>
      </c>
      <c r="R65">
        <v>1586.2989521548159</v>
      </c>
      <c r="S65">
        <v>2485.700527857688</v>
      </c>
      <c r="U65">
        <v>0.22</v>
      </c>
      <c r="V65" t="e">
        <v>#VALUE!</v>
      </c>
      <c r="W65">
        <v>1065.4215406533003</v>
      </c>
      <c r="X65">
        <v>1678.875902785469</v>
      </c>
      <c r="Z65">
        <v>0.21</v>
      </c>
      <c r="AA65" t="e">
        <v>#VALUE!</v>
      </c>
      <c r="AB65" t="e">
        <v>#VALUE!</v>
      </c>
      <c r="AC65" t="e">
        <v>#VALUE!</v>
      </c>
      <c r="AD65" t="e">
        <v>#VALUE!</v>
      </c>
      <c r="AE65" t="e">
        <v>#VALUE!</v>
      </c>
    </row>
    <row r="66" spans="1:31">
      <c r="A66">
        <v>0.23</v>
      </c>
      <c r="B66">
        <v>2170.3330338118317</v>
      </c>
      <c r="C66">
        <v>3891.9999908177106</v>
      </c>
      <c r="D66">
        <v>6051.9999856345048</v>
      </c>
      <c r="F66">
        <v>0.23</v>
      </c>
      <c r="G66" t="e">
        <v>#VALUE!</v>
      </c>
      <c r="H66">
        <v>3010.0244817749463</v>
      </c>
      <c r="I66">
        <v>4673.0703927065406</v>
      </c>
      <c r="K66">
        <v>0.23</v>
      </c>
      <c r="L66" t="e">
        <v>#VALUE!</v>
      </c>
      <c r="M66">
        <v>2220.7347570052748</v>
      </c>
      <c r="N66">
        <v>3469.6316548988366</v>
      </c>
      <c r="P66">
        <v>0.23</v>
      </c>
      <c r="Q66" t="e">
        <v>#VALUE!</v>
      </c>
      <c r="R66">
        <v>1593.7814943819612</v>
      </c>
      <c r="S66">
        <v>2505.1551376482662</v>
      </c>
      <c r="U66">
        <v>0.23</v>
      </c>
      <c r="V66" t="e">
        <v>#VALUE!</v>
      </c>
      <c r="W66">
        <v>1071.3296083463872</v>
      </c>
      <c r="X66">
        <v>1693.6460720181858</v>
      </c>
      <c r="Z66">
        <v>0.22</v>
      </c>
      <c r="AA66" t="e">
        <v>#VALUE!</v>
      </c>
      <c r="AB66" t="e">
        <v>#VALUE!</v>
      </c>
      <c r="AC66" t="e">
        <v>#VALUE!</v>
      </c>
      <c r="AD66" t="e">
        <v>#VALUE!</v>
      </c>
      <c r="AE66" t="e">
        <v>#VALUE!</v>
      </c>
    </row>
    <row r="67" spans="1:31">
      <c r="A67">
        <v>0.24</v>
      </c>
      <c r="B67">
        <v>1866.5011142099161</v>
      </c>
      <c r="C67">
        <v>3895.9999908755772</v>
      </c>
      <c r="D67">
        <v>6075.9999856715058</v>
      </c>
      <c r="F67">
        <v>0.24</v>
      </c>
      <c r="G67" t="e">
        <v>#VALUE!</v>
      </c>
      <c r="H67">
        <v>3018.8861828989156</v>
      </c>
      <c r="I67">
        <v>4699.6554960784488</v>
      </c>
      <c r="K67">
        <v>0.24</v>
      </c>
      <c r="L67" t="e">
        <v>#VALUE!</v>
      </c>
      <c r="M67">
        <v>2229.2596505062547</v>
      </c>
      <c r="N67">
        <v>3493.0751120265313</v>
      </c>
      <c r="P67">
        <v>0.24</v>
      </c>
      <c r="Q67" t="e">
        <v>#VALUE!</v>
      </c>
      <c r="R67">
        <v>1601.2640366091066</v>
      </c>
      <c r="S67">
        <v>2524.6097474388439</v>
      </c>
      <c r="U67">
        <v>0.24</v>
      </c>
      <c r="V67" t="e">
        <v>#VALUE!</v>
      </c>
      <c r="W67">
        <v>1077.2376760394739</v>
      </c>
      <c r="X67">
        <v>1708.4162412509024</v>
      </c>
      <c r="Z67">
        <v>0.23</v>
      </c>
      <c r="AA67">
        <v>6.4270718777698091E-2</v>
      </c>
      <c r="AB67" t="e">
        <v>#VALUE!</v>
      </c>
      <c r="AC67" t="e">
        <v>#VALUE!</v>
      </c>
      <c r="AD67" t="e">
        <v>#VALUE!</v>
      </c>
      <c r="AE67" t="e">
        <v>#VALUE!</v>
      </c>
    </row>
    <row r="68" spans="1:31">
      <c r="A68">
        <v>0.25</v>
      </c>
      <c r="B68">
        <v>1652.3643726601533</v>
      </c>
      <c r="C68">
        <v>3899.9999909334442</v>
      </c>
      <c r="D68">
        <v>6099.9999857085068</v>
      </c>
      <c r="F68">
        <v>0.25</v>
      </c>
      <c r="G68" t="e">
        <v>#VALUE!</v>
      </c>
      <c r="H68">
        <v>3027.747884022885</v>
      </c>
      <c r="I68">
        <v>4726.240599450357</v>
      </c>
      <c r="K68">
        <v>0.25</v>
      </c>
      <c r="L68" t="e">
        <v>#VALUE!</v>
      </c>
      <c r="M68">
        <v>2237.7845440072347</v>
      </c>
      <c r="N68">
        <v>3516.5185691542265</v>
      </c>
      <c r="P68">
        <v>0.25</v>
      </c>
      <c r="Q68" t="e">
        <v>#VALUE!</v>
      </c>
      <c r="R68">
        <v>1608.746578836252</v>
      </c>
      <c r="S68">
        <v>2544.0643572294221</v>
      </c>
      <c r="U68">
        <v>0.25</v>
      </c>
      <c r="V68" t="e">
        <v>#VALUE!</v>
      </c>
      <c r="W68">
        <v>1083.1457437325605</v>
      </c>
      <c r="X68">
        <v>1723.1864104836191</v>
      </c>
      <c r="Z68">
        <v>0.24</v>
      </c>
      <c r="AA68">
        <v>7.7982057542015065E-2</v>
      </c>
      <c r="AB68" t="e">
        <v>#VALUE!</v>
      </c>
      <c r="AC68" t="e">
        <v>#VALUE!</v>
      </c>
      <c r="AD68" t="e">
        <v>#VALUE!</v>
      </c>
      <c r="AE68" t="e">
        <v>#VALUE!</v>
      </c>
    </row>
    <row r="69" spans="1:31">
      <c r="A69">
        <v>0.26</v>
      </c>
      <c r="B69">
        <v>1456.22783908675</v>
      </c>
      <c r="C69">
        <v>3903.9999909913113</v>
      </c>
      <c r="D69">
        <v>6123.9999857455077</v>
      </c>
      <c r="F69">
        <v>0.26</v>
      </c>
      <c r="G69" t="e">
        <v>#VALUE!</v>
      </c>
      <c r="H69">
        <v>3036.6095851468549</v>
      </c>
      <c r="I69">
        <v>4752.8257028222661</v>
      </c>
      <c r="K69">
        <v>0.26</v>
      </c>
      <c r="L69" t="e">
        <v>#VALUE!</v>
      </c>
      <c r="M69">
        <v>2246.3094375082146</v>
      </c>
      <c r="N69">
        <v>3539.9620262819212</v>
      </c>
      <c r="P69">
        <v>0.26</v>
      </c>
      <c r="Q69" t="e">
        <v>#VALUE!</v>
      </c>
      <c r="R69">
        <v>1616.2291210633973</v>
      </c>
      <c r="S69">
        <v>2563.5189670199998</v>
      </c>
      <c r="U69">
        <v>0.26</v>
      </c>
      <c r="V69" t="e">
        <v>#VALUE!</v>
      </c>
      <c r="W69">
        <v>1089.0538114256472</v>
      </c>
      <c r="X69">
        <v>1737.9565797163359</v>
      </c>
      <c r="Z69">
        <v>0.25</v>
      </c>
      <c r="AA69">
        <v>9.1758411776301896E-2</v>
      </c>
      <c r="AB69" t="e">
        <v>#VALUE!</v>
      </c>
      <c r="AC69" t="e">
        <v>#VALUE!</v>
      </c>
      <c r="AD69" t="e">
        <v>#VALUE!</v>
      </c>
      <c r="AE69" t="e">
        <v>#VALUE!</v>
      </c>
    </row>
    <row r="70" spans="1:31">
      <c r="A70">
        <v>0.27</v>
      </c>
      <c r="B70">
        <v>1324.6329716791154</v>
      </c>
      <c r="C70">
        <v>3907.9999910491779</v>
      </c>
      <c r="D70">
        <v>6147.9999857825087</v>
      </c>
      <c r="F70">
        <v>0.27</v>
      </c>
      <c r="G70">
        <v>2361.2010158938538</v>
      </c>
      <c r="H70">
        <v>3045.4712862708243</v>
      </c>
      <c r="I70">
        <v>4779.4108061941743</v>
      </c>
      <c r="K70">
        <v>0.27</v>
      </c>
      <c r="L70" t="e">
        <v>#VALUE!</v>
      </c>
      <c r="M70">
        <v>2254.8343310091946</v>
      </c>
      <c r="N70">
        <v>3563.405483409616</v>
      </c>
      <c r="P70">
        <v>0.27</v>
      </c>
      <c r="Q70" t="e">
        <v>#VALUE!</v>
      </c>
      <c r="R70">
        <v>1623.7116632905427</v>
      </c>
      <c r="S70">
        <v>2582.9735768105779</v>
      </c>
      <c r="U70">
        <v>0.27</v>
      </c>
      <c r="V70" t="e">
        <v>#VALUE!</v>
      </c>
      <c r="W70">
        <v>1094.9618791187338</v>
      </c>
      <c r="X70">
        <v>1752.7267489490528</v>
      </c>
      <c r="Z70">
        <v>0.26</v>
      </c>
      <c r="AA70">
        <v>0.10828186324910632</v>
      </c>
      <c r="AB70" t="e">
        <v>#VALUE!</v>
      </c>
      <c r="AC70" t="e">
        <v>#VALUE!</v>
      </c>
      <c r="AD70" t="e">
        <v>#VALUE!</v>
      </c>
      <c r="AE70" t="e">
        <v>#VALUE!</v>
      </c>
    </row>
    <row r="71" spans="1:31">
      <c r="A71">
        <v>0.28000000000000003</v>
      </c>
      <c r="B71">
        <v>1188.0307129903235</v>
      </c>
      <c r="C71">
        <v>3911.9999911070449</v>
      </c>
      <c r="D71">
        <v>6171.9999858195088</v>
      </c>
      <c r="F71">
        <v>0.28000000000000003</v>
      </c>
      <c r="G71">
        <v>2098.5126900577998</v>
      </c>
      <c r="H71">
        <v>3054.3329873947937</v>
      </c>
      <c r="I71">
        <v>4805.9959095660824</v>
      </c>
      <c r="K71">
        <v>0.28000000000000003</v>
      </c>
      <c r="L71" t="e">
        <v>#VALUE!</v>
      </c>
      <c r="M71">
        <v>2263.3592245101745</v>
      </c>
      <c r="N71">
        <v>3586.8489405373111</v>
      </c>
      <c r="P71">
        <v>0.28000000000000003</v>
      </c>
      <c r="Q71" t="e">
        <v>#VALUE!</v>
      </c>
      <c r="R71">
        <v>1631.194205517688</v>
      </c>
      <c r="S71">
        <v>2602.4281866011556</v>
      </c>
      <c r="U71">
        <v>0.28000000000000003</v>
      </c>
      <c r="V71" t="e">
        <v>#VALUE!</v>
      </c>
      <c r="W71">
        <v>1100.8699468118207</v>
      </c>
      <c r="X71">
        <v>1767.4969181817694</v>
      </c>
      <c r="Z71">
        <v>0.27</v>
      </c>
      <c r="AA71">
        <v>0.12361748533592724</v>
      </c>
      <c r="AB71">
        <v>6.9349367485344371E-2</v>
      </c>
      <c r="AC71" t="e">
        <v>#VALUE!</v>
      </c>
      <c r="AD71" t="e">
        <v>#VALUE!</v>
      </c>
      <c r="AE71" t="e">
        <v>#VALUE!</v>
      </c>
    </row>
    <row r="72" spans="1:31">
      <c r="A72">
        <v>0.28999999999999998</v>
      </c>
      <c r="B72">
        <v>1112.437452531487</v>
      </c>
      <c r="C72">
        <v>3915.9999911649115</v>
      </c>
      <c r="D72">
        <v>6195.9999858565097</v>
      </c>
      <c r="F72">
        <v>0.28999999999999998</v>
      </c>
      <c r="G72">
        <v>1854.7541115534657</v>
      </c>
      <c r="H72">
        <v>3063.1946885187631</v>
      </c>
      <c r="I72">
        <v>4832.5810129379906</v>
      </c>
      <c r="K72">
        <v>0.28999999999999998</v>
      </c>
      <c r="L72" t="e">
        <v>#VALUE!</v>
      </c>
      <c r="M72">
        <v>2271.8841180111544</v>
      </c>
      <c r="N72">
        <v>3610.2923976650059</v>
      </c>
      <c r="P72">
        <v>0.28999999999999998</v>
      </c>
      <c r="Q72" t="e">
        <v>#VALUE!</v>
      </c>
      <c r="R72">
        <v>1638.6767477448334</v>
      </c>
      <c r="S72">
        <v>2621.8827963917333</v>
      </c>
      <c r="U72">
        <v>0.28999999999999998</v>
      </c>
      <c r="V72" t="e">
        <v>#VALUE!</v>
      </c>
      <c r="W72">
        <v>1106.7780145049073</v>
      </c>
      <c r="X72">
        <v>1782.267087414486</v>
      </c>
      <c r="Z72">
        <v>0.28000000000000003</v>
      </c>
      <c r="AA72">
        <v>0.14293614492937046</v>
      </c>
      <c r="AB72">
        <v>8.0920420916768654E-2</v>
      </c>
      <c r="AC72" t="e">
        <v>#VALUE!</v>
      </c>
      <c r="AD72" t="e">
        <v>#VALUE!</v>
      </c>
      <c r="AE72" t="e">
        <v>#VALUE!</v>
      </c>
    </row>
    <row r="73" spans="1:31">
      <c r="A73">
        <v>0.3</v>
      </c>
      <c r="B73">
        <v>1049.0160365674458</v>
      </c>
      <c r="C73">
        <v>3919.9999912227786</v>
      </c>
      <c r="D73">
        <v>6219.9999858935107</v>
      </c>
      <c r="F73">
        <v>0.3</v>
      </c>
      <c r="G73">
        <v>1677.2848203428944</v>
      </c>
      <c r="H73">
        <v>3072.0563896427325</v>
      </c>
      <c r="I73">
        <v>4859.1661163098988</v>
      </c>
      <c r="K73">
        <v>0.3</v>
      </c>
      <c r="L73" t="e">
        <v>#VALUE!</v>
      </c>
      <c r="M73">
        <v>2280.4090115121344</v>
      </c>
      <c r="N73">
        <v>3633.7358547927006</v>
      </c>
      <c r="P73">
        <v>0.3</v>
      </c>
      <c r="Q73" t="e">
        <v>#VALUE!</v>
      </c>
      <c r="R73">
        <v>1646.1592899719788</v>
      </c>
      <c r="S73">
        <v>2641.3374061823115</v>
      </c>
      <c r="U73">
        <v>0.3</v>
      </c>
      <c r="V73" t="e">
        <v>#VALUE!</v>
      </c>
      <c r="W73">
        <v>1112.686082197994</v>
      </c>
      <c r="X73">
        <v>1797.0372566472029</v>
      </c>
      <c r="Z73">
        <v>0.28999999999999998</v>
      </c>
      <c r="AA73">
        <v>0.1581008109649682</v>
      </c>
      <c r="AB73">
        <v>9.4825110403457438E-2</v>
      </c>
      <c r="AC73" t="e">
        <v>#VALUE!</v>
      </c>
      <c r="AD73" t="e">
        <v>#VALUE!</v>
      </c>
      <c r="AE73" t="e">
        <v>#VALUE!</v>
      </c>
    </row>
    <row r="74" spans="1:31">
      <c r="A74">
        <v>0.31</v>
      </c>
      <c r="B74">
        <v>983.39866144168172</v>
      </c>
      <c r="C74">
        <v>3923.9999912806456</v>
      </c>
      <c r="D74">
        <v>6243.9999859305117</v>
      </c>
      <c r="F74">
        <v>0.31</v>
      </c>
      <c r="G74">
        <v>1493.7679311524662</v>
      </c>
      <c r="H74">
        <v>3080.9180907667019</v>
      </c>
      <c r="I74">
        <v>4885.751219681807</v>
      </c>
      <c r="K74">
        <v>0.31</v>
      </c>
      <c r="L74" t="e">
        <v>#VALUE!</v>
      </c>
      <c r="M74">
        <v>2288.9339050131143</v>
      </c>
      <c r="N74">
        <v>3657.1793119203953</v>
      </c>
      <c r="P74">
        <v>0.31</v>
      </c>
      <c r="Q74" t="e">
        <v>#VALUE!</v>
      </c>
      <c r="R74">
        <v>1653.6418321991241</v>
      </c>
      <c r="S74">
        <v>2660.7920159728897</v>
      </c>
      <c r="U74">
        <v>0.31</v>
      </c>
      <c r="V74" t="e">
        <v>#VALUE!</v>
      </c>
      <c r="W74">
        <v>1118.5941498910806</v>
      </c>
      <c r="X74">
        <v>1811.8074258799197</v>
      </c>
      <c r="Z74">
        <v>0.3</v>
      </c>
      <c r="AA74">
        <v>0.17344062461512275</v>
      </c>
      <c r="AB74">
        <v>0.108474121039738</v>
      </c>
      <c r="AC74" t="e">
        <v>#VALUE!</v>
      </c>
      <c r="AD74" t="e">
        <v>#VALUE!</v>
      </c>
      <c r="AE74" t="e">
        <v>#VALUE!</v>
      </c>
    </row>
    <row r="75" spans="1:31">
      <c r="A75">
        <v>0.32</v>
      </c>
      <c r="B75">
        <v>934.24393023795858</v>
      </c>
      <c r="C75">
        <v>3927.9999913385122</v>
      </c>
      <c r="D75">
        <v>6267.9999859675127</v>
      </c>
      <c r="F75">
        <v>0.32</v>
      </c>
      <c r="G75">
        <v>1384.2572788652042</v>
      </c>
      <c r="H75">
        <v>3089.7797918906713</v>
      </c>
      <c r="I75">
        <v>4912.3363230537152</v>
      </c>
      <c r="K75">
        <v>0.32</v>
      </c>
      <c r="L75" t="e">
        <v>#VALUE!</v>
      </c>
      <c r="M75">
        <v>2297.4587985140943</v>
      </c>
      <c r="N75">
        <v>3680.62276904809</v>
      </c>
      <c r="P75">
        <v>0.32</v>
      </c>
      <c r="Q75" t="e">
        <v>#VALUE!</v>
      </c>
      <c r="R75">
        <v>1661.1243744262695</v>
      </c>
      <c r="S75">
        <v>2680.2466257634674</v>
      </c>
      <c r="U75">
        <v>0.32</v>
      </c>
      <c r="V75" t="e">
        <v>#VALUE!</v>
      </c>
      <c r="W75">
        <v>1124.5022175841673</v>
      </c>
      <c r="X75">
        <v>1826.5775951126363</v>
      </c>
      <c r="Z75">
        <v>0.31</v>
      </c>
      <c r="AA75">
        <v>0.1911805834252685</v>
      </c>
      <c r="AB75">
        <v>0.12586073507121445</v>
      </c>
      <c r="AC75" t="e">
        <v>#VALUE!</v>
      </c>
      <c r="AD75" t="e">
        <v>#VALUE!</v>
      </c>
      <c r="AE75" t="e">
        <v>#VALUE!</v>
      </c>
    </row>
    <row r="76" spans="1:31">
      <c r="A76">
        <v>0.33</v>
      </c>
      <c r="B76">
        <v>903.02000999213169</v>
      </c>
      <c r="C76">
        <v>3931.9999913963793</v>
      </c>
      <c r="D76">
        <v>6291.9999860045136</v>
      </c>
      <c r="F76">
        <v>0.33</v>
      </c>
      <c r="G76">
        <v>1273.0663363740669</v>
      </c>
      <c r="H76">
        <v>3098.6414930146407</v>
      </c>
      <c r="I76">
        <v>4938.9214264256234</v>
      </c>
      <c r="K76">
        <v>0.33</v>
      </c>
      <c r="L76">
        <v>2365.8911449009174</v>
      </c>
      <c r="M76">
        <v>2305.9836920150742</v>
      </c>
      <c r="N76">
        <v>3704.0662261757852</v>
      </c>
      <c r="P76">
        <v>0.33</v>
      </c>
      <c r="Q76" t="e">
        <v>#VALUE!</v>
      </c>
      <c r="R76">
        <v>1668.6069166534148</v>
      </c>
      <c r="S76">
        <v>2699.7012355540455</v>
      </c>
      <c r="U76">
        <v>0.33</v>
      </c>
      <c r="V76" t="e">
        <v>#VALUE!</v>
      </c>
      <c r="W76">
        <v>1130.4102852772542</v>
      </c>
      <c r="X76">
        <v>1841.3477643453532</v>
      </c>
      <c r="Z76">
        <v>0.32</v>
      </c>
      <c r="AA76">
        <v>0.20773103979935059</v>
      </c>
      <c r="AB76">
        <v>0.14019898325578628</v>
      </c>
      <c r="AC76" t="e">
        <v>#VALUE!</v>
      </c>
      <c r="AD76" t="e">
        <v>#VALUE!</v>
      </c>
      <c r="AE76" t="e">
        <v>#VALUE!</v>
      </c>
    </row>
    <row r="77" spans="1:31">
      <c r="A77">
        <v>0.34</v>
      </c>
      <c r="B77">
        <v>882.22220704503741</v>
      </c>
      <c r="C77">
        <v>3935.9999914542464</v>
      </c>
      <c r="D77">
        <v>6315.9999860415146</v>
      </c>
      <c r="F77">
        <v>0.34</v>
      </c>
      <c r="G77">
        <v>1159.5456234678973</v>
      </c>
      <c r="H77">
        <v>3107.5031941386101</v>
      </c>
      <c r="I77">
        <v>4965.5065297975316</v>
      </c>
      <c r="K77">
        <v>0.34</v>
      </c>
      <c r="L77">
        <v>2151.9172771949707</v>
      </c>
      <c r="M77">
        <v>2314.5085855160542</v>
      </c>
      <c r="N77">
        <v>3727.50968330348</v>
      </c>
      <c r="P77">
        <v>0.34</v>
      </c>
      <c r="Q77" t="e">
        <v>#VALUE!</v>
      </c>
      <c r="R77">
        <v>1676.0894588805602</v>
      </c>
      <c r="S77">
        <v>2719.1558453446232</v>
      </c>
      <c r="U77">
        <v>0.34</v>
      </c>
      <c r="V77" t="e">
        <v>#VALUE!</v>
      </c>
      <c r="W77">
        <v>1136.3183529703408</v>
      </c>
      <c r="X77">
        <v>1856.1179335780698</v>
      </c>
      <c r="Z77">
        <v>0.33</v>
      </c>
      <c r="AA77">
        <v>0.22162985765600574</v>
      </c>
      <c r="AB77">
        <v>0.1572079871752913</v>
      </c>
      <c r="AC77" t="e">
        <v>#VALUE!</v>
      </c>
      <c r="AD77" t="e">
        <v>#VALUE!</v>
      </c>
      <c r="AE77" t="e">
        <v>#VALUE!</v>
      </c>
    </row>
    <row r="78" spans="1:31">
      <c r="A78">
        <v>0.35</v>
      </c>
      <c r="B78">
        <v>885.76684273091155</v>
      </c>
      <c r="C78">
        <v>3939.999991512113</v>
      </c>
      <c r="D78">
        <v>6339.9999860785147</v>
      </c>
      <c r="F78">
        <v>0.35</v>
      </c>
      <c r="G78">
        <v>1108.3589065686397</v>
      </c>
      <c r="H78">
        <v>3116.3648952625795</v>
      </c>
      <c r="I78">
        <v>4992.0916331694398</v>
      </c>
      <c r="K78">
        <v>0.35</v>
      </c>
      <c r="L78">
        <v>1931.5321761772782</v>
      </c>
      <c r="M78">
        <v>2323.0334790170341</v>
      </c>
      <c r="N78">
        <v>3750.9531404311747</v>
      </c>
      <c r="P78">
        <v>0.35</v>
      </c>
      <c r="Q78" t="e">
        <v>#VALUE!</v>
      </c>
      <c r="R78">
        <v>1683.5720011077055</v>
      </c>
      <c r="S78">
        <v>2738.6104551352009</v>
      </c>
      <c r="U78">
        <v>0.35</v>
      </c>
      <c r="V78" t="e">
        <v>#VALUE!</v>
      </c>
      <c r="W78">
        <v>1142.2264206634275</v>
      </c>
      <c r="X78">
        <v>1870.8881028107864</v>
      </c>
      <c r="Z78">
        <v>0.34</v>
      </c>
      <c r="AA78">
        <v>0.23372901730309337</v>
      </c>
      <c r="AB78">
        <v>0.17782907832980538</v>
      </c>
      <c r="AC78">
        <v>9.5821959183969727E-2</v>
      </c>
      <c r="AD78" t="e">
        <v>#VALUE!</v>
      </c>
      <c r="AE78" t="e">
        <v>#VALUE!</v>
      </c>
    </row>
    <row r="79" spans="1:31">
      <c r="A79">
        <v>0.36</v>
      </c>
      <c r="B79">
        <v>889.36058530170942</v>
      </c>
      <c r="C79">
        <v>3943.99999156998</v>
      </c>
      <c r="D79">
        <v>6363.9999861155156</v>
      </c>
      <c r="F79">
        <v>0.36</v>
      </c>
      <c r="G79">
        <v>1055.6516309562342</v>
      </c>
      <c r="H79">
        <v>3125.2265963865489</v>
      </c>
      <c r="I79">
        <v>5018.6767365413489</v>
      </c>
      <c r="K79">
        <v>0.36</v>
      </c>
      <c r="L79">
        <v>1777.5180220112834</v>
      </c>
      <c r="M79">
        <v>2331.558372518014</v>
      </c>
      <c r="N79">
        <v>3774.3965975588694</v>
      </c>
      <c r="P79">
        <v>0.36</v>
      </c>
      <c r="Q79" t="e">
        <v>#VALUE!</v>
      </c>
      <c r="R79">
        <v>1691.0545433348509</v>
      </c>
      <c r="S79">
        <v>2758.0650649257791</v>
      </c>
      <c r="U79">
        <v>0.36</v>
      </c>
      <c r="V79" t="e">
        <v>#VALUE!</v>
      </c>
      <c r="W79">
        <v>1148.1344883565141</v>
      </c>
      <c r="X79">
        <v>1885.6582720435033</v>
      </c>
      <c r="Z79">
        <v>0.35</v>
      </c>
      <c r="AA79">
        <v>0.23964056055845445</v>
      </c>
      <c r="AB79">
        <v>0.19151347227449433</v>
      </c>
      <c r="AC79">
        <v>0.10989496594533564</v>
      </c>
      <c r="AD79" t="e">
        <v>#VALUE!</v>
      </c>
      <c r="AE79" t="e">
        <v>#VALUE!</v>
      </c>
    </row>
    <row r="80" spans="1:31">
      <c r="A80">
        <v>0.37</v>
      </c>
      <c r="B80">
        <v>899.42539008584322</v>
      </c>
      <c r="C80">
        <v>3947.9999916278471</v>
      </c>
      <c r="D80">
        <v>6387.9999861525166</v>
      </c>
      <c r="F80">
        <v>0.37</v>
      </c>
      <c r="G80">
        <v>1001.4217184183166</v>
      </c>
      <c r="H80">
        <v>3134.0882975105183</v>
      </c>
      <c r="I80">
        <v>5045.2618399132571</v>
      </c>
      <c r="K80">
        <v>0.37</v>
      </c>
      <c r="L80">
        <v>1630.6107425267373</v>
      </c>
      <c r="M80">
        <v>2340.083266018994</v>
      </c>
      <c r="N80">
        <v>3797.8400546865641</v>
      </c>
      <c r="P80">
        <v>0.37</v>
      </c>
      <c r="Q80" t="e">
        <v>#VALUE!</v>
      </c>
      <c r="R80">
        <v>1698.5370855619963</v>
      </c>
      <c r="S80">
        <v>2777.5196747163568</v>
      </c>
      <c r="U80">
        <v>0.37</v>
      </c>
      <c r="V80" t="e">
        <v>#VALUE!</v>
      </c>
      <c r="W80">
        <v>1154.0425560496008</v>
      </c>
      <c r="X80">
        <v>1900.4284412762199</v>
      </c>
      <c r="Z80">
        <v>0.36</v>
      </c>
      <c r="AA80">
        <v>0.2454914233270073</v>
      </c>
      <c r="AB80">
        <v>0.20682049791958315</v>
      </c>
      <c r="AC80">
        <v>0.12282879455531197</v>
      </c>
      <c r="AD80" t="e">
        <v>#VALUE!</v>
      </c>
      <c r="AE80" t="e">
        <v>#VALUE!</v>
      </c>
    </row>
    <row r="81" spans="1:31">
      <c r="A81">
        <v>0.38</v>
      </c>
      <c r="B81">
        <v>913.73236622067805</v>
      </c>
      <c r="C81">
        <v>3951.9999916857141</v>
      </c>
      <c r="D81">
        <v>6411.9999861895176</v>
      </c>
      <c r="F81">
        <v>0.38</v>
      </c>
      <c r="G81">
        <v>945.85247489201026</v>
      </c>
      <c r="H81">
        <v>3142.9499986344877</v>
      </c>
      <c r="I81">
        <v>5071.8469432851653</v>
      </c>
      <c r="K81">
        <v>0.38</v>
      </c>
      <c r="L81">
        <v>1482.9716364222602</v>
      </c>
      <c r="M81">
        <v>2348.6081595199739</v>
      </c>
      <c r="N81">
        <v>3821.2835118142593</v>
      </c>
      <c r="P81">
        <v>0.38</v>
      </c>
      <c r="Q81" t="e">
        <v>#VALUE!</v>
      </c>
      <c r="R81">
        <v>1706.0196277891416</v>
      </c>
      <c r="S81">
        <v>2796.974284506935</v>
      </c>
      <c r="U81">
        <v>0.38</v>
      </c>
      <c r="V81" t="e">
        <v>#VALUE!</v>
      </c>
      <c r="W81">
        <v>1159.9506237426876</v>
      </c>
      <c r="X81">
        <v>1915.1986105089368</v>
      </c>
      <c r="Z81">
        <v>0.37</v>
      </c>
      <c r="AA81">
        <v>0.24948720775580147</v>
      </c>
      <c r="AB81">
        <v>0.22407655539873139</v>
      </c>
      <c r="AC81">
        <v>0.13761416094741286</v>
      </c>
      <c r="AD81" t="e">
        <v>#VALUE!</v>
      </c>
      <c r="AE81" t="e">
        <v>#VALUE!</v>
      </c>
    </row>
    <row r="82" spans="1:31">
      <c r="A82">
        <v>0.39</v>
      </c>
      <c r="B82">
        <v>928.36269230547316</v>
      </c>
      <c r="C82">
        <v>3955.9999917435807</v>
      </c>
      <c r="D82">
        <v>6435.9999862265186</v>
      </c>
      <c r="F82">
        <v>0.39</v>
      </c>
      <c r="G82">
        <v>920.17546839472163</v>
      </c>
      <c r="H82">
        <v>3151.8116997584571</v>
      </c>
      <c r="I82">
        <v>5098.4320466570734</v>
      </c>
      <c r="K82">
        <v>0.39</v>
      </c>
      <c r="L82">
        <v>1394.7932914020641</v>
      </c>
      <c r="M82">
        <v>2357.1330530209539</v>
      </c>
      <c r="N82">
        <v>3844.7269689419541</v>
      </c>
      <c r="P82">
        <v>0.39</v>
      </c>
      <c r="Q82" t="e">
        <v>#VALUE!</v>
      </c>
      <c r="R82">
        <v>1713.502170016287</v>
      </c>
      <c r="S82">
        <v>2816.4288942975127</v>
      </c>
      <c r="U82">
        <v>0.39</v>
      </c>
      <c r="V82" t="e">
        <v>#VALUE!</v>
      </c>
      <c r="W82">
        <v>1165.8586914357743</v>
      </c>
      <c r="X82">
        <v>1929.9687797416534</v>
      </c>
      <c r="Z82">
        <v>0.38</v>
      </c>
      <c r="AA82">
        <v>0.25221812304946495</v>
      </c>
      <c r="AB82">
        <v>0.24365307328886898</v>
      </c>
      <c r="AC82">
        <v>0.15540409319042445</v>
      </c>
      <c r="AD82" t="e">
        <v>#VALUE!</v>
      </c>
      <c r="AE82" t="e">
        <v>#VALUE!</v>
      </c>
    </row>
    <row r="83" spans="1:31">
      <c r="A83">
        <v>0.4</v>
      </c>
      <c r="B83">
        <v>943.3133463780789</v>
      </c>
      <c r="C83">
        <v>3959.9999918014478</v>
      </c>
      <c r="D83">
        <v>6459.9999862635195</v>
      </c>
      <c r="F83">
        <v>0.4</v>
      </c>
      <c r="G83">
        <v>893.79048421869231</v>
      </c>
      <c r="H83">
        <v>3160.6734008824264</v>
      </c>
      <c r="I83">
        <v>5125.0171500289816</v>
      </c>
      <c r="K83">
        <v>0.4</v>
      </c>
      <c r="L83">
        <v>1304.2971740569453</v>
      </c>
      <c r="M83">
        <v>2365.6579465219338</v>
      </c>
      <c r="N83">
        <v>3868.1704260696488</v>
      </c>
      <c r="P83">
        <v>0.4</v>
      </c>
      <c r="Q83" t="e">
        <v>#VALUE!</v>
      </c>
      <c r="R83">
        <v>1720.9847122434323</v>
      </c>
      <c r="S83">
        <v>2835.8835040880908</v>
      </c>
      <c r="U83">
        <v>0.4</v>
      </c>
      <c r="V83" t="e">
        <v>#VALUE!</v>
      </c>
      <c r="W83">
        <v>1171.7667591288609</v>
      </c>
      <c r="X83">
        <v>1944.7389489743703</v>
      </c>
      <c r="Z83">
        <v>0.39</v>
      </c>
      <c r="AA83">
        <v>0.25477606711110518</v>
      </c>
      <c r="AB83">
        <v>0.25704292684373869</v>
      </c>
      <c r="AC83">
        <v>0.16957680902539318</v>
      </c>
      <c r="AD83" t="e">
        <v>#VALUE!</v>
      </c>
      <c r="AE83" t="e">
        <v>#VALUE!</v>
      </c>
    </row>
    <row r="84" spans="1:31">
      <c r="A84">
        <v>0.41</v>
      </c>
      <c r="B84">
        <v>958.58130647634641</v>
      </c>
      <c r="C84">
        <v>3963.9999918593148</v>
      </c>
      <c r="D84">
        <v>6483.9999863005205</v>
      </c>
      <c r="F84">
        <v>0.41</v>
      </c>
      <c r="G84">
        <v>878.14821741216883</v>
      </c>
      <c r="H84">
        <v>3169.5351020063958</v>
      </c>
      <c r="I84">
        <v>5151.6022534008898</v>
      </c>
      <c r="K84">
        <v>0.41</v>
      </c>
      <c r="L84">
        <v>1211.481895667715</v>
      </c>
      <c r="M84">
        <v>2374.1828400229138</v>
      </c>
      <c r="N84">
        <v>3891.6138831973435</v>
      </c>
      <c r="P84">
        <v>0.41</v>
      </c>
      <c r="Q84">
        <v>2372.5629085512569</v>
      </c>
      <c r="R84">
        <v>1728.4672544705777</v>
      </c>
      <c r="S84">
        <v>2855.3381138786685</v>
      </c>
      <c r="U84">
        <v>0.41</v>
      </c>
      <c r="V84" t="e">
        <v>#VALUE!</v>
      </c>
      <c r="W84">
        <v>1177.6748268219476</v>
      </c>
      <c r="X84">
        <v>1959.5091182070869</v>
      </c>
      <c r="Z84">
        <v>0.4</v>
      </c>
      <c r="AA84">
        <v>0.25716728142376927</v>
      </c>
      <c r="AB84">
        <v>0.27141632531332383</v>
      </c>
      <c r="AC84">
        <v>0.18599237478380248</v>
      </c>
      <c r="AD84" t="e">
        <v>#VALUE!</v>
      </c>
      <c r="AE84" t="e">
        <v>#VALUE!</v>
      </c>
    </row>
    <row r="85" spans="1:31">
      <c r="A85">
        <v>0.42</v>
      </c>
      <c r="B85">
        <v>974.16355063812659</v>
      </c>
      <c r="C85">
        <v>3967.9999919171814</v>
      </c>
      <c r="D85">
        <v>6507.9999863375215</v>
      </c>
      <c r="F85">
        <v>0.42</v>
      </c>
      <c r="G85">
        <v>880.77862811998796</v>
      </c>
      <c r="H85">
        <v>3178.3968031303652</v>
      </c>
      <c r="I85">
        <v>5178.187356772798</v>
      </c>
      <c r="K85">
        <v>0.42</v>
      </c>
      <c r="L85">
        <v>1139.539703151333</v>
      </c>
      <c r="M85">
        <v>2382.7077335238937</v>
      </c>
      <c r="N85">
        <v>3915.0573403250382</v>
      </c>
      <c r="P85">
        <v>0.42</v>
      </c>
      <c r="Q85">
        <v>2201.121908766303</v>
      </c>
      <c r="R85">
        <v>1735.9497966977231</v>
      </c>
      <c r="S85">
        <v>2874.7927236692467</v>
      </c>
      <c r="U85">
        <v>0.42</v>
      </c>
      <c r="V85" t="e">
        <v>#VALUE!</v>
      </c>
      <c r="W85">
        <v>1183.5828945150342</v>
      </c>
      <c r="X85">
        <v>1974.2792874398037</v>
      </c>
      <c r="Z85">
        <v>0.41</v>
      </c>
      <c r="AA85">
        <v>0.25939798779655382</v>
      </c>
      <c r="AB85">
        <v>0.28315728155787112</v>
      </c>
      <c r="AC85">
        <v>0.20524785631259729</v>
      </c>
      <c r="AD85" t="e">
        <v>#VALUE!</v>
      </c>
      <c r="AE85" t="e">
        <v>#VALUE!</v>
      </c>
    </row>
    <row r="86" spans="1:31">
      <c r="A86">
        <v>0.43</v>
      </c>
      <c r="B86">
        <v>990.0570569012699</v>
      </c>
      <c r="C86">
        <v>3971.9999919750485</v>
      </c>
      <c r="D86">
        <v>6531.9999863745215</v>
      </c>
      <c r="F86">
        <v>0.43</v>
      </c>
      <c r="G86">
        <v>883.42826229217587</v>
      </c>
      <c r="H86">
        <v>3187.2585042543346</v>
      </c>
      <c r="I86">
        <v>5204.7724601447062</v>
      </c>
      <c r="K86">
        <v>0.43</v>
      </c>
      <c r="L86">
        <v>1097.167797643908</v>
      </c>
      <c r="M86">
        <v>2391.2326270248736</v>
      </c>
      <c r="N86">
        <v>3938.500797452733</v>
      </c>
      <c r="P86">
        <v>0.43</v>
      </c>
      <c r="Q86">
        <v>2025.5307316368173</v>
      </c>
      <c r="R86">
        <v>1743.4323389248684</v>
      </c>
      <c r="S86">
        <v>2894.2473334598244</v>
      </c>
      <c r="U86">
        <v>0.43</v>
      </c>
      <c r="V86" t="e">
        <v>#VALUE!</v>
      </c>
      <c r="W86">
        <v>1189.4909622081211</v>
      </c>
      <c r="X86">
        <v>1989.0494566725204</v>
      </c>
      <c r="Z86">
        <v>0.42</v>
      </c>
      <c r="AA86">
        <v>0.26147436443608746</v>
      </c>
      <c r="AB86">
        <v>0.28919729332179739</v>
      </c>
      <c r="AC86">
        <v>0.22352779333934217</v>
      </c>
      <c r="AD86" t="e">
        <v>#VALUE!</v>
      </c>
      <c r="AE86" t="e">
        <v>#VALUE!</v>
      </c>
    </row>
    <row r="87" spans="1:31">
      <c r="A87">
        <v>0.44</v>
      </c>
      <c r="B87">
        <v>1006.2588033036277</v>
      </c>
      <c r="C87">
        <v>3975.9999920329151</v>
      </c>
      <c r="D87">
        <v>6555.9999864115225</v>
      </c>
      <c r="F87">
        <v>0.44</v>
      </c>
      <c r="G87">
        <v>887.19281376856566</v>
      </c>
      <c r="H87">
        <v>3196.120205378304</v>
      </c>
      <c r="I87">
        <v>5231.3575635166144</v>
      </c>
      <c r="K87">
        <v>0.44</v>
      </c>
      <c r="L87">
        <v>1053.7687028436917</v>
      </c>
      <c r="M87">
        <v>2399.7575205258536</v>
      </c>
      <c r="N87">
        <v>3961.9442545804282</v>
      </c>
      <c r="P87">
        <v>0.44</v>
      </c>
      <c r="Q87">
        <v>1865.4428640188496</v>
      </c>
      <c r="R87">
        <v>1750.9148811520138</v>
      </c>
      <c r="S87">
        <v>2913.7019432504026</v>
      </c>
      <c r="U87">
        <v>0.44</v>
      </c>
      <c r="V87" t="e">
        <v>#VALUE!</v>
      </c>
      <c r="W87">
        <v>1195.3990299012078</v>
      </c>
      <c r="X87">
        <v>2003.8196259052372</v>
      </c>
      <c r="Z87">
        <v>0.43</v>
      </c>
      <c r="AA87">
        <v>0.26340252479657478</v>
      </c>
      <c r="AB87">
        <v>0.2951949123882614</v>
      </c>
      <c r="AC87">
        <v>0.23768791706124393</v>
      </c>
      <c r="AD87" t="e">
        <v>#VALUE!</v>
      </c>
      <c r="AE87" t="e">
        <v>#VALUE!</v>
      </c>
    </row>
    <row r="88" spans="1:31">
      <c r="A88">
        <v>0.45</v>
      </c>
      <c r="B88">
        <v>1027.7438242183391</v>
      </c>
      <c r="C88">
        <v>3979.9999920907821</v>
      </c>
      <c r="D88">
        <v>6579.9999864485235</v>
      </c>
      <c r="F88">
        <v>0.45</v>
      </c>
      <c r="G88">
        <v>898.54470243934384</v>
      </c>
      <c r="H88">
        <v>3204.9819065022739</v>
      </c>
      <c r="I88">
        <v>5257.9426668885226</v>
      </c>
      <c r="K88">
        <v>0.45</v>
      </c>
      <c r="L88">
        <v>1009.3410300314962</v>
      </c>
      <c r="M88">
        <v>2408.2824140268335</v>
      </c>
      <c r="N88">
        <v>3985.3877117081229</v>
      </c>
      <c r="P88">
        <v>0.45</v>
      </c>
      <c r="Q88">
        <v>1749.5430973235602</v>
      </c>
      <c r="R88">
        <v>1758.3974233791591</v>
      </c>
      <c r="S88">
        <v>2933.1565530409807</v>
      </c>
      <c r="U88">
        <v>0.45</v>
      </c>
      <c r="V88" t="e">
        <v>#VALUE!</v>
      </c>
      <c r="W88">
        <v>1201.3070975942944</v>
      </c>
      <c r="X88">
        <v>2018.5897951379538</v>
      </c>
      <c r="Z88">
        <v>0.44</v>
      </c>
      <c r="AA88">
        <v>0.26518849904709818</v>
      </c>
      <c r="AB88">
        <v>0.30077820465634381</v>
      </c>
      <c r="AC88">
        <v>0.25323228996003067</v>
      </c>
      <c r="AD88" t="e">
        <v>#VALUE!</v>
      </c>
      <c r="AE88" t="e">
        <v>#VALUE!</v>
      </c>
    </row>
    <row r="89" spans="1:31">
      <c r="A89">
        <v>0.46</v>
      </c>
      <c r="B89">
        <v>1056.0112581615722</v>
      </c>
      <c r="C89">
        <v>3983.9999921486492</v>
      </c>
      <c r="D89">
        <v>6603.9999864855245</v>
      </c>
      <c r="F89">
        <v>0.46</v>
      </c>
      <c r="G89">
        <v>910.1044123465432</v>
      </c>
      <c r="H89">
        <v>3213.8436076262433</v>
      </c>
      <c r="I89">
        <v>5284.5277702604308</v>
      </c>
      <c r="K89">
        <v>0.46</v>
      </c>
      <c r="L89">
        <v>963.88339048813441</v>
      </c>
      <c r="M89">
        <v>2416.8073075278135</v>
      </c>
      <c r="N89">
        <v>4008.8311688358176</v>
      </c>
      <c r="P89">
        <v>0.46</v>
      </c>
      <c r="Q89">
        <v>1631.0184264075997</v>
      </c>
      <c r="R89">
        <v>1765.8799656063045</v>
      </c>
      <c r="S89">
        <v>2952.6111628315584</v>
      </c>
      <c r="U89">
        <v>0.46</v>
      </c>
      <c r="V89" t="e">
        <v>#VALUE!</v>
      </c>
      <c r="W89">
        <v>1207.2151652873811</v>
      </c>
      <c r="X89">
        <v>2033.3599643706707</v>
      </c>
      <c r="Z89">
        <v>0.45</v>
      </c>
      <c r="AA89">
        <v>0.26554574057318825</v>
      </c>
      <c r="AB89">
        <v>0.30372778804336498</v>
      </c>
      <c r="AC89">
        <v>0.27038729904942971</v>
      </c>
      <c r="AD89" t="e">
        <v>#VALUE!</v>
      </c>
      <c r="AE89" t="e">
        <v>#VALUE!</v>
      </c>
    </row>
    <row r="90" spans="1:31">
      <c r="A90">
        <v>0.47</v>
      </c>
      <c r="B90">
        <v>1084.8296965366685</v>
      </c>
      <c r="C90">
        <v>3987.9999922065158</v>
      </c>
      <c r="D90">
        <v>6627.9999865225254</v>
      </c>
      <c r="F90">
        <v>0.47</v>
      </c>
      <c r="G90">
        <v>921.86986527779936</v>
      </c>
      <c r="H90">
        <v>3222.7053087502127</v>
      </c>
      <c r="I90">
        <v>5311.112873632339</v>
      </c>
      <c r="K90">
        <v>0.47</v>
      </c>
      <c r="L90">
        <v>930.76133107659518</v>
      </c>
      <c r="M90">
        <v>2425.3322010287934</v>
      </c>
      <c r="N90">
        <v>4032.2746259635123</v>
      </c>
      <c r="P90">
        <v>0.47</v>
      </c>
      <c r="Q90">
        <v>1509.8679538678184</v>
      </c>
      <c r="R90">
        <v>1773.3625078334499</v>
      </c>
      <c r="S90">
        <v>2972.0657726221361</v>
      </c>
      <c r="U90">
        <v>0.47</v>
      </c>
      <c r="V90" t="e">
        <v>#VALUE!</v>
      </c>
      <c r="W90">
        <v>1213.1232329804677</v>
      </c>
      <c r="X90">
        <v>2048.1301336033875</v>
      </c>
      <c r="Z90">
        <v>0.46</v>
      </c>
      <c r="AA90">
        <v>0.26418063821385901</v>
      </c>
      <c r="AB90">
        <v>0.30653376070483734</v>
      </c>
      <c r="AC90">
        <v>0.28943099435437997</v>
      </c>
      <c r="AD90">
        <v>0.17104511122238786</v>
      </c>
      <c r="AE90" t="e">
        <v>#VALUE!</v>
      </c>
    </row>
    <row r="91" spans="1:31">
      <c r="A91">
        <v>0.48</v>
      </c>
      <c r="B91">
        <v>1114.1961173814791</v>
      </c>
      <c r="C91">
        <v>3991.9999922643829</v>
      </c>
      <c r="D91">
        <v>6651.9999865595255</v>
      </c>
      <c r="F91">
        <v>0.48</v>
      </c>
      <c r="G91">
        <v>933.83898302074829</v>
      </c>
      <c r="H91">
        <v>3231.5670098741821</v>
      </c>
      <c r="I91">
        <v>5337.6979770042472</v>
      </c>
      <c r="K91">
        <v>0.48</v>
      </c>
      <c r="L91">
        <v>909.29543567988367</v>
      </c>
      <c r="M91">
        <v>2433.8570945297733</v>
      </c>
      <c r="N91">
        <v>4055.7180830912075</v>
      </c>
      <c r="P91">
        <v>0.48</v>
      </c>
      <c r="Q91">
        <v>1428.3513217084062</v>
      </c>
      <c r="R91">
        <v>1780.8450500605952</v>
      </c>
      <c r="S91">
        <v>2991.5203824127143</v>
      </c>
      <c r="U91">
        <v>0.48</v>
      </c>
      <c r="V91" t="e">
        <v>#VALUE!</v>
      </c>
      <c r="W91">
        <v>1219.0313006735546</v>
      </c>
      <c r="X91">
        <v>2062.9003028361039</v>
      </c>
      <c r="Z91">
        <v>0.47</v>
      </c>
      <c r="AA91">
        <v>0.26275318814806964</v>
      </c>
      <c r="AB91">
        <v>0.30920032437053629</v>
      </c>
      <c r="AC91">
        <v>0.30624656596080824</v>
      </c>
      <c r="AD91">
        <v>0.1887863509130894</v>
      </c>
      <c r="AE91" t="e">
        <v>#VALUE!</v>
      </c>
    </row>
    <row r="92" spans="1:31">
      <c r="A92">
        <v>0.49</v>
      </c>
      <c r="B92">
        <v>1144.1074987338545</v>
      </c>
      <c r="C92">
        <v>3995.9999923222495</v>
      </c>
      <c r="D92">
        <v>6675.9999865965265</v>
      </c>
      <c r="F92">
        <v>0.49</v>
      </c>
      <c r="G92">
        <v>946.00968736302605</v>
      </c>
      <c r="H92">
        <v>3240.4287109981515</v>
      </c>
      <c r="I92">
        <v>5364.2830803761553</v>
      </c>
      <c r="K92">
        <v>0.49</v>
      </c>
      <c r="L92">
        <v>887.34395147373652</v>
      </c>
      <c r="M92">
        <v>2442.3819880307533</v>
      </c>
      <c r="N92">
        <v>4079.1615402189022</v>
      </c>
      <c r="P92">
        <v>0.49</v>
      </c>
      <c r="Q92">
        <v>1356.3516198237201</v>
      </c>
      <c r="R92">
        <v>1788.3275922877406</v>
      </c>
      <c r="S92">
        <v>3010.974992203292</v>
      </c>
      <c r="U92">
        <v>0.49</v>
      </c>
      <c r="V92" t="e">
        <v>#VALUE!</v>
      </c>
      <c r="W92">
        <v>1224.9393683666412</v>
      </c>
      <c r="X92">
        <v>2077.6704720688208</v>
      </c>
      <c r="Z92">
        <v>0.48</v>
      </c>
      <c r="AA92">
        <v>0.26127105456751004</v>
      </c>
      <c r="AB92">
        <v>0.31173167953464692</v>
      </c>
      <c r="AC92">
        <v>0.3201458878701206</v>
      </c>
      <c r="AD92">
        <v>0.20380643765134784</v>
      </c>
      <c r="AE92" t="e">
        <v>#VALUE!</v>
      </c>
    </row>
    <row r="93" spans="1:31">
      <c r="A93">
        <v>0.5</v>
      </c>
      <c r="B93">
        <v>1174.560818631646</v>
      </c>
      <c r="C93">
        <v>3999.9999923801165</v>
      </c>
      <c r="D93">
        <v>6699.9999866335274</v>
      </c>
      <c r="F93">
        <v>0.5</v>
      </c>
      <c r="G93">
        <v>958.37990009226769</v>
      </c>
      <c r="H93">
        <v>3249.2904121221209</v>
      </c>
      <c r="I93">
        <v>5390.8681837480635</v>
      </c>
      <c r="K93">
        <v>0.5</v>
      </c>
      <c r="L93">
        <v>872.53317323516478</v>
      </c>
      <c r="M93">
        <v>2450.9068815317332</v>
      </c>
      <c r="N93">
        <v>4102.604997346597</v>
      </c>
      <c r="P93">
        <v>0.5</v>
      </c>
      <c r="Q93">
        <v>1282.8451780462115</v>
      </c>
      <c r="R93">
        <v>1795.8101345148859</v>
      </c>
      <c r="S93">
        <v>3030.4296019938702</v>
      </c>
      <c r="U93">
        <v>0.5</v>
      </c>
      <c r="V93" t="e">
        <v>#VALUE!</v>
      </c>
      <c r="W93">
        <v>1230.8474360597279</v>
      </c>
      <c r="X93">
        <v>2092.4406413015377</v>
      </c>
      <c r="Z93">
        <v>0.49</v>
      </c>
      <c r="AA93">
        <v>0.25974126393955971</v>
      </c>
      <c r="AB93">
        <v>0.31413201342684849</v>
      </c>
      <c r="AC93">
        <v>0.33490049413093503</v>
      </c>
      <c r="AD93">
        <v>0.21909652590769438</v>
      </c>
      <c r="AE93" t="e">
        <v>#VALUE!</v>
      </c>
    </row>
    <row r="94" spans="1:31">
      <c r="A94">
        <v>0.51</v>
      </c>
      <c r="B94">
        <v>1205.553055112704</v>
      </c>
      <c r="C94">
        <v>4003.9999924379836</v>
      </c>
      <c r="D94">
        <v>6723.9999866705284</v>
      </c>
      <c r="F94">
        <v>0.51</v>
      </c>
      <c r="G94">
        <v>970.94754299610963</v>
      </c>
      <c r="H94">
        <v>3258.1521132460903</v>
      </c>
      <c r="I94">
        <v>5417.4532871199717</v>
      </c>
      <c r="K94">
        <v>0.51</v>
      </c>
      <c r="L94">
        <v>874.35650366582843</v>
      </c>
      <c r="M94">
        <v>2459.4317750327132</v>
      </c>
      <c r="N94">
        <v>4126.0484544742922</v>
      </c>
      <c r="P94">
        <v>0.51</v>
      </c>
      <c r="Q94">
        <v>1207.8310989727274</v>
      </c>
      <c r="R94">
        <v>1803.2926767420313</v>
      </c>
      <c r="S94">
        <v>3049.8842117844479</v>
      </c>
      <c r="U94">
        <v>0.51</v>
      </c>
      <c r="V94" t="e">
        <v>#VALUE!</v>
      </c>
      <c r="W94">
        <v>1236.7555037528145</v>
      </c>
      <c r="X94">
        <v>2107.2108105342545</v>
      </c>
      <c r="Z94">
        <v>0.5</v>
      </c>
      <c r="AA94">
        <v>0.25817025071354466</v>
      </c>
      <c r="AB94">
        <v>0.31640548910105815</v>
      </c>
      <c r="AC94">
        <v>0.34753596806982262</v>
      </c>
      <c r="AD94">
        <v>0.23637822102208025</v>
      </c>
      <c r="AE94" t="e">
        <v>#VALUE!</v>
      </c>
    </row>
    <row r="95" spans="1:31">
      <c r="A95">
        <v>0.52</v>
      </c>
      <c r="B95">
        <v>1237.0811862148796</v>
      </c>
      <c r="C95">
        <v>4007.9999924958502</v>
      </c>
      <c r="D95">
        <v>6747.9999867075294</v>
      </c>
      <c r="F95">
        <v>0.52</v>
      </c>
      <c r="G95">
        <v>983.71053786218727</v>
      </c>
      <c r="H95">
        <v>3267.0138143700597</v>
      </c>
      <c r="I95">
        <v>5444.0383904918799</v>
      </c>
      <c r="K95">
        <v>0.52</v>
      </c>
      <c r="L95">
        <v>876.18018127628864</v>
      </c>
      <c r="M95">
        <v>2467.9566685336931</v>
      </c>
      <c r="N95">
        <v>4149.4919116019864</v>
      </c>
      <c r="P95">
        <v>0.52</v>
      </c>
      <c r="Q95">
        <v>1143.7116097326279</v>
      </c>
      <c r="R95">
        <v>1810.7752189691766</v>
      </c>
      <c r="S95">
        <v>3069.338821575026</v>
      </c>
      <c r="U95">
        <v>0.52</v>
      </c>
      <c r="V95">
        <v>2360.882027728353</v>
      </c>
      <c r="W95">
        <v>1242.6635714459012</v>
      </c>
      <c r="X95">
        <v>2121.9809797669709</v>
      </c>
      <c r="Z95">
        <v>0.51</v>
      </c>
      <c r="AA95">
        <v>0.25656390063737577</v>
      </c>
      <c r="AB95">
        <v>0.3185562355918366</v>
      </c>
      <c r="AC95">
        <v>0.35374746222759945</v>
      </c>
      <c r="AD95">
        <v>0.25608000532280351</v>
      </c>
      <c r="AE95" t="e">
        <v>#VALUE!</v>
      </c>
    </row>
    <row r="96" spans="1:31">
      <c r="A96">
        <v>0.53</v>
      </c>
      <c r="B96">
        <v>1269.1421899760237</v>
      </c>
      <c r="C96">
        <v>4011.9999925537172</v>
      </c>
      <c r="D96">
        <v>6771.9999867445295</v>
      </c>
      <c r="F96">
        <v>0.53</v>
      </c>
      <c r="G96">
        <v>996.66680647813689</v>
      </c>
      <c r="H96">
        <v>3275.8755154940291</v>
      </c>
      <c r="I96">
        <v>5470.6234938637881</v>
      </c>
      <c r="K96">
        <v>0.53</v>
      </c>
      <c r="L96">
        <v>878.00281734735802</v>
      </c>
      <c r="M96">
        <v>2476.4815620346731</v>
      </c>
      <c r="N96">
        <v>4172.9353687296816</v>
      </c>
      <c r="P96">
        <v>0.53</v>
      </c>
      <c r="Q96">
        <v>1109.6523183236814</v>
      </c>
      <c r="R96">
        <v>1818.257761196322</v>
      </c>
      <c r="S96">
        <v>3088.7934313656037</v>
      </c>
      <c r="U96">
        <v>0.53</v>
      </c>
      <c r="V96">
        <v>2225.5439605724268</v>
      </c>
      <c r="W96">
        <v>1248.5716391389881</v>
      </c>
      <c r="X96">
        <v>2136.7511489996878</v>
      </c>
      <c r="Z96">
        <v>0.52</v>
      </c>
      <c r="AA96">
        <v>0.25492759164055973</v>
      </c>
      <c r="AB96">
        <v>0.32058833908601575</v>
      </c>
      <c r="AC96">
        <v>0.35993296152313276</v>
      </c>
      <c r="AD96">
        <v>0.27573920277715375</v>
      </c>
      <c r="AE96" t="e">
        <v>#VALUE!</v>
      </c>
    </row>
    <row r="97" spans="1:31">
      <c r="A97">
        <v>0.54</v>
      </c>
      <c r="B97">
        <v>1301.7330444339871</v>
      </c>
      <c r="C97">
        <v>4015.9999926115838</v>
      </c>
      <c r="D97">
        <v>6795.9999867815304</v>
      </c>
      <c r="F97">
        <v>0.54</v>
      </c>
      <c r="G97">
        <v>1012.317072883296</v>
      </c>
      <c r="H97">
        <v>3284.7372166179985</v>
      </c>
      <c r="I97">
        <v>5497.2085972356972</v>
      </c>
      <c r="K97">
        <v>0.54</v>
      </c>
      <c r="L97">
        <v>882.14357718197641</v>
      </c>
      <c r="M97">
        <v>2485.006455535653</v>
      </c>
      <c r="N97">
        <v>4196.3788258573768</v>
      </c>
      <c r="P97">
        <v>0.54</v>
      </c>
      <c r="Q97">
        <v>1074.9202736848438</v>
      </c>
      <c r="R97">
        <v>1825.7403034234674</v>
      </c>
      <c r="S97">
        <v>3108.2480411561819</v>
      </c>
      <c r="U97">
        <v>0.54</v>
      </c>
      <c r="V97">
        <v>2087.6130640094111</v>
      </c>
      <c r="W97">
        <v>1254.4797068320747</v>
      </c>
      <c r="X97">
        <v>2151.5213182324046</v>
      </c>
      <c r="Z97">
        <v>0.53</v>
      </c>
      <c r="AA97">
        <v>0.2532662322826631</v>
      </c>
      <c r="AB97">
        <v>0.3225058350554863</v>
      </c>
      <c r="AC97">
        <v>0.36609319963964415</v>
      </c>
      <c r="AD97">
        <v>0.28966808376599645</v>
      </c>
      <c r="AE97" t="e">
        <v>#VALUE!</v>
      </c>
    </row>
    <row r="98" spans="1:31">
      <c r="A98">
        <v>0.55000000000000004</v>
      </c>
      <c r="B98">
        <v>1334.85072762662</v>
      </c>
      <c r="C98">
        <v>4019.9999926694509</v>
      </c>
      <c r="D98">
        <v>6819.9999868185314</v>
      </c>
      <c r="F98">
        <v>0.55000000000000004</v>
      </c>
      <c r="G98">
        <v>1035.09220218269</v>
      </c>
      <c r="H98">
        <v>3293.5989177419679</v>
      </c>
      <c r="I98">
        <v>5523.7937006076054</v>
      </c>
      <c r="K98">
        <v>0.55000000000000004</v>
      </c>
      <c r="L98">
        <v>891.05545111834942</v>
      </c>
      <c r="M98">
        <v>2493.5313490366329</v>
      </c>
      <c r="N98">
        <v>4219.822282985072</v>
      </c>
      <c r="P98">
        <v>0.55000000000000004</v>
      </c>
      <c r="Q98">
        <v>1039.5145784129627</v>
      </c>
      <c r="R98">
        <v>1833.2228456506127</v>
      </c>
      <c r="S98">
        <v>3127.7026509467596</v>
      </c>
      <c r="U98">
        <v>0.55000000000000004</v>
      </c>
      <c r="V98">
        <v>1947.0887787157494</v>
      </c>
      <c r="W98">
        <v>1260.3877745251614</v>
      </c>
      <c r="X98">
        <v>2166.2914874651215</v>
      </c>
      <c r="Z98">
        <v>0.54</v>
      </c>
      <c r="AA98">
        <v>0.25158429779985186</v>
      </c>
      <c r="AB98">
        <v>0.32351088674539985</v>
      </c>
      <c r="AC98">
        <v>0.37124976294921647</v>
      </c>
      <c r="AD98">
        <v>0.30466965963282339</v>
      </c>
      <c r="AE98" t="e">
        <v>#VALUE!</v>
      </c>
    </row>
    <row r="99" spans="1:31">
      <c r="A99">
        <v>0.56000000000000005</v>
      </c>
      <c r="B99">
        <v>1368.4922175917743</v>
      </c>
      <c r="C99">
        <v>4023.9999927273179</v>
      </c>
      <c r="D99">
        <v>6843.9999868555324</v>
      </c>
      <c r="F99">
        <v>0.56000000000000005</v>
      </c>
      <c r="G99">
        <v>1058.2275549585479</v>
      </c>
      <c r="H99">
        <v>3302.4606188659372</v>
      </c>
      <c r="I99">
        <v>5550.3788039795136</v>
      </c>
      <c r="K99">
        <v>0.56000000000000005</v>
      </c>
      <c r="L99">
        <v>900.09230978165101</v>
      </c>
      <c r="M99">
        <v>2502.0562425376129</v>
      </c>
      <c r="N99">
        <v>4243.2657401127663</v>
      </c>
      <c r="P99">
        <v>0.56000000000000005</v>
      </c>
      <c r="Q99">
        <v>1003.4343351048877</v>
      </c>
      <c r="R99">
        <v>1840.7053878777581</v>
      </c>
      <c r="S99">
        <v>3147.1572607373378</v>
      </c>
      <c r="U99">
        <v>0.56000000000000005</v>
      </c>
      <c r="V99">
        <v>1837.8132774615115</v>
      </c>
      <c r="W99">
        <v>1266.295842218248</v>
      </c>
      <c r="X99">
        <v>2181.0616566978379</v>
      </c>
      <c r="Z99">
        <v>0.55000000000000004</v>
      </c>
      <c r="AA99">
        <v>0.24988586380775177</v>
      </c>
      <c r="AB99">
        <v>0.32225180175570173</v>
      </c>
      <c r="AC99">
        <v>0.37434295106775095</v>
      </c>
      <c r="AD99">
        <v>0.32088085541416728</v>
      </c>
      <c r="AE99" t="e">
        <v>#VALUE!</v>
      </c>
    </row>
    <row r="100" spans="1:31">
      <c r="A100">
        <v>0.56999999999999995</v>
      </c>
      <c r="B100">
        <v>1402.6544923673</v>
      </c>
      <c r="C100">
        <v>4027.9999927851845</v>
      </c>
      <c r="D100">
        <v>6867.9999868925333</v>
      </c>
      <c r="F100">
        <v>0.56999999999999995</v>
      </c>
      <c r="G100">
        <v>1081.7210529985041</v>
      </c>
      <c r="H100">
        <v>3311.3223199899066</v>
      </c>
      <c r="I100">
        <v>5576.9639073514218</v>
      </c>
      <c r="K100">
        <v>0.56999999999999995</v>
      </c>
      <c r="L100">
        <v>909.25276445269208</v>
      </c>
      <c r="M100">
        <v>2510.5811360385928</v>
      </c>
      <c r="N100">
        <v>4266.7091972404614</v>
      </c>
      <c r="P100">
        <v>0.56999999999999995</v>
      </c>
      <c r="Q100">
        <v>966.67864635746469</v>
      </c>
      <c r="R100">
        <v>1848.1879301049034</v>
      </c>
      <c r="S100">
        <v>3166.6118705279155</v>
      </c>
      <c r="U100">
        <v>0.56999999999999995</v>
      </c>
      <c r="V100">
        <v>1745.9073745308851</v>
      </c>
      <c r="W100">
        <v>1272.2039099113347</v>
      </c>
      <c r="X100">
        <v>2195.8318259305547</v>
      </c>
      <c r="Z100">
        <v>0.56000000000000005</v>
      </c>
      <c r="AA100">
        <v>0.24817463773790688</v>
      </c>
      <c r="AB100">
        <v>0.32093764594007279</v>
      </c>
      <c r="AC100">
        <v>0.37732247755755549</v>
      </c>
      <c r="AD100">
        <v>0.33846266614129245</v>
      </c>
      <c r="AE100" t="e">
        <v>#VALUE!</v>
      </c>
    </row>
    <row r="101" spans="1:31">
      <c r="A101">
        <v>0.57999999999999996</v>
      </c>
      <c r="B101">
        <v>1437.3345299910482</v>
      </c>
      <c r="C101">
        <v>4031.9999928430516</v>
      </c>
      <c r="D101">
        <v>6891.9999869295334</v>
      </c>
      <c r="F101">
        <v>0.57999999999999996</v>
      </c>
      <c r="G101">
        <v>1105.5706180901959</v>
      </c>
      <c r="H101">
        <v>3320.184021113876</v>
      </c>
      <c r="I101">
        <v>5603.54901072333</v>
      </c>
      <c r="K101">
        <v>0.57999999999999996</v>
      </c>
      <c r="L101">
        <v>918.53542641228569</v>
      </c>
      <c r="M101">
        <v>2519.1060295395728</v>
      </c>
      <c r="N101">
        <v>4290.1526543681566</v>
      </c>
      <c r="P101">
        <v>0.57999999999999996</v>
      </c>
      <c r="Q101">
        <v>932.97229516812945</v>
      </c>
      <c r="R101">
        <v>1855.6704723320488</v>
      </c>
      <c r="S101">
        <v>3186.0664803184932</v>
      </c>
      <c r="U101">
        <v>0.57999999999999996</v>
      </c>
      <c r="V101">
        <v>1652.3587383112397</v>
      </c>
      <c r="W101">
        <v>1278.1119776044216</v>
      </c>
      <c r="X101">
        <v>2210.6019951632716</v>
      </c>
      <c r="Z101">
        <v>0.56999999999999995</v>
      </c>
      <c r="AA101">
        <v>0.24645398809877656</v>
      </c>
      <c r="AB101">
        <v>0.31957387962426914</v>
      </c>
      <c r="AC101">
        <v>0.38019108337389901</v>
      </c>
      <c r="AD101">
        <v>0.35760569955752414</v>
      </c>
      <c r="AE101" t="e">
        <v>#VALUE!</v>
      </c>
    </row>
    <row r="102" spans="1:31">
      <c r="A102">
        <v>0.59</v>
      </c>
      <c r="B102">
        <v>1472.52930850087</v>
      </c>
      <c r="C102">
        <v>4035.9999929009182</v>
      </c>
      <c r="D102">
        <v>6915.9999869665344</v>
      </c>
      <c r="F102">
        <v>0.59</v>
      </c>
      <c r="G102">
        <v>1129.7741720212582</v>
      </c>
      <c r="H102">
        <v>3329.0457222378454</v>
      </c>
      <c r="I102">
        <v>5630.1341140952381</v>
      </c>
      <c r="K102">
        <v>0.59</v>
      </c>
      <c r="L102">
        <v>927.93890694124275</v>
      </c>
      <c r="M102">
        <v>2527.6309230405527</v>
      </c>
      <c r="N102">
        <v>4313.5961114958509</v>
      </c>
      <c r="P102">
        <v>0.59</v>
      </c>
      <c r="Q102">
        <v>915.59976667585647</v>
      </c>
      <c r="R102">
        <v>1863.1530145591942</v>
      </c>
      <c r="S102">
        <v>3205.5210901090713</v>
      </c>
      <c r="U102">
        <v>0.59</v>
      </c>
      <c r="V102">
        <v>1557.1668094790177</v>
      </c>
      <c r="W102">
        <v>1284.0200452975082</v>
      </c>
      <c r="X102">
        <v>2225.372164395988</v>
      </c>
      <c r="Z102">
        <v>0.57999999999999996</v>
      </c>
      <c r="AA102">
        <v>0.24472697166148449</v>
      </c>
      <c r="AB102">
        <v>0.31816558892120511</v>
      </c>
      <c r="AC102">
        <v>0.38295150811174333</v>
      </c>
      <c r="AD102">
        <v>0.37702569371072148</v>
      </c>
      <c r="AE102" t="e">
        <v>#VALUE!</v>
      </c>
    </row>
    <row r="103" spans="1:31">
      <c r="A103">
        <v>0.6</v>
      </c>
      <c r="B103">
        <v>1508.2358059346161</v>
      </c>
      <c r="C103">
        <v>4039.9999929587852</v>
      </c>
      <c r="D103">
        <v>6939.9999870035354</v>
      </c>
      <c r="F103">
        <v>0.6</v>
      </c>
      <c r="G103">
        <v>1154.3296365793274</v>
      </c>
      <c r="H103">
        <v>3337.9074233618148</v>
      </c>
      <c r="I103">
        <v>5656.7192174671463</v>
      </c>
      <c r="K103">
        <v>0.6</v>
      </c>
      <c r="L103">
        <v>937.46181732037576</v>
      </c>
      <c r="M103">
        <v>2536.1558165415327</v>
      </c>
      <c r="N103">
        <v>4337.0395686235461</v>
      </c>
      <c r="P103">
        <v>0.6</v>
      </c>
      <c r="Q103">
        <v>897.90357477996281</v>
      </c>
      <c r="R103">
        <v>1870.6355567863395</v>
      </c>
      <c r="S103">
        <v>3224.975699899649</v>
      </c>
      <c r="U103">
        <v>0.6</v>
      </c>
      <c r="V103">
        <v>1468.8090335767547</v>
      </c>
      <c r="W103">
        <v>1289.9281129905949</v>
      </c>
      <c r="X103">
        <v>2240.1423336287048</v>
      </c>
      <c r="Z103">
        <v>0.59</v>
      </c>
      <c r="AA103">
        <v>0.24299635867627317</v>
      </c>
      <c r="AB103">
        <v>0.31671750769372475</v>
      </c>
      <c r="AC103">
        <v>0.38560648480490056</v>
      </c>
      <c r="AD103">
        <v>0.3908031358706</v>
      </c>
      <c r="AE103" t="e">
        <v>#VALUE!</v>
      </c>
    </row>
    <row r="104" spans="1:31">
      <c r="A104">
        <v>0.61</v>
      </c>
      <c r="B104">
        <v>1544.4510003301375</v>
      </c>
      <c r="C104">
        <v>4043.9999930166523</v>
      </c>
      <c r="D104">
        <v>6963.9999870405363</v>
      </c>
      <c r="F104">
        <v>0.61</v>
      </c>
      <c r="G104">
        <v>1179.2349335520382</v>
      </c>
      <c r="H104">
        <v>3346.7691244857842</v>
      </c>
      <c r="I104">
        <v>5683.3043208390545</v>
      </c>
      <c r="K104">
        <v>0.61</v>
      </c>
      <c r="L104">
        <v>947.1027688304963</v>
      </c>
      <c r="M104">
        <v>2544.6807100425126</v>
      </c>
      <c r="N104">
        <v>4360.4830257512413</v>
      </c>
      <c r="P104">
        <v>0.61</v>
      </c>
      <c r="Q104">
        <v>879.88282207729674</v>
      </c>
      <c r="R104">
        <v>1878.1180990134849</v>
      </c>
      <c r="S104">
        <v>3244.4303096902272</v>
      </c>
      <c r="U104">
        <v>0.61</v>
      </c>
      <c r="V104">
        <v>1412.6276856011509</v>
      </c>
      <c r="W104">
        <v>1295.8361806836815</v>
      </c>
      <c r="X104">
        <v>2254.9125028614217</v>
      </c>
      <c r="Z104">
        <v>0.6</v>
      </c>
      <c r="AA104">
        <v>0.24126465622855645</v>
      </c>
      <c r="AB104">
        <v>0.31523403862201188</v>
      </c>
      <c r="AC104">
        <v>0.3881587351259812</v>
      </c>
      <c r="AD104">
        <v>0.4052595439651222</v>
      </c>
      <c r="AE104" t="e">
        <v>#VALUE!</v>
      </c>
    </row>
    <row r="105" spans="1:31">
      <c r="A105">
        <v>0.62</v>
      </c>
      <c r="B105">
        <v>1581.1718697252843</v>
      </c>
      <c r="C105">
        <v>4047.9999930745189</v>
      </c>
      <c r="D105">
        <v>6987.9999870775373</v>
      </c>
      <c r="F105">
        <v>0.62</v>
      </c>
      <c r="G105">
        <v>1204.4879847270274</v>
      </c>
      <c r="H105">
        <v>3355.6308256097536</v>
      </c>
      <c r="I105">
        <v>5709.8894242109627</v>
      </c>
      <c r="K105">
        <v>0.62</v>
      </c>
      <c r="L105">
        <v>956.86037275241677</v>
      </c>
      <c r="M105">
        <v>2553.2056035434925</v>
      </c>
      <c r="N105">
        <v>4383.9264828789355</v>
      </c>
      <c r="P105">
        <v>0.62</v>
      </c>
      <c r="Q105">
        <v>865.25040426643045</v>
      </c>
      <c r="R105">
        <v>1885.6006412406302</v>
      </c>
      <c r="S105">
        <v>3263.8849194808049</v>
      </c>
      <c r="U105">
        <v>0.62</v>
      </c>
      <c r="V105">
        <v>1355.5005214894456</v>
      </c>
      <c r="W105">
        <v>1301.7442483767682</v>
      </c>
      <c r="X105">
        <v>2269.6826720941385</v>
      </c>
      <c r="Z105">
        <v>0.61</v>
      </c>
      <c r="AA105">
        <v>0.23953412984416614</v>
      </c>
      <c r="AB105">
        <v>0.31371927334810557</v>
      </c>
      <c r="AC105">
        <v>0.39061096497212022</v>
      </c>
      <c r="AD105">
        <v>0.42045226611793934</v>
      </c>
      <c r="AE105" t="e">
        <v>#VALUE!</v>
      </c>
    </row>
    <row r="106" spans="1:31">
      <c r="A106">
        <v>0.63</v>
      </c>
      <c r="B106">
        <v>1618.3953921579086</v>
      </c>
      <c r="C106">
        <v>4051.999993132386</v>
      </c>
      <c r="D106">
        <v>7011.9999871145383</v>
      </c>
      <c r="F106">
        <v>0.63</v>
      </c>
      <c r="G106">
        <v>1230.0867118919302</v>
      </c>
      <c r="H106">
        <v>3364.492526733723</v>
      </c>
      <c r="I106">
        <v>5736.4745275828709</v>
      </c>
      <c r="K106">
        <v>0.63</v>
      </c>
      <c r="L106">
        <v>966.73324036694851</v>
      </c>
      <c r="M106">
        <v>2561.7304970444725</v>
      </c>
      <c r="N106">
        <v>4407.3699400066307</v>
      </c>
      <c r="P106">
        <v>0.63</v>
      </c>
      <c r="Q106">
        <v>866.37212081509028</v>
      </c>
      <c r="R106">
        <v>1893.0831834677756</v>
      </c>
      <c r="S106">
        <v>3283.3395292713831</v>
      </c>
      <c r="U106">
        <v>0.63</v>
      </c>
      <c r="V106">
        <v>1297.4269819180811</v>
      </c>
      <c r="W106">
        <v>1307.652316069855</v>
      </c>
      <c r="X106">
        <v>2284.4528413268554</v>
      </c>
      <c r="Z106">
        <v>0.62</v>
      </c>
      <c r="AA106">
        <v>0.23780682345239312</v>
      </c>
      <c r="AB106">
        <v>0.31217701168395562</v>
      </c>
      <c r="AC106">
        <v>0.39296586042089671</v>
      </c>
      <c r="AD106">
        <v>0.43457183935106286</v>
      </c>
      <c r="AE106" t="e">
        <v>#VALUE!</v>
      </c>
    </row>
    <row r="107" spans="1:31">
      <c r="A107">
        <v>0.64</v>
      </c>
      <c r="B107">
        <v>1663.9926490607595</v>
      </c>
      <c r="C107">
        <v>4055.999993190253</v>
      </c>
      <c r="D107">
        <v>7035.9999871515392</v>
      </c>
      <c r="F107">
        <v>0.64</v>
      </c>
      <c r="G107">
        <v>1256.0290368343829</v>
      </c>
      <c r="H107">
        <v>3373.3542278576924</v>
      </c>
      <c r="I107">
        <v>5763.05963095478</v>
      </c>
      <c r="K107">
        <v>0.64</v>
      </c>
      <c r="L107">
        <v>976.7199829549038</v>
      </c>
      <c r="M107">
        <v>2570.2553905454524</v>
      </c>
      <c r="N107">
        <v>4430.8133971343259</v>
      </c>
      <c r="P107">
        <v>0.64</v>
      </c>
      <c r="Q107">
        <v>867.4832928767097</v>
      </c>
      <c r="R107">
        <v>1900.565725694921</v>
      </c>
      <c r="S107">
        <v>3302.7941390619608</v>
      </c>
      <c r="U107">
        <v>0.64</v>
      </c>
      <c r="V107">
        <v>1238.4065075634992</v>
      </c>
      <c r="W107">
        <v>1313.5603837629417</v>
      </c>
      <c r="X107">
        <v>2299.2230105595718</v>
      </c>
      <c r="Z107">
        <v>0.63</v>
      </c>
      <c r="AA107">
        <v>0.2360845778131048</v>
      </c>
      <c r="AB107">
        <v>0.31061077988097746</v>
      </c>
      <c r="AC107">
        <v>0.39522608404046616</v>
      </c>
      <c r="AD107">
        <v>0.44100933504475814</v>
      </c>
      <c r="AE107" t="e">
        <v>#VALUE!</v>
      </c>
    </row>
    <row r="108" spans="1:31">
      <c r="A108">
        <v>0.65</v>
      </c>
      <c r="B108">
        <v>1710.3339349577541</v>
      </c>
      <c r="C108">
        <v>4059.9999932481201</v>
      </c>
      <c r="D108">
        <v>7059.9999871885402</v>
      </c>
      <c r="F108">
        <v>0.65</v>
      </c>
      <c r="G108">
        <v>1282.312881342021</v>
      </c>
      <c r="H108">
        <v>3382.2159289816623</v>
      </c>
      <c r="I108">
        <v>5789.6447343266882</v>
      </c>
      <c r="K108">
        <v>0.65</v>
      </c>
      <c r="L108">
        <v>986.81921179709434</v>
      </c>
      <c r="M108">
        <v>2578.7802840464324</v>
      </c>
      <c r="N108">
        <v>4454.2568542620202</v>
      </c>
      <c r="P108">
        <v>0.65</v>
      </c>
      <c r="Q108">
        <v>868.5830230481364</v>
      </c>
      <c r="R108">
        <v>1908.0482679220663</v>
      </c>
      <c r="S108">
        <v>3322.2487488525389</v>
      </c>
      <c r="U108">
        <v>0.65</v>
      </c>
      <c r="V108">
        <v>1178.4385391021424</v>
      </c>
      <c r="W108">
        <v>1319.4684514560283</v>
      </c>
      <c r="X108">
        <v>2313.9931797922886</v>
      </c>
      <c r="Z108">
        <v>0.64</v>
      </c>
      <c r="AA108">
        <v>0.23326000047655721</v>
      </c>
      <c r="AB108">
        <v>0.3090238479684333</v>
      </c>
      <c r="AC108">
        <v>0.39739427153766654</v>
      </c>
      <c r="AD108">
        <v>0.44743562130805276</v>
      </c>
      <c r="AE108">
        <v>0.31342125848990998</v>
      </c>
    </row>
    <row r="109" spans="1:31">
      <c r="A109">
        <v>0.66</v>
      </c>
      <c r="B109">
        <v>1757.2947230953264</v>
      </c>
      <c r="C109">
        <v>4063.9999933059867</v>
      </c>
      <c r="D109">
        <v>7083.9999872255412</v>
      </c>
      <c r="F109">
        <v>0.66</v>
      </c>
      <c r="G109">
        <v>1308.9361672024804</v>
      </c>
      <c r="H109">
        <v>3391.0776301056317</v>
      </c>
      <c r="I109">
        <v>5816.2298376985964</v>
      </c>
      <c r="K109">
        <v>0.66</v>
      </c>
      <c r="L109">
        <v>999.08207081276862</v>
      </c>
      <c r="M109">
        <v>2587.3051775474123</v>
      </c>
      <c r="N109">
        <v>4477.7003113897154</v>
      </c>
      <c r="P109">
        <v>0.66</v>
      </c>
      <c r="Q109">
        <v>869.67041392621809</v>
      </c>
      <c r="R109">
        <v>1915.5308101492117</v>
      </c>
      <c r="S109">
        <v>3341.7033586431166</v>
      </c>
      <c r="U109">
        <v>0.66</v>
      </c>
      <c r="V109">
        <v>1134.5154453401406</v>
      </c>
      <c r="W109">
        <v>1325.376519149115</v>
      </c>
      <c r="X109">
        <v>2328.7633490250055</v>
      </c>
      <c r="Z109">
        <v>0.65</v>
      </c>
      <c r="AA109">
        <v>0.23048578483784063</v>
      </c>
      <c r="AB109">
        <v>0.30741924617551164</v>
      </c>
      <c r="AC109">
        <v>0.39947302872774615</v>
      </c>
      <c r="AD109">
        <v>0.45385144411401379</v>
      </c>
      <c r="AE109">
        <v>0.33451694446760127</v>
      </c>
    </row>
    <row r="110" spans="1:31">
      <c r="A110">
        <v>0.67</v>
      </c>
      <c r="B110">
        <v>1804.8719915113275</v>
      </c>
      <c r="C110">
        <v>4067.9999933638537</v>
      </c>
      <c r="D110">
        <v>7107.9999872625413</v>
      </c>
      <c r="F110">
        <v>0.67</v>
      </c>
      <c r="G110">
        <v>1335.8968162033968</v>
      </c>
      <c r="H110">
        <v>3399.9393312296011</v>
      </c>
      <c r="I110">
        <v>5842.8149410705046</v>
      </c>
      <c r="K110">
        <v>0.67</v>
      </c>
      <c r="L110">
        <v>1017.0979248398678</v>
      </c>
      <c r="M110">
        <v>2595.8300710483923</v>
      </c>
      <c r="N110">
        <v>4501.1437685174096</v>
      </c>
      <c r="P110">
        <v>0.67</v>
      </c>
      <c r="Q110">
        <v>872.07782205961178</v>
      </c>
      <c r="R110">
        <v>1923.013352376357</v>
      </c>
      <c r="S110">
        <v>3361.1579684336948</v>
      </c>
      <c r="U110">
        <v>0.67</v>
      </c>
      <c r="V110">
        <v>1107.3661595102751</v>
      </c>
      <c r="W110">
        <v>1331.2845868422019</v>
      </c>
      <c r="X110">
        <v>2343.5335182577223</v>
      </c>
      <c r="Z110">
        <v>0.66</v>
      </c>
      <c r="AA110">
        <v>0.22777761026284601</v>
      </c>
      <c r="AB110">
        <v>0.30579978045794209</v>
      </c>
      <c r="AC110">
        <v>0.40064015185294144</v>
      </c>
      <c r="AD110">
        <v>0.46025757132165418</v>
      </c>
      <c r="AE110">
        <v>0.35281352423013751</v>
      </c>
    </row>
    <row r="111" spans="1:31">
      <c r="A111">
        <v>0.68</v>
      </c>
      <c r="B111">
        <v>1853.0627182436076</v>
      </c>
      <c r="C111">
        <v>4071.9999934217208</v>
      </c>
      <c r="D111">
        <v>7131.9999872995422</v>
      </c>
      <c r="F111">
        <v>0.68</v>
      </c>
      <c r="G111">
        <v>1363.1927501324058</v>
      </c>
      <c r="H111">
        <v>3408.8010323535705</v>
      </c>
      <c r="I111">
        <v>5869.4000444424128</v>
      </c>
      <c r="K111">
        <v>0.68</v>
      </c>
      <c r="L111">
        <v>1035.3378255626451</v>
      </c>
      <c r="M111">
        <v>2604.3549645493722</v>
      </c>
      <c r="N111">
        <v>4524.5872256451048</v>
      </c>
      <c r="P111">
        <v>0.68</v>
      </c>
      <c r="Q111">
        <v>878.81672146511369</v>
      </c>
      <c r="R111">
        <v>1930.4958946035024</v>
      </c>
      <c r="S111">
        <v>3380.6125782242725</v>
      </c>
      <c r="U111">
        <v>0.68</v>
      </c>
      <c r="V111">
        <v>1079.7897369234984</v>
      </c>
      <c r="W111">
        <v>1337.1926545352885</v>
      </c>
      <c r="X111">
        <v>2358.3036874904392</v>
      </c>
      <c r="Z111">
        <v>0.67</v>
      </c>
      <c r="AA111">
        <v>0.22513348740846109</v>
      </c>
      <c r="AB111">
        <v>0.30416804715460771</v>
      </c>
      <c r="AC111">
        <v>0.39950639546198963</v>
      </c>
      <c r="AD111">
        <v>0.46594135925276342</v>
      </c>
      <c r="AE111">
        <v>0.36694016906236776</v>
      </c>
    </row>
    <row r="112" spans="1:31">
      <c r="A112">
        <v>0.69</v>
      </c>
      <c r="B112">
        <v>1901.8638813300172</v>
      </c>
      <c r="C112">
        <v>4075.9999934795874</v>
      </c>
      <c r="D112">
        <v>7155.9999873365432</v>
      </c>
      <c r="F112">
        <v>0.69</v>
      </c>
      <c r="G112">
        <v>1390.8218907771432</v>
      </c>
      <c r="H112">
        <v>3417.6627334775399</v>
      </c>
      <c r="I112">
        <v>5895.985147814321</v>
      </c>
      <c r="K112">
        <v>0.69</v>
      </c>
      <c r="L112">
        <v>1053.8003842619128</v>
      </c>
      <c r="M112">
        <v>2612.8798580503521</v>
      </c>
      <c r="N112">
        <v>4548.0306827727991</v>
      </c>
      <c r="P112">
        <v>0.69</v>
      </c>
      <c r="Q112">
        <v>885.62472091334803</v>
      </c>
      <c r="R112">
        <v>1937.9784368306478</v>
      </c>
      <c r="S112">
        <v>3400.0671880148502</v>
      </c>
      <c r="U112">
        <v>0.69</v>
      </c>
      <c r="V112">
        <v>1051.7856182562539</v>
      </c>
      <c r="W112">
        <v>1343.1007222283752</v>
      </c>
      <c r="X112">
        <v>2373.0738567231556</v>
      </c>
      <c r="Z112">
        <v>0.68</v>
      </c>
      <c r="AA112">
        <v>0.22255148459644516</v>
      </c>
      <c r="AB112">
        <v>0.30252644680310631</v>
      </c>
      <c r="AC112">
        <v>0.39832588824927295</v>
      </c>
      <c r="AD112">
        <v>0.46926947215771952</v>
      </c>
      <c r="AE112">
        <v>0.38192792995080083</v>
      </c>
    </row>
    <row r="113" spans="1:31">
      <c r="A113">
        <v>0.7</v>
      </c>
      <c r="B113">
        <v>1951.2724588084079</v>
      </c>
      <c r="C113">
        <v>4079.9999935374544</v>
      </c>
      <c r="D113">
        <v>7179.9999873735442</v>
      </c>
      <c r="F113">
        <v>0.7</v>
      </c>
      <c r="G113">
        <v>1418.7821599252452</v>
      </c>
      <c r="H113">
        <v>3426.5244346015093</v>
      </c>
      <c r="I113">
        <v>5922.5702511862291</v>
      </c>
      <c r="K113">
        <v>0.7</v>
      </c>
      <c r="L113">
        <v>1072.4842122184832</v>
      </c>
      <c r="M113">
        <v>2621.4047515513321</v>
      </c>
      <c r="N113">
        <v>4571.4741399004943</v>
      </c>
      <c r="P113">
        <v>0.7</v>
      </c>
      <c r="Q113">
        <v>892.50092300116205</v>
      </c>
      <c r="R113">
        <v>1945.4609790577931</v>
      </c>
      <c r="S113">
        <v>3419.5217978054284</v>
      </c>
      <c r="U113">
        <v>0.7</v>
      </c>
      <c r="V113">
        <v>1023.353244184982</v>
      </c>
      <c r="W113">
        <v>1349.0087899214618</v>
      </c>
      <c r="X113">
        <v>2387.8440259558724</v>
      </c>
      <c r="Z113">
        <v>0.69</v>
      </c>
      <c r="AA113">
        <v>0.22002972784962854</v>
      </c>
      <c r="AB113">
        <v>0.3008771971457489</v>
      </c>
      <c r="AC113">
        <v>0.39710233406213258</v>
      </c>
      <c r="AD113">
        <v>0.47251006249510713</v>
      </c>
      <c r="AE113">
        <v>0.39786301025844967</v>
      </c>
    </row>
    <row r="114" spans="1:31">
      <c r="A114">
        <v>0.71</v>
      </c>
      <c r="B114">
        <v>2001.2854287166308</v>
      </c>
      <c r="C114">
        <v>4083.9999935953215</v>
      </c>
      <c r="D114">
        <v>7203.9999874105451</v>
      </c>
      <c r="F114">
        <v>0.71</v>
      </c>
      <c r="G114">
        <v>1447.0714793643479</v>
      </c>
      <c r="H114">
        <v>3435.3861357254787</v>
      </c>
      <c r="I114">
        <v>5949.1553545581373</v>
      </c>
      <c r="K114">
        <v>0.71</v>
      </c>
      <c r="L114">
        <v>1091.3879207131681</v>
      </c>
      <c r="M114">
        <v>2629.929645052312</v>
      </c>
      <c r="N114">
        <v>4594.9175970281894</v>
      </c>
      <c r="P114">
        <v>0.71</v>
      </c>
      <c r="Q114">
        <v>899.4444303254038</v>
      </c>
      <c r="R114">
        <v>1952.9435212849385</v>
      </c>
      <c r="S114">
        <v>3438.9764075960065</v>
      </c>
      <c r="U114">
        <v>0.71</v>
      </c>
      <c r="V114">
        <v>993.74018061303411</v>
      </c>
      <c r="W114">
        <v>1354.9168576145485</v>
      </c>
      <c r="X114">
        <v>2402.6141951885893</v>
      </c>
      <c r="Z114">
        <v>0.7</v>
      </c>
      <c r="AA114">
        <v>0.2175664005917341</v>
      </c>
      <c r="AB114">
        <v>0.29922234535921455</v>
      </c>
      <c r="AC114">
        <v>0.39583923064795656</v>
      </c>
      <c r="AD114">
        <v>0.47566485871980596</v>
      </c>
      <c r="AE114">
        <v>0.41484338654219921</v>
      </c>
    </row>
    <row r="115" spans="1:31">
      <c r="A115">
        <v>0.72</v>
      </c>
      <c r="B115">
        <v>2051.8997690925366</v>
      </c>
      <c r="C115">
        <v>4087.9999936531881</v>
      </c>
      <c r="D115">
        <v>7227.9999874475461</v>
      </c>
      <c r="F115">
        <v>0.72</v>
      </c>
      <c r="G115">
        <v>1475.6877708820855</v>
      </c>
      <c r="H115">
        <v>3444.247836849448</v>
      </c>
      <c r="I115">
        <v>5975.7404579300455</v>
      </c>
      <c r="K115">
        <v>0.72</v>
      </c>
      <c r="L115">
        <v>1110.510121026779</v>
      </c>
      <c r="M115">
        <v>2638.454538553292</v>
      </c>
      <c r="N115">
        <v>4618.3610541558837</v>
      </c>
      <c r="P115">
        <v>0.72</v>
      </c>
      <c r="Q115">
        <v>906.45434548292008</v>
      </c>
      <c r="R115">
        <v>1960.4260635120838</v>
      </c>
      <c r="S115">
        <v>3458.4310173865842</v>
      </c>
      <c r="U115">
        <v>0.72</v>
      </c>
      <c r="V115">
        <v>964.36427022955866</v>
      </c>
      <c r="W115">
        <v>1360.8249253076351</v>
      </c>
      <c r="X115">
        <v>2417.3843644213057</v>
      </c>
      <c r="Z115">
        <v>0.71</v>
      </c>
      <c r="AA115">
        <v>0.21515974307248456</v>
      </c>
      <c r="AB115">
        <v>0.29756377954215329</v>
      </c>
      <c r="AC115">
        <v>0.3945398794462901</v>
      </c>
      <c r="AD115">
        <v>0.47873558849158487</v>
      </c>
      <c r="AE115">
        <v>0.43330849156333562</v>
      </c>
    </row>
    <row r="116" spans="1:31">
      <c r="A116">
        <v>0.73</v>
      </c>
      <c r="B116">
        <v>2103.1124579739758</v>
      </c>
      <c r="C116">
        <v>4091.9999937110551</v>
      </c>
      <c r="D116">
        <v>7251.9999874845462</v>
      </c>
      <c r="F116">
        <v>0.73</v>
      </c>
      <c r="G116">
        <v>1504.6289562660959</v>
      </c>
      <c r="H116">
        <v>3453.1095379734174</v>
      </c>
      <c r="I116">
        <v>6002.3255613019537</v>
      </c>
      <c r="K116">
        <v>0.73</v>
      </c>
      <c r="L116">
        <v>1129.8494244401279</v>
      </c>
      <c r="M116">
        <v>2646.9794320542719</v>
      </c>
      <c r="N116">
        <v>4641.8045112835789</v>
      </c>
      <c r="P116">
        <v>0.73</v>
      </c>
      <c r="Q116">
        <v>913.52977107055938</v>
      </c>
      <c r="R116">
        <v>1967.9086057392292</v>
      </c>
      <c r="S116">
        <v>3477.885627177162</v>
      </c>
      <c r="U116">
        <v>0.73</v>
      </c>
      <c r="V116">
        <v>935.23893679994092</v>
      </c>
      <c r="W116">
        <v>1366.732993000722</v>
      </c>
      <c r="X116">
        <v>2432.1545336540225</v>
      </c>
      <c r="Z116">
        <v>0.72</v>
      </c>
      <c r="AA116">
        <v>0.21280805157025071</v>
      </c>
      <c r="AB116">
        <v>0.29590323949555047</v>
      </c>
      <c r="AC116">
        <v>0.39320739507015012</v>
      </c>
      <c r="AD116">
        <v>0.48172397657307575</v>
      </c>
      <c r="AE116">
        <v>0.45279652654907415</v>
      </c>
    </row>
    <row r="117" spans="1:31">
      <c r="A117">
        <v>0.74</v>
      </c>
      <c r="B117">
        <v>2154.920473398799</v>
      </c>
      <c r="C117">
        <v>4095.9999937689217</v>
      </c>
      <c r="D117">
        <v>7275.9999875215472</v>
      </c>
      <c r="F117">
        <v>0.74</v>
      </c>
      <c r="G117">
        <v>1533.8929573040134</v>
      </c>
      <c r="H117">
        <v>3461.9712390973868</v>
      </c>
      <c r="I117">
        <v>6028.9106646738619</v>
      </c>
      <c r="K117">
        <v>0.74</v>
      </c>
      <c r="L117">
        <v>1149.4044422340273</v>
      </c>
      <c r="M117">
        <v>2655.5043255552519</v>
      </c>
      <c r="N117">
        <v>4665.2479684112732</v>
      </c>
      <c r="P117">
        <v>0.74</v>
      </c>
      <c r="Q117">
        <v>920.6698096851693</v>
      </c>
      <c r="R117">
        <v>1975.3911479663745</v>
      </c>
      <c r="S117">
        <v>3497.3402369677401</v>
      </c>
      <c r="U117">
        <v>0.74</v>
      </c>
      <c r="V117">
        <v>917.74402829635915</v>
      </c>
      <c r="W117">
        <v>1372.6410606938086</v>
      </c>
      <c r="X117">
        <v>2446.9247028867394</v>
      </c>
      <c r="Z117">
        <v>0.73</v>
      </c>
      <c r="AA117">
        <v>0.21050967741648191</v>
      </c>
      <c r="AB117">
        <v>0.29424232683073959</v>
      </c>
      <c r="AC117">
        <v>0.39184471446540409</v>
      </c>
      <c r="AD117">
        <v>0.48463174286024213</v>
      </c>
      <c r="AE117">
        <v>0.4733822638132395</v>
      </c>
    </row>
    <row r="118" spans="1:31">
      <c r="A118">
        <v>0.75</v>
      </c>
      <c r="B118">
        <v>2207.3207934048578</v>
      </c>
      <c r="C118">
        <v>4099.9999938267883</v>
      </c>
      <c r="D118">
        <v>7299.9999875585481</v>
      </c>
      <c r="F118">
        <v>0.75</v>
      </c>
      <c r="G118">
        <v>1563.4776957834738</v>
      </c>
      <c r="H118">
        <v>3470.8329402213562</v>
      </c>
      <c r="I118">
        <v>6055.4957680457701</v>
      </c>
      <c r="K118">
        <v>0.75</v>
      </c>
      <c r="L118">
        <v>1169.1737856892883</v>
      </c>
      <c r="M118">
        <v>2664.0292190562318</v>
      </c>
      <c r="N118">
        <v>4688.6914255389684</v>
      </c>
      <c r="P118">
        <v>0.75</v>
      </c>
      <c r="Q118">
        <v>927.87356392359698</v>
      </c>
      <c r="R118">
        <v>1982.8736901935199</v>
      </c>
      <c r="S118">
        <v>3516.7948467583183</v>
      </c>
      <c r="U118">
        <v>0.75</v>
      </c>
      <c r="V118">
        <v>903.62148134634469</v>
      </c>
      <c r="W118">
        <v>1378.5491283868953</v>
      </c>
      <c r="X118">
        <v>2461.6948721194558</v>
      </c>
      <c r="Z118">
        <v>0.74</v>
      </c>
      <c r="AA118">
        <v>0.20826302587932682</v>
      </c>
      <c r="AB118">
        <v>0.29258251443966987</v>
      </c>
      <c r="AC118">
        <v>0.39045460574088547</v>
      </c>
      <c r="AD118">
        <v>0.48746060054122664</v>
      </c>
      <c r="AE118">
        <v>0.48901463206730406</v>
      </c>
    </row>
    <row r="119" spans="1:31">
      <c r="A119">
        <v>0.76</v>
      </c>
      <c r="B119">
        <v>2260.3103960300018</v>
      </c>
      <c r="C119">
        <v>4103.9999938846559</v>
      </c>
      <c r="D119">
        <v>7323.9999875955491</v>
      </c>
      <c r="F119">
        <v>0.76</v>
      </c>
      <c r="G119">
        <v>1593.4593146522357</v>
      </c>
      <c r="H119">
        <v>3479.6946413453256</v>
      </c>
      <c r="I119">
        <v>6082.0808714176792</v>
      </c>
      <c r="K119">
        <v>0.76</v>
      </c>
      <c r="L119">
        <v>1189.1560660867233</v>
      </c>
      <c r="M119">
        <v>2672.5541125572117</v>
      </c>
      <c r="N119">
        <v>4712.1348826666635</v>
      </c>
      <c r="P119">
        <v>0.76</v>
      </c>
      <c r="Q119">
        <v>935.14013638269023</v>
      </c>
      <c r="R119">
        <v>1990.3562324206653</v>
      </c>
      <c r="S119">
        <v>3536.249456548896</v>
      </c>
      <c r="U119">
        <v>0.76</v>
      </c>
      <c r="V119">
        <v>889.28825585625634</v>
      </c>
      <c r="W119">
        <v>1384.4571960799819</v>
      </c>
      <c r="X119">
        <v>2476.4650413521726</v>
      </c>
      <c r="Z119">
        <v>0.75</v>
      </c>
      <c r="AA119">
        <v>0.20606655493802523</v>
      </c>
      <c r="AB119">
        <v>0.29092515536145441</v>
      </c>
      <c r="AC119">
        <v>0.38903967666518918</v>
      </c>
      <c r="AD119">
        <v>0.49021225437933647</v>
      </c>
      <c r="AE119">
        <v>0.50336894478456617</v>
      </c>
    </row>
    <row r="120" spans="1:31">
      <c r="A120">
        <v>0.77</v>
      </c>
      <c r="B120">
        <v>2313.8862593120834</v>
      </c>
      <c r="C120">
        <v>4107.9999939425225</v>
      </c>
      <c r="D120">
        <v>7347.9999876325501</v>
      </c>
      <c r="F120">
        <v>0.77</v>
      </c>
      <c r="G120">
        <v>1630.3035952886144</v>
      </c>
      <c r="H120">
        <v>3488.556342469295</v>
      </c>
      <c r="I120">
        <v>6108.6659747895874</v>
      </c>
      <c r="K120">
        <v>0.77</v>
      </c>
      <c r="L120">
        <v>1209.3498947071446</v>
      </c>
      <c r="M120">
        <v>2681.0790060581917</v>
      </c>
      <c r="N120">
        <v>4735.5783397943578</v>
      </c>
      <c r="P120">
        <v>0.77</v>
      </c>
      <c r="Q120">
        <v>942.46862965929688</v>
      </c>
      <c r="R120">
        <v>1997.8387746478106</v>
      </c>
      <c r="S120">
        <v>3555.7040663394737</v>
      </c>
      <c r="U120">
        <v>0.77</v>
      </c>
      <c r="V120">
        <v>874.74379250253696</v>
      </c>
      <c r="W120">
        <v>1390.3652637730686</v>
      </c>
      <c r="X120">
        <v>2491.2352105848895</v>
      </c>
      <c r="Z120">
        <v>0.76</v>
      </c>
      <c r="AA120">
        <v>0.20391877397468519</v>
      </c>
      <c r="AB120">
        <v>0.28925729106000775</v>
      </c>
      <c r="AC120">
        <v>0.38760238282888948</v>
      </c>
      <c r="AD120">
        <v>0.49288839911585036</v>
      </c>
      <c r="AE120">
        <v>0.51830182366103905</v>
      </c>
    </row>
    <row r="121" spans="1:31">
      <c r="A121">
        <v>0.78</v>
      </c>
      <c r="B121">
        <v>2368.0453612889523</v>
      </c>
      <c r="C121">
        <v>4111.9999940003891</v>
      </c>
      <c r="D121">
        <v>7371.9999876695501</v>
      </c>
      <c r="F121">
        <v>0.78</v>
      </c>
      <c r="G121">
        <v>1667.5489709112862</v>
      </c>
      <c r="H121">
        <v>3497.4180435932644</v>
      </c>
      <c r="I121">
        <v>6135.2510781614956</v>
      </c>
      <c r="K121">
        <v>0.78</v>
      </c>
      <c r="L121">
        <v>1229.7538828313629</v>
      </c>
      <c r="M121">
        <v>2689.6038995591716</v>
      </c>
      <c r="N121">
        <v>4759.021796922053</v>
      </c>
      <c r="P121">
        <v>0.78</v>
      </c>
      <c r="Q121">
        <v>949.85814635026452</v>
      </c>
      <c r="R121">
        <v>2005.321316874956</v>
      </c>
      <c r="S121">
        <v>3575.1586761300518</v>
      </c>
      <c r="U121">
        <v>0.78</v>
      </c>
      <c r="V121">
        <v>859.98753196162772</v>
      </c>
      <c r="W121">
        <v>1396.2733314661555</v>
      </c>
      <c r="X121">
        <v>2506.0053798176064</v>
      </c>
      <c r="Z121">
        <v>0.77</v>
      </c>
      <c r="AA121">
        <v>0.20181824240581986</v>
      </c>
      <c r="AB121">
        <v>0.28644018165747692</v>
      </c>
      <c r="AC121">
        <v>0.38614503547328888</v>
      </c>
      <c r="AD121">
        <v>0.49549071798827271</v>
      </c>
      <c r="AE121">
        <v>0.53385284010455458</v>
      </c>
    </row>
    <row r="122" spans="1:31">
      <c r="A122">
        <v>0.79</v>
      </c>
      <c r="B122">
        <v>2422.78467999846</v>
      </c>
      <c r="C122">
        <v>4115.9999940582566</v>
      </c>
      <c r="D122">
        <v>7395.9999877065511</v>
      </c>
      <c r="F122">
        <v>0.79</v>
      </c>
      <c r="G122">
        <v>1705.1933633078868</v>
      </c>
      <c r="H122">
        <v>3506.2797447172338</v>
      </c>
      <c r="I122">
        <v>6161.8361815334038</v>
      </c>
      <c r="K122">
        <v>0.79</v>
      </c>
      <c r="L122">
        <v>1250.366641740191</v>
      </c>
      <c r="M122">
        <v>2698.1287930601516</v>
      </c>
      <c r="N122">
        <v>4782.4652540497473</v>
      </c>
      <c r="P122">
        <v>0.79</v>
      </c>
      <c r="Q122">
        <v>957.3077890524404</v>
      </c>
      <c r="R122">
        <v>2012.8038591021013</v>
      </c>
      <c r="S122">
        <v>3594.61328592063</v>
      </c>
      <c r="U122">
        <v>0.79</v>
      </c>
      <c r="V122">
        <v>855.98878161634104</v>
      </c>
      <c r="W122">
        <v>1402.1813991592421</v>
      </c>
      <c r="X122">
        <v>2520.7755490503228</v>
      </c>
      <c r="Z122">
        <v>0.78</v>
      </c>
      <c r="AA122">
        <v>0.19976356827241185</v>
      </c>
      <c r="AB122">
        <v>0.28367933983579613</v>
      </c>
      <c r="AC122">
        <v>0.38466980898879949</v>
      </c>
      <c r="AD122">
        <v>0.4980208813596213</v>
      </c>
      <c r="AE122">
        <v>0.55006517377403352</v>
      </c>
    </row>
    <row r="123" spans="1:31">
      <c r="A123">
        <v>0.8</v>
      </c>
      <c r="B123">
        <v>2478.1011934784569</v>
      </c>
      <c r="C123">
        <v>4119.9999941161232</v>
      </c>
      <c r="D123">
        <v>7419.9999877435521</v>
      </c>
      <c r="F123">
        <v>0.8</v>
      </c>
      <c r="G123">
        <v>1743.2346942660517</v>
      </c>
      <c r="H123">
        <v>3515.1414458412032</v>
      </c>
      <c r="I123">
        <v>6188.4212849053119</v>
      </c>
      <c r="K123">
        <v>0.8</v>
      </c>
      <c r="L123">
        <v>1271.1867827144406</v>
      </c>
      <c r="M123">
        <v>2706.6536865611315</v>
      </c>
      <c r="N123">
        <v>4805.9087111774425</v>
      </c>
      <c r="P123">
        <v>0.8</v>
      </c>
      <c r="Q123">
        <v>964.81666036267256</v>
      </c>
      <c r="R123">
        <v>2020.2864013292467</v>
      </c>
      <c r="S123">
        <v>3614.0678957112077</v>
      </c>
      <c r="U123">
        <v>0.8</v>
      </c>
      <c r="V123">
        <v>856.50011987383687</v>
      </c>
      <c r="W123">
        <v>1408.0894668523288</v>
      </c>
      <c r="X123">
        <v>2535.5457182830396</v>
      </c>
      <c r="Z123">
        <v>0.79</v>
      </c>
      <c r="AA123">
        <v>0.1977534068041876</v>
      </c>
      <c r="AB123">
        <v>0.28097336920383803</v>
      </c>
      <c r="AC123">
        <v>0.38317874808771057</v>
      </c>
      <c r="AD123">
        <v>0.50048054545432719</v>
      </c>
      <c r="AE123">
        <v>0.55971986400095464</v>
      </c>
    </row>
    <row r="124" spans="1:31">
      <c r="A124">
        <v>0.81</v>
      </c>
      <c r="B124">
        <v>2550.5144578173204</v>
      </c>
      <c r="C124">
        <v>4123.9999941739898</v>
      </c>
      <c r="D124">
        <v>7443.9999877805531</v>
      </c>
      <c r="F124">
        <v>0.81</v>
      </c>
      <c r="G124">
        <v>1793.0335116747435</v>
      </c>
      <c r="H124">
        <v>3524.0031469651726</v>
      </c>
      <c r="I124">
        <v>6215.0063882772201</v>
      </c>
      <c r="K124">
        <v>0.81</v>
      </c>
      <c r="L124">
        <v>1299.8057391958091</v>
      </c>
      <c r="M124">
        <v>2715.1785800621115</v>
      </c>
      <c r="N124">
        <v>4829.3521683051376</v>
      </c>
      <c r="P124">
        <v>0.81</v>
      </c>
      <c r="Q124">
        <v>977.2904146133709</v>
      </c>
      <c r="R124">
        <v>2027.7689435563921</v>
      </c>
      <c r="S124">
        <v>3633.5225055017859</v>
      </c>
      <c r="U124">
        <v>0.81</v>
      </c>
      <c r="V124">
        <v>860.05347913087269</v>
      </c>
      <c r="W124">
        <v>1413.9975345454154</v>
      </c>
      <c r="X124">
        <v>2550.3158875157565</v>
      </c>
      <c r="Z124">
        <v>0.8</v>
      </c>
      <c r="AA124">
        <v>0.19578645897116595</v>
      </c>
      <c r="AB124">
        <v>0.27832090495283579</v>
      </c>
      <c r="AC124">
        <v>0.38167377465747154</v>
      </c>
      <c r="AD124">
        <v>0.50287135119632975</v>
      </c>
      <c r="AE124">
        <v>0.56646653794371304</v>
      </c>
    </row>
    <row r="125" spans="1:31">
      <c r="A125">
        <v>0.82</v>
      </c>
      <c r="B125">
        <v>2624.3198393862299</v>
      </c>
      <c r="C125">
        <v>4127.9999942318573</v>
      </c>
      <c r="D125">
        <v>7467.999987817554</v>
      </c>
      <c r="F125">
        <v>0.82</v>
      </c>
      <c r="G125">
        <v>1843.7896922458815</v>
      </c>
      <c r="H125">
        <v>3532.864848089142</v>
      </c>
      <c r="I125">
        <v>6241.5914916491283</v>
      </c>
      <c r="K125">
        <v>0.82</v>
      </c>
      <c r="L125">
        <v>1329.006569016987</v>
      </c>
      <c r="M125">
        <v>2723.7034735630914</v>
      </c>
      <c r="N125">
        <v>4852.7956254328319</v>
      </c>
      <c r="P125">
        <v>0.82</v>
      </c>
      <c r="Q125">
        <v>991.48784704348088</v>
      </c>
      <c r="R125">
        <v>2035.2514857835374</v>
      </c>
      <c r="S125">
        <v>3652.9771152923636</v>
      </c>
      <c r="U125">
        <v>0.82</v>
      </c>
      <c r="V125">
        <v>863.74214807858004</v>
      </c>
      <c r="W125">
        <v>1419.9056022385021</v>
      </c>
      <c r="X125">
        <v>2565.0860567484729</v>
      </c>
      <c r="Z125">
        <v>0.81</v>
      </c>
      <c r="AA125">
        <v>0.19260560917754807</v>
      </c>
      <c r="AB125">
        <v>0.27397334610614088</v>
      </c>
      <c r="AC125">
        <v>0.37793600694355045</v>
      </c>
      <c r="AD125">
        <v>0.50265855832456552</v>
      </c>
      <c r="AE125">
        <v>0.57117772649486886</v>
      </c>
    </row>
    <row r="126" spans="1:31">
      <c r="A126">
        <v>0.83</v>
      </c>
      <c r="B126">
        <v>2699.5294260337819</v>
      </c>
      <c r="C126">
        <v>4131.9999942897239</v>
      </c>
      <c r="D126">
        <v>7491.9999878545541</v>
      </c>
      <c r="F126">
        <v>0.83</v>
      </c>
      <c r="G126">
        <v>1895.5115488289234</v>
      </c>
      <c r="H126">
        <v>3541.7265492131114</v>
      </c>
      <c r="I126">
        <v>6268.1765950210365</v>
      </c>
      <c r="K126">
        <v>0.83</v>
      </c>
      <c r="L126">
        <v>1358.7948270547276</v>
      </c>
      <c r="M126">
        <v>2732.2283670640713</v>
      </c>
      <c r="N126">
        <v>4876.2390825605271</v>
      </c>
      <c r="P126">
        <v>0.83</v>
      </c>
      <c r="Q126">
        <v>1010.7372942289282</v>
      </c>
      <c r="R126">
        <v>2042.7340280106826</v>
      </c>
      <c r="S126">
        <v>3672.4317250829413</v>
      </c>
      <c r="U126">
        <v>0.83</v>
      </c>
      <c r="V126">
        <v>867.56836401118937</v>
      </c>
      <c r="W126">
        <v>1425.8136699315887</v>
      </c>
      <c r="X126">
        <v>2579.8562259811897</v>
      </c>
      <c r="Z126">
        <v>0.82</v>
      </c>
      <c r="AA126">
        <v>0.18949981500770219</v>
      </c>
      <c r="AB126">
        <v>0.26972063364172494</v>
      </c>
      <c r="AC126">
        <v>0.37419538449872314</v>
      </c>
      <c r="AD126">
        <v>0.50157762959734109</v>
      </c>
      <c r="AE126">
        <v>0.57575993622739929</v>
      </c>
    </row>
    <row r="127" spans="1:31">
      <c r="A127">
        <v>0.84</v>
      </c>
      <c r="B127">
        <v>2776.1553056085736</v>
      </c>
      <c r="C127">
        <v>4135.9999943475905</v>
      </c>
      <c r="D127">
        <v>7515.9999878915551</v>
      </c>
      <c r="F127">
        <v>0.84</v>
      </c>
      <c r="G127">
        <v>1948.2073942733257</v>
      </c>
      <c r="H127">
        <v>3550.5882503370808</v>
      </c>
      <c r="I127">
        <v>6294.7616983929447</v>
      </c>
      <c r="K127">
        <v>0.84</v>
      </c>
      <c r="L127">
        <v>1389.1760681857829</v>
      </c>
      <c r="M127">
        <v>2740.7532605650513</v>
      </c>
      <c r="N127">
        <v>4899.6825396882214</v>
      </c>
      <c r="P127">
        <v>0.84</v>
      </c>
      <c r="Q127">
        <v>1030.3699325604359</v>
      </c>
      <c r="R127">
        <v>2050.2165702378279</v>
      </c>
      <c r="S127">
        <v>3691.8863348735194</v>
      </c>
      <c r="U127">
        <v>0.84</v>
      </c>
      <c r="V127">
        <v>871.53436422293203</v>
      </c>
      <c r="W127">
        <v>1431.7217376246756</v>
      </c>
      <c r="X127">
        <v>2594.6263952139066</v>
      </c>
      <c r="Z127">
        <v>0.83</v>
      </c>
      <c r="AA127">
        <v>0.18646689028501875</v>
      </c>
      <c r="AB127">
        <v>0.2655604275406806</v>
      </c>
      <c r="AC127">
        <v>0.37045538244092269</v>
      </c>
      <c r="AD127">
        <v>0.49802541193388927</v>
      </c>
      <c r="AE127">
        <v>0.58021117204870143</v>
      </c>
    </row>
    <row r="128" spans="1:31">
      <c r="A128">
        <v>0.85</v>
      </c>
      <c r="B128">
        <v>2854.2095659592005</v>
      </c>
      <c r="C128">
        <v>4139.9999944054571</v>
      </c>
      <c r="D128">
        <v>7539.999987928556</v>
      </c>
      <c r="F128">
        <v>0.85</v>
      </c>
      <c r="G128">
        <v>2001.885541428546</v>
      </c>
      <c r="H128">
        <v>3559.4499514610502</v>
      </c>
      <c r="I128">
        <v>6321.3468017648529</v>
      </c>
      <c r="K128">
        <v>0.85</v>
      </c>
      <c r="L128">
        <v>1420.1558472869051</v>
      </c>
      <c r="M128">
        <v>2749.2781540660312</v>
      </c>
      <c r="N128">
        <v>4923.1259968159166</v>
      </c>
      <c r="P128">
        <v>0.85</v>
      </c>
      <c r="Q128">
        <v>1050.3893516506134</v>
      </c>
      <c r="R128">
        <v>2057.6991124649735</v>
      </c>
      <c r="S128">
        <v>3711.3409446640972</v>
      </c>
      <c r="U128">
        <v>0.85</v>
      </c>
      <c r="V128">
        <v>877.56954403215354</v>
      </c>
      <c r="W128">
        <v>1437.6298053177622</v>
      </c>
      <c r="X128">
        <v>2609.396564446623</v>
      </c>
      <c r="Z128">
        <v>0.84</v>
      </c>
      <c r="AA128">
        <v>0.18350471585538172</v>
      </c>
      <c r="AB128">
        <v>0.26149043065612182</v>
      </c>
      <c r="AC128">
        <v>0.36671923898119069</v>
      </c>
      <c r="AD128">
        <v>0.49442202692195897</v>
      </c>
      <c r="AE128">
        <v>0.58452955092618997</v>
      </c>
    </row>
    <row r="129" spans="1:31">
      <c r="A129">
        <v>0.86</v>
      </c>
      <c r="B129">
        <v>2956.2547269894394</v>
      </c>
      <c r="C129">
        <v>4143.9999944633246</v>
      </c>
      <c r="D129">
        <v>7563.999987965557</v>
      </c>
      <c r="F129">
        <v>0.86</v>
      </c>
      <c r="G129">
        <v>2072.1247617897479</v>
      </c>
      <c r="H129">
        <v>3568.3116525850201</v>
      </c>
      <c r="I129">
        <v>6347.9319051367611</v>
      </c>
      <c r="K129">
        <v>0.86</v>
      </c>
      <c r="L129">
        <v>1462.2683207794601</v>
      </c>
      <c r="M129">
        <v>2757.8030475670112</v>
      </c>
      <c r="N129">
        <v>4946.5694539436108</v>
      </c>
      <c r="P129">
        <v>0.86</v>
      </c>
      <c r="Q129">
        <v>1077.8150950364743</v>
      </c>
      <c r="R129">
        <v>2065.1816546921186</v>
      </c>
      <c r="S129">
        <v>3730.7955544546753</v>
      </c>
      <c r="U129">
        <v>0.86</v>
      </c>
      <c r="V129">
        <v>891.02823390678645</v>
      </c>
      <c r="W129">
        <v>1443.5378730108489</v>
      </c>
      <c r="X129">
        <v>2624.1667336793398</v>
      </c>
      <c r="Z129">
        <v>0.85</v>
      </c>
      <c r="AA129">
        <v>0.18061123818480493</v>
      </c>
      <c r="AB129">
        <v>0.25750839050906804</v>
      </c>
      <c r="AC129">
        <v>0.36298996672897932</v>
      </c>
      <c r="AD129">
        <v>0.49077261012458229</v>
      </c>
      <c r="AE129">
        <v>0.58742048110292167</v>
      </c>
    </row>
    <row r="130" spans="1:31">
      <c r="A130">
        <v>0.87</v>
      </c>
      <c r="B130">
        <v>3060.7980433963176</v>
      </c>
      <c r="C130">
        <v>4147.9999945211912</v>
      </c>
      <c r="D130">
        <v>7587.999988002558</v>
      </c>
      <c r="F130">
        <v>0.87</v>
      </c>
      <c r="G130">
        <v>2144.0819710386991</v>
      </c>
      <c r="H130">
        <v>3577.1733537089895</v>
      </c>
      <c r="I130">
        <v>6374.5170085086702</v>
      </c>
      <c r="K130">
        <v>0.87</v>
      </c>
      <c r="L130">
        <v>1505.4549222733644</v>
      </c>
      <c r="M130">
        <v>2766.3279410679911</v>
      </c>
      <c r="N130">
        <v>4970.012911071306</v>
      </c>
      <c r="P130">
        <v>0.87</v>
      </c>
      <c r="Q130">
        <v>1105.9349498472516</v>
      </c>
      <c r="R130">
        <v>2072.6641969192642</v>
      </c>
      <c r="S130">
        <v>3750.250164245253</v>
      </c>
      <c r="U130">
        <v>0.87</v>
      </c>
      <c r="V130">
        <v>904.8600298826542</v>
      </c>
      <c r="W130">
        <v>1449.4459407039355</v>
      </c>
      <c r="X130">
        <v>2638.9369029120567</v>
      </c>
      <c r="Z130">
        <v>0.86</v>
      </c>
      <c r="AA130">
        <v>0.1764283206740615</v>
      </c>
      <c r="AB130">
        <v>0.25170639654284838</v>
      </c>
      <c r="AC130">
        <v>0.35668355086793174</v>
      </c>
      <c r="AD130">
        <v>0.48391144211953652</v>
      </c>
      <c r="AE130">
        <v>0.58535413035168626</v>
      </c>
    </row>
    <row r="131" spans="1:31">
      <c r="A131">
        <v>0.88</v>
      </c>
      <c r="B131">
        <v>3167.8697348013252</v>
      </c>
      <c r="C131">
        <v>4151.9999945790578</v>
      </c>
      <c r="D131">
        <v>7611.999988039559</v>
      </c>
      <c r="F131">
        <v>0.88</v>
      </c>
      <c r="G131">
        <v>2217.7779512990405</v>
      </c>
      <c r="H131">
        <v>3586.0350548329588</v>
      </c>
      <c r="I131">
        <v>6401.1021118805784</v>
      </c>
      <c r="K131">
        <v>0.88</v>
      </c>
      <c r="L131">
        <v>1549.7292612166602</v>
      </c>
      <c r="M131">
        <v>2774.852834568971</v>
      </c>
      <c r="N131">
        <v>4993.4563681990012</v>
      </c>
      <c r="P131">
        <v>0.88</v>
      </c>
      <c r="Q131">
        <v>1134.7577106338395</v>
      </c>
      <c r="R131">
        <v>2080.1467391464093</v>
      </c>
      <c r="S131">
        <v>3769.7047740358312</v>
      </c>
      <c r="U131">
        <v>0.88</v>
      </c>
      <c r="V131">
        <v>919.0701896011999</v>
      </c>
      <c r="W131">
        <v>1455.3540083970224</v>
      </c>
      <c r="X131">
        <v>2653.7070721447735</v>
      </c>
      <c r="Z131">
        <v>0.87</v>
      </c>
      <c r="AA131">
        <v>0.17238373218598022</v>
      </c>
      <c r="AB131">
        <v>0.24608750846515495</v>
      </c>
      <c r="AC131">
        <v>0.35047996614950339</v>
      </c>
      <c r="AD131">
        <v>0.47709116189053158</v>
      </c>
      <c r="AE131">
        <v>0.58310873811764841</v>
      </c>
    </row>
    <row r="132" spans="1:31">
      <c r="A132">
        <v>0.89</v>
      </c>
      <c r="B132">
        <v>3277.5000208259544</v>
      </c>
      <c r="C132">
        <v>4155.9999946369253</v>
      </c>
      <c r="D132">
        <v>7635.9999880765599</v>
      </c>
      <c r="F132">
        <v>0.89</v>
      </c>
      <c r="G132">
        <v>2293.2334846944136</v>
      </c>
      <c r="H132">
        <v>3594.8967559569282</v>
      </c>
      <c r="I132">
        <v>6427.6872152524866</v>
      </c>
      <c r="K132">
        <v>0.89</v>
      </c>
      <c r="L132">
        <v>1595.1049470573907</v>
      </c>
      <c r="M132">
        <v>2783.377728069951</v>
      </c>
      <c r="N132">
        <v>5016.8998253266955</v>
      </c>
      <c r="P132">
        <v>0.89</v>
      </c>
      <c r="Q132">
        <v>1164.2921719471299</v>
      </c>
      <c r="R132">
        <v>2087.6292813735549</v>
      </c>
      <c r="S132">
        <v>3789.1593838264089</v>
      </c>
      <c r="U132">
        <v>0.89</v>
      </c>
      <c r="V132">
        <v>933.6639707038662</v>
      </c>
      <c r="W132">
        <v>1461.2620760901091</v>
      </c>
      <c r="X132">
        <v>2668.4772413774899</v>
      </c>
      <c r="Z132">
        <v>0.88</v>
      </c>
      <c r="AA132">
        <v>0.16847173908253441</v>
      </c>
      <c r="AB132">
        <v>0.24064470616006942</v>
      </c>
      <c r="AC132">
        <v>0.34438049069270615</v>
      </c>
      <c r="AD132">
        <v>0.47031760032767916</v>
      </c>
      <c r="AE132">
        <v>0.58069180075377957</v>
      </c>
    </row>
    <row r="133" spans="1:31">
      <c r="A133">
        <v>0.9</v>
      </c>
      <c r="B133">
        <v>3389.7191210916958</v>
      </c>
      <c r="C133">
        <v>4159.9999946947919</v>
      </c>
      <c r="D133">
        <v>7659.9999881135609</v>
      </c>
      <c r="F133">
        <v>0.9</v>
      </c>
      <c r="G133">
        <v>2370.4693533484624</v>
      </c>
      <c r="H133">
        <v>3603.7584570808976</v>
      </c>
      <c r="I133">
        <v>6454.2723186243948</v>
      </c>
      <c r="K133">
        <v>0.9</v>
      </c>
      <c r="L133">
        <v>1641.5955892436</v>
      </c>
      <c r="M133">
        <v>2791.9026215709309</v>
      </c>
      <c r="N133">
        <v>5040.3432824543906</v>
      </c>
      <c r="P133">
        <v>0.9</v>
      </c>
      <c r="Q133">
        <v>1194.5471283380173</v>
      </c>
      <c r="R133">
        <v>2095.1118236007001</v>
      </c>
      <c r="S133">
        <v>3808.613993616987</v>
      </c>
      <c r="U133">
        <v>0.9</v>
      </c>
      <c r="V133">
        <v>948.64663083209518</v>
      </c>
      <c r="W133">
        <v>1467.1701437831957</v>
      </c>
      <c r="X133">
        <v>2683.2474106102068</v>
      </c>
      <c r="Z133">
        <v>0.89</v>
      </c>
      <c r="AA133">
        <v>0.16468688122039701</v>
      </c>
      <c r="AB133">
        <v>0.23537126081657178</v>
      </c>
      <c r="AC133">
        <v>0.33838604640719261</v>
      </c>
      <c r="AD133">
        <v>0.4635960540184883</v>
      </c>
      <c r="AE133">
        <v>0.57811083384999007</v>
      </c>
    </row>
    <row r="134" spans="1:31">
      <c r="A134">
        <v>0.91</v>
      </c>
      <c r="B134">
        <v>3515.2842837855355</v>
      </c>
      <c r="C134">
        <v>4163.9999947526585</v>
      </c>
      <c r="D134">
        <v>7683.9999881505619</v>
      </c>
      <c r="F134">
        <v>0.91</v>
      </c>
      <c r="G134">
        <v>2456.9770379631755</v>
      </c>
      <c r="H134">
        <v>3612.620158204867</v>
      </c>
      <c r="I134">
        <v>6480.8574219963029</v>
      </c>
      <c r="K134">
        <v>0.91</v>
      </c>
      <c r="L134">
        <v>1694.3314578754093</v>
      </c>
      <c r="M134">
        <v>2800.4275150719109</v>
      </c>
      <c r="N134">
        <v>5063.7867395820858</v>
      </c>
      <c r="P134">
        <v>0.91</v>
      </c>
      <c r="Q134">
        <v>1229.1562193758004</v>
      </c>
      <c r="R134">
        <v>2102.5943658278456</v>
      </c>
      <c r="S134">
        <v>3828.0686034075652</v>
      </c>
      <c r="U134">
        <v>0.91</v>
      </c>
      <c r="V134">
        <v>966.75856319572051</v>
      </c>
      <c r="W134">
        <v>1473.0782114762824</v>
      </c>
      <c r="X134">
        <v>2698.0175798429236</v>
      </c>
      <c r="Z134">
        <v>0.9</v>
      </c>
      <c r="AA134">
        <v>0.161023958136842</v>
      </c>
      <c r="AB134">
        <v>0.23026072414264775</v>
      </c>
      <c r="AC134">
        <v>0.33249723222725769</v>
      </c>
      <c r="AD134">
        <v>0.45693131473128479</v>
      </c>
      <c r="AE134">
        <v>0.57537334990712585</v>
      </c>
    </row>
    <row r="135" spans="1:31">
      <c r="A135">
        <v>0.92</v>
      </c>
      <c r="B135">
        <v>3643.9595491912173</v>
      </c>
      <c r="C135">
        <v>4167.999994810526</v>
      </c>
      <c r="D135">
        <v>7707.9999881875628</v>
      </c>
      <c r="F135">
        <v>0.92</v>
      </c>
      <c r="G135">
        <v>2545.6235494693888</v>
      </c>
      <c r="H135">
        <v>3621.4818593288364</v>
      </c>
      <c r="I135">
        <v>6507.4425253682111</v>
      </c>
      <c r="K135">
        <v>0.92</v>
      </c>
      <c r="L135">
        <v>1748.3958678638248</v>
      </c>
      <c r="M135">
        <v>2808.9524085728908</v>
      </c>
      <c r="N135">
        <v>5087.2301967097801</v>
      </c>
      <c r="P135">
        <v>0.92</v>
      </c>
      <c r="Q135">
        <v>1264.6238260960145</v>
      </c>
      <c r="R135">
        <v>2110.0769080549908</v>
      </c>
      <c r="S135">
        <v>3847.5232131981429</v>
      </c>
      <c r="U135">
        <v>0.92</v>
      </c>
      <c r="V135">
        <v>985.32447984702696</v>
      </c>
      <c r="W135">
        <v>1478.986279169369</v>
      </c>
      <c r="X135">
        <v>2712.7877490756405</v>
      </c>
      <c r="Z135">
        <v>0.91</v>
      </c>
      <c r="AA135">
        <v>0.15699746550134352</v>
      </c>
      <c r="AB135">
        <v>0.22462184813015293</v>
      </c>
      <c r="AC135">
        <v>0.32572772022581437</v>
      </c>
      <c r="AD135">
        <v>0.44899965877478343</v>
      </c>
      <c r="AE135">
        <v>0.5708671679682934</v>
      </c>
    </row>
    <row r="136" spans="1:31">
      <c r="A136">
        <v>0.93</v>
      </c>
      <c r="B136">
        <v>3830.2346723107662</v>
      </c>
      <c r="C136">
        <v>4171.9999948683926</v>
      </c>
      <c r="D136">
        <v>7731.9999882245629</v>
      </c>
      <c r="F136">
        <v>0.93</v>
      </c>
      <c r="G136">
        <v>2673.8816545592945</v>
      </c>
      <c r="H136">
        <v>3630.3435604528058</v>
      </c>
      <c r="I136">
        <v>6534.0276287401193</v>
      </c>
      <c r="K136">
        <v>0.93</v>
      </c>
      <c r="L136">
        <v>1829.0629031876601</v>
      </c>
      <c r="M136">
        <v>2817.4773020738708</v>
      </c>
      <c r="N136">
        <v>5110.6736538374753</v>
      </c>
      <c r="P136">
        <v>0.93</v>
      </c>
      <c r="Q136">
        <v>1317.1308003881852</v>
      </c>
      <c r="R136">
        <v>2117.5594502821364</v>
      </c>
      <c r="S136">
        <v>3866.9778229887211</v>
      </c>
      <c r="U136">
        <v>0.93</v>
      </c>
      <c r="V136">
        <v>1014.4288447007855</v>
      </c>
      <c r="W136">
        <v>1484.8943468624559</v>
      </c>
      <c r="X136">
        <v>2727.5579183083573</v>
      </c>
      <c r="Z136">
        <v>0.92</v>
      </c>
      <c r="AA136">
        <v>0.15311790615666668</v>
      </c>
      <c r="AB136">
        <v>0.21918223392363112</v>
      </c>
      <c r="AC136">
        <v>0.31912421354724946</v>
      </c>
      <c r="AD136">
        <v>0.44120270770459302</v>
      </c>
      <c r="AE136">
        <v>0.56626569999349585</v>
      </c>
    </row>
    <row r="137" spans="1:31">
      <c r="A137">
        <v>0.94</v>
      </c>
      <c r="B137">
        <v>4022.0500593704378</v>
      </c>
      <c r="C137">
        <v>4175.9999949262592</v>
      </c>
      <c r="D137">
        <v>7755.9999882615639</v>
      </c>
      <c r="F137">
        <v>0.94</v>
      </c>
      <c r="G137">
        <v>2805.9498156502518</v>
      </c>
      <c r="H137">
        <v>3639.2052615767752</v>
      </c>
      <c r="I137">
        <v>6560.6127321120275</v>
      </c>
      <c r="K137">
        <v>0.94</v>
      </c>
      <c r="L137">
        <v>1917.4804004536927</v>
      </c>
      <c r="M137">
        <v>2826.0021955748507</v>
      </c>
      <c r="N137">
        <v>5134.1171109651705</v>
      </c>
      <c r="P137">
        <v>0.94</v>
      </c>
      <c r="Q137">
        <v>1371.2170546613283</v>
      </c>
      <c r="R137">
        <v>2125.0419925092815</v>
      </c>
      <c r="S137">
        <v>3886.4324327792988</v>
      </c>
      <c r="U137">
        <v>0.94</v>
      </c>
      <c r="V137">
        <v>1044.4353052325507</v>
      </c>
      <c r="W137">
        <v>1490.8024145555426</v>
      </c>
      <c r="X137">
        <v>2742.3280875410737</v>
      </c>
      <c r="Z137">
        <v>0.93</v>
      </c>
      <c r="AA137">
        <v>0.1472547344395996</v>
      </c>
      <c r="AB137">
        <v>0.2109368559974398</v>
      </c>
      <c r="AC137">
        <v>0.30836566010879418</v>
      </c>
      <c r="AD137">
        <v>0.42821881422539199</v>
      </c>
      <c r="AE137">
        <v>0.5559977838448914</v>
      </c>
    </row>
    <row r="138" spans="1:31">
      <c r="A138">
        <v>0.95</v>
      </c>
      <c r="B138">
        <v>4446.757996058629</v>
      </c>
      <c r="C138">
        <v>4179.9999949841258</v>
      </c>
      <c r="D138">
        <v>7779.9999882985649</v>
      </c>
      <c r="F138">
        <v>0.95</v>
      </c>
      <c r="G138">
        <v>3098.1788762764468</v>
      </c>
      <c r="H138">
        <v>3648.0669627007446</v>
      </c>
      <c r="I138">
        <v>6587.1978354839357</v>
      </c>
      <c r="K138">
        <v>0.95</v>
      </c>
      <c r="L138">
        <v>2112.9218564819043</v>
      </c>
      <c r="M138">
        <v>2834.5270890758306</v>
      </c>
      <c r="N138">
        <v>5157.5605680928647</v>
      </c>
      <c r="P138">
        <v>0.95</v>
      </c>
      <c r="Q138">
        <v>1494.3967707102197</v>
      </c>
      <c r="R138">
        <v>2132.5245347364266</v>
      </c>
      <c r="S138">
        <v>3905.8870425698765</v>
      </c>
      <c r="U138">
        <v>0.95</v>
      </c>
      <c r="V138">
        <v>1117.42279811599</v>
      </c>
      <c r="W138">
        <v>1496.7104822486292</v>
      </c>
      <c r="X138">
        <v>2757.0982567737906</v>
      </c>
      <c r="Z138">
        <v>0.94</v>
      </c>
      <c r="AA138" t="e">
        <v>#VALUE!</v>
      </c>
      <c r="AB138">
        <v>0.20317003517417676</v>
      </c>
      <c r="AC138">
        <v>0.29730938715605615</v>
      </c>
      <c r="AD138">
        <v>0.41575104452258993</v>
      </c>
      <c r="AE138">
        <v>0.54583076604797776</v>
      </c>
    </row>
    <row r="139" spans="1:31">
      <c r="A139">
        <v>0.96</v>
      </c>
      <c r="B139">
        <v>4886.7772076358933</v>
      </c>
      <c r="C139">
        <v>4183.9999950419933</v>
      </c>
      <c r="D139">
        <v>7803.9999883355658</v>
      </c>
      <c r="F139">
        <v>0.96</v>
      </c>
      <c r="G139">
        <v>3400.9375462146468</v>
      </c>
      <c r="H139">
        <v>3656.928663824714</v>
      </c>
      <c r="I139">
        <v>6613.7829388558439</v>
      </c>
      <c r="K139">
        <v>0.96</v>
      </c>
      <c r="L139">
        <v>2315.3994897297757</v>
      </c>
      <c r="M139">
        <v>2843.0519825768106</v>
      </c>
      <c r="N139">
        <v>5181.0040252205599</v>
      </c>
      <c r="P139">
        <v>0.96</v>
      </c>
      <c r="Q139">
        <v>1622.0564728629149</v>
      </c>
      <c r="R139">
        <v>2140.0070769635722</v>
      </c>
      <c r="S139">
        <v>3925.3416523604546</v>
      </c>
      <c r="U139">
        <v>0.96</v>
      </c>
      <c r="V139">
        <v>1193.119188210052</v>
      </c>
      <c r="W139">
        <v>1502.6185499417159</v>
      </c>
      <c r="X139">
        <v>2771.8684260065074</v>
      </c>
      <c r="Z139">
        <v>0.95</v>
      </c>
      <c r="AA139" t="e">
        <v>#VALUE!</v>
      </c>
      <c r="AB139">
        <v>0.1859639739896973</v>
      </c>
      <c r="AC139">
        <v>0.27267911219519214</v>
      </c>
      <c r="AD139">
        <v>0.38553994980160772</v>
      </c>
      <c r="AE139">
        <v>0.51560578228286502</v>
      </c>
    </row>
    <row r="140" spans="1:31">
      <c r="A140">
        <v>0.97</v>
      </c>
      <c r="B140">
        <v>5994.4386339213434</v>
      </c>
      <c r="C140">
        <v>4187.9999950998599</v>
      </c>
      <c r="D140">
        <v>7827.9999883725668</v>
      </c>
      <c r="F140">
        <v>0.97</v>
      </c>
      <c r="G140">
        <v>4162.9919028161885</v>
      </c>
      <c r="H140">
        <v>3665.7903649486834</v>
      </c>
      <c r="I140">
        <v>6640.3680422277521</v>
      </c>
      <c r="K140">
        <v>0.97</v>
      </c>
      <c r="L140">
        <v>2824.9571359034644</v>
      </c>
      <c r="M140">
        <v>2851.5768760777905</v>
      </c>
      <c r="N140">
        <v>5204.4474823482551</v>
      </c>
      <c r="P140">
        <v>0.97</v>
      </c>
      <c r="Q140">
        <v>1948.5600639382785</v>
      </c>
      <c r="R140">
        <v>2147.4896191907173</v>
      </c>
      <c r="S140">
        <v>3944.7962621510324</v>
      </c>
      <c r="U140">
        <v>0.97</v>
      </c>
      <c r="V140">
        <v>1393.3528938331744</v>
      </c>
      <c r="W140">
        <v>1508.5266176348025</v>
      </c>
      <c r="X140">
        <v>2786.6385952392238</v>
      </c>
      <c r="Z140">
        <v>0.96</v>
      </c>
      <c r="AA140" t="e">
        <v>#VALUE!</v>
      </c>
      <c r="AB140">
        <v>0.17119232013889593</v>
      </c>
      <c r="AC140">
        <v>0.25145310421223166</v>
      </c>
      <c r="AD140">
        <v>0.35893595502033665</v>
      </c>
      <c r="AE140">
        <v>0.48797672096567496</v>
      </c>
    </row>
    <row r="141" spans="1:31">
      <c r="A141">
        <v>0.98</v>
      </c>
      <c r="B141">
        <v>7144.8734161263465</v>
      </c>
      <c r="C141">
        <v>4191.9999951577265</v>
      </c>
      <c r="D141">
        <v>7851.9999884095669</v>
      </c>
      <c r="F141">
        <v>0.98</v>
      </c>
      <c r="G141">
        <v>4954.4616235895082</v>
      </c>
      <c r="H141">
        <v>3674.6520660726528</v>
      </c>
      <c r="I141">
        <v>6666.9531455996603</v>
      </c>
      <c r="K141">
        <v>0.98</v>
      </c>
      <c r="L141">
        <v>3354.1709449185837</v>
      </c>
      <c r="M141">
        <v>2860.1017695787705</v>
      </c>
      <c r="N141">
        <v>5227.8909394759503</v>
      </c>
      <c r="P141">
        <v>0.98</v>
      </c>
      <c r="Q141">
        <v>2287.66872925897</v>
      </c>
      <c r="R141">
        <v>2154.9721614178629</v>
      </c>
      <c r="S141">
        <v>3964.2508719416105</v>
      </c>
      <c r="U141">
        <v>0.98</v>
      </c>
      <c r="V141">
        <v>1601.3221374801337</v>
      </c>
      <c r="W141">
        <v>1514.4346853278894</v>
      </c>
      <c r="X141">
        <v>2801.4087644719407</v>
      </c>
      <c r="Z141">
        <v>0.97</v>
      </c>
      <c r="AA141" t="e">
        <v>#VALUE!</v>
      </c>
      <c r="AB141" t="e">
        <v>#VALUE!</v>
      </c>
      <c r="AC141" t="e">
        <v>#VALUE!</v>
      </c>
      <c r="AD141">
        <v>0.30190453622232777</v>
      </c>
      <c r="AE141">
        <v>0.4222039692947091</v>
      </c>
    </row>
    <row r="142" spans="1:31">
      <c r="A142">
        <v>0.99</v>
      </c>
      <c r="B142">
        <v>7783.8815145093413</v>
      </c>
      <c r="C142">
        <v>4195.999995215594</v>
      </c>
      <c r="D142">
        <v>7875.9999884465678</v>
      </c>
      <c r="F142">
        <v>0.99</v>
      </c>
      <c r="G142">
        <v>5394.3778402562994</v>
      </c>
      <c r="H142">
        <v>3683.5137671966222</v>
      </c>
      <c r="I142">
        <v>6693.5382489715685</v>
      </c>
      <c r="K142">
        <v>0.99</v>
      </c>
      <c r="L142">
        <v>3648.6328303061882</v>
      </c>
      <c r="M142">
        <v>2868.6266630797504</v>
      </c>
      <c r="N142">
        <v>5251.3343966036446</v>
      </c>
      <c r="P142">
        <v>0.99</v>
      </c>
      <c r="Q142">
        <v>2475.4246600106212</v>
      </c>
      <c r="R142">
        <v>2162.4547036450081</v>
      </c>
      <c r="S142">
        <v>3983.7054817321882</v>
      </c>
      <c r="U142">
        <v>0.99</v>
      </c>
      <c r="V142">
        <v>1715.4874238415339</v>
      </c>
      <c r="W142">
        <v>1520.342753020976</v>
      </c>
      <c r="X142">
        <v>2816.1789337046575</v>
      </c>
      <c r="Z142">
        <v>0.98</v>
      </c>
      <c r="AA142" t="e">
        <v>#VALUE!</v>
      </c>
      <c r="AB142" t="e">
        <v>#VALUE!</v>
      </c>
      <c r="AC142" t="e">
        <v>#VALUE!</v>
      </c>
      <c r="AD142" t="e">
        <v>#VALUE!</v>
      </c>
      <c r="AE142" t="e">
        <v>#VALUE!</v>
      </c>
    </row>
    <row r="143" spans="1:31">
      <c r="A143">
        <v>1</v>
      </c>
      <c r="B143">
        <v>8444.395910187186</v>
      </c>
      <c r="C143">
        <v>4199.9999952734606</v>
      </c>
      <c r="D143">
        <v>7899.9999884835688</v>
      </c>
      <c r="F143">
        <v>1</v>
      </c>
      <c r="G143">
        <v>5849.0840015817321</v>
      </c>
      <c r="H143">
        <v>3692.3754683205916</v>
      </c>
      <c r="I143">
        <v>6720.1233523434767</v>
      </c>
      <c r="K143">
        <v>1</v>
      </c>
      <c r="L143">
        <v>3952.9777672490372</v>
      </c>
      <c r="M143">
        <v>2877.1515565807304</v>
      </c>
      <c r="N143">
        <v>5274.7778537313397</v>
      </c>
      <c r="P143">
        <v>1</v>
      </c>
      <c r="Q143">
        <v>2669.4386316452988</v>
      </c>
      <c r="R143">
        <v>2169.9372458721537</v>
      </c>
      <c r="S143">
        <v>4003.1600915227664</v>
      </c>
      <c r="U143">
        <v>1</v>
      </c>
      <c r="V143">
        <v>1833.3930000539897</v>
      </c>
      <c r="W143">
        <v>1526.2508207140627</v>
      </c>
      <c r="X143">
        <v>2830.9491029373744</v>
      </c>
      <c r="Z143">
        <v>0.99</v>
      </c>
      <c r="AA143" t="e">
        <v>#VALUE!</v>
      </c>
      <c r="AB143" t="e">
        <v>#VALUE!</v>
      </c>
      <c r="AC143" t="e">
        <v>#VALUE!</v>
      </c>
      <c r="AD143" t="e">
        <v>#VALUE!</v>
      </c>
      <c r="AE143" t="e">
        <v>#VALUE!</v>
      </c>
    </row>
    <row r="144" spans="1:31">
      <c r="A144">
        <v>1.01</v>
      </c>
      <c r="B144">
        <v>8870.3268336783731</v>
      </c>
      <c r="C144" t="e">
        <v>#VALUE!</v>
      </c>
      <c r="D144">
        <v>7923.9999885205698</v>
      </c>
      <c r="F144">
        <v>1.01</v>
      </c>
      <c r="G144">
        <v>6142.6225594078751</v>
      </c>
      <c r="H144" t="e">
        <v>#VALUE!</v>
      </c>
      <c r="I144">
        <v>6746.7084557153848</v>
      </c>
      <c r="K144">
        <v>1.01</v>
      </c>
      <c r="L144">
        <v>4149.7919240183401</v>
      </c>
      <c r="M144" t="e">
        <v>#VALUE!</v>
      </c>
      <c r="N144">
        <v>5298.2213108590349</v>
      </c>
      <c r="P144">
        <v>1.01</v>
      </c>
      <c r="Q144">
        <v>2794.2494245996713</v>
      </c>
      <c r="R144" t="e">
        <v>#VALUE!</v>
      </c>
      <c r="S144">
        <v>4022.6147013133445</v>
      </c>
      <c r="U144">
        <v>1.01</v>
      </c>
      <c r="V144">
        <v>1908.6187031784909</v>
      </c>
      <c r="W144" t="e">
        <v>#VALUE!</v>
      </c>
      <c r="X144">
        <v>2845.7192721700912</v>
      </c>
      <c r="Z144">
        <v>1</v>
      </c>
      <c r="AA144" t="e">
        <v>#VALUE!</v>
      </c>
      <c r="AB144" t="e">
        <v>#VALUE!</v>
      </c>
      <c r="AC144" t="e">
        <v>#VALUE!</v>
      </c>
      <c r="AD144" t="e">
        <v>#VALUE!</v>
      </c>
      <c r="AE144" t="e">
        <v>#VALUE!</v>
      </c>
    </row>
    <row r="145" spans="1:31">
      <c r="A145">
        <v>1.02</v>
      </c>
      <c r="B145">
        <v>9308.1441416229172</v>
      </c>
      <c r="C145" t="e">
        <v>#VALUE!</v>
      </c>
      <c r="D145">
        <v>7947.9999885575708</v>
      </c>
      <c r="F145">
        <v>1.02</v>
      </c>
      <c r="G145">
        <v>6444.335419199916</v>
      </c>
      <c r="H145" t="e">
        <v>#VALUE!</v>
      </c>
      <c r="I145">
        <v>6773.293559087293</v>
      </c>
      <c r="K145">
        <v>1.02</v>
      </c>
      <c r="L145">
        <v>4352.0683762608014</v>
      </c>
      <c r="M145" t="e">
        <v>#VALUE!</v>
      </c>
      <c r="N145">
        <v>5321.6647679867292</v>
      </c>
      <c r="P145">
        <v>1.02</v>
      </c>
      <c r="Q145">
        <v>2922.4284707192587</v>
      </c>
      <c r="R145" t="e">
        <v>#VALUE!</v>
      </c>
      <c r="S145">
        <v>4042.0693111039222</v>
      </c>
      <c r="U145">
        <v>1.02</v>
      </c>
      <c r="V145">
        <v>1985.742377575516</v>
      </c>
      <c r="W145" t="e">
        <v>#VALUE!</v>
      </c>
      <c r="X145">
        <v>2860.4894414028076</v>
      </c>
      <c r="Z145">
        <v>1.01</v>
      </c>
      <c r="AA145" t="e">
        <v>#DIV/0!</v>
      </c>
      <c r="AB145" t="e">
        <v>#DIV/0!</v>
      </c>
      <c r="AC145" t="e">
        <v>#DIV/0!</v>
      </c>
      <c r="AD145" t="e">
        <v>#DIV/0!</v>
      </c>
      <c r="AE145" t="e">
        <v>#DIV/0!</v>
      </c>
    </row>
    <row r="146" spans="1:31">
      <c r="A146">
        <v>1.03</v>
      </c>
      <c r="B146">
        <v>9691.7072728773855</v>
      </c>
      <c r="C146" t="e">
        <v>#VALUE!</v>
      </c>
      <c r="D146">
        <v>7971.9999885945717</v>
      </c>
      <c r="F146">
        <v>1.03</v>
      </c>
      <c r="G146">
        <v>6708.8936687178975</v>
      </c>
      <c r="H146" t="e">
        <v>#VALUE!</v>
      </c>
      <c r="I146">
        <v>6799.8786624592012</v>
      </c>
      <c r="K146">
        <v>1.03</v>
      </c>
      <c r="L146">
        <v>4529.6829727140457</v>
      </c>
      <c r="M146" t="e">
        <v>#VALUE!</v>
      </c>
      <c r="N146">
        <v>5345.1082251144244</v>
      </c>
      <c r="P146">
        <v>1.03</v>
      </c>
      <c r="Q146">
        <v>3034.8909869278905</v>
      </c>
      <c r="R146" t="e">
        <v>#VALUE!</v>
      </c>
      <c r="S146">
        <v>4061.5239208945004</v>
      </c>
      <c r="U146">
        <v>1.03</v>
      </c>
      <c r="V146">
        <v>2053.4429516926612</v>
      </c>
      <c r="W146" t="e">
        <v>#VALUE!</v>
      </c>
      <c r="X146">
        <v>2875.2596106355245</v>
      </c>
      <c r="Z146">
        <v>1.02</v>
      </c>
      <c r="AA146" t="e">
        <v>#DIV/0!</v>
      </c>
      <c r="AB146" t="e">
        <v>#DIV/0!</v>
      </c>
      <c r="AC146" t="e">
        <v>#DIV/0!</v>
      </c>
      <c r="AD146" t="e">
        <v>#DIV/0!</v>
      </c>
      <c r="AE146" t="e">
        <v>#DIV/0!</v>
      </c>
    </row>
    <row r="147" spans="1:31">
      <c r="A147">
        <v>1.04</v>
      </c>
      <c r="B147">
        <v>10084.852542446479</v>
      </c>
      <c r="C147" t="e">
        <v>#VALUE!</v>
      </c>
      <c r="D147">
        <v>7995.9999886315727</v>
      </c>
      <c r="F147">
        <v>1.04</v>
      </c>
      <c r="G147">
        <v>6980.0415832740682</v>
      </c>
      <c r="H147" t="e">
        <v>#VALUE!</v>
      </c>
      <c r="I147">
        <v>6826.4637658311094</v>
      </c>
      <c r="K147">
        <v>1.04</v>
      </c>
      <c r="L147">
        <v>4711.7009662595274</v>
      </c>
      <c r="M147" t="e">
        <v>#VALUE!</v>
      </c>
      <c r="N147">
        <v>5368.5516822421187</v>
      </c>
      <c r="P147">
        <v>1.04</v>
      </c>
      <c r="Q147">
        <v>3150.0029363766939</v>
      </c>
      <c r="R147" t="e">
        <v>#VALUE!</v>
      </c>
      <c r="S147">
        <v>4080.9785306850781</v>
      </c>
      <c r="U147">
        <v>1.04</v>
      </c>
      <c r="V147">
        <v>2124.9167559453685</v>
      </c>
      <c r="W147" t="e">
        <v>#VALUE!</v>
      </c>
      <c r="X147">
        <v>2890.0297798682413</v>
      </c>
      <c r="Z147">
        <v>1.03</v>
      </c>
      <c r="AA147" t="e">
        <v>#DIV/0!</v>
      </c>
      <c r="AB147" t="e">
        <v>#DIV/0!</v>
      </c>
      <c r="AC147" t="e">
        <v>#DIV/0!</v>
      </c>
      <c r="AD147" t="e">
        <v>#DIV/0!</v>
      </c>
      <c r="AE147" t="e">
        <v>#DIV/0!</v>
      </c>
    </row>
    <row r="148" spans="1:31">
      <c r="A148">
        <v>1.05</v>
      </c>
      <c r="B148">
        <v>10419.282580797299</v>
      </c>
      <c r="C148" t="e">
        <v>#VALUE!</v>
      </c>
      <c r="D148">
        <v>8019.9999886685728</v>
      </c>
      <c r="F148">
        <v>1.05</v>
      </c>
      <c r="G148">
        <v>7211.1231555916002</v>
      </c>
      <c r="H148" t="e">
        <v>#VALUE!</v>
      </c>
      <c r="I148">
        <v>6853.0488692030176</v>
      </c>
      <c r="K148">
        <v>1.05</v>
      </c>
      <c r="L148">
        <v>4867.2772900153441</v>
      </c>
      <c r="M148" t="e">
        <v>#VALUE!</v>
      </c>
      <c r="N148">
        <v>5391.9951393698138</v>
      </c>
      <c r="P148">
        <v>1.05</v>
      </c>
      <c r="Q148">
        <v>3248.5345212276138</v>
      </c>
      <c r="R148" t="e">
        <v>#VALUE!</v>
      </c>
      <c r="S148">
        <v>4100.4331404756558</v>
      </c>
      <c r="U148">
        <v>1.05</v>
      </c>
      <c r="V148">
        <v>2190.2841130530032</v>
      </c>
      <c r="W148" t="e">
        <v>#VALUE!</v>
      </c>
      <c r="X148">
        <v>2904.7999491009577</v>
      </c>
      <c r="Z148">
        <v>1.04</v>
      </c>
      <c r="AA148" t="e">
        <v>#DIV/0!</v>
      </c>
      <c r="AB148" t="e">
        <v>#DIV/0!</v>
      </c>
      <c r="AC148" t="e">
        <v>#DIV/0!</v>
      </c>
      <c r="AD148" t="e">
        <v>#DIV/0!</v>
      </c>
      <c r="AE148" t="e">
        <v>#DIV/0!</v>
      </c>
    </row>
    <row r="149" spans="1:31">
      <c r="A149">
        <v>1.06</v>
      </c>
      <c r="B149">
        <v>10760.864596234456</v>
      </c>
      <c r="C149" t="e">
        <v>#VALUE!</v>
      </c>
      <c r="D149">
        <v>8043.9999887055737</v>
      </c>
      <c r="F149">
        <v>1.06</v>
      </c>
      <c r="G149">
        <v>7447.1231638377667</v>
      </c>
      <c r="H149" t="e">
        <v>#VALUE!</v>
      </c>
      <c r="I149">
        <v>6879.6339725749267</v>
      </c>
      <c r="K149">
        <v>1.06</v>
      </c>
      <c r="L149">
        <v>5026.1402491829749</v>
      </c>
      <c r="M149" t="e">
        <v>#VALUE!</v>
      </c>
      <c r="N149">
        <v>5415.438596497509</v>
      </c>
      <c r="P149">
        <v>1.06</v>
      </c>
      <c r="Q149">
        <v>3348.9262732461962</v>
      </c>
      <c r="R149" t="e">
        <v>#VALUE!</v>
      </c>
      <c r="S149">
        <v>4119.8877502662344</v>
      </c>
      <c r="U149">
        <v>1.06</v>
      </c>
      <c r="V149">
        <v>2256.8108546751946</v>
      </c>
      <c r="W149" t="e">
        <v>#VALUE!</v>
      </c>
      <c r="X149">
        <v>2919.5701183336746</v>
      </c>
      <c r="Z149">
        <v>1.05</v>
      </c>
      <c r="AA149" t="e">
        <v>#DIV/0!</v>
      </c>
      <c r="AB149" t="e">
        <v>#DIV/0!</v>
      </c>
      <c r="AC149" t="e">
        <v>#DIV/0!</v>
      </c>
      <c r="AD149" t="e">
        <v>#DIV/0!</v>
      </c>
      <c r="AE149" t="e">
        <v>#DIV/0!</v>
      </c>
    </row>
    <row r="150" spans="1:31">
      <c r="A150">
        <v>1.07</v>
      </c>
      <c r="B150">
        <v>11110.174137811691</v>
      </c>
      <c r="C150" t="e">
        <v>#VALUE!</v>
      </c>
      <c r="D150">
        <v>8067.9999887425747</v>
      </c>
      <c r="F150">
        <v>1.07</v>
      </c>
      <c r="G150">
        <v>7688.5935633216695</v>
      </c>
      <c r="H150" t="e">
        <v>#VALUE!</v>
      </c>
      <c r="I150">
        <v>6906.2190759468349</v>
      </c>
      <c r="K150">
        <v>1.07</v>
      </c>
      <c r="L150">
        <v>5188.8245617421244</v>
      </c>
      <c r="M150" t="e">
        <v>#VALUE!</v>
      </c>
      <c r="N150">
        <v>5438.8820536252033</v>
      </c>
      <c r="P150">
        <v>1.07</v>
      </c>
      <c r="Q150">
        <v>3451.8412892092656</v>
      </c>
      <c r="R150" t="e">
        <v>#VALUE!</v>
      </c>
      <c r="S150">
        <v>4139.3423600568121</v>
      </c>
      <c r="U150">
        <v>1.07</v>
      </c>
      <c r="V150">
        <v>2325.4753649840741</v>
      </c>
      <c r="W150" t="e">
        <v>#VALUE!</v>
      </c>
      <c r="X150">
        <v>2934.3402875663915</v>
      </c>
      <c r="Z150">
        <v>1.06</v>
      </c>
      <c r="AA150" t="e">
        <v>#DIV/0!</v>
      </c>
      <c r="AB150" t="e">
        <v>#DIV/0!</v>
      </c>
      <c r="AC150" t="e">
        <v>#DIV/0!</v>
      </c>
      <c r="AD150" t="e">
        <v>#DIV/0!</v>
      </c>
      <c r="AE150" t="e">
        <v>#DIV/0!</v>
      </c>
    </row>
    <row r="151" spans="1:31">
      <c r="A151">
        <v>1.08</v>
      </c>
      <c r="B151">
        <v>11466.786754582723</v>
      </c>
      <c r="C151" t="e">
        <v>#VALUE!</v>
      </c>
      <c r="D151">
        <v>8091.9999887795757</v>
      </c>
      <c r="F151">
        <v>1.08</v>
      </c>
      <c r="G151">
        <v>7935.0863093524204</v>
      </c>
      <c r="H151" t="e">
        <v>#VALUE!</v>
      </c>
      <c r="I151">
        <v>6932.8041793187431</v>
      </c>
      <c r="K151">
        <v>1.08</v>
      </c>
      <c r="L151">
        <v>5354.8649456724897</v>
      </c>
      <c r="M151" t="e">
        <v>#VALUE!</v>
      </c>
      <c r="N151">
        <v>5462.3255107528985</v>
      </c>
      <c r="P151">
        <v>1.08</v>
      </c>
      <c r="Q151">
        <v>3556.6229037292551</v>
      </c>
      <c r="R151" t="e">
        <v>#VALUE!</v>
      </c>
      <c r="S151">
        <v>4158.7969698473898</v>
      </c>
      <c r="U151">
        <v>1.08</v>
      </c>
      <c r="V151">
        <v>2395.3032682930084</v>
      </c>
      <c r="W151" t="e">
        <v>#VALUE!</v>
      </c>
      <c r="X151">
        <v>2949.1104567991083</v>
      </c>
      <c r="Z151">
        <v>1.07</v>
      </c>
      <c r="AA151" t="e">
        <v>#DIV/0!</v>
      </c>
      <c r="AB151" t="e">
        <v>#DIV/0!</v>
      </c>
      <c r="AC151" t="e">
        <v>#DIV/0!</v>
      </c>
      <c r="AD151" t="e">
        <v>#DIV/0!</v>
      </c>
      <c r="AE151" t="e">
        <v>#DIV/0!</v>
      </c>
    </row>
    <row r="152" spans="1:31">
      <c r="A152">
        <v>1.0900000000000001</v>
      </c>
      <c r="B152">
        <v>11800.858052022822</v>
      </c>
      <c r="C152" t="e">
        <v>#VALUE!</v>
      </c>
      <c r="D152">
        <v>8115.9999888165767</v>
      </c>
      <c r="F152">
        <v>1.0900000000000001</v>
      </c>
      <c r="G152">
        <v>8166.0773229897895</v>
      </c>
      <c r="H152" t="e">
        <v>#VALUE!</v>
      </c>
      <c r="I152">
        <v>6959.3892826906513</v>
      </c>
      <c r="K152">
        <v>1.0900000000000001</v>
      </c>
      <c r="L152">
        <v>5510.5466417256921</v>
      </c>
      <c r="M152" t="e">
        <v>#VALUE!</v>
      </c>
      <c r="N152">
        <v>5485.7689678805928</v>
      </c>
      <c r="P152">
        <v>1.0900000000000001</v>
      </c>
      <c r="Q152">
        <v>3654.4049232279822</v>
      </c>
      <c r="R152" t="e">
        <v>#VALUE!</v>
      </c>
      <c r="S152">
        <v>4178.2515796379685</v>
      </c>
      <c r="U152">
        <v>1.0900000000000001</v>
      </c>
      <c r="V152">
        <v>2460.768541072332</v>
      </c>
      <c r="W152" t="e">
        <v>#VALUE!</v>
      </c>
      <c r="X152">
        <v>2963.8806260318247</v>
      </c>
      <c r="Z152">
        <v>1.08</v>
      </c>
      <c r="AA152" t="e">
        <v>#DIV/0!</v>
      </c>
      <c r="AB152" t="e">
        <v>#DIV/0!</v>
      </c>
      <c r="AC152" t="e">
        <v>#DIV/0!</v>
      </c>
      <c r="AD152" t="e">
        <v>#DIV/0!</v>
      </c>
      <c r="AE152" t="e">
        <v>#DIV/0!</v>
      </c>
    </row>
    <row r="153" spans="1:31">
      <c r="A153">
        <v>1.1000000000000001</v>
      </c>
      <c r="B153">
        <v>12141.280506579737</v>
      </c>
      <c r="C153" t="e">
        <v>#VALUE!</v>
      </c>
      <c r="D153">
        <v>8139.9999888535776</v>
      </c>
      <c r="F153">
        <v>1.1000000000000001</v>
      </c>
      <c r="G153">
        <v>8401.4360462792774</v>
      </c>
      <c r="H153" t="e">
        <v>#VALUE!</v>
      </c>
      <c r="I153">
        <v>6985.9743860625595</v>
      </c>
      <c r="K153">
        <v>1.1000000000000001</v>
      </c>
      <c r="L153">
        <v>5669.1469626058642</v>
      </c>
      <c r="M153" t="e">
        <v>#VALUE!</v>
      </c>
      <c r="N153">
        <v>5509.2124250082879</v>
      </c>
      <c r="P153">
        <v>1.1000000000000001</v>
      </c>
      <c r="Q153">
        <v>3753.7636800654163</v>
      </c>
      <c r="R153" t="e">
        <v>#VALUE!</v>
      </c>
      <c r="S153">
        <v>4197.7061894285462</v>
      </c>
      <c r="U153">
        <v>1.1000000000000001</v>
      </c>
      <c r="V153">
        <v>2527.2165453425673</v>
      </c>
      <c r="W153" t="e">
        <v>#VALUE!</v>
      </c>
      <c r="X153">
        <v>2978.6507952645416</v>
      </c>
      <c r="Z153">
        <v>1.0900000000000001</v>
      </c>
      <c r="AA153" t="e">
        <v>#DIV/0!</v>
      </c>
      <c r="AB153" t="e">
        <v>#DIV/0!</v>
      </c>
      <c r="AC153" t="e">
        <v>#DIV/0!</v>
      </c>
      <c r="AD153" t="e">
        <v>#DIV/0!</v>
      </c>
      <c r="AE153" t="e">
        <v>#DIV/0!</v>
      </c>
    </row>
    <row r="154" spans="1:31">
      <c r="A154">
        <v>1.1100000000000001</v>
      </c>
      <c r="B154">
        <v>12456.886561129964</v>
      </c>
      <c r="C154" t="e">
        <v>#VALUE!</v>
      </c>
      <c r="D154">
        <v>8163.9999888905786</v>
      </c>
      <c r="F154">
        <v>1.1100000000000001</v>
      </c>
      <c r="G154">
        <v>8619.6659980186232</v>
      </c>
      <c r="H154" t="e">
        <v>#VALUE!</v>
      </c>
      <c r="I154">
        <v>7012.5594894344677</v>
      </c>
      <c r="K154">
        <v>1.1100000000000001</v>
      </c>
      <c r="L154">
        <v>5816.2350084330465</v>
      </c>
      <c r="M154" t="e">
        <v>#VALUE!</v>
      </c>
      <c r="N154">
        <v>5532.6558821359831</v>
      </c>
      <c r="P154">
        <v>1.1100000000000001</v>
      </c>
      <c r="Q154">
        <v>3845.2680092997521</v>
      </c>
      <c r="R154" t="e">
        <v>#VALUE!</v>
      </c>
      <c r="S154">
        <v>4217.1607992191239</v>
      </c>
      <c r="U154">
        <v>1.1100000000000001</v>
      </c>
      <c r="V154">
        <v>2588.5430898369195</v>
      </c>
      <c r="W154" t="e">
        <v>#VALUE!</v>
      </c>
      <c r="X154">
        <v>2993.4209644972584</v>
      </c>
      <c r="Z154">
        <v>1.1000000000000001</v>
      </c>
      <c r="AA154" t="e">
        <v>#DIV/0!</v>
      </c>
      <c r="AB154" t="e">
        <v>#DIV/0!</v>
      </c>
      <c r="AC154" t="e">
        <v>#DIV/0!</v>
      </c>
      <c r="AD154" t="e">
        <v>#DIV/0!</v>
      </c>
      <c r="AE154" t="e">
        <v>#DIV/0!</v>
      </c>
    </row>
    <row r="155" spans="1:31">
      <c r="A155">
        <v>1.1200000000000001</v>
      </c>
      <c r="B155">
        <v>12777.841488684197</v>
      </c>
      <c r="C155" t="e">
        <v>#VALUE!</v>
      </c>
      <c r="D155">
        <v>8187.9999889275796</v>
      </c>
      <c r="F155">
        <v>1.1200000000000001</v>
      </c>
      <c r="G155">
        <v>8841.5743856426252</v>
      </c>
      <c r="H155" t="e">
        <v>#VALUE!</v>
      </c>
      <c r="I155">
        <v>7039.1445928063758</v>
      </c>
      <c r="K155">
        <v>1.1200000000000001</v>
      </c>
      <c r="L155">
        <v>5965.781087223153</v>
      </c>
      <c r="M155" t="e">
        <v>#VALUE!</v>
      </c>
      <c r="N155">
        <v>5556.0993392636774</v>
      </c>
      <c r="P155">
        <v>1.1200000000000001</v>
      </c>
      <c r="Q155">
        <v>3938.0575993289058</v>
      </c>
      <c r="R155" t="e">
        <v>#VALUE!</v>
      </c>
      <c r="S155">
        <v>4236.6154090097016</v>
      </c>
      <c r="U155">
        <v>1.1200000000000001</v>
      </c>
      <c r="V155">
        <v>2650.6706975306361</v>
      </c>
      <c r="W155" t="e">
        <v>#VALUE!</v>
      </c>
      <c r="X155">
        <v>3008.1911337299753</v>
      </c>
      <c r="Z155">
        <v>1.1100000000000001</v>
      </c>
      <c r="AA155" t="e">
        <v>#DIV/0!</v>
      </c>
      <c r="AB155" t="e">
        <v>#DIV/0!</v>
      </c>
      <c r="AC155" t="e">
        <v>#DIV/0!</v>
      </c>
      <c r="AD155" t="e">
        <v>#DIV/0!</v>
      </c>
      <c r="AE155" t="e">
        <v>#DIV/0!</v>
      </c>
    </row>
    <row r="156" spans="1:31">
      <c r="A156">
        <v>1.1299999999999999</v>
      </c>
      <c r="B156">
        <v>13104.190618674673</v>
      </c>
      <c r="C156" t="e">
        <v>#VALUE!</v>
      </c>
      <c r="D156">
        <v>8211.9999889645806</v>
      </c>
      <c r="F156">
        <v>1.1299999999999999</v>
      </c>
      <c r="G156">
        <v>9067.1923823367397</v>
      </c>
      <c r="H156" t="e">
        <v>#VALUE!</v>
      </c>
      <c r="I156">
        <v>7065.729696178284</v>
      </c>
      <c r="K156">
        <v>1.1299999999999999</v>
      </c>
      <c r="L156">
        <v>6117.806029763995</v>
      </c>
      <c r="M156" t="e">
        <v>#VALUE!</v>
      </c>
      <c r="N156">
        <v>5579.5427963913717</v>
      </c>
      <c r="P156">
        <v>1.1299999999999999</v>
      </c>
      <c r="Q156">
        <v>4032.1425010681842</v>
      </c>
      <c r="R156" t="e">
        <v>#VALUE!</v>
      </c>
      <c r="S156">
        <v>4256.0700188002793</v>
      </c>
      <c r="U156">
        <v>1.1299999999999999</v>
      </c>
      <c r="V156">
        <v>2713.605632847562</v>
      </c>
      <c r="W156" t="e">
        <v>#VALUE!</v>
      </c>
      <c r="X156">
        <v>3022.9613029626917</v>
      </c>
      <c r="Z156">
        <v>1.1200000000000001</v>
      </c>
      <c r="AA156" t="e">
        <v>#DIV/0!</v>
      </c>
      <c r="AB156" t="e">
        <v>#DIV/0!</v>
      </c>
      <c r="AC156" t="e">
        <v>#DIV/0!</v>
      </c>
      <c r="AD156" t="e">
        <v>#DIV/0!</v>
      </c>
      <c r="AE156" t="e">
        <v>#DIV/0!</v>
      </c>
    </row>
    <row r="157" spans="1:31">
      <c r="A157">
        <v>1.1399999999999999</v>
      </c>
      <c r="B157">
        <v>13435.979280533647</v>
      </c>
      <c r="C157" t="e">
        <v>#VALUE!</v>
      </c>
      <c r="D157">
        <v>8235.9999890015806</v>
      </c>
      <c r="F157">
        <v>1.1399999999999999</v>
      </c>
      <c r="G157">
        <v>9296.5511612864393</v>
      </c>
      <c r="H157" t="e">
        <v>#VALUE!</v>
      </c>
      <c r="I157">
        <v>7092.3147995501922</v>
      </c>
      <c r="K157">
        <v>1.1399999999999999</v>
      </c>
      <c r="L157">
        <v>6272.3306668434034</v>
      </c>
      <c r="M157" t="e">
        <v>#VALUE!</v>
      </c>
      <c r="N157">
        <v>5602.9862535190668</v>
      </c>
      <c r="P157">
        <v>1.1399999999999999</v>
      </c>
      <c r="Q157">
        <v>4127.5327654328958</v>
      </c>
      <c r="R157" t="e">
        <v>#VALUE!</v>
      </c>
      <c r="S157">
        <v>4275.5246285908579</v>
      </c>
      <c r="U157">
        <v>1.1399999999999999</v>
      </c>
      <c r="V157">
        <v>2777.3541602115461</v>
      </c>
      <c r="W157" t="e">
        <v>#VALUE!</v>
      </c>
      <c r="X157">
        <v>3037.7314721954085</v>
      </c>
      <c r="Z157">
        <v>1.1299999999999999</v>
      </c>
      <c r="AA157" t="e">
        <v>#DIV/0!</v>
      </c>
      <c r="AB157" t="e">
        <v>#DIV/0!</v>
      </c>
      <c r="AC157" t="e">
        <v>#DIV/0!</v>
      </c>
      <c r="AD157" t="e">
        <v>#DIV/0!</v>
      </c>
      <c r="AE157" t="e">
        <v>#DIV/0!</v>
      </c>
    </row>
    <row r="158" spans="1:31">
      <c r="A158">
        <v>1.1499999999999999</v>
      </c>
      <c r="B158">
        <v>13773.252803693336</v>
      </c>
      <c r="C158" t="e">
        <v>#VALUE!</v>
      </c>
      <c r="D158">
        <v>8259.9999890385825</v>
      </c>
      <c r="F158">
        <v>1.1499999999999999</v>
      </c>
      <c r="G158">
        <v>9529.6818956771822</v>
      </c>
      <c r="H158" t="e">
        <v>#VALUE!</v>
      </c>
      <c r="I158">
        <v>7118.8999029221004</v>
      </c>
      <c r="K158">
        <v>1.1499999999999999</v>
      </c>
      <c r="L158">
        <v>6429.3758292491975</v>
      </c>
      <c r="M158" t="e">
        <v>#VALUE!</v>
      </c>
      <c r="N158">
        <v>5626.429710646762</v>
      </c>
      <c r="P158">
        <v>1.1499999999999999</v>
      </c>
      <c r="Q158">
        <v>4224.2384433383459</v>
      </c>
      <c r="R158" t="e">
        <v>#VALUE!</v>
      </c>
      <c r="S158">
        <v>4294.9792383814356</v>
      </c>
      <c r="U158">
        <v>1.1499999999999999</v>
      </c>
      <c r="V158">
        <v>2841.9225440464334</v>
      </c>
      <c r="W158" t="e">
        <v>#VALUE!</v>
      </c>
      <c r="X158">
        <v>3052.5016414281254</v>
      </c>
      <c r="Z158">
        <v>1.1399999999999999</v>
      </c>
      <c r="AA158" t="e">
        <v>#DIV/0!</v>
      </c>
      <c r="AB158" t="e">
        <v>#DIV/0!</v>
      </c>
      <c r="AC158" t="e">
        <v>#DIV/0!</v>
      </c>
      <c r="AD158" t="e">
        <v>#DIV/0!</v>
      </c>
      <c r="AE158" t="e">
        <v>#DIV/0!</v>
      </c>
    </row>
    <row r="159" spans="1:31">
      <c r="A159">
        <v>1.1599999999999999</v>
      </c>
      <c r="B159">
        <v>14094.924756246453</v>
      </c>
      <c r="C159" t="e">
        <v>#VALUE!</v>
      </c>
      <c r="D159">
        <v>8283.9999890755826</v>
      </c>
      <c r="F159">
        <v>1.1599999999999999</v>
      </c>
      <c r="G159">
        <v>9751.8335459080172</v>
      </c>
      <c r="H159" t="e">
        <v>#VALUE!</v>
      </c>
      <c r="I159">
        <v>7145.4850062940086</v>
      </c>
      <c r="K159">
        <v>1.1599999999999999</v>
      </c>
      <c r="L159">
        <v>6578.8190450717238</v>
      </c>
      <c r="M159" t="e">
        <v>#VALUE!</v>
      </c>
      <c r="N159">
        <v>5649.8731677744563</v>
      </c>
      <c r="P159">
        <v>1.1599999999999999</v>
      </c>
      <c r="Q159">
        <v>4317.8062318379989</v>
      </c>
      <c r="R159" t="e">
        <v>#VALUE!</v>
      </c>
      <c r="S159">
        <v>4314.4338481720133</v>
      </c>
      <c r="U159">
        <v>1.1599999999999999</v>
      </c>
      <c r="V159">
        <v>2902.1574209187629</v>
      </c>
      <c r="W159" t="e">
        <v>#VALUE!</v>
      </c>
      <c r="X159">
        <v>3067.2718106608422</v>
      </c>
      <c r="Z159">
        <v>1.1499999999999999</v>
      </c>
      <c r="AA159" t="e">
        <v>#DIV/0!</v>
      </c>
      <c r="AB159" t="e">
        <v>#DIV/0!</v>
      </c>
      <c r="AC159" t="e">
        <v>#DIV/0!</v>
      </c>
      <c r="AD159" t="e">
        <v>#DIV/0!</v>
      </c>
      <c r="AE159" t="e">
        <v>#DIV/0!</v>
      </c>
    </row>
    <row r="160" spans="1:31">
      <c r="A160">
        <v>1.17</v>
      </c>
      <c r="B160">
        <v>14421.468111784006</v>
      </c>
      <c r="C160" t="e">
        <v>#VALUE!</v>
      </c>
      <c r="D160">
        <v>8307.9999891125844</v>
      </c>
      <c r="F160">
        <v>1.17</v>
      </c>
      <c r="G160">
        <v>9977.3352744699641</v>
      </c>
      <c r="H160" t="e">
        <v>#VALUE!</v>
      </c>
      <c r="I160">
        <v>7172.0701096659168</v>
      </c>
      <c r="K160">
        <v>1.17</v>
      </c>
      <c r="L160">
        <v>6730.500876225452</v>
      </c>
      <c r="M160" t="e">
        <v>#VALUE!</v>
      </c>
      <c r="N160">
        <v>5673.3166249021515</v>
      </c>
      <c r="P160">
        <v>1.17</v>
      </c>
      <c r="Q160">
        <v>4416.8858029429348</v>
      </c>
      <c r="R160" t="e">
        <v>#VALUE!</v>
      </c>
      <c r="S160">
        <v>4333.888457962591</v>
      </c>
      <c r="U160">
        <v>1.17</v>
      </c>
      <c r="V160">
        <v>2963.1291133577929</v>
      </c>
      <c r="W160" t="e">
        <v>#VALUE!</v>
      </c>
      <c r="X160">
        <v>3082.0419798935586</v>
      </c>
      <c r="Z160">
        <v>1.1599999999999999</v>
      </c>
      <c r="AA160" t="e">
        <v>#DIV/0!</v>
      </c>
      <c r="AB160" t="e">
        <v>#DIV/0!</v>
      </c>
      <c r="AC160" t="e">
        <v>#DIV/0!</v>
      </c>
      <c r="AD160" t="e">
        <v>#DIV/0!</v>
      </c>
      <c r="AE160" t="e">
        <v>#DIV/0!</v>
      </c>
    </row>
    <row r="161" spans="1:31">
      <c r="A161">
        <v>1.18</v>
      </c>
      <c r="B161">
        <v>14752.919133851799</v>
      </c>
      <c r="C161" t="e">
        <v>#VALUE!</v>
      </c>
      <c r="D161">
        <v>8331.9999891495845</v>
      </c>
      <c r="F161">
        <v>1.18</v>
      </c>
      <c r="G161">
        <v>10206.212019911387</v>
      </c>
      <c r="H161" t="e">
        <v>#VALUE!</v>
      </c>
      <c r="I161">
        <v>7198.6552130378259</v>
      </c>
      <c r="K161">
        <v>1.18</v>
      </c>
      <c r="L161">
        <v>6884.4379873406388</v>
      </c>
      <c r="M161" t="e">
        <v>#VALUE!</v>
      </c>
      <c r="N161">
        <v>5696.7600820298467</v>
      </c>
      <c r="P161">
        <v>1.18</v>
      </c>
      <c r="Q161">
        <v>4517.4227567673142</v>
      </c>
      <c r="R161" t="e">
        <v>#VALUE!</v>
      </c>
      <c r="S161">
        <v>4353.3430677531696</v>
      </c>
      <c r="U161">
        <v>1.18</v>
      </c>
      <c r="V161">
        <v>3024.8426552755441</v>
      </c>
      <c r="W161" t="e">
        <v>#VALUE!</v>
      </c>
      <c r="X161">
        <v>3096.8121491262755</v>
      </c>
      <c r="Z161">
        <v>1.17</v>
      </c>
      <c r="AA161" t="e">
        <v>#DIV/0!</v>
      </c>
      <c r="AB161" t="e">
        <v>#DIV/0!</v>
      </c>
      <c r="AC161" t="e">
        <v>#DIV/0!</v>
      </c>
      <c r="AD161" t="e">
        <v>#DIV/0!</v>
      </c>
      <c r="AE161" t="e">
        <v>#DIV/0!</v>
      </c>
    </row>
    <row r="162" spans="1:31">
      <c r="A162">
        <v>1.19</v>
      </c>
      <c r="B162">
        <v>15089.314085995615</v>
      </c>
      <c r="C162" t="e">
        <v>#VALUE!</v>
      </c>
      <c r="D162">
        <v>8355.9999891865864</v>
      </c>
      <c r="F162">
        <v>1.19</v>
      </c>
      <c r="G162">
        <v>10438.488720780662</v>
      </c>
      <c r="H162" t="e">
        <v>#VALUE!</v>
      </c>
      <c r="I162">
        <v>7225.2403164097341</v>
      </c>
      <c r="K162">
        <v>1.19</v>
      </c>
      <c r="L162">
        <v>7040.647043047541</v>
      </c>
      <c r="M162" t="e">
        <v>#VALUE!</v>
      </c>
      <c r="N162">
        <v>5720.2035391575409</v>
      </c>
      <c r="P162">
        <v>1.19</v>
      </c>
      <c r="Q162">
        <v>4619.4278621489648</v>
      </c>
      <c r="R162" t="e">
        <v>#VALUE!</v>
      </c>
      <c r="S162">
        <v>4372.7976775437473</v>
      </c>
      <c r="U162">
        <v>1.19</v>
      </c>
      <c r="V162">
        <v>3087.3030805840349</v>
      </c>
      <c r="W162" t="e">
        <v>#VALUE!</v>
      </c>
      <c r="X162">
        <v>3111.5823183589923</v>
      </c>
      <c r="Z162">
        <v>1.18</v>
      </c>
      <c r="AA162" t="e">
        <v>#DIV/0!</v>
      </c>
      <c r="AB162" t="e">
        <v>#DIV/0!</v>
      </c>
      <c r="AC162" t="e">
        <v>#DIV/0!</v>
      </c>
      <c r="AD162" t="e">
        <v>#DIV/0!</v>
      </c>
      <c r="AE162" t="e">
        <v>#DIV/0!</v>
      </c>
    </row>
    <row r="163" spans="1:31">
      <c r="A163">
        <v>1.2</v>
      </c>
      <c r="B163">
        <v>15430.689231761244</v>
      </c>
      <c r="C163" t="e">
        <v>#VALUE!</v>
      </c>
      <c r="D163">
        <v>8379.9999892235865</v>
      </c>
      <c r="F163">
        <v>1.2</v>
      </c>
      <c r="G163">
        <v>10674.190315626154</v>
      </c>
      <c r="H163" t="e">
        <v>#VALUE!</v>
      </c>
      <c r="I163">
        <v>7251.8254197816423</v>
      </c>
      <c r="K163">
        <v>1.2</v>
      </c>
      <c r="L163">
        <v>7199.1447079764166</v>
      </c>
      <c r="M163" t="e">
        <v>#VALUE!</v>
      </c>
      <c r="N163">
        <v>5743.6469962852361</v>
      </c>
      <c r="P163">
        <v>1.2</v>
      </c>
      <c r="Q163">
        <v>4722.9118879257148</v>
      </c>
      <c r="R163" t="e">
        <v>#VALUE!</v>
      </c>
      <c r="S163">
        <v>4392.252287334325</v>
      </c>
      <c r="U163">
        <v>1.2</v>
      </c>
      <c r="V163">
        <v>3150.5154231952847</v>
      </c>
      <c r="W163" t="e">
        <v>#VALUE!</v>
      </c>
      <c r="X163">
        <v>3126.3524875917092</v>
      </c>
      <c r="Z163">
        <v>1.19</v>
      </c>
      <c r="AA163" t="e">
        <v>#DIV/0!</v>
      </c>
      <c r="AB163" t="e">
        <v>#DIV/0!</v>
      </c>
      <c r="AC163" t="e">
        <v>#DIV/0!</v>
      </c>
      <c r="AD163" t="e">
        <v>#DIV/0!</v>
      </c>
      <c r="AE163" t="e">
        <v>#DIV/0!</v>
      </c>
    </row>
    <row r="164" spans="1:31">
      <c r="Z164">
        <v>1.2</v>
      </c>
      <c r="AA164" t="e">
        <v>#DIV/0!</v>
      </c>
      <c r="AB164" t="e">
        <v>#DIV/0!</v>
      </c>
      <c r="AC164" t="e">
        <v>#DIV/0!</v>
      </c>
      <c r="AD164" t="e">
        <v>#DIV/0!</v>
      </c>
      <c r="AE164" t="e">
        <v>#DIV/0!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E1A26-2605-4E54-90DD-C4A040865421}">
  <sheetPr codeName="Sheet38">
    <tabColor theme="8" tint="0.79998168889431442"/>
  </sheetPr>
  <dimension ref="B1:Q37"/>
  <sheetViews>
    <sheetView zoomScale="85" zoomScaleNormal="85" workbookViewId="0">
      <selection activeCell="Z8" sqref="Z8"/>
    </sheetView>
  </sheetViews>
  <sheetFormatPr defaultRowHeight="14.5"/>
  <cols>
    <col min="1" max="1" width="2.7265625" customWidth="1"/>
    <col min="2" max="2" width="41.81640625" customWidth="1"/>
    <col min="3" max="5" width="16.7265625" customWidth="1"/>
  </cols>
  <sheetData>
    <row r="1" spans="2:8" ht="15" thickBot="1"/>
    <row r="2" spans="2:8">
      <c r="B2" s="290" t="s">
        <v>328</v>
      </c>
    </row>
    <row r="3" spans="2:8" ht="15" thickBot="1">
      <c r="B3" s="291" t="s">
        <v>404</v>
      </c>
    </row>
    <row r="4" spans="2:8" ht="15" thickBot="1"/>
    <row r="5" spans="2:8" ht="16" thickBot="1">
      <c r="B5" s="292"/>
      <c r="C5" s="293" t="s">
        <v>108</v>
      </c>
      <c r="D5" s="293" t="s">
        <v>111</v>
      </c>
      <c r="E5" s="293" t="s">
        <v>182</v>
      </c>
    </row>
    <row r="6" spans="2:8" ht="16" thickBot="1">
      <c r="B6" s="294"/>
      <c r="C6" s="295" t="s">
        <v>200</v>
      </c>
      <c r="D6" s="295" t="s">
        <v>78</v>
      </c>
      <c r="E6" s="295" t="s">
        <v>203</v>
      </c>
    </row>
    <row r="7" spans="2:8" ht="16" thickBot="1">
      <c r="B7" s="294"/>
      <c r="C7" s="296" t="s">
        <v>81</v>
      </c>
      <c r="D7" s="296" t="s">
        <v>125</v>
      </c>
      <c r="E7" s="296" t="s">
        <v>81</v>
      </c>
    </row>
    <row r="8" spans="2:8" ht="19" thickBot="1">
      <c r="B8" s="286" t="s">
        <v>405</v>
      </c>
      <c r="C8" s="255">
        <f>'11 - Climb - Mil'!J2</f>
        <v>6.3534781411131913</v>
      </c>
      <c r="D8" s="254">
        <f>'11 - Climb - Mil'!J3</f>
        <v>278.81971130729227</v>
      </c>
      <c r="E8" s="255">
        <f>'11 - Climb - Mil'!J4</f>
        <v>52.057265376222226</v>
      </c>
    </row>
    <row r="9" spans="2:8" ht="19" thickBot="1">
      <c r="B9" s="286" t="s">
        <v>406</v>
      </c>
      <c r="C9" s="255">
        <f>'11 - Climb - Max'!J2</f>
        <v>3.7301904318008634</v>
      </c>
      <c r="D9" s="254">
        <f>'11 - Climb - Max'!J3</f>
        <v>529.85769785600428</v>
      </c>
      <c r="E9" s="255">
        <f>'11 - Climb - Max'!J4</f>
        <v>32.623063466188725</v>
      </c>
    </row>
    <row r="10" spans="2:8" ht="15" thickBot="1"/>
    <row r="11" spans="2:8">
      <c r="C11" s="434" t="s">
        <v>344</v>
      </c>
      <c r="D11" s="297"/>
      <c r="E11" s="435"/>
    </row>
    <row r="12" spans="2:8" ht="15.5">
      <c r="C12" s="441" t="s">
        <v>1</v>
      </c>
      <c r="D12" s="442" t="s">
        <v>578</v>
      </c>
      <c r="E12" s="443" t="s">
        <v>579</v>
      </c>
      <c r="H12" s="3"/>
    </row>
    <row r="13" spans="2:8" ht="15.5">
      <c r="C13" s="441" t="s">
        <v>580</v>
      </c>
      <c r="D13" s="442" t="s">
        <v>581</v>
      </c>
      <c r="E13" s="443" t="s">
        <v>582</v>
      </c>
      <c r="H13" s="3"/>
    </row>
    <row r="14" spans="2:8">
      <c r="C14" s="436">
        <v>0</v>
      </c>
      <c r="D14" s="3">
        <f>'11 - Climb RoC Calcs'!N$2</f>
        <v>10270.544682527354</v>
      </c>
      <c r="E14" s="437">
        <f>'11 - Climb RoC Calcs'!N$3</f>
        <v>0.63120463531621274</v>
      </c>
    </row>
    <row r="15" spans="2:8">
      <c r="C15" s="436">
        <v>5000</v>
      </c>
      <c r="D15" s="3">
        <f>'11 - Climb RoC Calcs'!V$2</f>
        <v>9747.0661513640662</v>
      </c>
      <c r="E15" s="437">
        <f>'11 - Climb RoC Calcs'!V$3</f>
        <v>0.69122497334412147</v>
      </c>
    </row>
    <row r="16" spans="2:8">
      <c r="C16" s="436">
        <v>10000</v>
      </c>
      <c r="D16" s="3">
        <f>'11 - Climb RoC Calcs'!AD$2</f>
        <v>9266.873841768087</v>
      </c>
      <c r="E16" s="437">
        <f>'11 - Climb RoC Calcs'!AD$3</f>
        <v>0.76029630529664027</v>
      </c>
    </row>
    <row r="17" spans="3:17">
      <c r="C17" s="436">
        <v>15000</v>
      </c>
      <c r="D17" s="3">
        <f>'11 - Climb RoC Calcs'!AL$2</f>
        <v>8223.4721220107749</v>
      </c>
      <c r="E17" s="437">
        <f>'11 - Climb RoC Calcs'!AL$3</f>
        <v>0.79866139017356619</v>
      </c>
    </row>
    <row r="18" spans="3:17">
      <c r="C18" s="436">
        <v>20000</v>
      </c>
      <c r="D18" s="3">
        <f>'11 - Climb RoC Calcs'!AT$2</f>
        <v>7145.0478077824373</v>
      </c>
      <c r="E18" s="437">
        <f>'11 - Climb RoC Calcs'!AT$3</f>
        <v>0.80207216527601477</v>
      </c>
    </row>
    <row r="19" spans="3:17">
      <c r="C19" s="436">
        <v>25000</v>
      </c>
      <c r="D19" s="3">
        <f>'11 - Climb RoC Calcs'!BB$2</f>
        <v>6094.9549900651837</v>
      </c>
      <c r="E19" s="437">
        <f>'11 - Climb RoC Calcs'!BB$3</f>
        <v>0.80949211260790221</v>
      </c>
    </row>
    <row r="20" spans="3:17">
      <c r="C20" s="436">
        <v>30000</v>
      </c>
      <c r="D20" s="3">
        <f>'11 - Climb RoC Calcs'!BJ$2</f>
        <v>5112.7833702836087</v>
      </c>
      <c r="E20" s="437">
        <f>'11 - Climb RoC Calcs'!BJ$3</f>
        <v>0.83699184100503643</v>
      </c>
    </row>
    <row r="21" spans="3:17">
      <c r="C21" s="436">
        <v>35000</v>
      </c>
      <c r="D21" s="3">
        <f>'11 - Climb RoC Calcs'!BR$2</f>
        <v>4025.7861498670973</v>
      </c>
      <c r="E21" s="437">
        <f>'11 - Climb RoC Calcs'!BR$3</f>
        <v>0.85402385308192297</v>
      </c>
    </row>
    <row r="22" spans="3:17" ht="15" thickBot="1">
      <c r="C22" s="438">
        <v>40000</v>
      </c>
      <c r="D22" s="439">
        <f>'11 - Climb RoC Calcs'!BZ$2</f>
        <v>2767.5990866591164</v>
      </c>
      <c r="E22" s="440">
        <f>'11 - Climb RoC Calcs'!BZ$3</f>
        <v>0.85360190090492871</v>
      </c>
    </row>
    <row r="23" spans="3:17" ht="15" thickBot="1"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</row>
    <row r="24" spans="3:17">
      <c r="C24" s="444" t="s">
        <v>344</v>
      </c>
      <c r="D24" s="242"/>
      <c r="E24" s="445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3:17" ht="15.5">
      <c r="C25" s="446" t="s">
        <v>1</v>
      </c>
      <c r="D25" s="442" t="s">
        <v>578</v>
      </c>
      <c r="E25" s="447" t="s">
        <v>579</v>
      </c>
    </row>
    <row r="26" spans="3:17" ht="15.5">
      <c r="C26" s="446" t="s">
        <v>580</v>
      </c>
      <c r="D26" s="442" t="s">
        <v>581</v>
      </c>
      <c r="E26" s="447" t="s">
        <v>582</v>
      </c>
    </row>
    <row r="27" spans="3:17">
      <c r="C27" s="243">
        <v>0</v>
      </c>
      <c r="D27" s="3">
        <f>'11 - Climb RoC Calcs'!N$89</f>
        <v>26694.041008003638</v>
      </c>
      <c r="E27" s="448">
        <f>'11 - Climb RoC Calcs'!N$90</f>
        <v>0.84566886562470389</v>
      </c>
    </row>
    <row r="28" spans="3:17">
      <c r="C28" s="243">
        <v>5000</v>
      </c>
      <c r="D28" s="3">
        <f>'11 - Climb RoC Calcs'!V$89</f>
        <v>25407.761403020704</v>
      </c>
      <c r="E28" s="448">
        <f>'11 - Climb RoC Calcs'!V$90</f>
        <v>0.85198995985620285</v>
      </c>
    </row>
    <row r="29" spans="3:17">
      <c r="C29" s="243">
        <v>10000</v>
      </c>
      <c r="D29" s="3">
        <f>'11 - Climb RoC Calcs'!AD$89</f>
        <v>23797.48807916684</v>
      </c>
      <c r="E29" s="448">
        <f>'11 - Climb RoC Calcs'!AD$90</f>
        <v>0.87837601474736804</v>
      </c>
    </row>
    <row r="30" spans="3:17">
      <c r="C30" s="243">
        <v>15000</v>
      </c>
      <c r="D30" s="3">
        <f>'11 - Climb RoC Calcs'!AL$89</f>
        <v>21457.298286366946</v>
      </c>
      <c r="E30" s="448">
        <f>'11 - Climb RoC Calcs'!AL$90</f>
        <v>0.89957665714234192</v>
      </c>
    </row>
    <row r="31" spans="3:17">
      <c r="C31" s="243">
        <v>20000</v>
      </c>
      <c r="D31" s="3">
        <f>'11 - Climb RoC Calcs'!AT$89</f>
        <v>19115.868361550267</v>
      </c>
      <c r="E31" s="448">
        <f>'11 - Climb RoC Calcs'!AT$90</f>
        <v>0.91717856133403353</v>
      </c>
    </row>
    <row r="32" spans="3:17">
      <c r="C32" s="243">
        <v>25000</v>
      </c>
      <c r="D32" s="3">
        <f>'11 - Climb RoC Calcs'!BB$89</f>
        <v>16590.857454448647</v>
      </c>
      <c r="E32" s="448">
        <f>'11 - Climb RoC Calcs'!BB$90</f>
        <v>0.91952553484832811</v>
      </c>
    </row>
    <row r="33" spans="3:5">
      <c r="C33" s="243">
        <v>30000</v>
      </c>
      <c r="D33" s="3">
        <f>'11 - Climb RoC Calcs'!BJ$89</f>
        <v>14183.465935996734</v>
      </c>
      <c r="E33" s="448">
        <f>'11 - Climb RoC Calcs'!BJ$90</f>
        <v>0.92196310753118127</v>
      </c>
    </row>
    <row r="34" spans="3:5">
      <c r="C34" s="243">
        <v>35000</v>
      </c>
      <c r="D34" s="3">
        <f>'11 - Climb RoC Calcs'!BR$89</f>
        <v>11930.547574091062</v>
      </c>
      <c r="E34" s="448">
        <f>'11 - Climb RoC Calcs'!BR$90</f>
        <v>0.92461961180954677</v>
      </c>
    </row>
    <row r="35" spans="3:5">
      <c r="C35" s="243">
        <v>40000</v>
      </c>
      <c r="D35" s="3">
        <f>'11 - Climb RoC Calcs'!BZ$89</f>
        <v>9292.9089031321928</v>
      </c>
      <c r="E35" s="448">
        <f>'11 - Climb RoC Calcs'!BZ$90</f>
        <v>0.93568288814294553</v>
      </c>
    </row>
    <row r="36" spans="3:5">
      <c r="C36" s="243">
        <v>45000</v>
      </c>
      <c r="D36" s="3">
        <f>'11 - Climb RoC Calcs'!CH$89</f>
        <v>6133.2888674227288</v>
      </c>
      <c r="E36" s="448">
        <f>'11 - Climb RoC Calcs'!CH$90</f>
        <v>0.93576959304737428</v>
      </c>
    </row>
    <row r="37" spans="3:5" ht="15" thickBot="1">
      <c r="C37" s="449">
        <v>50000</v>
      </c>
      <c r="D37" s="450">
        <f>'11 - Climb RoC Calcs'!CP$89</f>
        <v>3038.4923372799531</v>
      </c>
      <c r="E37" s="451">
        <f>'11 - Climb RoC Calcs'!CP$90</f>
        <v>0.93571291222306152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C7468-94C5-4CEA-A4D2-68A67DD74AD7}">
  <sheetPr codeName="Sheet9">
    <tabColor theme="8" tint="0.79998168889431442"/>
  </sheetPr>
  <dimension ref="B1:Y50"/>
  <sheetViews>
    <sheetView topLeftCell="K45" workbookViewId="0">
      <selection activeCell="S8" sqref="S8"/>
    </sheetView>
  </sheetViews>
  <sheetFormatPr defaultRowHeight="14.5"/>
  <cols>
    <col min="1" max="1" width="2.7265625" customWidth="1"/>
    <col min="2" max="15" width="10.7265625" customWidth="1"/>
    <col min="16" max="16" width="12.7265625" customWidth="1"/>
    <col min="17" max="25" width="10.7265625" customWidth="1"/>
  </cols>
  <sheetData>
    <row r="1" spans="2:25" ht="15" thickBot="1"/>
    <row r="2" spans="2:25">
      <c r="B2" s="609" t="s">
        <v>328</v>
      </c>
      <c r="C2" s="610"/>
      <c r="D2" s="611"/>
      <c r="E2" s="55"/>
      <c r="F2" t="s">
        <v>6</v>
      </c>
      <c r="G2" s="8">
        <v>10000</v>
      </c>
      <c r="H2" t="s">
        <v>5</v>
      </c>
      <c r="I2" s="123" t="s">
        <v>108</v>
      </c>
      <c r="J2" s="124">
        <f>R48/60</f>
        <v>6.3534781411131913</v>
      </c>
      <c r="K2" s="125" t="s">
        <v>181</v>
      </c>
      <c r="V2" s="8"/>
    </row>
    <row r="3" spans="2:25" ht="15" thickBot="1">
      <c r="B3" s="612" t="s">
        <v>217</v>
      </c>
      <c r="C3" s="613"/>
      <c r="D3" s="614"/>
      <c r="E3" s="55"/>
      <c r="G3" s="10"/>
      <c r="H3" s="10"/>
      <c r="I3" s="126" t="s">
        <v>111</v>
      </c>
      <c r="J3" s="122">
        <f>U48</f>
        <v>278.81971130729227</v>
      </c>
      <c r="K3" s="127" t="s">
        <v>5</v>
      </c>
      <c r="V3" s="8"/>
    </row>
    <row r="4" spans="2:25" ht="15" thickBot="1">
      <c r="B4" s="55"/>
      <c r="C4" s="55"/>
      <c r="D4" s="55"/>
      <c r="E4" s="55"/>
      <c r="G4" s="8"/>
      <c r="H4" s="8"/>
      <c r="I4" s="128" t="s">
        <v>182</v>
      </c>
      <c r="J4" s="129">
        <f>Y48</f>
        <v>52.057265376222226</v>
      </c>
      <c r="K4" s="130" t="s">
        <v>183</v>
      </c>
      <c r="V4" s="8"/>
    </row>
    <row r="5" spans="2:25" ht="15" thickBot="1">
      <c r="B5" s="55"/>
      <c r="C5" s="55"/>
      <c r="D5" s="55"/>
      <c r="E5" s="55"/>
      <c r="G5" s="8"/>
      <c r="H5" s="8"/>
      <c r="J5" s="9"/>
      <c r="V5" s="8"/>
    </row>
    <row r="6" spans="2:25">
      <c r="B6" s="6" t="s">
        <v>1</v>
      </c>
      <c r="C6" s="6" t="s">
        <v>17</v>
      </c>
      <c r="D6" s="6" t="s">
        <v>0</v>
      </c>
      <c r="E6" s="6" t="s">
        <v>184</v>
      </c>
      <c r="F6" s="6" t="s">
        <v>72</v>
      </c>
      <c r="G6" s="6" t="s">
        <v>185</v>
      </c>
      <c r="H6" s="6" t="s">
        <v>6</v>
      </c>
      <c r="I6" s="6" t="s">
        <v>74</v>
      </c>
      <c r="J6" s="6" t="s">
        <v>75</v>
      </c>
      <c r="K6" s="6" t="s">
        <v>186</v>
      </c>
      <c r="L6" s="6" t="s">
        <v>187</v>
      </c>
      <c r="M6" s="312" t="s">
        <v>188</v>
      </c>
      <c r="N6" s="301" t="s">
        <v>189</v>
      </c>
      <c r="O6" s="310" t="s">
        <v>190</v>
      </c>
      <c r="P6" s="6" t="s">
        <v>191</v>
      </c>
      <c r="Q6" s="308" t="s">
        <v>192</v>
      </c>
      <c r="R6" s="183" t="s">
        <v>108</v>
      </c>
      <c r="S6" s="6" t="s">
        <v>193</v>
      </c>
      <c r="T6" s="308" t="s">
        <v>110</v>
      </c>
      <c r="U6" s="185" t="s">
        <v>111</v>
      </c>
      <c r="V6" s="6" t="s">
        <v>194</v>
      </c>
      <c r="W6" s="308" t="s">
        <v>195</v>
      </c>
      <c r="X6" s="6" t="s">
        <v>182</v>
      </c>
      <c r="Y6" s="187" t="s">
        <v>182</v>
      </c>
    </row>
    <row r="7" spans="2:25">
      <c r="B7" s="6" t="s">
        <v>30</v>
      </c>
      <c r="C7" s="6" t="s">
        <v>69</v>
      </c>
      <c r="D7" s="6" t="s">
        <v>196</v>
      </c>
      <c r="E7" s="6" t="s">
        <v>197</v>
      </c>
      <c r="F7" s="5"/>
      <c r="G7" s="6" t="s">
        <v>69</v>
      </c>
      <c r="H7" s="6" t="s">
        <v>78</v>
      </c>
      <c r="I7" s="5"/>
      <c r="J7" s="5"/>
      <c r="K7" s="6" t="s">
        <v>78</v>
      </c>
      <c r="L7" s="6" t="s">
        <v>78</v>
      </c>
      <c r="M7" s="317" t="s">
        <v>69</v>
      </c>
      <c r="N7" s="316" t="s">
        <v>198</v>
      </c>
      <c r="O7" s="318" t="s">
        <v>69</v>
      </c>
      <c r="P7" s="6" t="s">
        <v>199</v>
      </c>
      <c r="Q7" s="330" t="s">
        <v>112</v>
      </c>
      <c r="R7" s="183" t="s">
        <v>112</v>
      </c>
      <c r="S7" s="6" t="s">
        <v>227</v>
      </c>
      <c r="T7" s="330" t="s">
        <v>78</v>
      </c>
      <c r="U7" s="185" t="s">
        <v>78</v>
      </c>
      <c r="V7" s="6" t="s">
        <v>69</v>
      </c>
      <c r="W7" s="330" t="s">
        <v>30</v>
      </c>
      <c r="X7" s="6" t="s">
        <v>30</v>
      </c>
      <c r="Y7" s="187" t="s">
        <v>203</v>
      </c>
    </row>
    <row r="8" spans="2:25">
      <c r="B8" s="120">
        <v>0</v>
      </c>
      <c r="C8" s="7" cm="1">
        <f t="array" ref="C8">Linterp(B8,atmos_h,atmos_aspeed)</f>
        <v>1116.45</v>
      </c>
      <c r="D8" s="7" cm="1">
        <f t="array" ref="D8">Linterp(B8,atmos_h,atmos_qms)</f>
        <v>1481.354</v>
      </c>
      <c r="E8" s="16">
        <v>496</v>
      </c>
      <c r="F8" s="11">
        <f t="shared" ref="F8:F48" si="0">E8/C8*6076.4/3600</f>
        <v>0.74987047238021309</v>
      </c>
      <c r="G8" s="7">
        <f t="shared" ref="G8:G48" si="1">F8*C8</f>
        <v>837.19288888888889</v>
      </c>
      <c r="H8" s="121">
        <f>G2</f>
        <v>10000</v>
      </c>
      <c r="I8" s="11">
        <f t="shared" ref="I8:I48" si="2">H8/(D8*F8*F8*_xlfn.SINGLE(S))</f>
        <v>7.0618700020515374E-2</v>
      </c>
      <c r="J8" s="11">
        <f t="shared" ref="J8:J38" si="3">InterpolateXY(I8,F8,CD_CL,CD_M,CD_table)</f>
        <v>1.5582992805496017E-2</v>
      </c>
      <c r="K8" s="12">
        <f t="shared" ref="K8:K48" si="4">J8*D8*F8*F8*_xlfn.SINGLE(S)</f>
        <v>2206.6382984916199</v>
      </c>
      <c r="L8" s="12">
        <f t="shared" ref="L8:L48" si="5">_xlfn.SINGLE(InterpolateXY(B8,F8,Tmil_h,Tmil_M,Tmil_table))*_xlfn.SINGLE(numeng)</f>
        <v>4099.9481889520848</v>
      </c>
      <c r="M8" s="321">
        <f>(L8-K8)*G8/H8</f>
        <v>158.50655767565021</v>
      </c>
      <c r="N8" s="320"/>
      <c r="O8" s="170">
        <f>M8/(1+(G8/32.174)*N8)</f>
        <v>158.50655767565021</v>
      </c>
      <c r="P8" s="7">
        <f t="shared" ref="P8:P48" si="6">ASIN(O8/G8)*180/PI()</f>
        <v>10.913744067412912</v>
      </c>
      <c r="Q8" s="176">
        <v>0</v>
      </c>
      <c r="R8" s="7">
        <v>0</v>
      </c>
      <c r="S8" s="11">
        <f t="shared" ref="S8:S48" si="7">_xlfn.SINGLE(InterpolateXY(B8,F8,FFmil_h,FFmil_M,FFmil_table))*_xlfn.SINGLE(numeng)/3600</f>
        <v>1.2983169265014936</v>
      </c>
      <c r="T8" s="172">
        <f>Q8*AVERAGE(S8:S9)</f>
        <v>0</v>
      </c>
      <c r="U8" s="16">
        <v>0</v>
      </c>
      <c r="V8" s="16">
        <f t="shared" ref="V8:V48" si="8">G8*COS(P8*PI()/180)</f>
        <v>822.05085267271591</v>
      </c>
      <c r="W8" s="172">
        <f>AVERAGE(V8:V9)*Q8</f>
        <v>0</v>
      </c>
      <c r="X8" s="16">
        <v>0</v>
      </c>
      <c r="Y8" s="7">
        <f>X8/6076.4</f>
        <v>0</v>
      </c>
    </row>
    <row r="9" spans="2:25">
      <c r="B9" s="120">
        <v>1000</v>
      </c>
      <c r="C9" s="7" cm="1">
        <f t="array" ref="C9">Linterp(B9,atmos_h,atmos_aspeed)</f>
        <v>1112.6054288919283</v>
      </c>
      <c r="D9" s="7" cm="1">
        <f t="array" ref="D9">Linterp(B9,atmos_h,atmos_qms)</f>
        <v>1428.5989841193521</v>
      </c>
      <c r="E9" s="16">
        <v>496</v>
      </c>
      <c r="F9" s="11">
        <f t="shared" si="0"/>
        <v>0.75246162489308566</v>
      </c>
      <c r="G9" s="7">
        <f t="shared" si="1"/>
        <v>837.19288888888889</v>
      </c>
      <c r="H9" s="121">
        <f>H8-T8</f>
        <v>10000</v>
      </c>
      <c r="I9" s="11">
        <f t="shared" si="2"/>
        <v>7.2723040732496663E-2</v>
      </c>
      <c r="J9" s="11">
        <f t="shared" si="3"/>
        <v>1.5604114759370038E-2</v>
      </c>
      <c r="K9" s="12">
        <f t="shared" si="4"/>
        <v>2145.690636997424</v>
      </c>
      <c r="L9" s="12">
        <f t="shared" si="5"/>
        <v>4039.394983577462</v>
      </c>
      <c r="M9" s="321">
        <f t="shared" ref="M9:M48" si="9">(L9-K9)*G9/H9</f>
        <v>158.53958126147876</v>
      </c>
      <c r="N9" s="320">
        <f>(G9-G8)/(B9-B8)</f>
        <v>0</v>
      </c>
      <c r="O9" s="170">
        <f t="shared" ref="O9:O48" si="10">M9/(1+(G9/32.174)*N9)</f>
        <v>158.53958126147876</v>
      </c>
      <c r="P9" s="7">
        <f t="shared" si="6"/>
        <v>10.916045773462937</v>
      </c>
      <c r="Q9" s="176">
        <f>(B9-B8)/AVERAGE($O8:$O9)</f>
        <v>6.308230110307715</v>
      </c>
      <c r="R9" s="7">
        <f>R8+Q9</f>
        <v>6.308230110307715</v>
      </c>
      <c r="S9" s="11">
        <f t="shared" si="7"/>
        <v>1.2749765897709793</v>
      </c>
      <c r="T9" s="172">
        <f>Q9*AVERAGE(S8:S9)</f>
        <v>8.1164638210048139</v>
      </c>
      <c r="U9" s="16">
        <f>U8+T9</f>
        <v>8.1164638210048139</v>
      </c>
      <c r="V9" s="16">
        <f t="shared" si="8"/>
        <v>822.044484428646</v>
      </c>
      <c r="W9" s="172">
        <f>AVERAGE(V8:V9)*Q9</f>
        <v>5185.6658548596624</v>
      </c>
      <c r="X9" s="16">
        <f>X8+W9</f>
        <v>5185.6658548596624</v>
      </c>
      <c r="Y9" s="7">
        <f t="shared" ref="Y9:Y48" si="11">X9/6076.4</f>
        <v>0.85341087730558596</v>
      </c>
    </row>
    <row r="10" spans="2:25">
      <c r="B10" s="120">
        <v>2000</v>
      </c>
      <c r="C10" s="7" cm="1">
        <f t="array" ref="C10">Linterp(B10,atmos_h,atmos_aspeed)</f>
        <v>1108.7475268516198</v>
      </c>
      <c r="D10" s="7" cm="1">
        <f t="array" ref="D10">Linterp(B10,atmos_h,atmos_qms)</f>
        <v>1377.3756937914036</v>
      </c>
      <c r="E10" s="16">
        <v>496</v>
      </c>
      <c r="F10" s="11">
        <f t="shared" si="0"/>
        <v>0.75507982531078766</v>
      </c>
      <c r="G10" s="7">
        <f t="shared" si="1"/>
        <v>837.19288888888889</v>
      </c>
      <c r="H10" s="121">
        <f t="shared" ref="H10:H48" si="12">H9-T9</f>
        <v>9991.8835361789952</v>
      </c>
      <c r="I10" s="11">
        <f t="shared" si="2"/>
        <v>7.4844569339311828E-2</v>
      </c>
      <c r="J10" s="11">
        <f t="shared" si="3"/>
        <v>1.5625397466119822E-2</v>
      </c>
      <c r="K10" s="12">
        <f t="shared" si="4"/>
        <v>2086.018438828406</v>
      </c>
      <c r="L10" s="12">
        <f t="shared" si="5"/>
        <v>3979.1556115883363</v>
      </c>
      <c r="M10" s="321">
        <f t="shared" si="9"/>
        <v>158.62084190504092</v>
      </c>
      <c r="N10" s="320">
        <f t="shared" ref="N10:N48" si="13">(G10-G9)/(B10-B9)</f>
        <v>0</v>
      </c>
      <c r="O10" s="170">
        <f t="shared" si="10"/>
        <v>158.62084190504092</v>
      </c>
      <c r="P10" s="7">
        <f t="shared" si="6"/>
        <v>10.921709623041117</v>
      </c>
      <c r="Q10" s="176">
        <f t="shared" ref="Q10:Q48" si="14">(B10-B9)/AVERAGE($O9:$O10)</f>
        <v>6.3059570296699166</v>
      </c>
      <c r="R10" s="7">
        <f t="shared" ref="R10:R47" si="15">R9+Q10</f>
        <v>12.614187139977631</v>
      </c>
      <c r="S10" s="11">
        <f t="shared" si="7"/>
        <v>1.2517316698554501</v>
      </c>
      <c r="T10" s="172">
        <f t="shared" ref="T10:T48" si="16">Q10*AVERAGE(S9:S10)</f>
        <v>7.9666568558581616</v>
      </c>
      <c r="U10" s="16">
        <f t="shared" ref="U10:U48" si="17">U9+T10</f>
        <v>16.083120676862976</v>
      </c>
      <c r="V10" s="16">
        <f t="shared" si="8"/>
        <v>822.02880832697065</v>
      </c>
      <c r="W10" s="172">
        <f t="shared" ref="W10:W48" si="18">AVERAGE(V9:V10)*Q10</f>
        <v>5183.7277688724234</v>
      </c>
      <c r="X10" s="16">
        <f t="shared" ref="X10:X48" si="19">X9+W10</f>
        <v>10369.393623732085</v>
      </c>
      <c r="Y10" s="7">
        <f t="shared" si="11"/>
        <v>1.7065028016147861</v>
      </c>
    </row>
    <row r="11" spans="2:25">
      <c r="B11" s="120">
        <v>3000</v>
      </c>
      <c r="C11" s="7" cm="1">
        <f t="array" ref="C11">Linterp(B11,atmos_h,atmos_aspeed)</f>
        <v>1104.8761542360191</v>
      </c>
      <c r="D11" s="7" cm="1">
        <f t="array" ref="D11">Linterp(B11,atmos_h,atmos_qms)</f>
        <v>1327.6498704479548</v>
      </c>
      <c r="E11" s="16">
        <v>496</v>
      </c>
      <c r="F11" s="11">
        <f t="shared" si="0"/>
        <v>0.7577255475006397</v>
      </c>
      <c r="G11" s="7">
        <f t="shared" si="1"/>
        <v>837.19288888888889</v>
      </c>
      <c r="H11" s="121">
        <f t="shared" si="12"/>
        <v>9983.9168793231365</v>
      </c>
      <c r="I11" s="11">
        <f t="shared" si="2"/>
        <v>7.7045028026299964E-2</v>
      </c>
      <c r="J11" s="11">
        <f t="shared" si="3"/>
        <v>1.5647611755327469E-2</v>
      </c>
      <c r="K11" s="12">
        <f t="shared" si="4"/>
        <v>2027.7032681691092</v>
      </c>
      <c r="L11" s="12">
        <f t="shared" si="5"/>
        <v>3919.2350403296032</v>
      </c>
      <c r="M11" s="321">
        <f t="shared" si="9"/>
        <v>158.61279374628796</v>
      </c>
      <c r="N11" s="320">
        <f t="shared" si="13"/>
        <v>0</v>
      </c>
      <c r="O11" s="170">
        <f t="shared" si="10"/>
        <v>158.61279374628796</v>
      </c>
      <c r="P11" s="7">
        <f t="shared" si="6"/>
        <v>10.921148663267994</v>
      </c>
      <c r="Q11" s="176">
        <f t="shared" si="14"/>
        <v>6.3045017149385689</v>
      </c>
      <c r="R11" s="7">
        <f t="shared" si="15"/>
        <v>18.918688854916198</v>
      </c>
      <c r="S11" s="11">
        <f t="shared" si="7"/>
        <v>1.2285836772486396</v>
      </c>
      <c r="T11" s="172">
        <f t="shared" si="16"/>
        <v>7.8185761797030917</v>
      </c>
      <c r="U11" s="16">
        <f t="shared" si="17"/>
        <v>23.901696856566069</v>
      </c>
      <c r="V11" s="16">
        <f t="shared" si="8"/>
        <v>822.03036127999621</v>
      </c>
      <c r="W11" s="172">
        <f t="shared" si="18"/>
        <v>5182.4869271238013</v>
      </c>
      <c r="X11" s="16">
        <f t="shared" si="19"/>
        <v>15551.880550855887</v>
      </c>
      <c r="Y11" s="7">
        <f t="shared" si="11"/>
        <v>2.5593905191981912</v>
      </c>
    </row>
    <row r="12" spans="2:25">
      <c r="B12" s="120">
        <v>4000</v>
      </c>
      <c r="C12" s="7" cm="1">
        <f t="array" ref="C12">Linterp(B12,atmos_h,atmos_aspeed)</f>
        <v>1100.9911689469482</v>
      </c>
      <c r="D12" s="7" cm="1">
        <f t="array" ref="D12">Linterp(B12,atmos_h,atmos_qms)</f>
        <v>1279.3877901163921</v>
      </c>
      <c r="E12" s="16">
        <v>496</v>
      </c>
      <c r="F12" s="11">
        <f t="shared" si="0"/>
        <v>0.76039927703473642</v>
      </c>
      <c r="G12" s="7">
        <f t="shared" si="1"/>
        <v>837.19288888888877</v>
      </c>
      <c r="H12" s="121">
        <f t="shared" si="12"/>
        <v>9976.0983031434334</v>
      </c>
      <c r="I12" s="11">
        <f t="shared" si="2"/>
        <v>7.9327945430670052E-2</v>
      </c>
      <c r="J12" s="11">
        <f t="shared" si="3"/>
        <v>1.5670800763813903E-2</v>
      </c>
      <c r="K12" s="12">
        <f t="shared" si="4"/>
        <v>1970.7235333028113</v>
      </c>
      <c r="L12" s="12">
        <f t="shared" si="5"/>
        <v>3859.6383542222497</v>
      </c>
      <c r="M12" s="321">
        <f t="shared" si="9"/>
        <v>158.51748927657354</v>
      </c>
      <c r="N12" s="320">
        <f t="shared" si="13"/>
        <v>-1.1368683772161603E-16</v>
      </c>
      <c r="O12" s="170">
        <f t="shared" si="10"/>
        <v>158.51748927657403</v>
      </c>
      <c r="P12" s="7">
        <f t="shared" si="6"/>
        <v>10.914505985483103</v>
      </c>
      <c r="Q12" s="176">
        <f t="shared" si="14"/>
        <v>6.3065563494477743</v>
      </c>
      <c r="R12" s="7">
        <f t="shared" si="15"/>
        <v>25.225245204363972</v>
      </c>
      <c r="S12" s="11">
        <f t="shared" si="7"/>
        <v>1.2055341580481376</v>
      </c>
      <c r="T12" s="172">
        <f t="shared" si="16"/>
        <v>7.6754506447474808</v>
      </c>
      <c r="U12" s="16">
        <f t="shared" si="17"/>
        <v>31.577147501313551</v>
      </c>
      <c r="V12" s="16">
        <f t="shared" si="8"/>
        <v>822.04874478316344</v>
      </c>
      <c r="W12" s="172">
        <f t="shared" si="18"/>
        <v>5184.2387626685195</v>
      </c>
      <c r="X12" s="16">
        <f t="shared" si="19"/>
        <v>20736.119313524407</v>
      </c>
      <c r="Y12" s="7">
        <f t="shared" si="11"/>
        <v>3.4125665383326322</v>
      </c>
    </row>
    <row r="13" spans="2:25">
      <c r="B13" s="120">
        <v>5000</v>
      </c>
      <c r="C13" s="7" cm="1">
        <f t="array" ref="C13">Linterp(B13,atmos_h,atmos_aspeed)</f>
        <v>1097.0924263702484</v>
      </c>
      <c r="D13" s="7" cm="1">
        <f t="array" ref="D13">Linterp(B13,atmos_h,atmos_qms)</f>
        <v>1232.5562587425445</v>
      </c>
      <c r="E13" s="16">
        <v>496</v>
      </c>
      <c r="F13" s="11">
        <f t="shared" si="0"/>
        <v>0.76310151156430617</v>
      </c>
      <c r="G13" s="7">
        <f t="shared" si="1"/>
        <v>837.19288888888877</v>
      </c>
      <c r="H13" s="121">
        <f t="shared" si="12"/>
        <v>9968.4228524986866</v>
      </c>
      <c r="I13" s="11">
        <f t="shared" si="2"/>
        <v>8.1697008038394192E-2</v>
      </c>
      <c r="J13" s="11">
        <f t="shared" si="3"/>
        <v>1.5695009577351315E-2</v>
      </c>
      <c r="K13" s="12">
        <f t="shared" si="4"/>
        <v>1915.057795843974</v>
      </c>
      <c r="L13" s="12">
        <f t="shared" si="5"/>
        <v>3800.370758408013</v>
      </c>
      <c r="M13" s="321">
        <f t="shared" si="9"/>
        <v>158.33704377749413</v>
      </c>
      <c r="N13" s="320">
        <f t="shared" si="13"/>
        <v>0</v>
      </c>
      <c r="O13" s="170">
        <f t="shared" si="10"/>
        <v>158.33704377749413</v>
      </c>
      <c r="P13" s="7">
        <f t="shared" si="6"/>
        <v>10.901929423718984</v>
      </c>
      <c r="Q13" s="176">
        <f t="shared" si="14"/>
        <v>6.3120447756343738</v>
      </c>
      <c r="R13" s="7">
        <f t="shared" si="15"/>
        <v>31.537289979998345</v>
      </c>
      <c r="S13" s="11">
        <f t="shared" si="7"/>
        <v>1.1825846950638157</v>
      </c>
      <c r="T13" s="172">
        <f t="shared" si="16"/>
        <v>7.5369565651896275</v>
      </c>
      <c r="U13" s="16">
        <f t="shared" si="17"/>
        <v>39.114104066503181</v>
      </c>
      <c r="V13" s="16">
        <f t="shared" si="8"/>
        <v>822.08351995033161</v>
      </c>
      <c r="W13" s="172">
        <f t="shared" si="18"/>
        <v>5188.9182360314844</v>
      </c>
      <c r="X13" s="16">
        <f t="shared" si="19"/>
        <v>25925.037549555891</v>
      </c>
      <c r="Y13" s="7">
        <f t="shared" si="11"/>
        <v>4.2665126636751847</v>
      </c>
    </row>
    <row r="14" spans="2:25">
      <c r="B14" s="120">
        <v>6000</v>
      </c>
      <c r="C14" s="7" cm="1">
        <f t="array" ref="C14">Linterp(B14,atmos_h,atmos_aspeed)</f>
        <v>1093.1797793129685</v>
      </c>
      <c r="D14" s="7" cm="1">
        <f t="array" ref="D14">Linterp(B14,atmos_h,atmos_qms)</f>
        <v>1187.1226075219445</v>
      </c>
      <c r="E14" s="16">
        <v>496</v>
      </c>
      <c r="F14" s="11">
        <f t="shared" si="0"/>
        <v>0.76583276120881061</v>
      </c>
      <c r="G14" s="7">
        <f t="shared" si="1"/>
        <v>837.19288888888889</v>
      </c>
      <c r="H14" s="121">
        <f t="shared" si="12"/>
        <v>9960.8858959334975</v>
      </c>
      <c r="I14" s="11">
        <f t="shared" si="2"/>
        <v>8.415609714511918E-2</v>
      </c>
      <c r="J14" s="11">
        <f t="shared" si="3"/>
        <v>1.5720285691896371E-2</v>
      </c>
      <c r="K14" s="12">
        <f t="shared" si="4"/>
        <v>1860.6848147726562</v>
      </c>
      <c r="L14" s="12">
        <f t="shared" si="5"/>
        <v>3738.7754942880824</v>
      </c>
      <c r="M14" s="321">
        <f t="shared" si="9"/>
        <v>157.84983163201505</v>
      </c>
      <c r="N14" s="320">
        <f t="shared" si="13"/>
        <v>1.1368683772161603E-16</v>
      </c>
      <c r="O14" s="170">
        <f t="shared" si="10"/>
        <v>157.8498316320146</v>
      </c>
      <c r="P14" s="7">
        <f t="shared" si="6"/>
        <v>10.867974712831453</v>
      </c>
      <c r="Q14" s="176">
        <f t="shared" si="14"/>
        <v>6.3253732382462253</v>
      </c>
      <c r="R14" s="7">
        <f t="shared" si="15"/>
        <v>37.86266321824457</v>
      </c>
      <c r="S14" s="11">
        <f t="shared" si="7"/>
        <v>1.1595222253313435</v>
      </c>
      <c r="T14" s="172">
        <f t="shared" si="16"/>
        <v>7.4073502176894124</v>
      </c>
      <c r="U14" s="16">
        <f t="shared" si="17"/>
        <v>46.521454284192593</v>
      </c>
      <c r="V14" s="16">
        <f t="shared" si="8"/>
        <v>822.17720952351146</v>
      </c>
      <c r="W14" s="172">
        <f t="shared" si="18"/>
        <v>5200.2814074565322</v>
      </c>
      <c r="X14" s="16">
        <f t="shared" si="19"/>
        <v>31125.318957012423</v>
      </c>
      <c r="Y14" s="7">
        <f t="shared" si="11"/>
        <v>5.1223288389527397</v>
      </c>
    </row>
    <row r="15" spans="2:25">
      <c r="B15" s="120">
        <v>7000</v>
      </c>
      <c r="C15" s="7" cm="1">
        <f t="array" ref="C15">Linterp(B15,atmos_h,atmos_aspeed)</f>
        <v>1089.2530779385215</v>
      </c>
      <c r="D15" s="7" cm="1">
        <f t="array" ref="D15">Linterp(B15,atmos_h,atmos_qms)</f>
        <v>1143.0546882395377</v>
      </c>
      <c r="E15" s="16">
        <v>496</v>
      </c>
      <c r="F15" s="11">
        <f t="shared" si="0"/>
        <v>0.76859354896047472</v>
      </c>
      <c r="G15" s="7">
        <f t="shared" si="1"/>
        <v>837.19288888888877</v>
      </c>
      <c r="H15" s="121">
        <f t="shared" si="12"/>
        <v>9953.4785457158087</v>
      </c>
      <c r="I15" s="11">
        <f t="shared" si="2"/>
        <v>8.6709260847663769E-2</v>
      </c>
      <c r="J15" s="11">
        <f t="shared" si="3"/>
        <v>1.5746678662674849E-2</v>
      </c>
      <c r="K15" s="12">
        <f t="shared" si="4"/>
        <v>1807.5834888106758</v>
      </c>
      <c r="L15" s="12">
        <f t="shared" si="5"/>
        <v>3677.4179604051105</v>
      </c>
      <c r="M15" s="321">
        <f t="shared" si="9"/>
        <v>157.27286855829522</v>
      </c>
      <c r="N15" s="320">
        <f t="shared" si="13"/>
        <v>-1.1368683772161603E-16</v>
      </c>
      <c r="O15" s="170">
        <f t="shared" si="10"/>
        <v>157.2728685582957</v>
      </c>
      <c r="P15" s="7">
        <f t="shared" si="6"/>
        <v>10.827770089324197</v>
      </c>
      <c r="Q15" s="176">
        <f t="shared" si="14"/>
        <v>6.34673414131115</v>
      </c>
      <c r="R15" s="7">
        <f t="shared" si="15"/>
        <v>44.209397359555723</v>
      </c>
      <c r="S15" s="11">
        <f t="shared" si="7"/>
        <v>1.1365282619601751</v>
      </c>
      <c r="T15" s="172">
        <f t="shared" si="16"/>
        <v>7.2862110089335914</v>
      </c>
      <c r="U15" s="16">
        <f t="shared" si="17"/>
        <v>53.807665293126185</v>
      </c>
      <c r="V15" s="16">
        <f t="shared" si="8"/>
        <v>822.28777080871657</v>
      </c>
      <c r="W15" s="172">
        <f t="shared" si="18"/>
        <v>5218.4910174325605</v>
      </c>
      <c r="X15" s="16">
        <f t="shared" si="19"/>
        <v>36343.809974444986</v>
      </c>
      <c r="Y15" s="7">
        <f t="shared" si="11"/>
        <v>5.9811417902779587</v>
      </c>
    </row>
    <row r="16" spans="2:25">
      <c r="B16" s="120">
        <v>8000</v>
      </c>
      <c r="C16" s="7" cm="1">
        <f t="array" ref="C16">Linterp(B16,atmos_h,atmos_aspeed)</f>
        <v>1085.3121696997296</v>
      </c>
      <c r="D16" s="7" cm="1">
        <f t="array" ref="D16">Linterp(B16,atmos_h,atmos_qms)</f>
        <v>1100.320868617878</v>
      </c>
      <c r="E16" s="16">
        <v>496</v>
      </c>
      <c r="F16" s="11">
        <f t="shared" si="0"/>
        <v>0.77138441110497524</v>
      </c>
      <c r="G16" s="7">
        <f t="shared" si="1"/>
        <v>837.19288888888889</v>
      </c>
      <c r="H16" s="121">
        <f t="shared" si="12"/>
        <v>9946.192334706875</v>
      </c>
      <c r="I16" s="11">
        <f t="shared" si="2"/>
        <v>8.9360762524187273E-2</v>
      </c>
      <c r="J16" s="11">
        <f t="shared" si="3"/>
        <v>1.5774240709342392E-2</v>
      </c>
      <c r="K16" s="12">
        <f t="shared" si="4"/>
        <v>1755.7329145061406</v>
      </c>
      <c r="L16" s="12">
        <f t="shared" si="5"/>
        <v>3616.3020782672361</v>
      </c>
      <c r="M16" s="321">
        <f t="shared" si="9"/>
        <v>156.60819947663333</v>
      </c>
      <c r="N16" s="320">
        <f t="shared" si="13"/>
        <v>1.1368683772161603E-16</v>
      </c>
      <c r="O16" s="170">
        <f t="shared" si="10"/>
        <v>156.60819947663288</v>
      </c>
      <c r="P16" s="7">
        <f t="shared" si="6"/>
        <v>10.781460518277582</v>
      </c>
      <c r="Q16" s="176">
        <f t="shared" si="14"/>
        <v>6.3718401766666624</v>
      </c>
      <c r="R16" s="7">
        <f t="shared" si="15"/>
        <v>50.581237536222389</v>
      </c>
      <c r="S16" s="11">
        <f t="shared" si="7"/>
        <v>1.1136039358559191</v>
      </c>
      <c r="T16" s="172">
        <f t="shared" si="16"/>
        <v>7.1687413704279228</v>
      </c>
      <c r="U16" s="16">
        <f t="shared" si="17"/>
        <v>60.976406663554108</v>
      </c>
      <c r="V16" s="16">
        <f t="shared" si="8"/>
        <v>822.41461870689693</v>
      </c>
      <c r="W16" s="172">
        <f t="shared" si="18"/>
        <v>5239.8903820876239</v>
      </c>
      <c r="X16" s="16">
        <f t="shared" si="19"/>
        <v>41583.700356532609</v>
      </c>
      <c r="Y16" s="7">
        <f t="shared" si="11"/>
        <v>6.8434764591752701</v>
      </c>
    </row>
    <row r="17" spans="2:25">
      <c r="B17" s="120">
        <v>9000</v>
      </c>
      <c r="C17" s="7" cm="1">
        <f t="array" ref="C17">Linterp(B17,atmos_h,atmos_aspeed)</f>
        <v>1081.3568992696751</v>
      </c>
      <c r="D17" s="7" cm="1">
        <f t="array" ref="D17">Linterp(B17,atmos_h,atmos_qms)</f>
        <v>1058.8900276738709</v>
      </c>
      <c r="E17" s="16">
        <v>496</v>
      </c>
      <c r="F17" s="11">
        <f t="shared" si="0"/>
        <v>0.77420589765905279</v>
      </c>
      <c r="G17" s="7">
        <f t="shared" si="1"/>
        <v>837.19288888888866</v>
      </c>
      <c r="H17" s="121">
        <f t="shared" si="12"/>
        <v>9939.0235933364474</v>
      </c>
      <c r="I17" s="11">
        <f t="shared" si="2"/>
        <v>9.2115134648300415E-2</v>
      </c>
      <c r="J17" s="11">
        <f t="shared" si="3"/>
        <v>1.5803027387785648E-2</v>
      </c>
      <c r="K17" s="12">
        <f t="shared" si="4"/>
        <v>1705.1124405672413</v>
      </c>
      <c r="L17" s="12">
        <f t="shared" si="5"/>
        <v>3555.4318654582257</v>
      </c>
      <c r="M17" s="321">
        <f t="shared" si="9"/>
        <v>155.85779127542034</v>
      </c>
      <c r="N17" s="320">
        <f t="shared" si="13"/>
        <v>-2.2737367544323206E-16</v>
      </c>
      <c r="O17" s="170">
        <f t="shared" si="10"/>
        <v>155.85779127542125</v>
      </c>
      <c r="P17" s="7">
        <f t="shared" si="6"/>
        <v>10.729185797938461</v>
      </c>
      <c r="Q17" s="176">
        <f t="shared" si="14"/>
        <v>6.4006965852070161</v>
      </c>
      <c r="R17" s="7">
        <f t="shared" si="15"/>
        <v>56.981934121429404</v>
      </c>
      <c r="S17" s="11">
        <f t="shared" si="7"/>
        <v>1.0907504056412625</v>
      </c>
      <c r="T17" s="172">
        <f t="shared" si="16"/>
        <v>7.0547016531036357</v>
      </c>
      <c r="U17" s="16">
        <f t="shared" si="17"/>
        <v>68.03110831665775</v>
      </c>
      <c r="V17" s="16">
        <f t="shared" si="8"/>
        <v>822.55716038757475</v>
      </c>
      <c r="W17" s="172">
        <f t="shared" si="18"/>
        <v>5264.4826246059474</v>
      </c>
      <c r="X17" s="16">
        <f t="shared" si="19"/>
        <v>46848.182981138554</v>
      </c>
      <c r="Y17" s="7">
        <f t="shared" si="11"/>
        <v>7.7098583011550517</v>
      </c>
    </row>
    <row r="18" spans="2:25">
      <c r="B18" s="120">
        <v>10000</v>
      </c>
      <c r="C18" s="7" cm="1">
        <f t="array" ref="C18">Linterp(B18,atmos_h,atmos_aspeed)</f>
        <v>1077.3871084702648</v>
      </c>
      <c r="D18" s="7" cm="1">
        <f t="array" ref="D18">Linterp(B18,atmos_h,atmos_qms)</f>
        <v>1018.7315510840876</v>
      </c>
      <c r="E18" s="16">
        <v>496</v>
      </c>
      <c r="F18" s="11">
        <f t="shared" si="0"/>
        <v>0.77705857282586444</v>
      </c>
      <c r="G18" s="7">
        <f t="shared" si="1"/>
        <v>837.19288888888877</v>
      </c>
      <c r="H18" s="121">
        <f t="shared" si="12"/>
        <v>9931.9688916833438</v>
      </c>
      <c r="I18" s="11">
        <f t="shared" si="2"/>
        <v>9.4977155827060122E-2</v>
      </c>
      <c r="J18" s="11">
        <f t="shared" si="3"/>
        <v>1.5833097302186523E-2</v>
      </c>
      <c r="K18" s="12">
        <f t="shared" si="4"/>
        <v>1655.7016105077821</v>
      </c>
      <c r="L18" s="12">
        <f t="shared" si="5"/>
        <v>3494.8114387437531</v>
      </c>
      <c r="M18" s="321">
        <f t="shared" si="9"/>
        <v>155.02360980752755</v>
      </c>
      <c r="N18" s="320">
        <f t="shared" si="13"/>
        <v>1.1368683772161603E-16</v>
      </c>
      <c r="O18" s="170">
        <f t="shared" si="10"/>
        <v>155.02360980752709</v>
      </c>
      <c r="P18" s="7">
        <f t="shared" si="6"/>
        <v>10.671085891032728</v>
      </c>
      <c r="Q18" s="176">
        <f t="shared" si="14"/>
        <v>6.4333214950558162</v>
      </c>
      <c r="R18" s="7">
        <f t="shared" si="15"/>
        <v>63.415255616485219</v>
      </c>
      <c r="S18" s="11">
        <f t="shared" si="7"/>
        <v>1.0679688585523073</v>
      </c>
      <c r="T18" s="172">
        <f t="shared" si="16"/>
        <v>6.9438675220637833</v>
      </c>
      <c r="U18" s="16">
        <f t="shared" si="17"/>
        <v>74.974975838721534</v>
      </c>
      <c r="V18" s="16">
        <f t="shared" si="8"/>
        <v>822.7147826606539</v>
      </c>
      <c r="W18" s="172">
        <f t="shared" si="18"/>
        <v>5292.281678212209</v>
      </c>
      <c r="X18" s="16">
        <f t="shared" si="19"/>
        <v>52140.464659350764</v>
      </c>
      <c r="Y18" s="7">
        <f t="shared" si="11"/>
        <v>8.5808150647341801</v>
      </c>
    </row>
    <row r="19" spans="2:25">
      <c r="B19" s="120">
        <v>11000</v>
      </c>
      <c r="C19" s="7" cm="1">
        <f t="array" ref="C19">Linterp(B19,atmos_h,atmos_aspeed)</f>
        <v>1073.4026361984163</v>
      </c>
      <c r="D19" s="7" cm="1">
        <f t="array" ref="D19">Linterp(B19,atmos_h,atmos_qms)</f>
        <v>979.81532655871706</v>
      </c>
      <c r="E19" s="16">
        <v>496</v>
      </c>
      <c r="F19" s="11">
        <f t="shared" si="0"/>
        <v>0.7799430154689273</v>
      </c>
      <c r="G19" s="7">
        <f t="shared" si="1"/>
        <v>837.19288888888877</v>
      </c>
      <c r="H19" s="121">
        <f t="shared" si="12"/>
        <v>9925.0250241612794</v>
      </c>
      <c r="I19" s="11">
        <f t="shared" si="2"/>
        <v>9.7951866055029646E-2</v>
      </c>
      <c r="J19" s="11">
        <f t="shared" si="3"/>
        <v>1.5864512294750013E-2</v>
      </c>
      <c r="K19" s="12">
        <f t="shared" si="4"/>
        <v>1607.4801620731664</v>
      </c>
      <c r="L19" s="12">
        <f t="shared" si="5"/>
        <v>3413.5251569220231</v>
      </c>
      <c r="M19" s="321">
        <f t="shared" si="9"/>
        <v>152.34299389875903</v>
      </c>
      <c r="N19" s="320">
        <f t="shared" si="13"/>
        <v>0</v>
      </c>
      <c r="O19" s="170">
        <f t="shared" si="10"/>
        <v>152.34299389875903</v>
      </c>
      <c r="P19" s="7">
        <f t="shared" si="6"/>
        <v>10.484458479140732</v>
      </c>
      <c r="Q19" s="176">
        <f t="shared" si="14"/>
        <v>6.506887787689398</v>
      </c>
      <c r="R19" s="7">
        <f t="shared" si="15"/>
        <v>69.922143404174619</v>
      </c>
      <c r="S19" s="11">
        <f t="shared" si="7"/>
        <v>1.039623850693576</v>
      </c>
      <c r="T19" s="172">
        <f t="shared" si="16"/>
        <v>6.8569346306076246</v>
      </c>
      <c r="U19" s="16">
        <f t="shared" si="17"/>
        <v>81.831910469329159</v>
      </c>
      <c r="V19" s="16">
        <f t="shared" si="8"/>
        <v>823.21537000719684</v>
      </c>
      <c r="W19" s="172">
        <f t="shared" si="18"/>
        <v>5354.9414048920926</v>
      </c>
      <c r="X19" s="16">
        <f t="shared" si="19"/>
        <v>57495.406064242859</v>
      </c>
      <c r="Y19" s="7">
        <f t="shared" si="11"/>
        <v>9.4620838101907161</v>
      </c>
    </row>
    <row r="20" spans="2:25">
      <c r="B20" s="120">
        <v>12000</v>
      </c>
      <c r="C20" s="7" cm="1">
        <f t="array" ref="C20">Linterp(B20,atmos_h,atmos_aspeed)</f>
        <v>1069.4033183497709</v>
      </c>
      <c r="D20" s="7" cm="1">
        <f t="array" ref="D20">Linterp(B20,atmos_h,atmos_qms)</f>
        <v>942.11173922419323</v>
      </c>
      <c r="E20" s="16">
        <v>496</v>
      </c>
      <c r="F20" s="11">
        <f t="shared" si="0"/>
        <v>0.78285981960556006</v>
      </c>
      <c r="G20" s="7">
        <f t="shared" si="1"/>
        <v>837.19288888888889</v>
      </c>
      <c r="H20" s="121">
        <f t="shared" si="12"/>
        <v>9918.1680895306708</v>
      </c>
      <c r="I20" s="11">
        <f t="shared" si="2"/>
        <v>0.10104437005829832</v>
      </c>
      <c r="J20" s="11">
        <f t="shared" si="3"/>
        <v>1.5923444237975065E-2</v>
      </c>
      <c r="K20" s="12">
        <f t="shared" si="4"/>
        <v>1562.9905597450465</v>
      </c>
      <c r="L20" s="12">
        <f t="shared" si="5"/>
        <v>3332.2614340231726</v>
      </c>
      <c r="M20" s="321">
        <f t="shared" si="9"/>
        <v>149.3442116621726</v>
      </c>
      <c r="N20" s="320">
        <f t="shared" si="13"/>
        <v>1.1368683772161603E-16</v>
      </c>
      <c r="O20" s="170">
        <f t="shared" si="10"/>
        <v>149.34421166217217</v>
      </c>
      <c r="P20" s="7">
        <f t="shared" si="6"/>
        <v>10.275813114561791</v>
      </c>
      <c r="Q20" s="176">
        <f t="shared" si="14"/>
        <v>6.6293828943835127</v>
      </c>
      <c r="R20" s="7">
        <f t="shared" si="15"/>
        <v>76.55152629855813</v>
      </c>
      <c r="S20" s="11">
        <f t="shared" si="7"/>
        <v>1.0112798849923312</v>
      </c>
      <c r="T20" s="172">
        <f t="shared" si="16"/>
        <v>6.7981130716916995</v>
      </c>
      <c r="U20" s="16">
        <f t="shared" si="17"/>
        <v>88.630023541020861</v>
      </c>
      <c r="V20" s="16">
        <f t="shared" si="8"/>
        <v>823.76467492186612</v>
      </c>
      <c r="W20" s="172">
        <f t="shared" si="18"/>
        <v>5459.230668621859</v>
      </c>
      <c r="X20" s="16">
        <f t="shared" si="19"/>
        <v>62954.636732864717</v>
      </c>
      <c r="Y20" s="7">
        <f t="shared" si="11"/>
        <v>10.360515557380147</v>
      </c>
    </row>
    <row r="21" spans="2:25">
      <c r="B21" s="120">
        <v>13000</v>
      </c>
      <c r="C21" s="7" cm="1">
        <f t="array" ref="C21">Linterp(B21,atmos_h,atmos_aspeed)</f>
        <v>1065.3889877398271</v>
      </c>
      <c r="D21" s="7" cm="1">
        <f t="array" ref="D21">Linterp(B21,atmos_h,atmos_qms)</f>
        <v>905.59166701454205</v>
      </c>
      <c r="E21" s="16">
        <v>496</v>
      </c>
      <c r="F21" s="11">
        <f t="shared" si="0"/>
        <v>0.78580959492077573</v>
      </c>
      <c r="G21" s="7">
        <f t="shared" si="1"/>
        <v>837.19288888888889</v>
      </c>
      <c r="H21" s="121">
        <f t="shared" si="12"/>
        <v>9911.3699764589783</v>
      </c>
      <c r="I21" s="11">
        <f t="shared" si="2"/>
        <v>0.10425999369116418</v>
      </c>
      <c r="J21" s="11">
        <f t="shared" si="3"/>
        <v>1.6038130573577104E-2</v>
      </c>
      <c r="K21" s="12">
        <f t="shared" si="4"/>
        <v>1524.6485273761577</v>
      </c>
      <c r="L21" s="12">
        <f t="shared" si="5"/>
        <v>3251.0207065815343</v>
      </c>
      <c r="M21" s="321">
        <f t="shared" si="9"/>
        <v>145.82308151538891</v>
      </c>
      <c r="N21" s="320">
        <f t="shared" si="13"/>
        <v>0</v>
      </c>
      <c r="O21" s="170">
        <f t="shared" si="10"/>
        <v>145.82308151538891</v>
      </c>
      <c r="P21" s="7">
        <f t="shared" si="6"/>
        <v>10.03099999415385</v>
      </c>
      <c r="Q21" s="176">
        <f t="shared" si="14"/>
        <v>6.7758184806637036</v>
      </c>
      <c r="R21" s="7">
        <f t="shared" si="15"/>
        <v>83.327344779221832</v>
      </c>
      <c r="S21" s="11">
        <f t="shared" si="7"/>
        <v>0.98293699562993375</v>
      </c>
      <c r="T21" s="172">
        <f t="shared" si="16"/>
        <v>6.756225797085933</v>
      </c>
      <c r="U21" s="16">
        <f t="shared" si="17"/>
        <v>95.386249338106794</v>
      </c>
      <c r="V21" s="16">
        <f t="shared" si="8"/>
        <v>824.39527054895188</v>
      </c>
      <c r="W21" s="172">
        <f t="shared" si="18"/>
        <v>5583.8163088054253</v>
      </c>
      <c r="X21" s="16">
        <f t="shared" si="19"/>
        <v>68538.453041670145</v>
      </c>
      <c r="Y21" s="7">
        <f t="shared" si="11"/>
        <v>11.27945050386251</v>
      </c>
    </row>
    <row r="22" spans="2:25">
      <c r="B22" s="120">
        <v>14000</v>
      </c>
      <c r="C22" s="7" cm="1">
        <f t="array" ref="C22">Linterp(B22,atmos_h,atmos_aspeed)</f>
        <v>1061.3594740223903</v>
      </c>
      <c r="D22" s="7" cm="1">
        <f t="array" ref="D22">Linterp(B22,atmos_h,atmos_qms)</f>
        <v>870.22647607150509</v>
      </c>
      <c r="E22" s="16">
        <v>496</v>
      </c>
      <c r="F22" s="11">
        <f t="shared" si="0"/>
        <v>0.78879296730263848</v>
      </c>
      <c r="G22" s="7">
        <f t="shared" si="1"/>
        <v>837.19288888888889</v>
      </c>
      <c r="H22" s="121">
        <f t="shared" si="12"/>
        <v>9904.6137506618925</v>
      </c>
      <c r="I22" s="11">
        <f t="shared" si="2"/>
        <v>0.10760445956802538</v>
      </c>
      <c r="J22" s="11">
        <f t="shared" si="3"/>
        <v>1.6157581299195672E-2</v>
      </c>
      <c r="K22" s="12">
        <f t="shared" si="4"/>
        <v>1487.2487864899338</v>
      </c>
      <c r="L22" s="12">
        <f t="shared" si="5"/>
        <v>3169.8034228641295</v>
      </c>
      <c r="M22" s="321">
        <f t="shared" si="9"/>
        <v>142.21884994206599</v>
      </c>
      <c r="N22" s="320">
        <f t="shared" si="13"/>
        <v>0</v>
      </c>
      <c r="O22" s="170">
        <f t="shared" si="10"/>
        <v>142.21884994206599</v>
      </c>
      <c r="P22" s="7">
        <f t="shared" si="6"/>
        <v>9.780600539386004</v>
      </c>
      <c r="Q22" s="176">
        <f t="shared" si="14"/>
        <v>6.9434335128925806</v>
      </c>
      <c r="R22" s="7">
        <f t="shared" si="15"/>
        <v>90.270778292114414</v>
      </c>
      <c r="S22" s="11">
        <f t="shared" si="7"/>
        <v>0.95459521786184598</v>
      </c>
      <c r="T22" s="172">
        <f t="shared" si="16"/>
        <v>6.7265630517338835</v>
      </c>
      <c r="U22" s="16">
        <f t="shared" si="17"/>
        <v>102.11281238984068</v>
      </c>
      <c r="V22" s="16">
        <f t="shared" si="8"/>
        <v>825.02468564721107</v>
      </c>
      <c r="W22" s="172">
        <f t="shared" si="18"/>
        <v>5726.3189003431253</v>
      </c>
      <c r="X22" s="16">
        <f t="shared" si="19"/>
        <v>74264.771942013263</v>
      </c>
      <c r="Y22" s="7">
        <f t="shared" si="11"/>
        <v>12.221837262526046</v>
      </c>
    </row>
    <row r="23" spans="2:25">
      <c r="B23" s="120">
        <v>15000</v>
      </c>
      <c r="C23" s="7" cm="1">
        <f t="array" ref="C23">Linterp(B23,atmos_h,atmos_aspeed)</f>
        <v>1057.3146036052262</v>
      </c>
      <c r="D23" s="7" cm="1">
        <f t="array" ref="D23">Linterp(B23,atmos_h,atmos_qms)</f>
        <v>835.98801615348191</v>
      </c>
      <c r="E23" s="16">
        <v>496</v>
      </c>
      <c r="F23" s="11">
        <f t="shared" si="0"/>
        <v>0.79181057940014499</v>
      </c>
      <c r="G23" s="7">
        <f t="shared" si="1"/>
        <v>837.19288888888877</v>
      </c>
      <c r="H23" s="121">
        <f t="shared" si="12"/>
        <v>9897.8871876101584</v>
      </c>
      <c r="I23" s="11">
        <f t="shared" si="2"/>
        <v>0.11108385072194016</v>
      </c>
      <c r="J23" s="11">
        <f t="shared" si="3"/>
        <v>1.6282023243272468E-2</v>
      </c>
      <c r="K23" s="12">
        <f t="shared" si="4"/>
        <v>1450.7746013537064</v>
      </c>
      <c r="L23" s="12">
        <f t="shared" si="5"/>
        <v>3088.61004327714</v>
      </c>
      <c r="M23" s="321">
        <f t="shared" si="9"/>
        <v>138.5330181237963</v>
      </c>
      <c r="N23" s="320">
        <f t="shared" si="13"/>
        <v>-1.1368683772161603E-16</v>
      </c>
      <c r="O23" s="170">
        <f t="shared" si="10"/>
        <v>138.53301812379672</v>
      </c>
      <c r="P23" s="7">
        <f t="shared" si="6"/>
        <v>9.5247269192888186</v>
      </c>
      <c r="Q23" s="176">
        <f t="shared" si="14"/>
        <v>7.1237282009137406</v>
      </c>
      <c r="R23" s="7">
        <f t="shared" si="15"/>
        <v>97.39450649302816</v>
      </c>
      <c r="S23" s="11">
        <f t="shared" si="7"/>
        <v>0.92625458805778349</v>
      </c>
      <c r="T23" s="172">
        <f t="shared" si="16"/>
        <v>6.6993314020564005</v>
      </c>
      <c r="U23" s="16">
        <f t="shared" si="17"/>
        <v>108.81214379189709</v>
      </c>
      <c r="V23" s="16">
        <f t="shared" si="8"/>
        <v>825.65158274882208</v>
      </c>
      <c r="W23" s="172">
        <f t="shared" si="18"/>
        <v>5879.4845418759405</v>
      </c>
      <c r="X23" s="16">
        <f t="shared" si="19"/>
        <v>80144.256483889199</v>
      </c>
      <c r="Y23" s="7">
        <f t="shared" si="11"/>
        <v>13.189430663532553</v>
      </c>
    </row>
    <row r="24" spans="2:25">
      <c r="B24" s="120">
        <v>16000</v>
      </c>
      <c r="C24" s="7" cm="1">
        <f t="array" ref="C24">Linterp(B24,atmos_h,atmos_aspeed)</f>
        <v>1053.2541995627971</v>
      </c>
      <c r="D24" s="7" cm="1">
        <f t="array" ref="D24">Linterp(B24,atmos_h,atmos_qms)</f>
        <v>802.84861605334584</v>
      </c>
      <c r="E24" s="16">
        <v>496</v>
      </c>
      <c r="F24" s="11">
        <f t="shared" si="0"/>
        <v>0.79486309120476828</v>
      </c>
      <c r="G24" s="7">
        <f t="shared" si="1"/>
        <v>837.19288888888877</v>
      </c>
      <c r="H24" s="121">
        <f t="shared" si="12"/>
        <v>9891.1878562081019</v>
      </c>
      <c r="I24" s="11">
        <f t="shared" si="2"/>
        <v>0.11470469726223949</v>
      </c>
      <c r="J24" s="11">
        <f t="shared" si="3"/>
        <v>1.6411699964924441E-2</v>
      </c>
      <c r="K24" s="12">
        <f t="shared" si="4"/>
        <v>1415.209762697579</v>
      </c>
      <c r="L24" s="12">
        <f t="shared" si="5"/>
        <v>3013.4941686035181</v>
      </c>
      <c r="M24" s="321">
        <f t="shared" si="9"/>
        <v>135.27923627561347</v>
      </c>
      <c r="N24" s="320">
        <f t="shared" si="13"/>
        <v>0</v>
      </c>
      <c r="O24" s="170">
        <f t="shared" si="10"/>
        <v>135.27923627561347</v>
      </c>
      <c r="P24" s="7">
        <f t="shared" si="6"/>
        <v>9.2990059752981367</v>
      </c>
      <c r="Q24" s="176">
        <f t="shared" si="14"/>
        <v>7.3042749835535039</v>
      </c>
      <c r="R24" s="7">
        <f t="shared" si="15"/>
        <v>104.69878147658166</v>
      </c>
      <c r="S24" s="11">
        <f t="shared" si="7"/>
        <v>0.90059127947792006</v>
      </c>
      <c r="T24" s="172">
        <f t="shared" si="16"/>
        <v>6.671892284524569</v>
      </c>
      <c r="U24" s="16">
        <f t="shared" si="17"/>
        <v>115.48403607642166</v>
      </c>
      <c r="V24" s="16">
        <f t="shared" si="8"/>
        <v>826.1909352194624</v>
      </c>
      <c r="W24" s="172">
        <f t="shared" si="18"/>
        <v>6032.7559903828851</v>
      </c>
      <c r="X24" s="16">
        <f t="shared" si="19"/>
        <v>86177.01247427208</v>
      </c>
      <c r="Y24" s="7">
        <f t="shared" si="11"/>
        <v>14.182248119655073</v>
      </c>
    </row>
    <row r="25" spans="2:25">
      <c r="B25" s="120">
        <v>17000</v>
      </c>
      <c r="C25" s="7" cm="1">
        <f t="array" ref="C25">Linterp(B25,atmos_h,atmos_aspeed)</f>
        <v>1049.1780815459595</v>
      </c>
      <c r="D25" s="7" cm="1">
        <f t="array" ref="D25">Linterp(B25,atmos_h,atmos_qms)</f>
        <v>770.78107902517468</v>
      </c>
      <c r="E25" s="16">
        <v>496</v>
      </c>
      <c r="F25" s="11">
        <f t="shared" si="0"/>
        <v>0.79795118065685167</v>
      </c>
      <c r="G25" s="7">
        <f t="shared" si="1"/>
        <v>837.192888888889</v>
      </c>
      <c r="H25" s="121">
        <f t="shared" si="12"/>
        <v>9884.5159639235771</v>
      </c>
      <c r="I25" s="11">
        <f t="shared" si="2"/>
        <v>0.11847393062128631</v>
      </c>
      <c r="J25" s="11">
        <f t="shared" si="3"/>
        <v>1.6546870036984532E-2</v>
      </c>
      <c r="K25" s="12">
        <f t="shared" si="4"/>
        <v>1380.5383190701343</v>
      </c>
      <c r="L25" s="12">
        <f t="shared" si="5"/>
        <v>2938.37450969573</v>
      </c>
      <c r="M25" s="321">
        <f t="shared" si="9"/>
        <v>131.94468860241582</v>
      </c>
      <c r="N25" s="320">
        <f t="shared" si="13"/>
        <v>2.2737367544323206E-16</v>
      </c>
      <c r="O25" s="170">
        <f t="shared" si="10"/>
        <v>131.94468860241503</v>
      </c>
      <c r="P25" s="7">
        <f t="shared" si="6"/>
        <v>9.0678330955225697</v>
      </c>
      <c r="Q25" s="176">
        <f t="shared" si="14"/>
        <v>7.4843597964249602</v>
      </c>
      <c r="R25" s="7">
        <f t="shared" si="15"/>
        <v>112.18314127300661</v>
      </c>
      <c r="S25" s="11">
        <f t="shared" si="7"/>
        <v>0.87492072479073035</v>
      </c>
      <c r="T25" s="172">
        <f t="shared" si="16"/>
        <v>6.6442853314090939</v>
      </c>
      <c r="U25" s="16">
        <f t="shared" si="17"/>
        <v>122.12832140783075</v>
      </c>
      <c r="V25" s="16">
        <f t="shared" si="8"/>
        <v>826.73002386252756</v>
      </c>
      <c r="W25" s="172">
        <f t="shared" si="18"/>
        <v>6185.527586410717</v>
      </c>
      <c r="X25" s="16">
        <f t="shared" si="19"/>
        <v>92362.540060682804</v>
      </c>
      <c r="Y25" s="7">
        <f t="shared" si="11"/>
        <v>15.200207369607467</v>
      </c>
    </row>
    <row r="26" spans="2:25">
      <c r="B26" s="120">
        <v>18000</v>
      </c>
      <c r="C26" s="7" cm="1">
        <f t="array" ref="C26">Linterp(B26,atmos_h,atmos_aspeed)</f>
        <v>1045.0860656884925</v>
      </c>
      <c r="D26" s="7" cm="1">
        <f t="array" ref="D26">Linterp(B26,atmos_h,atmos_qms)</f>
        <v>739.75867821996189</v>
      </c>
      <c r="E26" s="16">
        <v>496</v>
      </c>
      <c r="F26" s="11">
        <f t="shared" si="0"/>
        <v>0.80107554427812055</v>
      </c>
      <c r="G26" s="7">
        <f t="shared" si="1"/>
        <v>837.19288888888877</v>
      </c>
      <c r="H26" s="121">
        <f t="shared" si="12"/>
        <v>9877.8716785921679</v>
      </c>
      <c r="I26" s="11">
        <f t="shared" si="2"/>
        <v>0.12239887974549608</v>
      </c>
      <c r="J26" s="11">
        <f t="shared" si="3"/>
        <v>1.6698562344681065E-2</v>
      </c>
      <c r="K26" s="12">
        <f t="shared" si="4"/>
        <v>1347.6124650871261</v>
      </c>
      <c r="L26" s="12">
        <f t="shared" si="5"/>
        <v>2863.2510612364176</v>
      </c>
      <c r="M26" s="321">
        <f t="shared" si="9"/>
        <v>128.45700937497614</v>
      </c>
      <c r="N26" s="320">
        <f t="shared" si="13"/>
        <v>-2.2737367544323206E-16</v>
      </c>
      <c r="O26" s="170">
        <f t="shared" si="10"/>
        <v>128.45700937497691</v>
      </c>
      <c r="P26" s="7">
        <f t="shared" si="6"/>
        <v>8.8262032284661824</v>
      </c>
      <c r="Q26" s="176">
        <f t="shared" si="14"/>
        <v>7.6804414699847312</v>
      </c>
      <c r="R26" s="7">
        <f t="shared" si="15"/>
        <v>119.86358274299134</v>
      </c>
      <c r="S26" s="11">
        <f t="shared" si="7"/>
        <v>0.84924281472327834</v>
      </c>
      <c r="T26" s="172">
        <f t="shared" si="16"/>
        <v>6.6211685749595253</v>
      </c>
      <c r="U26" s="16">
        <f t="shared" si="17"/>
        <v>128.74948998279027</v>
      </c>
      <c r="V26" s="16">
        <f t="shared" si="8"/>
        <v>827.27911248173086</v>
      </c>
      <c r="W26" s="172">
        <f t="shared" si="18"/>
        <v>6351.760181256036</v>
      </c>
      <c r="X26" s="16">
        <f t="shared" si="19"/>
        <v>98714.300241938836</v>
      </c>
      <c r="Y26" s="7">
        <f t="shared" si="11"/>
        <v>16.245523705144304</v>
      </c>
    </row>
    <row r="27" spans="2:25">
      <c r="B27" s="120">
        <v>19000</v>
      </c>
      <c r="C27" s="7" cm="1">
        <f t="array" ref="C27">Linterp(B27,atmos_h,atmos_aspeed)</f>
        <v>1040.9779645103174</v>
      </c>
      <c r="D27" s="7" cm="1">
        <f t="array" ref="D27">Linterp(B27,atmos_h,atmos_qms)</f>
        <v>709.75515213034032</v>
      </c>
      <c r="E27" s="16">
        <v>496</v>
      </c>
      <c r="F27" s="11">
        <f t="shared" si="0"/>
        <v>0.80423689783165553</v>
      </c>
      <c r="G27" s="7">
        <f t="shared" si="1"/>
        <v>837.19288888888889</v>
      </c>
      <c r="H27" s="121">
        <f t="shared" si="12"/>
        <v>9871.2505100172075</v>
      </c>
      <c r="I27" s="11">
        <f t="shared" si="2"/>
        <v>0.1264872380786865</v>
      </c>
      <c r="J27" s="11">
        <f t="shared" si="3"/>
        <v>1.6877166610603987E-2</v>
      </c>
      <c r="K27" s="12">
        <f t="shared" si="4"/>
        <v>1317.1189603249184</v>
      </c>
      <c r="L27" s="12">
        <f t="shared" si="5"/>
        <v>2788.1238185755205</v>
      </c>
      <c r="M27" s="321">
        <f t="shared" si="9"/>
        <v>124.75773009698094</v>
      </c>
      <c r="N27" s="320">
        <f t="shared" si="13"/>
        <v>1.1368683772161603E-16</v>
      </c>
      <c r="O27" s="170">
        <f t="shared" si="10"/>
        <v>124.75773009698058</v>
      </c>
      <c r="P27" s="7">
        <f t="shared" si="6"/>
        <v>8.5700862064703234</v>
      </c>
      <c r="Q27" s="176">
        <f t="shared" si="14"/>
        <v>7.8984343651191438</v>
      </c>
      <c r="R27" s="7">
        <f t="shared" si="15"/>
        <v>127.76201710811048</v>
      </c>
      <c r="S27" s="11">
        <f t="shared" si="7"/>
        <v>0.82355743736979892</v>
      </c>
      <c r="T27" s="172">
        <f t="shared" si="16"/>
        <v>6.6062514985559639</v>
      </c>
      <c r="U27" s="16">
        <f t="shared" si="17"/>
        <v>135.35574148134623</v>
      </c>
      <c r="V27" s="16">
        <f t="shared" si="8"/>
        <v>827.84505916697503</v>
      </c>
      <c r="W27" s="172">
        <f t="shared" si="18"/>
        <v>6536.4448179447472</v>
      </c>
      <c r="X27" s="16">
        <f t="shared" si="19"/>
        <v>105250.74505988359</v>
      </c>
      <c r="Y27" s="7">
        <f t="shared" si="11"/>
        <v>17.321233799599039</v>
      </c>
    </row>
    <row r="28" spans="2:25">
      <c r="B28" s="120">
        <v>20000</v>
      </c>
      <c r="C28" s="7" cm="1">
        <f t="array" ref="C28">Linterp(B28,atmos_h,atmos_aspeed)</f>
        <v>1036.8535868172689</v>
      </c>
      <c r="D28" s="7" cm="1">
        <f t="array" ref="D28">Linterp(B28,atmos_h,atmos_qms)</f>
        <v>680.74470004439161</v>
      </c>
      <c r="E28" s="16">
        <v>496</v>
      </c>
      <c r="F28" s="11">
        <f t="shared" si="0"/>
        <v>0.80743597701073733</v>
      </c>
      <c r="G28" s="7">
        <f t="shared" si="1"/>
        <v>837.19288888888889</v>
      </c>
      <c r="H28" s="121">
        <f t="shared" si="12"/>
        <v>9864.6442585186524</v>
      </c>
      <c r="I28" s="11">
        <f t="shared" si="2"/>
        <v>0.1307470940733233</v>
      </c>
      <c r="J28" s="11">
        <f t="shared" si="3"/>
        <v>1.7062503843835519E-2</v>
      </c>
      <c r="K28" s="12">
        <f t="shared" si="4"/>
        <v>1287.336684398146</v>
      </c>
      <c r="L28" s="12">
        <f t="shared" si="5"/>
        <v>2712.9927777703588</v>
      </c>
      <c r="M28" s="321">
        <f t="shared" si="9"/>
        <v>120.99261890175475</v>
      </c>
      <c r="N28" s="320">
        <f t="shared" si="13"/>
        <v>0</v>
      </c>
      <c r="O28" s="170">
        <f t="shared" si="10"/>
        <v>120.99261890175475</v>
      </c>
      <c r="P28" s="7">
        <f t="shared" si="6"/>
        <v>8.30958837268971</v>
      </c>
      <c r="Q28" s="176">
        <f t="shared" si="14"/>
        <v>8.138340426162701</v>
      </c>
      <c r="R28" s="7">
        <f t="shared" si="15"/>
        <v>135.90035753427318</v>
      </c>
      <c r="S28" s="11">
        <f t="shared" si="7"/>
        <v>0.79786447810511285</v>
      </c>
      <c r="T28" s="172">
        <f t="shared" si="16"/>
        <v>6.5978417612878175</v>
      </c>
      <c r="U28" s="16">
        <f t="shared" si="17"/>
        <v>141.95358324263404</v>
      </c>
      <c r="V28" s="16">
        <f t="shared" si="8"/>
        <v>828.40371762650739</v>
      </c>
      <c r="W28" s="172">
        <f t="shared" si="18"/>
        <v>6739.5581879804613</v>
      </c>
      <c r="X28" s="16">
        <f t="shared" si="19"/>
        <v>111990.30324786405</v>
      </c>
      <c r="Y28" s="7">
        <f t="shared" si="11"/>
        <v>18.430370490399589</v>
      </c>
    </row>
    <row r="29" spans="2:25">
      <c r="B29" s="120">
        <v>21000</v>
      </c>
      <c r="C29" s="7" cm="1">
        <f t="array" ref="C29">Linterp(B29,atmos_h,atmos_aspeed)</f>
        <v>1032.7127375972602</v>
      </c>
      <c r="D29" s="7" cm="1">
        <f t="array" ref="D29">Linterp(B29,atmos_h,atmos_qms)</f>
        <v>652.70197750857403</v>
      </c>
      <c r="E29" s="16">
        <v>496</v>
      </c>
      <c r="F29" s="11">
        <f t="shared" si="0"/>
        <v>0.81067353815808096</v>
      </c>
      <c r="G29" s="7">
        <f t="shared" si="1"/>
        <v>837.19288888888877</v>
      </c>
      <c r="H29" s="121">
        <f t="shared" si="12"/>
        <v>9858.0464167573646</v>
      </c>
      <c r="I29" s="11">
        <f t="shared" si="2"/>
        <v>0.13518702618824241</v>
      </c>
      <c r="J29" s="11">
        <f t="shared" si="3"/>
        <v>1.7254901787323737E-2</v>
      </c>
      <c r="K29" s="12">
        <f t="shared" si="4"/>
        <v>1258.2540465027337</v>
      </c>
      <c r="L29" s="12">
        <f t="shared" si="5"/>
        <v>2643.9470563065956</v>
      </c>
      <c r="M29" s="321">
        <f t="shared" si="9"/>
        <v>117.67973946834255</v>
      </c>
      <c r="N29" s="320">
        <f t="shared" si="13"/>
        <v>-1.1368683772161603E-16</v>
      </c>
      <c r="O29" s="170">
        <f t="shared" si="10"/>
        <v>117.6797394683429</v>
      </c>
      <c r="P29" s="7">
        <f t="shared" si="6"/>
        <v>8.0805223884882338</v>
      </c>
      <c r="Q29" s="176">
        <f t="shared" si="14"/>
        <v>8.3796884300221191</v>
      </c>
      <c r="R29" s="7">
        <f t="shared" si="15"/>
        <v>144.28004596429531</v>
      </c>
      <c r="S29" s="11">
        <f t="shared" si="7"/>
        <v>0.77476827936353176</v>
      </c>
      <c r="T29" s="172">
        <f t="shared" si="16"/>
        <v>6.5890862612168917</v>
      </c>
      <c r="U29" s="16">
        <f t="shared" si="17"/>
        <v>148.54266950385093</v>
      </c>
      <c r="V29" s="16">
        <f t="shared" si="8"/>
        <v>828.88081901126543</v>
      </c>
      <c r="W29" s="172">
        <f t="shared" si="18"/>
        <v>6943.764028459057</v>
      </c>
      <c r="X29" s="16">
        <f t="shared" si="19"/>
        <v>118934.06727632311</v>
      </c>
      <c r="Y29" s="7">
        <f t="shared" si="11"/>
        <v>19.573113566638654</v>
      </c>
    </row>
    <row r="30" spans="2:25">
      <c r="B30" s="120">
        <v>22000</v>
      </c>
      <c r="C30" s="7" cm="1">
        <f t="array" ref="C30">Linterp(B30,atmos_h,atmos_aspeed)</f>
        <v>1028.5552179126889</v>
      </c>
      <c r="D30" s="7" cm="1">
        <f t="array" ref="D30">Linterp(B30,atmos_h,atmos_qms)</f>
        <v>625.60209179984054</v>
      </c>
      <c r="E30" s="16">
        <v>496</v>
      </c>
      <c r="F30" s="11">
        <f t="shared" si="0"/>
        <v>0.81395035901704571</v>
      </c>
      <c r="G30" s="7">
        <f t="shared" si="1"/>
        <v>837.19288888888889</v>
      </c>
      <c r="H30" s="121">
        <f t="shared" si="12"/>
        <v>9851.4573304961468</v>
      </c>
      <c r="I30" s="11">
        <f t="shared" si="2"/>
        <v>0.1398162110978326</v>
      </c>
      <c r="J30" s="11">
        <f t="shared" si="3"/>
        <v>1.7454710788305086E-2</v>
      </c>
      <c r="K30" s="12">
        <f t="shared" si="4"/>
        <v>1229.8598080791785</v>
      </c>
      <c r="L30" s="12">
        <f t="shared" si="5"/>
        <v>2574.8746605663277</v>
      </c>
      <c r="M30" s="321">
        <f t="shared" si="9"/>
        <v>114.3015527729509</v>
      </c>
      <c r="N30" s="320">
        <f t="shared" si="13"/>
        <v>1.1368683772161603E-16</v>
      </c>
      <c r="O30" s="170">
        <f t="shared" si="10"/>
        <v>114.30155277295057</v>
      </c>
      <c r="P30" s="7">
        <f t="shared" si="6"/>
        <v>7.8470745821101016</v>
      </c>
      <c r="Q30" s="176">
        <f t="shared" si="14"/>
        <v>8.6213848568431803</v>
      </c>
      <c r="R30" s="7">
        <f t="shared" si="15"/>
        <v>152.90143082113849</v>
      </c>
      <c r="S30" s="11">
        <f t="shared" si="7"/>
        <v>0.75165797674231438</v>
      </c>
      <c r="T30" s="172">
        <f t="shared" si="16"/>
        <v>6.5799541047393859</v>
      </c>
      <c r="U30" s="16">
        <f t="shared" si="17"/>
        <v>155.12262360859032</v>
      </c>
      <c r="V30" s="16">
        <f t="shared" si="8"/>
        <v>829.35341576424219</v>
      </c>
      <c r="W30" s="172">
        <f t="shared" si="18"/>
        <v>7148.1377603962501</v>
      </c>
      <c r="X30" s="16">
        <f t="shared" si="19"/>
        <v>126082.20503671936</v>
      </c>
      <c r="Y30" s="7">
        <f t="shared" si="11"/>
        <v>20.749490658402898</v>
      </c>
    </row>
    <row r="31" spans="2:25">
      <c r="B31" s="120">
        <v>23000</v>
      </c>
      <c r="C31" s="7" cm="1">
        <f t="array" ref="C31">Linterp(B31,atmos_h,atmos_aspeed)</f>
        <v>1024.3808247889115</v>
      </c>
      <c r="D31" s="7" cm="1">
        <f t="array" ref="D31">Linterp(B31,atmos_h,atmos_qms)</f>
        <v>599.42059740698846</v>
      </c>
      <c r="E31" s="16">
        <v>496</v>
      </c>
      <c r="F31" s="11">
        <f t="shared" si="0"/>
        <v>0.81726723951651925</v>
      </c>
      <c r="G31" s="7">
        <f t="shared" si="1"/>
        <v>837.19288888888889</v>
      </c>
      <c r="H31" s="121">
        <f t="shared" si="12"/>
        <v>9844.8773763914069</v>
      </c>
      <c r="I31" s="11">
        <f t="shared" si="2"/>
        <v>0.14464437416895259</v>
      </c>
      <c r="J31" s="11">
        <f t="shared" si="3"/>
        <v>1.7662301947467873E-2</v>
      </c>
      <c r="K31" s="12">
        <f t="shared" si="4"/>
        <v>1202.1428268929089</v>
      </c>
      <c r="L31" s="12">
        <f t="shared" si="5"/>
        <v>2505.7751695985862</v>
      </c>
      <c r="M31" s="321">
        <f t="shared" si="9"/>
        <v>110.85884417981451</v>
      </c>
      <c r="N31" s="320">
        <f t="shared" si="13"/>
        <v>0</v>
      </c>
      <c r="O31" s="170">
        <f t="shared" si="10"/>
        <v>110.85884417981451</v>
      </c>
      <c r="P31" s="7">
        <f t="shared" si="6"/>
        <v>7.609302792090344</v>
      </c>
      <c r="Q31" s="176">
        <f t="shared" si="14"/>
        <v>8.8825567331877053</v>
      </c>
      <c r="R31" s="7">
        <f t="shared" si="15"/>
        <v>161.78398755432619</v>
      </c>
      <c r="S31" s="11">
        <f t="shared" si="7"/>
        <v>0.72853333166370915</v>
      </c>
      <c r="T31" s="172">
        <f t="shared" si="16"/>
        <v>6.5739416364439212</v>
      </c>
      <c r="U31" s="16">
        <f t="shared" si="17"/>
        <v>161.69656524503424</v>
      </c>
      <c r="V31" s="16">
        <f t="shared" si="8"/>
        <v>829.82061306841433</v>
      </c>
      <c r="W31" s="172">
        <f t="shared" si="18"/>
        <v>7368.8537206688425</v>
      </c>
      <c r="X31" s="16">
        <f t="shared" si="19"/>
        <v>133451.05875738821</v>
      </c>
      <c r="Y31" s="7">
        <f t="shared" si="11"/>
        <v>21.96219122463765</v>
      </c>
    </row>
    <row r="32" spans="2:25">
      <c r="B32" s="120">
        <v>24000</v>
      </c>
      <c r="C32" s="7" cm="1">
        <f t="array" ref="C32">Linterp(B32,atmos_h,atmos_aspeed)</f>
        <v>1020.1893510986098</v>
      </c>
      <c r="D32" s="7" cm="1">
        <f t="array" ref="D32">Linterp(B32,atmos_h,atmos_qms)</f>
        <v>574.13349152130138</v>
      </c>
      <c r="E32" s="16">
        <v>496</v>
      </c>
      <c r="F32" s="11">
        <f t="shared" si="0"/>
        <v>0.82062500259127602</v>
      </c>
      <c r="G32" s="7">
        <f t="shared" si="1"/>
        <v>837.19288888888889</v>
      </c>
      <c r="H32" s="121">
        <f t="shared" si="12"/>
        <v>9838.3034347549637</v>
      </c>
      <c r="I32" s="11">
        <f t="shared" si="2"/>
        <v>0.14968177351014328</v>
      </c>
      <c r="J32" s="11">
        <f t="shared" si="3"/>
        <v>1.787806652736058E-2</v>
      </c>
      <c r="K32" s="12">
        <f t="shared" si="4"/>
        <v>1175.0919246757194</v>
      </c>
      <c r="L32" s="12">
        <f t="shared" si="5"/>
        <v>2436.6481518563919</v>
      </c>
      <c r="M32" s="321">
        <f t="shared" si="9"/>
        <v>107.35244235282725</v>
      </c>
      <c r="N32" s="320">
        <f t="shared" si="13"/>
        <v>0</v>
      </c>
      <c r="O32" s="170">
        <f t="shared" si="10"/>
        <v>107.35244235282725</v>
      </c>
      <c r="P32" s="7">
        <f t="shared" si="6"/>
        <v>7.3672674083854481</v>
      </c>
      <c r="Q32" s="176">
        <f t="shared" si="14"/>
        <v>9.1654287538459851</v>
      </c>
      <c r="R32" s="7">
        <f t="shared" si="15"/>
        <v>170.94941630817218</v>
      </c>
      <c r="S32" s="11">
        <f t="shared" si="7"/>
        <v>0.70539409928991481</v>
      </c>
      <c r="T32" s="172">
        <f t="shared" si="16"/>
        <v>6.5712798532954251</v>
      </c>
      <c r="U32" s="16">
        <f t="shared" si="17"/>
        <v>168.26784509832967</v>
      </c>
      <c r="V32" s="16">
        <f t="shared" si="8"/>
        <v>830.28151028853244</v>
      </c>
      <c r="W32" s="172">
        <f t="shared" si="18"/>
        <v>7607.7738678682672</v>
      </c>
      <c r="X32" s="16">
        <f t="shared" si="19"/>
        <v>141058.83262525647</v>
      </c>
      <c r="Y32" s="7">
        <f t="shared" si="11"/>
        <v>23.21421114891325</v>
      </c>
    </row>
    <row r="33" spans="2:25">
      <c r="B33" s="120">
        <v>25000</v>
      </c>
      <c r="C33" s="7" cm="1">
        <f t="array" ref="C33">Linterp(B33,atmos_h,atmos_aspeed)</f>
        <v>1015.9805854418648</v>
      </c>
      <c r="D33" s="7" cm="1">
        <f t="array" ref="D33">Linterp(B33,atmos_h,atmos_qms)</f>
        <v>549.71720953653789</v>
      </c>
      <c r="E33" s="16">
        <v>496</v>
      </c>
      <c r="F33" s="11">
        <f t="shared" si="0"/>
        <v>0.82402449503971698</v>
      </c>
      <c r="G33" s="7">
        <f t="shared" si="1"/>
        <v>837.19288888888866</v>
      </c>
      <c r="H33" s="121">
        <f t="shared" si="12"/>
        <v>9831.7321549016688</v>
      </c>
      <c r="I33" s="11">
        <f t="shared" si="2"/>
        <v>0.15493928246739161</v>
      </c>
      <c r="J33" s="11">
        <f t="shared" si="3"/>
        <v>1.8102419052844921E-2</v>
      </c>
      <c r="K33" s="12">
        <f t="shared" si="4"/>
        <v>1148.6960094888598</v>
      </c>
      <c r="L33" s="12">
        <f t="shared" si="5"/>
        <v>2367.4931648329825</v>
      </c>
      <c r="M33" s="321">
        <f t="shared" si="9"/>
        <v>103.78316815144268</v>
      </c>
      <c r="N33" s="320">
        <f t="shared" si="13"/>
        <v>-2.2737367544323206E-16</v>
      </c>
      <c r="O33" s="170">
        <f t="shared" si="10"/>
        <v>103.78316815144329</v>
      </c>
      <c r="P33" s="7">
        <f t="shared" si="6"/>
        <v>7.121027824473309</v>
      </c>
      <c r="Q33" s="176">
        <f t="shared" si="14"/>
        <v>9.4725849193475913</v>
      </c>
      <c r="R33" s="7">
        <f t="shared" si="15"/>
        <v>180.42200122751976</v>
      </c>
      <c r="S33" s="11">
        <f t="shared" si="7"/>
        <v>0.68224002830214137</v>
      </c>
      <c r="T33" s="172">
        <f t="shared" si="16"/>
        <v>6.5722410553002817</v>
      </c>
      <c r="U33" s="16">
        <f t="shared" si="17"/>
        <v>174.84008615362995</v>
      </c>
      <c r="V33" s="16">
        <f t="shared" si="8"/>
        <v>830.73520884489562</v>
      </c>
      <c r="W33" s="172">
        <f t="shared" si="18"/>
        <v>7867.0609622237625</v>
      </c>
      <c r="X33" s="16">
        <f t="shared" si="19"/>
        <v>148925.89358748024</v>
      </c>
      <c r="Y33" s="7">
        <f t="shared" si="11"/>
        <v>24.508902242689793</v>
      </c>
    </row>
    <row r="34" spans="2:25">
      <c r="B34" s="120">
        <v>26000</v>
      </c>
      <c r="C34" s="7" cm="1">
        <f t="array" ref="C34">Linterp(B34,atmos_h,atmos_aspeed)</f>
        <v>1011.7543120217408</v>
      </c>
      <c r="D34" s="7" cm="1">
        <f t="array" ref="D34">Linterp(B34,atmos_h,atmos_qms)</f>
        <v>526.14862055832521</v>
      </c>
      <c r="E34" s="16">
        <v>496</v>
      </c>
      <c r="F34" s="11">
        <f t="shared" si="0"/>
        <v>0.82746658842102272</v>
      </c>
      <c r="G34" s="7">
        <f t="shared" si="1"/>
        <v>837.19288888888877</v>
      </c>
      <c r="H34" s="121">
        <f t="shared" si="12"/>
        <v>9825.159913846368</v>
      </c>
      <c r="I34" s="11">
        <f t="shared" si="2"/>
        <v>0.16042843118309591</v>
      </c>
      <c r="J34" s="11">
        <f t="shared" si="3"/>
        <v>1.8335798876734276E-2</v>
      </c>
      <c r="K34" s="12">
        <f t="shared" si="4"/>
        <v>1122.9440740864216</v>
      </c>
      <c r="L34" s="12">
        <f t="shared" si="5"/>
        <v>2304.3833362977443</v>
      </c>
      <c r="M34" s="321">
        <f t="shared" si="9"/>
        <v>100.66935883491827</v>
      </c>
      <c r="N34" s="320">
        <f t="shared" si="13"/>
        <v>1.1368683772161603E-16</v>
      </c>
      <c r="O34" s="170">
        <f t="shared" si="10"/>
        <v>100.66935883491799</v>
      </c>
      <c r="P34" s="7">
        <f t="shared" si="6"/>
        <v>6.9063182567570953</v>
      </c>
      <c r="Q34" s="176">
        <f t="shared" si="14"/>
        <v>9.7822219636024208</v>
      </c>
      <c r="R34" s="7">
        <f t="shared" si="15"/>
        <v>190.20422319112217</v>
      </c>
      <c r="S34" s="11">
        <f t="shared" si="7"/>
        <v>0.6615864830543684</v>
      </c>
      <c r="T34" s="172">
        <f t="shared" si="16"/>
        <v>6.5728046073314337</v>
      </c>
      <c r="U34" s="16">
        <f t="shared" si="17"/>
        <v>181.41289076096137</v>
      </c>
      <c r="V34" s="16">
        <f t="shared" si="8"/>
        <v>831.11829085749866</v>
      </c>
      <c r="W34" s="172">
        <f t="shared" si="18"/>
        <v>8128.3099025391557</v>
      </c>
      <c r="X34" s="16">
        <f t="shared" si="19"/>
        <v>157054.2034900194</v>
      </c>
      <c r="Y34" s="7">
        <f t="shared" si="11"/>
        <v>25.846587369169146</v>
      </c>
    </row>
    <row r="35" spans="2:25">
      <c r="B35" s="120">
        <v>27000</v>
      </c>
      <c r="C35" s="7" cm="1">
        <f t="array" ref="C35">Linterp(B35,atmos_h,atmos_aspeed)</f>
        <v>1007.5103105151719</v>
      </c>
      <c r="D35" s="7" cm="1">
        <f t="array" ref="D35">Linterp(B35,atmos_h,atmos_qms)</f>
        <v>503.40502292301625</v>
      </c>
      <c r="E35" s="16">
        <v>496</v>
      </c>
      <c r="F35" s="11">
        <f t="shared" si="0"/>
        <v>0.83095217999387572</v>
      </c>
      <c r="G35" s="7">
        <f t="shared" si="1"/>
        <v>837.19288888888877</v>
      </c>
      <c r="H35" s="121">
        <f t="shared" si="12"/>
        <v>9818.5871092390371</v>
      </c>
      <c r="I35" s="11">
        <f t="shared" si="2"/>
        <v>0.16616152463300485</v>
      </c>
      <c r="J35" s="11">
        <f t="shared" si="3"/>
        <v>1.8578674613688687E-2</v>
      </c>
      <c r="K35" s="12">
        <f t="shared" si="4"/>
        <v>1097.8253568123357</v>
      </c>
      <c r="L35" s="12">
        <f t="shared" si="5"/>
        <v>2241.2272397003921</v>
      </c>
      <c r="M35" s="321">
        <f t="shared" si="9"/>
        <v>97.493449398162525</v>
      </c>
      <c r="N35" s="320">
        <f t="shared" si="13"/>
        <v>0</v>
      </c>
      <c r="O35" s="170">
        <f t="shared" si="10"/>
        <v>97.493449398162525</v>
      </c>
      <c r="P35" s="7">
        <f t="shared" si="6"/>
        <v>6.687426963867698</v>
      </c>
      <c r="Q35" s="176">
        <f t="shared" si="14"/>
        <v>10.092711229887223</v>
      </c>
      <c r="R35" s="7">
        <f t="shared" si="15"/>
        <v>200.29693442100938</v>
      </c>
      <c r="S35" s="11">
        <f t="shared" si="7"/>
        <v>0.64091329878896885</v>
      </c>
      <c r="T35" s="172">
        <f t="shared" si="16"/>
        <v>6.5728770875679547</v>
      </c>
      <c r="U35" s="16">
        <f t="shared" si="17"/>
        <v>187.98576784852932</v>
      </c>
      <c r="V35" s="16">
        <f t="shared" si="8"/>
        <v>831.49681931476516</v>
      </c>
      <c r="W35" s="172">
        <f t="shared" si="18"/>
        <v>8390.1470967078949</v>
      </c>
      <c r="X35" s="16">
        <f t="shared" si="19"/>
        <v>165444.35058672729</v>
      </c>
      <c r="Y35" s="7">
        <f t="shared" si="11"/>
        <v>27.227363337951303</v>
      </c>
    </row>
    <row r="36" spans="2:25">
      <c r="B36" s="120">
        <v>28000</v>
      </c>
      <c r="C36" s="7" cm="1">
        <f t="array" ref="C36">Linterp(B36,atmos_h,atmos_aspeed)</f>
        <v>1003.2483559389319</v>
      </c>
      <c r="D36" s="7" cm="1">
        <f t="array" ref="D36">Linterp(B36,atmos_h,atmos_qms)</f>
        <v>481.46413972606013</v>
      </c>
      <c r="E36" s="16">
        <v>496</v>
      </c>
      <c r="F36" s="11">
        <f t="shared" si="0"/>
        <v>0.83448219369905363</v>
      </c>
      <c r="G36" s="7">
        <f t="shared" si="1"/>
        <v>837.19288888888889</v>
      </c>
      <c r="H36" s="121">
        <f t="shared" si="12"/>
        <v>9812.0142321514686</v>
      </c>
      <c r="I36" s="11">
        <f t="shared" si="2"/>
        <v>0.17215163600134947</v>
      </c>
      <c r="J36" s="11">
        <f t="shared" si="3"/>
        <v>1.8831543899643036E-2</v>
      </c>
      <c r="K36" s="12">
        <f t="shared" si="4"/>
        <v>1073.3291942414896</v>
      </c>
      <c r="L36" s="12">
        <f t="shared" si="5"/>
        <v>2178.0240650731821</v>
      </c>
      <c r="M36" s="321">
        <f t="shared" si="9"/>
        <v>94.256150508001596</v>
      </c>
      <c r="N36" s="320">
        <f t="shared" si="13"/>
        <v>1.1368683772161603E-16</v>
      </c>
      <c r="O36" s="170">
        <f t="shared" si="10"/>
        <v>94.256150508001326</v>
      </c>
      <c r="P36" s="7">
        <f t="shared" si="6"/>
        <v>6.4644054076872086</v>
      </c>
      <c r="Q36" s="176">
        <f t="shared" si="14"/>
        <v>10.430269481546436</v>
      </c>
      <c r="R36" s="7">
        <f t="shared" si="15"/>
        <v>210.72720390255583</v>
      </c>
      <c r="S36" s="11">
        <f t="shared" si="7"/>
        <v>0.62022012154822137</v>
      </c>
      <c r="T36" s="172">
        <f t="shared" si="16"/>
        <v>6.5769807131506344</v>
      </c>
      <c r="U36" s="16">
        <f t="shared" si="17"/>
        <v>194.56274856167997</v>
      </c>
      <c r="V36" s="16">
        <f t="shared" si="8"/>
        <v>831.87000865371783</v>
      </c>
      <c r="W36" s="172">
        <f t="shared" si="18"/>
        <v>8674.6821311881849</v>
      </c>
      <c r="X36" s="16">
        <f t="shared" si="19"/>
        <v>174119.03271791548</v>
      </c>
      <c r="Y36" s="7">
        <f t="shared" si="11"/>
        <v>28.654965558211359</v>
      </c>
    </row>
    <row r="37" spans="2:25">
      <c r="B37" s="120">
        <v>29000</v>
      </c>
      <c r="C37" s="7" cm="1">
        <f t="array" ref="C37">Linterp(B37,atmos_h,atmos_aspeed)</f>
        <v>998.96821851045968</v>
      </c>
      <c r="D37" s="7" cm="1">
        <f t="array" ref="D37">Linterp(B37,atmos_h,atmos_qms)</f>
        <v>460.30411435996132</v>
      </c>
      <c r="E37" s="16">
        <v>496</v>
      </c>
      <c r="F37" s="11">
        <f t="shared" si="0"/>
        <v>0.83805758118832796</v>
      </c>
      <c r="G37" s="7">
        <f t="shared" si="1"/>
        <v>837.19288888888889</v>
      </c>
      <c r="H37" s="121">
        <f t="shared" si="12"/>
        <v>9805.4372514383176</v>
      </c>
      <c r="I37" s="11">
        <f t="shared" si="2"/>
        <v>0.17841257789306433</v>
      </c>
      <c r="J37" s="11">
        <f t="shared" si="3"/>
        <v>1.9094932320496538E-2</v>
      </c>
      <c r="K37" s="12">
        <f t="shared" si="4"/>
        <v>1049.4448480045694</v>
      </c>
      <c r="L37" s="12">
        <f t="shared" si="5"/>
        <v>2114.7729803769712</v>
      </c>
      <c r="M37" s="321">
        <f t="shared" si="9"/>
        <v>90.958221840094765</v>
      </c>
      <c r="N37" s="320">
        <f t="shared" si="13"/>
        <v>0</v>
      </c>
      <c r="O37" s="170">
        <f t="shared" si="10"/>
        <v>90.958221840094765</v>
      </c>
      <c r="P37" s="7">
        <f t="shared" si="6"/>
        <v>6.237308066135606</v>
      </c>
      <c r="Q37" s="176">
        <f t="shared" si="14"/>
        <v>10.798298072900922</v>
      </c>
      <c r="R37" s="7">
        <f t="shared" si="15"/>
        <v>221.52550197545676</v>
      </c>
      <c r="S37" s="11">
        <f t="shared" si="7"/>
        <v>0.59950658757073205</v>
      </c>
      <c r="T37" s="172">
        <f t="shared" si="16"/>
        <v>6.5854862862724888</v>
      </c>
      <c r="U37" s="16">
        <f t="shared" si="17"/>
        <v>201.14823484795247</v>
      </c>
      <c r="V37" s="16">
        <f t="shared" si="8"/>
        <v>832.23706663775283</v>
      </c>
      <c r="W37" s="172">
        <f t="shared" si="18"/>
        <v>8984.7621121103384</v>
      </c>
      <c r="X37" s="16">
        <f t="shared" si="19"/>
        <v>183103.79483002581</v>
      </c>
      <c r="Y37" s="7">
        <f t="shared" si="11"/>
        <v>30.133597990590783</v>
      </c>
    </row>
    <row r="38" spans="2:25">
      <c r="B38" s="120">
        <v>30000</v>
      </c>
      <c r="C38" s="7" cm="1">
        <f t="array" ref="C38">Linterp(B38,atmos_h,atmos_aspeed)</f>
        <v>994.66966350329255</v>
      </c>
      <c r="D38" s="7" cm="1">
        <f t="array" ref="D38">Linterp(B38,atmos_h,atmos_qms)</f>
        <v>439.90350606186917</v>
      </c>
      <c r="E38" s="16">
        <v>496</v>
      </c>
      <c r="F38" s="11">
        <f t="shared" si="0"/>
        <v>0.84167932290227887</v>
      </c>
      <c r="G38" s="7">
        <f t="shared" si="1"/>
        <v>837.19288888888889</v>
      </c>
      <c r="H38" s="121">
        <f t="shared" si="12"/>
        <v>9798.8517651520451</v>
      </c>
      <c r="I38" s="11">
        <f t="shared" si="2"/>
        <v>0.18495902468046074</v>
      </c>
      <c r="J38" s="11">
        <f t="shared" si="3"/>
        <v>1.9369398008735508E-2</v>
      </c>
      <c r="K38" s="12">
        <f t="shared" si="4"/>
        <v>1026.161660377099</v>
      </c>
      <c r="L38" s="12">
        <f t="shared" si="5"/>
        <v>2051.4731306907593</v>
      </c>
      <c r="M38" s="321">
        <f t="shared" si="9"/>
        <v>87.600414050093377</v>
      </c>
      <c r="N38" s="320">
        <f t="shared" si="13"/>
        <v>0</v>
      </c>
      <c r="O38" s="170">
        <f t="shared" si="10"/>
        <v>87.600414050093377</v>
      </c>
      <c r="P38" s="7">
        <f t="shared" si="6"/>
        <v>6.006188419520508</v>
      </c>
      <c r="Q38" s="176">
        <f t="shared" si="14"/>
        <v>11.20080241445158</v>
      </c>
      <c r="R38" s="7">
        <f t="shared" si="15"/>
        <v>232.72630438990834</v>
      </c>
      <c r="S38" s="11">
        <f t="shared" si="7"/>
        <v>0.57877232292767566</v>
      </c>
      <c r="T38" s="172">
        <f t="shared" si="16"/>
        <v>6.5988346328039711</v>
      </c>
      <c r="U38" s="16">
        <f t="shared" si="17"/>
        <v>207.74706948075644</v>
      </c>
      <c r="V38" s="16">
        <f t="shared" si="8"/>
        <v>832.59720193162764</v>
      </c>
      <c r="W38" s="172">
        <f t="shared" si="18"/>
        <v>9323.7398475268237</v>
      </c>
      <c r="X38" s="16">
        <f t="shared" si="19"/>
        <v>192427.53467755264</v>
      </c>
      <c r="Y38" s="7">
        <f t="shared" si="11"/>
        <v>31.668016371133014</v>
      </c>
    </row>
    <row r="39" spans="2:25">
      <c r="B39" s="120">
        <v>31000</v>
      </c>
      <c r="C39" s="7" cm="1">
        <f t="array" ref="C39">Linterp(B39,atmos_h,atmos_aspeed)</f>
        <v>990.35245109685331</v>
      </c>
      <c r="D39" s="7" cm="1">
        <f t="array" ref="D39">Linterp(B39,atmos_h,atmos_qms)</f>
        <v>420.24128547087412</v>
      </c>
      <c r="E39" s="16">
        <v>496</v>
      </c>
      <c r="F39" s="11">
        <f t="shared" si="0"/>
        <v>0.84534842919979192</v>
      </c>
      <c r="G39" s="7">
        <f t="shared" si="1"/>
        <v>837.19288888888866</v>
      </c>
      <c r="H39" s="121">
        <f t="shared" si="12"/>
        <v>9792.252930519242</v>
      </c>
      <c r="I39" s="11">
        <f t="shared" si="2"/>
        <v>0.19180657260346926</v>
      </c>
      <c r="J39" s="11">
        <f t="shared" ref="J39:J48" si="20">InterpolateXY(I39,F39,CD_CL,CD_M,CD_table)</f>
        <v>1.9655533906228435E-2</v>
      </c>
      <c r="K39" s="12">
        <f t="shared" si="4"/>
        <v>1003.4690515642134</v>
      </c>
      <c r="L39" s="12">
        <f t="shared" si="5"/>
        <v>1994.1335672912637</v>
      </c>
      <c r="M39" s="321">
        <f t="shared" si="9"/>
        <v>84.69729016663203</v>
      </c>
      <c r="N39" s="320">
        <f t="shared" si="13"/>
        <v>-2.2737367544323206E-16</v>
      </c>
      <c r="O39" s="170">
        <f t="shared" si="10"/>
        <v>84.697290166632527</v>
      </c>
      <c r="P39" s="7">
        <f t="shared" si="6"/>
        <v>5.8064440746530339</v>
      </c>
      <c r="Q39" s="176">
        <f t="shared" si="14"/>
        <v>11.607815722746286</v>
      </c>
      <c r="R39" s="7">
        <f t="shared" si="15"/>
        <v>244.33412011265463</v>
      </c>
      <c r="S39" s="11">
        <f t="shared" si="7"/>
        <v>0.56042876847519019</v>
      </c>
      <c r="T39" s="172">
        <f t="shared" si="16"/>
        <v>6.6118181700779575</v>
      </c>
      <c r="U39" s="16">
        <f t="shared" si="17"/>
        <v>214.35888765083439</v>
      </c>
      <c r="V39" s="16">
        <f t="shared" si="8"/>
        <v>832.89753406079444</v>
      </c>
      <c r="W39" s="172">
        <f t="shared" si="18"/>
        <v>9666.3779913020062</v>
      </c>
      <c r="X39" s="16">
        <f t="shared" si="19"/>
        <v>202093.91266885464</v>
      </c>
      <c r="Y39" s="7">
        <f t="shared" si="11"/>
        <v>33.258823097369273</v>
      </c>
    </row>
    <row r="40" spans="2:25">
      <c r="B40" s="120">
        <v>32000</v>
      </c>
      <c r="C40" s="7" cm="1">
        <f t="array" ref="C40">Linterp(B40,atmos_h,atmos_aspeed)</f>
        <v>986.01633622031693</v>
      </c>
      <c r="D40" s="7" cm="1">
        <f t="array" ref="D40">Linterp(B40,atmos_h,atmos_qms)</f>
        <v>401.29683019506137</v>
      </c>
      <c r="E40" s="16">
        <v>496</v>
      </c>
      <c r="F40" s="11">
        <f t="shared" si="0"/>
        <v>0.84906594154219495</v>
      </c>
      <c r="G40" s="7">
        <f t="shared" si="1"/>
        <v>837.19288888888889</v>
      </c>
      <c r="H40" s="121">
        <f t="shared" si="12"/>
        <v>9785.6411123491634</v>
      </c>
      <c r="I40" s="11">
        <f t="shared" si="2"/>
        <v>0.19897192078384943</v>
      </c>
      <c r="J40" s="11">
        <f t="shared" si="20"/>
        <v>1.9953974561731914E-2</v>
      </c>
      <c r="K40" s="12">
        <f t="shared" si="4"/>
        <v>981.35673142631026</v>
      </c>
      <c r="L40" s="12">
        <f t="shared" si="5"/>
        <v>1936.7312792954383</v>
      </c>
      <c r="M40" s="321">
        <f t="shared" si="9"/>
        <v>81.735347589245649</v>
      </c>
      <c r="N40" s="320">
        <f t="shared" si="13"/>
        <v>2.2737367544323206E-16</v>
      </c>
      <c r="O40" s="170">
        <f t="shared" si="10"/>
        <v>81.735347589245166</v>
      </c>
      <c r="P40" s="7">
        <f t="shared" si="6"/>
        <v>5.6027257479994965</v>
      </c>
      <c r="Q40" s="176">
        <f t="shared" si="14"/>
        <v>12.01687377528431</v>
      </c>
      <c r="R40" s="7">
        <f t="shared" si="15"/>
        <v>256.35099388793896</v>
      </c>
      <c r="S40" s="11">
        <f t="shared" si="7"/>
        <v>0.54206125618234235</v>
      </c>
      <c r="T40" s="172">
        <f t="shared" si="16"/>
        <v>6.6242417324098266</v>
      </c>
      <c r="U40" s="16">
        <f t="shared" si="17"/>
        <v>220.9831293832442</v>
      </c>
      <c r="V40" s="16">
        <f t="shared" si="8"/>
        <v>833.19341461667148</v>
      </c>
      <c r="W40" s="172">
        <f t="shared" si="18"/>
        <v>10010.602314200398</v>
      </c>
      <c r="X40" s="16">
        <f t="shared" si="19"/>
        <v>212104.51498305504</v>
      </c>
      <c r="Y40" s="7">
        <f t="shared" si="11"/>
        <v>34.906279208586504</v>
      </c>
    </row>
    <row r="41" spans="2:25">
      <c r="B41" s="120">
        <v>33000</v>
      </c>
      <c r="C41" s="7" cm="1">
        <f t="array" ref="C41">Linterp(B41,atmos_h,atmos_aspeed)</f>
        <v>981.66106839027111</v>
      </c>
      <c r="D41" s="7" cm="1">
        <f t="array" ref="D41">Linterp(B41,atmos_h,atmos_qms)</f>
        <v>383.0499203883931</v>
      </c>
      <c r="E41" s="16">
        <v>496</v>
      </c>
      <c r="F41" s="11">
        <f t="shared" si="0"/>
        <v>0.85283293373518276</v>
      </c>
      <c r="G41" s="7">
        <f t="shared" si="1"/>
        <v>837.19288888888877</v>
      </c>
      <c r="H41" s="121">
        <f t="shared" si="12"/>
        <v>9779.0168706167533</v>
      </c>
      <c r="I41" s="11">
        <f t="shared" si="2"/>
        <v>0.20647285897378173</v>
      </c>
      <c r="J41" s="11">
        <f t="shared" si="20"/>
        <v>2.0463662079358656E-2</v>
      </c>
      <c r="K41" s="12">
        <f t="shared" si="4"/>
        <v>969.20485192709759</v>
      </c>
      <c r="L41" s="12">
        <f t="shared" si="5"/>
        <v>1879.2650947630436</v>
      </c>
      <c r="M41" s="321">
        <f t="shared" si="9"/>
        <v>77.911304770527238</v>
      </c>
      <c r="N41" s="320">
        <f t="shared" si="13"/>
        <v>-1.1368683772161603E-16</v>
      </c>
      <c r="O41" s="170">
        <f t="shared" si="10"/>
        <v>77.911304770527465</v>
      </c>
      <c r="P41" s="7">
        <f t="shared" si="6"/>
        <v>5.33981802789258</v>
      </c>
      <c r="Q41" s="176">
        <f t="shared" si="14"/>
        <v>12.527666383463453</v>
      </c>
      <c r="R41" s="7">
        <f t="shared" si="15"/>
        <v>268.8786602714024</v>
      </c>
      <c r="S41" s="11">
        <f t="shared" si="7"/>
        <v>0.52366933040199903</v>
      </c>
      <c r="T41" s="172">
        <f t="shared" si="16"/>
        <v>6.6755586216907199</v>
      </c>
      <c r="U41" s="16">
        <f t="shared" si="17"/>
        <v>227.65868800493493</v>
      </c>
      <c r="V41" s="16">
        <f t="shared" si="8"/>
        <v>833.55969300049367</v>
      </c>
      <c r="W41" s="172">
        <f t="shared" si="18"/>
        <v>10440.263437914402</v>
      </c>
      <c r="X41" s="16">
        <f t="shared" si="19"/>
        <v>222544.77842096944</v>
      </c>
      <c r="Y41" s="7">
        <f t="shared" si="11"/>
        <v>36.624445135437007</v>
      </c>
    </row>
    <row r="42" spans="2:25">
      <c r="B42" s="120">
        <v>34000</v>
      </c>
      <c r="C42" s="7" cm="1">
        <f t="array" ref="C42">Linterp(B42,atmos_h,atmos_aspeed)</f>
        <v>977.28639154186544</v>
      </c>
      <c r="D42" s="7" cm="1">
        <f t="array" ref="D42">Linterp(B42,atmos_h,atmos_qms)</f>
        <v>365.48073433747794</v>
      </c>
      <c r="E42" s="16">
        <v>496</v>
      </c>
      <c r="F42" s="11">
        <f t="shared" si="0"/>
        <v>0.85665051323189823</v>
      </c>
      <c r="G42" s="7">
        <f t="shared" si="1"/>
        <v>837.19288888888889</v>
      </c>
      <c r="H42" s="121">
        <f t="shared" si="12"/>
        <v>9772.3413119950619</v>
      </c>
      <c r="I42" s="11">
        <f t="shared" si="2"/>
        <v>0.21432748007379424</v>
      </c>
      <c r="J42" s="11">
        <f t="shared" si="20"/>
        <v>2.1034751030793726E-2</v>
      </c>
      <c r="K42" s="12">
        <f t="shared" si="4"/>
        <v>959.08731075912965</v>
      </c>
      <c r="L42" s="12">
        <f t="shared" si="5"/>
        <v>1821.7338079791473</v>
      </c>
      <c r="M42" s="321">
        <f t="shared" si="9"/>
        <v>73.902608396520193</v>
      </c>
      <c r="N42" s="320">
        <f t="shared" si="13"/>
        <v>1.1368683772161603E-16</v>
      </c>
      <c r="O42" s="170">
        <f t="shared" si="10"/>
        <v>73.90260839651998</v>
      </c>
      <c r="P42" s="7">
        <f t="shared" si="6"/>
        <v>5.0643360531835571</v>
      </c>
      <c r="Q42" s="176">
        <f t="shared" si="14"/>
        <v>13.174023106823636</v>
      </c>
      <c r="R42" s="7">
        <f t="shared" si="15"/>
        <v>282.05268337822605</v>
      </c>
      <c r="S42" s="11">
        <f t="shared" si="7"/>
        <v>0.50525252222762285</v>
      </c>
      <c r="T42" s="172">
        <f t="shared" si="16"/>
        <v>6.7775201308292123</v>
      </c>
      <c r="U42" s="16">
        <f t="shared" si="17"/>
        <v>234.43620813576413</v>
      </c>
      <c r="V42" s="16">
        <f t="shared" si="8"/>
        <v>833.92465947369249</v>
      </c>
      <c r="W42" s="172">
        <f t="shared" si="18"/>
        <v>10983.738694880889</v>
      </c>
      <c r="X42" s="16">
        <f t="shared" si="19"/>
        <v>233528.51711585032</v>
      </c>
      <c r="Y42" s="7">
        <f t="shared" si="11"/>
        <v>38.432051398171673</v>
      </c>
    </row>
    <row r="43" spans="2:25">
      <c r="B43" s="120">
        <v>35000</v>
      </c>
      <c r="C43" s="7" cm="1">
        <f t="array" ref="C43">Linterp(B43,atmos_h,atmos_aspeed)</f>
        <v>972.89204385312564</v>
      </c>
      <c r="D43" s="7" cm="1">
        <f t="array" ref="D43">Linterp(B43,atmos_h,atmos_qms)</f>
        <v>348.56984405829382</v>
      </c>
      <c r="E43" s="16">
        <v>496</v>
      </c>
      <c r="F43" s="11">
        <f t="shared" si="0"/>
        <v>0.86051982250075543</v>
      </c>
      <c r="G43" s="7">
        <f t="shared" si="1"/>
        <v>837.19288888888889</v>
      </c>
      <c r="H43" s="121">
        <f t="shared" si="12"/>
        <v>9765.5637918642333</v>
      </c>
      <c r="I43" s="11">
        <f t="shared" si="2"/>
        <v>0.22255473051694402</v>
      </c>
      <c r="J43" s="11">
        <f t="shared" si="20"/>
        <v>2.1630855682940622E-2</v>
      </c>
      <c r="K43" s="12">
        <f t="shared" si="4"/>
        <v>949.14855574495732</v>
      </c>
      <c r="L43" s="12">
        <f t="shared" si="5"/>
        <v>1764.1361781477037</v>
      </c>
      <c r="M43" s="321">
        <f t="shared" si="9"/>
        <v>69.868146535121014</v>
      </c>
      <c r="N43" s="320">
        <f t="shared" si="13"/>
        <v>0</v>
      </c>
      <c r="O43" s="170">
        <f t="shared" si="10"/>
        <v>69.868146535121014</v>
      </c>
      <c r="P43" s="7">
        <f t="shared" si="6"/>
        <v>4.7872018975569439</v>
      </c>
      <c r="Q43" s="176">
        <f t="shared" si="14"/>
        <v>13.911034973357026</v>
      </c>
      <c r="R43" s="7">
        <f t="shared" si="15"/>
        <v>295.96371835158305</v>
      </c>
      <c r="S43" s="11">
        <f t="shared" si="7"/>
        <v>0.48681034897725123</v>
      </c>
      <c r="T43" s="172">
        <f t="shared" si="16"/>
        <v>6.9003106485499943</v>
      </c>
      <c r="U43" s="16">
        <f t="shared" si="17"/>
        <v>241.33651878431414</v>
      </c>
      <c r="V43" s="16">
        <f t="shared" si="8"/>
        <v>834.27236278440284</v>
      </c>
      <c r="W43" s="172">
        <f t="shared" si="18"/>
        <v>11603.173559541206</v>
      </c>
      <c r="X43" s="16">
        <f t="shared" si="19"/>
        <v>245131.69067539152</v>
      </c>
      <c r="Y43" s="7">
        <f t="shared" si="11"/>
        <v>40.341598755083858</v>
      </c>
    </row>
    <row r="44" spans="2:25">
      <c r="B44" s="120">
        <v>36000</v>
      </c>
      <c r="C44" s="7" cm="1">
        <f t="array" ref="C44">Linterp(B44,atmos_h,atmos_aspeed)</f>
        <v>968.47775756209501</v>
      </c>
      <c r="D44" s="7" cm="1">
        <f t="array" ref="D44">Linterp(B44,atmos_h,atmos_qms)</f>
        <v>332.29821090292938</v>
      </c>
      <c r="E44" s="16">
        <v>496</v>
      </c>
      <c r="F44" s="11">
        <f t="shared" si="0"/>
        <v>0.86444204046184447</v>
      </c>
      <c r="G44" s="7">
        <f t="shared" si="1"/>
        <v>837.19288888888889</v>
      </c>
      <c r="H44" s="121">
        <f t="shared" si="12"/>
        <v>9758.6634812156826</v>
      </c>
      <c r="I44" s="11">
        <f t="shared" si="2"/>
        <v>0.23117542142013417</v>
      </c>
      <c r="J44" s="11">
        <f t="shared" si="20"/>
        <v>2.2253360647340396E-2</v>
      </c>
      <c r="K44" s="12">
        <f t="shared" si="4"/>
        <v>939.38644752745824</v>
      </c>
      <c r="L44" s="12">
        <f t="shared" si="5"/>
        <v>1702.6804614949097</v>
      </c>
      <c r="M44" s="321">
        <f t="shared" si="9"/>
        <v>65.482770448541004</v>
      </c>
      <c r="N44" s="320">
        <f t="shared" si="13"/>
        <v>0</v>
      </c>
      <c r="O44" s="170">
        <f t="shared" si="10"/>
        <v>65.482770448541004</v>
      </c>
      <c r="P44" s="7">
        <f t="shared" si="6"/>
        <v>4.4860899020396268</v>
      </c>
      <c r="Q44" s="176">
        <f t="shared" si="14"/>
        <v>14.776405247711891</v>
      </c>
      <c r="R44" s="7">
        <f t="shared" si="15"/>
        <v>310.74012359929492</v>
      </c>
      <c r="S44" s="11">
        <f t="shared" si="7"/>
        <v>0.46945661655340265</v>
      </c>
      <c r="T44" s="172">
        <f t="shared" si="16"/>
        <v>7.0650941038403401</v>
      </c>
      <c r="U44" s="16">
        <f t="shared" si="17"/>
        <v>248.40161288815449</v>
      </c>
      <c r="V44" s="16">
        <f t="shared" si="8"/>
        <v>834.62802491918944</v>
      </c>
      <c r="W44" s="172">
        <f t="shared" si="18"/>
        <v>12330.174223385884</v>
      </c>
      <c r="X44" s="16">
        <f t="shared" si="19"/>
        <v>257461.86489877742</v>
      </c>
      <c r="Y44" s="7">
        <f t="shared" si="11"/>
        <v>42.370789431040983</v>
      </c>
    </row>
    <row r="45" spans="2:25">
      <c r="B45" s="120">
        <v>37000</v>
      </c>
      <c r="C45" s="7" cm="1">
        <f t="array" ref="C45">Linterp(B45,atmos_h,atmos_aspeed)</f>
        <v>968.1005104214338</v>
      </c>
      <c r="D45" s="7" cm="1">
        <f t="array" ref="D45">Linterp(B45,atmos_h,atmos_qms)</f>
        <v>316.70457937064464</v>
      </c>
      <c r="E45" s="16">
        <v>496</v>
      </c>
      <c r="F45" s="11">
        <f t="shared" si="0"/>
        <v>0.86477889421258736</v>
      </c>
      <c r="G45" s="7">
        <f t="shared" si="1"/>
        <v>837.19288888888889</v>
      </c>
      <c r="H45" s="121">
        <f t="shared" si="12"/>
        <v>9751.5983871118424</v>
      </c>
      <c r="I45" s="11">
        <f t="shared" si="2"/>
        <v>0.24219344182719882</v>
      </c>
      <c r="J45" s="11">
        <f t="shared" si="20"/>
        <v>2.2950726837954034E-2</v>
      </c>
      <c r="K45" s="12">
        <f t="shared" si="4"/>
        <v>924.08064036564315</v>
      </c>
      <c r="L45" s="12">
        <f t="shared" si="5"/>
        <v>1638.7683003467519</v>
      </c>
      <c r="M45" s="321">
        <f t="shared" si="9"/>
        <v>61.357267081836198</v>
      </c>
      <c r="N45" s="320">
        <f t="shared" si="13"/>
        <v>0</v>
      </c>
      <c r="O45" s="170">
        <f t="shared" si="10"/>
        <v>61.357267081836198</v>
      </c>
      <c r="P45" s="7">
        <f t="shared" si="6"/>
        <v>4.2029349279587365</v>
      </c>
      <c r="Q45" s="176">
        <f t="shared" si="14"/>
        <v>15.767891897075602</v>
      </c>
      <c r="R45" s="7">
        <f t="shared" si="15"/>
        <v>326.50801549637055</v>
      </c>
      <c r="S45" s="11">
        <f t="shared" si="7"/>
        <v>0.45142492373582083</v>
      </c>
      <c r="T45" s="172">
        <f t="shared" si="16"/>
        <v>7.260180288646473</v>
      </c>
      <c r="U45" s="16">
        <f t="shared" si="17"/>
        <v>255.66179317680096</v>
      </c>
      <c r="V45" s="16">
        <f t="shared" si="8"/>
        <v>834.94144643943241</v>
      </c>
      <c r="W45" s="172">
        <f t="shared" si="18"/>
        <v>13162.795469520204</v>
      </c>
      <c r="X45" s="16">
        <f t="shared" si="19"/>
        <v>270624.6603682976</v>
      </c>
      <c r="Y45" s="7">
        <f t="shared" si="11"/>
        <v>44.537005524372589</v>
      </c>
    </row>
    <row r="46" spans="2:25">
      <c r="B46" s="120">
        <v>38000</v>
      </c>
      <c r="C46" s="7" cm="1">
        <f t="array" ref="C46">Linterp(B46,atmos_h,atmos_aspeed)</f>
        <v>968.1005104214338</v>
      </c>
      <c r="D46" s="7" cm="1">
        <f t="array" ref="D46">Linterp(B46,atmos_h,atmos_qms)</f>
        <v>301.84260713385146</v>
      </c>
      <c r="E46" s="16">
        <v>496</v>
      </c>
      <c r="F46" s="11">
        <f t="shared" si="0"/>
        <v>0.86477889421258736</v>
      </c>
      <c r="G46" s="7">
        <f t="shared" si="1"/>
        <v>837.19288888888889</v>
      </c>
      <c r="H46" s="121">
        <f t="shared" si="12"/>
        <v>9744.3382068231967</v>
      </c>
      <c r="I46" s="11">
        <f t="shared" si="2"/>
        <v>0.25392924472402223</v>
      </c>
      <c r="J46" s="11">
        <f t="shared" si="20"/>
        <v>2.3685948940900616E-2</v>
      </c>
      <c r="K46" s="12">
        <f t="shared" si="4"/>
        <v>908.92995598252492</v>
      </c>
      <c r="L46" s="12">
        <f t="shared" si="5"/>
        <v>1574.6326255849865</v>
      </c>
      <c r="M46" s="321">
        <f t="shared" si="9"/>
        <v>57.194396302386316</v>
      </c>
      <c r="N46" s="320">
        <f t="shared" si="13"/>
        <v>0</v>
      </c>
      <c r="O46" s="170">
        <f t="shared" si="10"/>
        <v>57.194396302386316</v>
      </c>
      <c r="P46" s="7">
        <f t="shared" si="6"/>
        <v>3.9173194088715158</v>
      </c>
      <c r="Q46" s="176">
        <f t="shared" si="14"/>
        <v>16.870282060219246</v>
      </c>
      <c r="R46" s="7">
        <f t="shared" si="15"/>
        <v>343.37829755658981</v>
      </c>
      <c r="S46" s="11">
        <f t="shared" si="7"/>
        <v>0.43333160709711016</v>
      </c>
      <c r="T46" s="172">
        <f t="shared" si="16"/>
        <v>7.4630461148863061</v>
      </c>
      <c r="U46" s="16">
        <f t="shared" si="17"/>
        <v>263.12483929168724</v>
      </c>
      <c r="V46" s="16">
        <f t="shared" si="8"/>
        <v>835.23693299430261</v>
      </c>
      <c r="W46" s="172">
        <f t="shared" si="18"/>
        <v>14088.190175963497</v>
      </c>
      <c r="X46" s="16">
        <f t="shared" si="19"/>
        <v>284712.85054426111</v>
      </c>
      <c r="Y46" s="7">
        <f t="shared" si="11"/>
        <v>46.855514868056929</v>
      </c>
    </row>
    <row r="47" spans="2:25">
      <c r="B47" s="120">
        <v>39000</v>
      </c>
      <c r="C47" s="7" cm="1">
        <f t="array" ref="C47">Linterp(B47,atmos_h,atmos_aspeed)</f>
        <v>968.1005104214338</v>
      </c>
      <c r="D47" s="7" cm="1">
        <f t="array" ref="D47">Linterp(B47,atmos_h,atmos_qms)</f>
        <v>287.67806156264714</v>
      </c>
      <c r="E47" s="16">
        <v>496</v>
      </c>
      <c r="F47" s="11">
        <f t="shared" si="0"/>
        <v>0.86477889421258736</v>
      </c>
      <c r="G47" s="7">
        <f t="shared" si="1"/>
        <v>837.19288888888889</v>
      </c>
      <c r="H47" s="121">
        <f t="shared" si="12"/>
        <v>9736.8751607083104</v>
      </c>
      <c r="I47" s="11">
        <f t="shared" si="2"/>
        <v>0.26622802684049013</v>
      </c>
      <c r="J47" s="11">
        <f t="shared" si="20"/>
        <v>2.445644044717829E-2</v>
      </c>
      <c r="K47" s="12">
        <f t="shared" si="4"/>
        <v>894.45619357028465</v>
      </c>
      <c r="L47" s="12">
        <f t="shared" si="5"/>
        <v>1510.4969508232209</v>
      </c>
      <c r="M47" s="321">
        <f t="shared" si="9"/>
        <v>52.968219549439773</v>
      </c>
      <c r="N47" s="320">
        <f t="shared" si="13"/>
        <v>0</v>
      </c>
      <c r="O47" s="170">
        <f t="shared" si="10"/>
        <v>52.968219549439773</v>
      </c>
      <c r="P47" s="7">
        <f t="shared" si="6"/>
        <v>3.6274601129345765</v>
      </c>
      <c r="Q47" s="176">
        <f t="shared" si="14"/>
        <v>18.154979205378478</v>
      </c>
      <c r="R47" s="7">
        <f t="shared" si="15"/>
        <v>361.5332767619683</v>
      </c>
      <c r="S47" s="11">
        <f t="shared" si="7"/>
        <v>0.41523829045839949</v>
      </c>
      <c r="T47" s="172">
        <f t="shared" si="16"/>
        <v>7.7028844222152113</v>
      </c>
      <c r="U47" s="16">
        <f t="shared" si="17"/>
        <v>270.82772371390246</v>
      </c>
      <c r="V47" s="16">
        <f t="shared" si="8"/>
        <v>835.51558987483043</v>
      </c>
      <c r="W47" s="172">
        <f t="shared" si="18"/>
        <v>15166.23865501137</v>
      </c>
      <c r="X47" s="16">
        <f t="shared" si="19"/>
        <v>299879.08919927245</v>
      </c>
      <c r="Y47" s="7">
        <f t="shared" si="11"/>
        <v>49.35143986559023</v>
      </c>
    </row>
    <row r="48" spans="2:25">
      <c r="B48" s="120">
        <v>40000</v>
      </c>
      <c r="C48" s="7" cm="1">
        <f t="array" ref="C48">Linterp(B48,atmos_h,atmos_aspeed)</f>
        <v>968.1005104214338</v>
      </c>
      <c r="D48" s="7" cm="1">
        <f t="array" ref="D48">Linterp(B48,atmos_h,atmos_qms)</f>
        <v>274.17821456777654</v>
      </c>
      <c r="E48" s="16">
        <v>496</v>
      </c>
      <c r="F48" s="11">
        <f t="shared" si="0"/>
        <v>0.86477889421258736</v>
      </c>
      <c r="G48" s="7">
        <f t="shared" si="1"/>
        <v>837.19288888888889</v>
      </c>
      <c r="H48" s="121">
        <f t="shared" si="12"/>
        <v>9729.1722762860954</v>
      </c>
      <c r="I48" s="11">
        <f t="shared" si="2"/>
        <v>0.2791154422838254</v>
      </c>
      <c r="J48" s="11">
        <f t="shared" si="20"/>
        <v>2.5263808529881852E-2</v>
      </c>
      <c r="K48" s="12">
        <f t="shared" si="4"/>
        <v>880.62467461898086</v>
      </c>
      <c r="L48" s="12">
        <f t="shared" si="5"/>
        <v>1446.3612760614556</v>
      </c>
      <c r="M48" s="429">
        <f t="shared" si="9"/>
        <v>48.681495841761965</v>
      </c>
      <c r="N48" s="430">
        <f t="shared" si="13"/>
        <v>0</v>
      </c>
      <c r="O48" s="431">
        <f t="shared" si="10"/>
        <v>48.681495841761965</v>
      </c>
      <c r="P48" s="7">
        <f t="shared" si="6"/>
        <v>3.3335430091927689</v>
      </c>
      <c r="Q48" s="176">
        <f t="shared" si="14"/>
        <v>19.675411704823222</v>
      </c>
      <c r="R48" s="7">
        <f>R47+Q48</f>
        <v>381.2086884667915</v>
      </c>
      <c r="S48" s="11">
        <f t="shared" si="7"/>
        <v>0.39714497381968883</v>
      </c>
      <c r="T48" s="172">
        <f t="shared" si="16"/>
        <v>7.9919875933897986</v>
      </c>
      <c r="U48" s="16">
        <f t="shared" si="17"/>
        <v>278.81971130729227</v>
      </c>
      <c r="V48" s="16">
        <f t="shared" si="8"/>
        <v>835.776312878471</v>
      </c>
      <c r="W48" s="172">
        <f t="shared" si="18"/>
        <v>16441.678132804293</v>
      </c>
      <c r="X48" s="16">
        <f t="shared" si="19"/>
        <v>316320.76733207674</v>
      </c>
      <c r="Y48" s="7">
        <f t="shared" si="11"/>
        <v>52.057265376222226</v>
      </c>
    </row>
    <row r="49" spans="2:23">
      <c r="B49" s="120">
        <v>41000</v>
      </c>
      <c r="C49" s="7" cm="1">
        <f t="array" ref="C49">Linterp(B49,atmos_h,atmos_aspeed)</f>
        <v>968.1005104214338</v>
      </c>
      <c r="D49" s="7" cm="1">
        <f t="array" ref="D49">Linterp(B49,atmos_h,atmos_qms)</f>
        <v>261.31187388859428</v>
      </c>
      <c r="E49" s="16">
        <v>496</v>
      </c>
      <c r="F49" s="11">
        <f t="shared" ref="F49" si="21">E49/C49*6076.4/3600</f>
        <v>0.86477889421258736</v>
      </c>
      <c r="G49" s="7">
        <f>F49*C49</f>
        <v>837.19288888888889</v>
      </c>
      <c r="H49" s="121">
        <f>H38-T38</f>
        <v>9792.252930519242</v>
      </c>
      <c r="Q49" s="7"/>
      <c r="T49" s="16"/>
      <c r="W49" s="16"/>
    </row>
    <row r="50" spans="2:23">
      <c r="B50" s="55"/>
      <c r="C50" s="55"/>
      <c r="D50" s="55"/>
      <c r="E50" s="55"/>
      <c r="R50" s="7"/>
    </row>
  </sheetData>
  <mergeCells count="2">
    <mergeCell ref="B2:D2"/>
    <mergeCell ref="B3:D3"/>
  </mergeCell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929CF-E0E7-4D33-B32C-FB4A83D51942}">
  <sheetPr codeName="Sheet10">
    <tabColor theme="8" tint="0.79998168889431442"/>
  </sheetPr>
  <dimension ref="B1:Y60"/>
  <sheetViews>
    <sheetView topLeftCell="K48" workbookViewId="0">
      <selection activeCell="Q9" sqref="Q9"/>
    </sheetView>
  </sheetViews>
  <sheetFormatPr defaultRowHeight="14.5"/>
  <cols>
    <col min="1" max="1" width="2.7265625" customWidth="1"/>
    <col min="2" max="15" width="10.7265625" customWidth="1"/>
    <col min="16" max="16" width="12.7265625" customWidth="1"/>
    <col min="17" max="25" width="10.7265625" customWidth="1"/>
  </cols>
  <sheetData>
    <row r="1" spans="2:25" ht="15" thickBot="1"/>
    <row r="2" spans="2:25">
      <c r="B2" s="609" t="s">
        <v>328</v>
      </c>
      <c r="C2" s="610"/>
      <c r="D2" s="611"/>
      <c r="E2" s="55"/>
      <c r="F2" t="s">
        <v>6</v>
      </c>
      <c r="G2" s="8">
        <v>10000</v>
      </c>
      <c r="H2" t="s">
        <v>5</v>
      </c>
      <c r="I2" s="123" t="s">
        <v>108</v>
      </c>
      <c r="J2" s="124">
        <f>R58/60</f>
        <v>3.7301904318008634</v>
      </c>
      <c r="K2" s="125" t="s">
        <v>181</v>
      </c>
      <c r="V2" s="8"/>
    </row>
    <row r="3" spans="2:25" ht="15" thickBot="1">
      <c r="B3" s="612" t="s">
        <v>218</v>
      </c>
      <c r="C3" s="613"/>
      <c r="D3" s="614"/>
      <c r="E3" s="55"/>
      <c r="G3" s="10"/>
      <c r="H3" s="10"/>
      <c r="I3" s="126" t="s">
        <v>111</v>
      </c>
      <c r="J3" s="122">
        <f>U58</f>
        <v>529.85769785600428</v>
      </c>
      <c r="K3" s="127" t="s">
        <v>5</v>
      </c>
      <c r="V3" s="8"/>
    </row>
    <row r="4" spans="2:25" ht="15" thickBot="1">
      <c r="B4" s="55"/>
      <c r="C4" s="55"/>
      <c r="D4" s="55"/>
      <c r="E4" s="55"/>
      <c r="G4" s="8"/>
      <c r="H4" s="8"/>
      <c r="I4" s="128" t="s">
        <v>182</v>
      </c>
      <c r="J4" s="129">
        <f>Y58</f>
        <v>32.623063466188725</v>
      </c>
      <c r="K4" s="130" t="s">
        <v>183</v>
      </c>
      <c r="V4" s="8"/>
    </row>
    <row r="5" spans="2:25" ht="15" thickBot="1">
      <c r="B5" s="55"/>
      <c r="C5" s="55"/>
      <c r="D5" s="55"/>
      <c r="E5" s="55"/>
      <c r="G5" s="8"/>
      <c r="H5" s="8"/>
      <c r="J5" s="9"/>
      <c r="V5" s="8"/>
    </row>
    <row r="6" spans="2:25">
      <c r="B6" s="6" t="s">
        <v>1</v>
      </c>
      <c r="C6" s="6" t="s">
        <v>17</v>
      </c>
      <c r="D6" s="6" t="s">
        <v>0</v>
      </c>
      <c r="E6" s="6" t="s">
        <v>184</v>
      </c>
      <c r="F6" s="6" t="s">
        <v>72</v>
      </c>
      <c r="G6" s="6" t="s">
        <v>185</v>
      </c>
      <c r="H6" s="6" t="s">
        <v>6</v>
      </c>
      <c r="I6" s="6" t="s">
        <v>74</v>
      </c>
      <c r="J6" s="6" t="s">
        <v>75</v>
      </c>
      <c r="K6" s="6" t="s">
        <v>186</v>
      </c>
      <c r="L6" s="6" t="s">
        <v>202</v>
      </c>
      <c r="M6" s="312" t="s">
        <v>188</v>
      </c>
      <c r="N6" s="301" t="s">
        <v>189</v>
      </c>
      <c r="O6" s="310" t="s">
        <v>190</v>
      </c>
      <c r="P6" s="6" t="s">
        <v>191</v>
      </c>
      <c r="Q6" s="308" t="s">
        <v>192</v>
      </c>
      <c r="R6" s="179" t="s">
        <v>108</v>
      </c>
      <c r="S6" s="6" t="s">
        <v>193</v>
      </c>
      <c r="T6" s="308" t="s">
        <v>110</v>
      </c>
      <c r="U6" s="185" t="s">
        <v>111</v>
      </c>
      <c r="V6" s="6" t="s">
        <v>194</v>
      </c>
      <c r="W6" s="308" t="s">
        <v>195</v>
      </c>
      <c r="X6" s="6" t="s">
        <v>182</v>
      </c>
      <c r="Y6" s="187" t="s">
        <v>182</v>
      </c>
    </row>
    <row r="7" spans="2:25">
      <c r="B7" s="6" t="s">
        <v>30</v>
      </c>
      <c r="C7" s="6" t="s">
        <v>69</v>
      </c>
      <c r="D7" s="6" t="s">
        <v>196</v>
      </c>
      <c r="E7" s="6" t="s">
        <v>197</v>
      </c>
      <c r="F7" s="5"/>
      <c r="G7" s="6" t="s">
        <v>69</v>
      </c>
      <c r="H7" s="6" t="s">
        <v>78</v>
      </c>
      <c r="I7" s="5"/>
      <c r="J7" s="5"/>
      <c r="K7" s="6" t="s">
        <v>78</v>
      </c>
      <c r="L7" s="6" t="s">
        <v>78</v>
      </c>
      <c r="M7" s="317" t="s">
        <v>69</v>
      </c>
      <c r="N7" s="316" t="s">
        <v>198</v>
      </c>
      <c r="O7" s="318" t="s">
        <v>69</v>
      </c>
      <c r="P7" s="6" t="s">
        <v>199</v>
      </c>
      <c r="Q7" s="330" t="s">
        <v>112</v>
      </c>
      <c r="R7" s="179" t="s">
        <v>112</v>
      </c>
      <c r="S7" s="6" t="s">
        <v>227</v>
      </c>
      <c r="T7" s="330" t="s">
        <v>78</v>
      </c>
      <c r="U7" s="185" t="s">
        <v>78</v>
      </c>
      <c r="V7" s="6" t="s">
        <v>69</v>
      </c>
      <c r="W7" s="330" t="s">
        <v>30</v>
      </c>
      <c r="X7" s="6" t="s">
        <v>30</v>
      </c>
      <c r="Y7" s="187" t="s">
        <v>203</v>
      </c>
    </row>
    <row r="8" spans="2:25">
      <c r="B8" s="120">
        <v>0</v>
      </c>
      <c r="C8" s="7" cm="1">
        <f t="array" ref="C8">Linterp(B8,atmos_h,atmos_aspeed)</f>
        <v>1116.45</v>
      </c>
      <c r="D8" s="7" cm="1">
        <f t="array" ref="D8">Linterp(B8,atmos_h,atmos_qms)</f>
        <v>1481.354</v>
      </c>
      <c r="E8" s="16">
        <f t="shared" ref="E8:E39" si="0">F8*C8*3600/6076.4</f>
        <v>595.96425844249893</v>
      </c>
      <c r="F8" s="11">
        <v>0.90100000000000002</v>
      </c>
      <c r="G8" s="7">
        <f t="shared" ref="G8:G39" si="1">F8*C8</f>
        <v>1005.92145</v>
      </c>
      <c r="H8" s="121">
        <f>G2</f>
        <v>10000</v>
      </c>
      <c r="I8" s="11">
        <f t="shared" ref="I8:I39" si="2">H8/(D8*F8*F8*_xlfn.SINGLE(S))</f>
        <v>4.8915065808183548E-2</v>
      </c>
      <c r="J8" s="11">
        <f t="shared" ref="J8:J48" si="3">InterpolateXY(I8,F8,CD_CL,CD_M,CD_table)</f>
        <v>1.6641574404512156E-2</v>
      </c>
      <c r="K8" s="12">
        <f t="shared" ref="K8:K39" si="4">J8*D8*F8*F8*_xlfn.SINGLE(S)</f>
        <v>3402.1367710657355</v>
      </c>
      <c r="L8" s="12">
        <f t="shared" ref="L8:L39" si="5">_xlfn.SINGLE(InterpolateXY(B8,F8,Tmax_h,Tmax_M,Tmax_table))*_xlfn.SINGLE(numeng)</f>
        <v>7662.4</v>
      </c>
      <c r="M8" s="321">
        <f>(L8-K8)*G8/H8</f>
        <v>428.54901646312362</v>
      </c>
      <c r="N8" s="320"/>
      <c r="O8" s="170">
        <f>M8/(1+(G8/32.174)*N8)</f>
        <v>428.54901646312362</v>
      </c>
      <c r="P8" s="7">
        <f t="shared" ref="P8:P58" si="6">ASIN(O8/G8)*180/PI()</f>
        <v>25.215643610518438</v>
      </c>
      <c r="Q8" s="176">
        <v>0</v>
      </c>
      <c r="R8" s="7">
        <v>0</v>
      </c>
      <c r="S8" s="7">
        <f t="shared" ref="S8:S39" si="7">_xlfn.SINGLE(InterpolateXY(B8,F8,FFmax_h,FFmax_M,FFmax_table))*_xlfn.SINGLE(numeng)/3600</f>
        <v>5.6190933333333337</v>
      </c>
      <c r="T8" s="172">
        <f>Q8*AVERAGE(S8:S9)</f>
        <v>0</v>
      </c>
      <c r="U8" s="16">
        <v>0</v>
      </c>
      <c r="V8" s="16">
        <f t="shared" ref="V8:V58" si="8">G8*COS(P8*PI()/180)</f>
        <v>910.06796672478924</v>
      </c>
      <c r="W8" s="172">
        <f>AVERAGE(V8:V9)*Q8</f>
        <v>0</v>
      </c>
      <c r="X8" s="16">
        <v>0</v>
      </c>
      <c r="Y8" s="7">
        <f>X8/6076.4</f>
        <v>0</v>
      </c>
    </row>
    <row r="9" spans="2:25">
      <c r="B9" s="120">
        <v>1000</v>
      </c>
      <c r="C9" s="7" cm="1">
        <f t="array" ref="C9">Linterp(B9,atmos_h,atmos_aspeed)</f>
        <v>1112.6054288919283</v>
      </c>
      <c r="D9" s="7" cm="1">
        <f t="array" ref="D9">Linterp(B9,atmos_h,atmos_qms)</f>
        <v>1428.5989841193521</v>
      </c>
      <c r="E9" s="16">
        <f t="shared" si="0"/>
        <v>594.26796690600111</v>
      </c>
      <c r="F9" s="11">
        <v>0.90154000000000001</v>
      </c>
      <c r="G9" s="7">
        <f t="shared" si="1"/>
        <v>1003.0582983632291</v>
      </c>
      <c r="H9" s="121">
        <f t="shared" ref="H9:H58" si="9">H8-T8</f>
        <v>10000</v>
      </c>
      <c r="I9" s="11">
        <f t="shared" si="2"/>
        <v>5.0660648015207588E-2</v>
      </c>
      <c r="J9" s="11">
        <f t="shared" si="3"/>
        <v>1.6677214251981334E-2</v>
      </c>
      <c r="K9" s="12">
        <f t="shared" si="4"/>
        <v>3291.9464920731139</v>
      </c>
      <c r="L9" s="12">
        <f t="shared" si="5"/>
        <v>7544.8885889596713</v>
      </c>
      <c r="M9" s="321">
        <f t="shared" ref="M9" si="10">(L9-K9)*G9/H9</f>
        <v>426.59488627403744</v>
      </c>
      <c r="N9" s="320">
        <f>(G9-G8)/(B9-B8)</f>
        <v>-2.8631516367709081E-3</v>
      </c>
      <c r="O9" s="170">
        <f t="shared" ref="O9" si="11">M9/(1+(G9/32.174)*N9)</f>
        <v>468.40559626502278</v>
      </c>
      <c r="P9" s="7">
        <f t="shared" si="6"/>
        <v>27.838273813579594</v>
      </c>
      <c r="Q9" s="176">
        <f>(B9-B8)/AVERAGE($O8:$O9)</f>
        <v>2.2297672274819664</v>
      </c>
      <c r="R9" s="7">
        <f>R8+Q9</f>
        <v>2.2297672274819664</v>
      </c>
      <c r="S9" s="7">
        <f t="shared" si="7"/>
        <v>5.51494028482524</v>
      </c>
      <c r="T9" s="172">
        <f>Q9*AVERAGE(S8:S9)</f>
        <v>12.413151635726225</v>
      </c>
      <c r="U9" s="16">
        <f>U8+T9</f>
        <v>12.413151635726225</v>
      </c>
      <c r="V9" s="16">
        <f t="shared" si="8"/>
        <v>886.97358884182415</v>
      </c>
      <c r="W9" s="172">
        <f t="shared" ref="W9:W40" si="12">AVERAGE(V8:V9)*Q9</f>
        <v>2003.4921835128239</v>
      </c>
      <c r="X9" s="16">
        <f t="shared" ref="X9:X40" si="13">X8+W9</f>
        <v>2003.4921835128239</v>
      </c>
      <c r="Y9" s="7">
        <f t="shared" ref="Y9:Y58" si="14">X9/6076.4</f>
        <v>0.32971696786136923</v>
      </c>
    </row>
    <row r="10" spans="2:25">
      <c r="B10" s="120">
        <v>2000</v>
      </c>
      <c r="C10" s="7" cm="1">
        <f t="array" ref="C10">Linterp(B10,atmos_h,atmos_aspeed)</f>
        <v>1108.7475268516198</v>
      </c>
      <c r="D10" s="7" cm="1">
        <f t="array" ref="D10">Linterp(B10,atmos_h,atmos_qms)</f>
        <v>1377.3756937914036</v>
      </c>
      <c r="E10" s="16">
        <f t="shared" si="0"/>
        <v>592.56209079065127</v>
      </c>
      <c r="F10" s="11">
        <v>0.90207999999999999</v>
      </c>
      <c r="G10" s="7">
        <f t="shared" si="1"/>
        <v>1000.1789690223092</v>
      </c>
      <c r="H10" s="121">
        <f t="shared" si="9"/>
        <v>9987.5868483642735</v>
      </c>
      <c r="I10" s="19">
        <f t="shared" si="2"/>
        <v>5.241663345346715E-2</v>
      </c>
      <c r="J10" s="11">
        <f t="shared" si="3"/>
        <v>1.6712994714501602E-2</v>
      </c>
      <c r="K10" s="12">
        <f t="shared" si="4"/>
        <v>3184.5327562962093</v>
      </c>
      <c r="L10" s="12">
        <f t="shared" si="5"/>
        <v>7427.4171388179866</v>
      </c>
      <c r="M10" s="321">
        <f t="shared" ref="M10:M58" si="15">(L10-K10)*G10/H10</f>
        <v>424.89179737010193</v>
      </c>
      <c r="N10" s="320">
        <f t="shared" ref="N10:N58" si="16">(G10-G9)/(B10-B9)</f>
        <v>-2.8793293409199805E-3</v>
      </c>
      <c r="O10" s="170">
        <f t="shared" ref="O10:O58" si="17">M10/(1+(G10/32.174)*N10)</f>
        <v>466.66198516518301</v>
      </c>
      <c r="P10" s="7">
        <f t="shared" si="6"/>
        <v>27.812426618228535</v>
      </c>
      <c r="Q10" s="176">
        <f t="shared" ref="Q10:Q57" si="18">(B10-B9)/AVERAGE($O9:$O10)</f>
        <v>2.138882835549659</v>
      </c>
      <c r="R10" s="7">
        <f t="shared" ref="R10:R58" si="19">R9+Q10</f>
        <v>4.368650063031625</v>
      </c>
      <c r="S10" s="7">
        <f t="shared" si="7"/>
        <v>5.4108094414682482</v>
      </c>
      <c r="T10" s="172">
        <f t="shared" ref="T10:T58" si="20">Q10*AVERAGE(S9:S10)</f>
        <v>11.684449277540264</v>
      </c>
      <c r="U10" s="16">
        <f t="shared" ref="U10:U58" si="21">U9+T10</f>
        <v>24.09760091326649</v>
      </c>
      <c r="V10" s="16">
        <f t="shared" si="8"/>
        <v>884.63809644182732</v>
      </c>
      <c r="W10" s="172">
        <f t="shared" si="12"/>
        <v>1894.6349124562032</v>
      </c>
      <c r="X10" s="16">
        <f t="shared" si="13"/>
        <v>3898.1270959690273</v>
      </c>
      <c r="Y10" s="7">
        <f t="shared" si="14"/>
        <v>0.64151917187298857</v>
      </c>
    </row>
    <row r="11" spans="2:25">
      <c r="B11" s="120">
        <v>3000</v>
      </c>
      <c r="C11" s="7" cm="1">
        <f t="array" ref="C11">Linterp(B11,atmos_h,atmos_aspeed)</f>
        <v>1104.8761542360191</v>
      </c>
      <c r="D11" s="7" cm="1">
        <f t="array" ref="D11">Linterp(B11,atmos_h,atmos_qms)</f>
        <v>1327.6498704479548</v>
      </c>
      <c r="E11" s="16">
        <f t="shared" si="0"/>
        <v>590.84654262580739</v>
      </c>
      <c r="F11" s="11">
        <v>0.90261999999999998</v>
      </c>
      <c r="G11" s="7">
        <f t="shared" si="1"/>
        <v>997.28331433651556</v>
      </c>
      <c r="H11" s="121">
        <f t="shared" si="9"/>
        <v>9975.9023990867336</v>
      </c>
      <c r="I11" s="11">
        <f t="shared" si="2"/>
        <v>5.4251257366745853E-2</v>
      </c>
      <c r="J11" s="11">
        <f t="shared" si="3"/>
        <v>1.67497765342925E-2</v>
      </c>
      <c r="K11" s="12">
        <f t="shared" si="4"/>
        <v>3080.0048519251122</v>
      </c>
      <c r="L11" s="12">
        <f t="shared" si="5"/>
        <v>7309.9856495749455</v>
      </c>
      <c r="M11" s="321">
        <f t="shared" si="15"/>
        <v>422.86793722503091</v>
      </c>
      <c r="N11" s="320">
        <f t="shared" si="16"/>
        <v>-2.8956546857936017E-3</v>
      </c>
      <c r="O11" s="170">
        <f t="shared" si="17"/>
        <v>464.56513596797919</v>
      </c>
      <c r="P11" s="7">
        <f t="shared" si="6"/>
        <v>27.763993636576142</v>
      </c>
      <c r="Q11" s="176">
        <f t="shared" si="18"/>
        <v>2.1477037713058693</v>
      </c>
      <c r="R11" s="7">
        <f t="shared" si="19"/>
        <v>6.5163538343374938</v>
      </c>
      <c r="S11" s="7">
        <f t="shared" si="7"/>
        <v>5.3067008032623599</v>
      </c>
      <c r="T11" s="172">
        <f t="shared" si="20"/>
        <v>11.509018585808608</v>
      </c>
      <c r="U11" s="16">
        <f t="shared" si="21"/>
        <v>35.606619499075094</v>
      </c>
      <c r="V11" s="16">
        <f t="shared" si="8"/>
        <v>882.46996747599201</v>
      </c>
      <c r="W11" s="172">
        <f t="shared" si="12"/>
        <v>1897.6123265906569</v>
      </c>
      <c r="X11" s="16">
        <f t="shared" si="13"/>
        <v>5795.7394225596845</v>
      </c>
      <c r="Y11" s="7">
        <f t="shared" si="14"/>
        <v>0.95381137228617019</v>
      </c>
    </row>
    <row r="12" spans="2:25">
      <c r="B12" s="120">
        <v>4000</v>
      </c>
      <c r="C12" s="7" cm="1">
        <f t="array" ref="C12">Linterp(B12,atmos_h,atmos_aspeed)</f>
        <v>1100.9911689469482</v>
      </c>
      <c r="D12" s="7" cm="1">
        <f t="array" ref="D12">Linterp(B12,atmos_h,atmos_qms)</f>
        <v>1279.3877901163921</v>
      </c>
      <c r="E12" s="16">
        <f t="shared" si="0"/>
        <v>589.12123344843201</v>
      </c>
      <c r="F12" s="11">
        <v>0.90315999999999996</v>
      </c>
      <c r="G12" s="7">
        <f t="shared" si="1"/>
        <v>994.37118414612564</v>
      </c>
      <c r="H12" s="121">
        <f t="shared" si="9"/>
        <v>9964.3933805009256</v>
      </c>
      <c r="I12" s="11">
        <f t="shared" si="2"/>
        <v>5.6165593403681491E-2</v>
      </c>
      <c r="J12" s="11">
        <f t="shared" si="3"/>
        <v>1.6787573893262166E-2</v>
      </c>
      <c r="K12" s="12">
        <f t="shared" si="4"/>
        <v>2978.3000595116487</v>
      </c>
      <c r="L12" s="12">
        <f t="shared" si="5"/>
        <v>7192.594121230547</v>
      </c>
      <c r="M12" s="321">
        <f t="shared" si="15"/>
        <v>420.55471080576103</v>
      </c>
      <c r="N12" s="320">
        <f t="shared" si="16"/>
        <v>-2.9121301903899167E-3</v>
      </c>
      <c r="O12" s="170">
        <f t="shared" si="17"/>
        <v>462.14927051607128</v>
      </c>
      <c r="P12" s="7">
        <f t="shared" si="6"/>
        <v>27.695036903450955</v>
      </c>
      <c r="Q12" s="176">
        <f t="shared" si="18"/>
        <v>2.1581621975512277</v>
      </c>
      <c r="R12" s="7">
        <f t="shared" si="19"/>
        <v>8.6745160318887216</v>
      </c>
      <c r="S12" s="7">
        <f t="shared" si="7"/>
        <v>5.2026143702075727</v>
      </c>
      <c r="T12" s="172">
        <f t="shared" si="20"/>
        <v>11.340403364767166</v>
      </c>
      <c r="U12" s="16">
        <f t="shared" si="21"/>
        <v>46.947022863842264</v>
      </c>
      <c r="V12" s="16">
        <f t="shared" si="8"/>
        <v>880.44994384782103</v>
      </c>
      <c r="W12" s="172">
        <f t="shared" si="12"/>
        <v>1902.3335549647079</v>
      </c>
      <c r="X12" s="16">
        <f t="shared" si="13"/>
        <v>7698.0729775243926</v>
      </c>
      <c r="Y12" s="7">
        <f t="shared" si="14"/>
        <v>1.266880550576722</v>
      </c>
    </row>
    <row r="13" spans="2:25">
      <c r="B13" s="120">
        <v>5000</v>
      </c>
      <c r="C13" s="7" cm="1">
        <f t="array" ref="C13">Linterp(B13,atmos_h,atmos_aspeed)</f>
        <v>1097.0924263702484</v>
      </c>
      <c r="D13" s="7" cm="1">
        <f t="array" ref="D13">Linterp(B13,atmos_h,atmos_qms)</f>
        <v>1232.5562587425445</v>
      </c>
      <c r="E13" s="16">
        <f t="shared" si="0"/>
        <v>587.38607276658161</v>
      </c>
      <c r="F13" s="11">
        <v>0.90369999999999995</v>
      </c>
      <c r="G13" s="7">
        <f t="shared" si="1"/>
        <v>991.44242571079337</v>
      </c>
      <c r="H13" s="121">
        <f t="shared" si="9"/>
        <v>9953.052977136158</v>
      </c>
      <c r="I13" s="11">
        <f t="shared" si="2"/>
        <v>5.8163707056458409E-2</v>
      </c>
      <c r="J13" s="11">
        <f t="shared" si="3"/>
        <v>1.6826438737491917E-2</v>
      </c>
      <c r="K13" s="12">
        <f t="shared" si="4"/>
        <v>2879.3631741565032</v>
      </c>
      <c r="L13" s="12">
        <f t="shared" si="5"/>
        <v>7075.242553784793</v>
      </c>
      <c r="M13" s="321">
        <f t="shared" si="15"/>
        <v>417.95947833139542</v>
      </c>
      <c r="N13" s="320">
        <f t="shared" si="16"/>
        <v>-2.9287584353322699E-3</v>
      </c>
      <c r="O13" s="170">
        <f t="shared" si="17"/>
        <v>459.42221731709077</v>
      </c>
      <c r="P13" s="7">
        <f t="shared" si="6"/>
        <v>27.605926053179466</v>
      </c>
      <c r="Q13" s="176">
        <f t="shared" si="18"/>
        <v>2.1702060300308168</v>
      </c>
      <c r="R13" s="7">
        <f t="shared" si="19"/>
        <v>10.844722061919539</v>
      </c>
      <c r="S13" s="7">
        <f t="shared" si="7"/>
        <v>5.0985501423038873</v>
      </c>
      <c r="T13" s="172">
        <f t="shared" si="20"/>
        <v>11.177824670695914</v>
      </c>
      <c r="U13" s="16">
        <f t="shared" si="21"/>
        <v>58.124847534538176</v>
      </c>
      <c r="V13" s="16">
        <f t="shared" si="8"/>
        <v>878.57231332130527</v>
      </c>
      <c r="W13" s="172">
        <f t="shared" si="12"/>
        <v>1908.7203547334279</v>
      </c>
      <c r="X13" s="16">
        <f t="shared" si="13"/>
        <v>9606.793332257821</v>
      </c>
      <c r="Y13" s="7">
        <f t="shared" si="14"/>
        <v>1.5810008117072316</v>
      </c>
    </row>
    <row r="14" spans="2:25">
      <c r="B14" s="120">
        <v>6000</v>
      </c>
      <c r="C14" s="7" cm="1">
        <f t="array" ref="C14">Linterp(B14,atmos_h,atmos_aspeed)</f>
        <v>1093.1797793129685</v>
      </c>
      <c r="D14" s="7" cm="1">
        <f t="array" ref="D14">Linterp(B14,atmos_h,atmos_qms)</f>
        <v>1187.1226075219445</v>
      </c>
      <c r="E14" s="16">
        <f t="shared" si="0"/>
        <v>585.66687496110728</v>
      </c>
      <c r="F14" s="11">
        <v>0.90427999999999997</v>
      </c>
      <c r="G14" s="7">
        <f t="shared" si="1"/>
        <v>988.54061083713123</v>
      </c>
      <c r="H14" s="121">
        <f t="shared" si="9"/>
        <v>9941.8751524654617</v>
      </c>
      <c r="I14" s="11">
        <f t="shared" si="2"/>
        <v>6.0244576624188695E-2</v>
      </c>
      <c r="J14" s="11">
        <f t="shared" si="3"/>
        <v>1.6867370899404537E-2</v>
      </c>
      <c r="K14" s="12">
        <f t="shared" si="4"/>
        <v>2783.5417730345325</v>
      </c>
      <c r="L14" s="12">
        <f t="shared" si="5"/>
        <v>6954.5236335317686</v>
      </c>
      <c r="M14" s="321">
        <f t="shared" si="15"/>
        <v>414.72910220000432</v>
      </c>
      <c r="N14" s="320">
        <f t="shared" si="16"/>
        <v>-2.9018148736621469E-3</v>
      </c>
      <c r="O14" s="170">
        <f t="shared" si="17"/>
        <v>455.32484670108067</v>
      </c>
      <c r="P14" s="7">
        <f t="shared" si="6"/>
        <v>27.426029782221573</v>
      </c>
      <c r="Q14" s="176">
        <f t="shared" si="18"/>
        <v>2.1863967414278251</v>
      </c>
      <c r="R14" s="7">
        <f t="shared" si="19"/>
        <v>13.031118803347365</v>
      </c>
      <c r="S14" s="7">
        <f t="shared" si="7"/>
        <v>4.9948204633938209</v>
      </c>
      <c r="T14" s="172">
        <f t="shared" si="20"/>
        <v>11.034056301160431</v>
      </c>
      <c r="U14" s="16">
        <f t="shared" si="21"/>
        <v>69.158903835698609</v>
      </c>
      <c r="V14" s="16">
        <f t="shared" si="8"/>
        <v>877.4347971506977</v>
      </c>
      <c r="W14" s="172">
        <f t="shared" si="12"/>
        <v>1919.664112130039</v>
      </c>
      <c r="X14" s="16">
        <f t="shared" si="13"/>
        <v>11526.457444387859</v>
      </c>
      <c r="Y14" s="7">
        <f t="shared" si="14"/>
        <v>1.8969220993331348</v>
      </c>
    </row>
    <row r="15" spans="2:25">
      <c r="B15" s="120">
        <v>7000</v>
      </c>
      <c r="C15" s="7" cm="1">
        <f t="array" ref="C15">Linterp(B15,atmos_h,atmos_aspeed)</f>
        <v>1089.2530779385215</v>
      </c>
      <c r="D15" s="7" cm="1">
        <f t="array" ref="D15">Linterp(B15,atmos_h,atmos_qms)</f>
        <v>1143.0546882395377</v>
      </c>
      <c r="E15" s="16">
        <f t="shared" si="0"/>
        <v>583.9374538168031</v>
      </c>
      <c r="F15" s="11">
        <v>0.90486</v>
      </c>
      <c r="G15" s="7">
        <f t="shared" si="1"/>
        <v>985.62154010345057</v>
      </c>
      <c r="H15" s="121">
        <f t="shared" si="9"/>
        <v>9930.8410961643021</v>
      </c>
      <c r="I15" s="11">
        <f t="shared" si="2"/>
        <v>6.2417636758590675E-2</v>
      </c>
      <c r="J15" s="11">
        <f t="shared" si="3"/>
        <v>1.6909478971731479E-2</v>
      </c>
      <c r="K15" s="12">
        <f t="shared" si="4"/>
        <v>2690.3509553985978</v>
      </c>
      <c r="L15" s="12">
        <f t="shared" si="5"/>
        <v>6833.8217667117615</v>
      </c>
      <c r="M15" s="321">
        <f t="shared" si="15"/>
        <v>411.23345373007146</v>
      </c>
      <c r="N15" s="320">
        <f t="shared" si="16"/>
        <v>-2.9190707336806555E-3</v>
      </c>
      <c r="O15" s="170">
        <f t="shared" si="17"/>
        <v>451.6185905392947</v>
      </c>
      <c r="P15" s="7">
        <f t="shared" si="6"/>
        <v>27.271462436365848</v>
      </c>
      <c r="Q15" s="176">
        <f t="shared" si="18"/>
        <v>2.2052091871192645</v>
      </c>
      <c r="R15" s="7">
        <f t="shared" si="19"/>
        <v>15.236327990466629</v>
      </c>
      <c r="S15" s="7">
        <f t="shared" si="7"/>
        <v>4.8910950903917287</v>
      </c>
      <c r="T15" s="172">
        <f t="shared" si="20"/>
        <v>10.900255901146563</v>
      </c>
      <c r="U15" s="16">
        <f t="shared" si="21"/>
        <v>80.059159736845174</v>
      </c>
      <c r="V15" s="16">
        <f t="shared" si="8"/>
        <v>876.06533374811647</v>
      </c>
      <c r="W15" s="172">
        <f t="shared" si="12"/>
        <v>1933.4172991364489</v>
      </c>
      <c r="X15" s="16">
        <f t="shared" si="13"/>
        <v>13459.874743524308</v>
      </c>
      <c r="Y15" s="7">
        <f t="shared" si="14"/>
        <v>2.2151067644533455</v>
      </c>
    </row>
    <row r="16" spans="2:25">
      <c r="B16" s="120">
        <v>8000</v>
      </c>
      <c r="C16" s="7" cm="1">
        <f t="array" ref="C16">Linterp(B16,atmos_h,atmos_aspeed)</f>
        <v>1085.3121696997296</v>
      </c>
      <c r="D16" s="7" cm="1">
        <f t="array" ref="D16">Linterp(B16,atmos_h,atmos_qms)</f>
        <v>1100.320868617878</v>
      </c>
      <c r="E16" s="16">
        <f t="shared" si="0"/>
        <v>582.19771301404182</v>
      </c>
      <c r="F16" s="11">
        <v>0.90544000000000002</v>
      </c>
      <c r="G16" s="7">
        <f t="shared" si="1"/>
        <v>982.68505093292322</v>
      </c>
      <c r="H16" s="121">
        <f t="shared" si="9"/>
        <v>9919.9408402631561</v>
      </c>
      <c r="I16" s="11">
        <f t="shared" si="2"/>
        <v>6.4687662445513577E-2</v>
      </c>
      <c r="J16" s="11">
        <f t="shared" si="3"/>
        <v>1.6952824051231989E-2</v>
      </c>
      <c r="K16" s="12">
        <f t="shared" si="4"/>
        <v>2599.7385792887803</v>
      </c>
      <c r="L16" s="12">
        <f t="shared" si="5"/>
        <v>6713.1369533247744</v>
      </c>
      <c r="M16" s="321">
        <f t="shared" si="15"/>
        <v>407.47975777139152</v>
      </c>
      <c r="N16" s="320">
        <f t="shared" si="16"/>
        <v>-2.9364891705273522E-3</v>
      </c>
      <c r="O16" s="170">
        <f t="shared" si="17"/>
        <v>447.62682244983006</v>
      </c>
      <c r="P16" s="7">
        <f t="shared" si="6"/>
        <v>27.09801235197488</v>
      </c>
      <c r="Q16" s="176">
        <f t="shared" si="18"/>
        <v>2.2240869634818892</v>
      </c>
      <c r="R16" s="7">
        <f t="shared" si="19"/>
        <v>17.460414953948519</v>
      </c>
      <c r="S16" s="7">
        <f t="shared" si="7"/>
        <v>4.7873740232976116</v>
      </c>
      <c r="T16" s="172">
        <f t="shared" si="20"/>
        <v>10.762878491109289</v>
      </c>
      <c r="U16" s="16">
        <f t="shared" si="21"/>
        <v>90.822038227954465</v>
      </c>
      <c r="V16" s="16">
        <f t="shared" si="8"/>
        <v>874.8143443900027</v>
      </c>
      <c r="W16" s="172">
        <f t="shared" si="12"/>
        <v>1947.0543333861785</v>
      </c>
      <c r="X16" s="16">
        <f t="shared" si="13"/>
        <v>15406.929076910486</v>
      </c>
      <c r="Y16" s="7">
        <f t="shared" si="14"/>
        <v>2.5355356916777181</v>
      </c>
    </row>
    <row r="17" spans="2:25">
      <c r="B17" s="120">
        <v>9000</v>
      </c>
      <c r="C17" s="7" cm="1">
        <f t="array" ref="C17">Linterp(B17,atmos_h,atmos_aspeed)</f>
        <v>1081.3568992696751</v>
      </c>
      <c r="D17" s="7" cm="1">
        <f t="array" ref="D17">Linterp(B17,atmos_h,atmos_qms)</f>
        <v>1058.8900276738709</v>
      </c>
      <c r="E17" s="16">
        <f t="shared" si="0"/>
        <v>580.44755453141988</v>
      </c>
      <c r="F17" s="11">
        <v>0.90602000000000005</v>
      </c>
      <c r="G17" s="7">
        <f t="shared" si="1"/>
        <v>979.73097787631104</v>
      </c>
      <c r="H17" s="121">
        <f t="shared" si="9"/>
        <v>9909.1779617720476</v>
      </c>
      <c r="I17" s="11">
        <f t="shared" si="2"/>
        <v>6.7059803909610929E-2</v>
      </c>
      <c r="J17" s="11">
        <f t="shared" si="3"/>
        <v>1.6997472029358779E-2</v>
      </c>
      <c r="K17" s="12">
        <f t="shared" si="4"/>
        <v>2511.6532620075182</v>
      </c>
      <c r="L17" s="12">
        <f t="shared" si="5"/>
        <v>6592.4691933708054</v>
      </c>
      <c r="M17" s="321">
        <f t="shared" si="15"/>
        <v>403.47461700574871</v>
      </c>
      <c r="N17" s="320">
        <f t="shared" si="16"/>
        <v>-2.9540730566121739E-3</v>
      </c>
      <c r="O17" s="170">
        <f t="shared" si="17"/>
        <v>443.35654431565604</v>
      </c>
      <c r="P17" s="7">
        <f t="shared" si="6"/>
        <v>26.906049227654314</v>
      </c>
      <c r="Q17" s="176">
        <f t="shared" si="18"/>
        <v>2.244710815714269</v>
      </c>
      <c r="R17" s="7">
        <f t="shared" si="19"/>
        <v>19.705125769662786</v>
      </c>
      <c r="S17" s="7">
        <f t="shared" si="7"/>
        <v>4.6836572621114696</v>
      </c>
      <c r="T17" s="172">
        <f t="shared" si="20"/>
        <v>10.629863181162991</v>
      </c>
      <c r="U17" s="16">
        <f t="shared" si="21"/>
        <v>101.45190140911745</v>
      </c>
      <c r="V17" s="16">
        <f t="shared" si="8"/>
        <v>873.67486150338118</v>
      </c>
      <c r="W17" s="172">
        <f t="shared" si="12"/>
        <v>1962.426315814266</v>
      </c>
      <c r="X17" s="16">
        <f t="shared" si="13"/>
        <v>17369.355392724752</v>
      </c>
      <c r="Y17" s="7">
        <f t="shared" si="14"/>
        <v>2.8584944033843644</v>
      </c>
    </row>
    <row r="18" spans="2:25">
      <c r="B18" s="120">
        <v>10000</v>
      </c>
      <c r="C18" s="7" cm="1">
        <f t="array" ref="C18">Linterp(B18,atmos_h,atmos_aspeed)</f>
        <v>1077.3871084702648</v>
      </c>
      <c r="D18" s="7" cm="1">
        <f t="array" ref="D18">Linterp(B18,atmos_h,atmos_qms)</f>
        <v>1018.7315510840876</v>
      </c>
      <c r="E18" s="16">
        <f t="shared" si="0"/>
        <v>578.68687860261207</v>
      </c>
      <c r="F18" s="11">
        <v>0.90659999999999996</v>
      </c>
      <c r="G18" s="7">
        <f t="shared" si="1"/>
        <v>976.75915253914206</v>
      </c>
      <c r="H18" s="121">
        <f t="shared" si="9"/>
        <v>9898.5480985908853</v>
      </c>
      <c r="I18" s="11">
        <f t="shared" si="2"/>
        <v>6.9539472189000931E-2</v>
      </c>
      <c r="J18" s="11">
        <f t="shared" si="3"/>
        <v>1.7043492152163647E-2</v>
      </c>
      <c r="K18" s="12">
        <f t="shared" si="4"/>
        <v>2426.0441088425796</v>
      </c>
      <c r="L18" s="12">
        <f t="shared" si="5"/>
        <v>6471.8184868498538</v>
      </c>
      <c r="M18" s="321">
        <f t="shared" si="15"/>
        <v>399.22492808713162</v>
      </c>
      <c r="N18" s="320">
        <f t="shared" si="16"/>
        <v>-2.9718253371689798E-3</v>
      </c>
      <c r="O18" s="170">
        <f t="shared" si="17"/>
        <v>438.815088877883</v>
      </c>
      <c r="P18" s="7">
        <f t="shared" si="6"/>
        <v>26.69597145305713</v>
      </c>
      <c r="Q18" s="176">
        <f t="shared" si="18"/>
        <v>2.2671325224546428</v>
      </c>
      <c r="R18" s="7">
        <f t="shared" si="19"/>
        <v>21.972258292117427</v>
      </c>
      <c r="S18" s="7">
        <f t="shared" si="7"/>
        <v>4.5799448068333026</v>
      </c>
      <c r="T18" s="172">
        <f t="shared" si="20"/>
        <v>10.500906762791404</v>
      </c>
      <c r="U18" s="16">
        <f t="shared" si="21"/>
        <v>111.95280817190886</v>
      </c>
      <c r="V18" s="16">
        <f t="shared" si="8"/>
        <v>872.63953602967047</v>
      </c>
      <c r="W18" s="172">
        <f t="shared" si="12"/>
        <v>1979.5630825389837</v>
      </c>
      <c r="X18" s="16">
        <f t="shared" si="13"/>
        <v>19348.918475263737</v>
      </c>
      <c r="Y18" s="7">
        <f t="shared" si="14"/>
        <v>3.1842733321150249</v>
      </c>
    </row>
    <row r="19" spans="2:25">
      <c r="B19" s="120">
        <v>11000</v>
      </c>
      <c r="C19" s="7" cm="1">
        <f t="array" ref="C19">Linterp(B19,atmos_h,atmos_aspeed)</f>
        <v>1073.4026361984163</v>
      </c>
      <c r="D19" s="7" cm="1">
        <f t="array" ref="D19">Linterp(B19,atmos_h,atmos_qms)</f>
        <v>979.81532655871706</v>
      </c>
      <c r="E19" s="16">
        <f t="shared" si="0"/>
        <v>576.94102142764439</v>
      </c>
      <c r="F19" s="11">
        <v>0.90721999999999992</v>
      </c>
      <c r="G19" s="7">
        <f t="shared" si="1"/>
        <v>973.8123396119272</v>
      </c>
      <c r="H19" s="121">
        <f t="shared" si="9"/>
        <v>9888.0471918280946</v>
      </c>
      <c r="I19" s="11">
        <f t="shared" si="2"/>
        <v>7.2126050046558143E-2</v>
      </c>
      <c r="J19" s="11">
        <f t="shared" si="3"/>
        <v>1.7091891980993312E-2</v>
      </c>
      <c r="K19" s="12">
        <f t="shared" si="4"/>
        <v>2343.1954806425033</v>
      </c>
      <c r="L19" s="12">
        <f t="shared" si="5"/>
        <v>6327.6111610399266</v>
      </c>
      <c r="M19" s="321">
        <f t="shared" si="15"/>
        <v>392.40034765620072</v>
      </c>
      <c r="N19" s="320">
        <f t="shared" si="16"/>
        <v>-2.9468129272148644E-3</v>
      </c>
      <c r="O19" s="170">
        <f t="shared" si="17"/>
        <v>430.82633396355851</v>
      </c>
      <c r="P19" s="7">
        <f t="shared" si="6"/>
        <v>26.257882321894691</v>
      </c>
      <c r="Q19" s="176">
        <f t="shared" si="18"/>
        <v>2.2997984542471048</v>
      </c>
      <c r="R19" s="7">
        <f t="shared" si="19"/>
        <v>24.272056746364534</v>
      </c>
      <c r="S19" s="7">
        <f t="shared" si="7"/>
        <v>4.4627460130304053</v>
      </c>
      <c r="T19" s="172">
        <f t="shared" si="20"/>
        <v>10.398183184878521</v>
      </c>
      <c r="U19" s="16">
        <f t="shared" si="21"/>
        <v>122.35099135678738</v>
      </c>
      <c r="V19" s="16">
        <f t="shared" si="8"/>
        <v>873.32648118786358</v>
      </c>
      <c r="W19" s="172">
        <f t="shared" si="12"/>
        <v>2007.6849737824293</v>
      </c>
      <c r="X19" s="16">
        <f t="shared" si="13"/>
        <v>21356.603449046168</v>
      </c>
      <c r="Y19" s="7">
        <f t="shared" si="14"/>
        <v>3.5146803121990273</v>
      </c>
    </row>
    <row r="20" spans="2:25">
      <c r="B20" s="120">
        <v>12000</v>
      </c>
      <c r="C20" s="7" cm="1">
        <f t="array" ref="C20">Linterp(B20,atmos_h,atmos_aspeed)</f>
        <v>1069.4033183497709</v>
      </c>
      <c r="D20" s="7" cm="1">
        <f t="array" ref="D20">Linterp(B20,atmos_h,atmos_qms)</f>
        <v>942.11173922419323</v>
      </c>
      <c r="E20" s="16">
        <f t="shared" si="0"/>
        <v>575.18425230570097</v>
      </c>
      <c r="F20" s="11">
        <v>0.90783999999999987</v>
      </c>
      <c r="G20" s="7">
        <f t="shared" si="1"/>
        <v>970.84710853065587</v>
      </c>
      <c r="H20" s="121">
        <f t="shared" si="9"/>
        <v>9877.6490086432168</v>
      </c>
      <c r="I20" s="11">
        <f t="shared" si="2"/>
        <v>7.4831357707089291E-2</v>
      </c>
      <c r="J20" s="11">
        <f t="shared" si="3"/>
        <v>1.7141808496331439E-2</v>
      </c>
      <c r="K20" s="12">
        <f t="shared" si="4"/>
        <v>2262.6980571822392</v>
      </c>
      <c r="L20" s="12">
        <f t="shared" si="5"/>
        <v>6183.3687233897854</v>
      </c>
      <c r="M20" s="321">
        <f t="shared" si="15"/>
        <v>385.35199787498783</v>
      </c>
      <c r="N20" s="320">
        <f t="shared" si="16"/>
        <v>-2.9652310812713269E-3</v>
      </c>
      <c r="O20" s="170">
        <f t="shared" si="17"/>
        <v>423.21981975203317</v>
      </c>
      <c r="P20" s="7">
        <f t="shared" si="6"/>
        <v>25.844383680711474</v>
      </c>
      <c r="Q20" s="176">
        <f t="shared" si="18"/>
        <v>2.3417938144195727</v>
      </c>
      <c r="R20" s="7">
        <f t="shared" si="19"/>
        <v>26.613850560784108</v>
      </c>
      <c r="S20" s="7">
        <f t="shared" si="7"/>
        <v>4.3455141416997192</v>
      </c>
      <c r="T20" s="172">
        <f t="shared" si="20"/>
        <v>10.313564573072696</v>
      </c>
      <c r="U20" s="16">
        <f t="shared" si="21"/>
        <v>132.66455592986006</v>
      </c>
      <c r="V20" s="16">
        <f t="shared" si="8"/>
        <v>873.74429458016584</v>
      </c>
      <c r="W20" s="172">
        <f t="shared" si="12"/>
        <v>2045.6397680233877</v>
      </c>
      <c r="X20" s="16">
        <f t="shared" si="13"/>
        <v>23402.243217069554</v>
      </c>
      <c r="Y20" s="7">
        <f t="shared" si="14"/>
        <v>3.8513335555706596</v>
      </c>
    </row>
    <row r="21" spans="2:25">
      <c r="B21" s="120">
        <v>13000</v>
      </c>
      <c r="C21" s="7" cm="1">
        <f t="array" ref="C21">Linterp(B21,atmos_h,atmos_aspeed)</f>
        <v>1065.3889877398271</v>
      </c>
      <c r="D21" s="7" cm="1">
        <f t="array" ref="D21">Linterp(B21,atmos_h,atmos_qms)</f>
        <v>905.59166701454205</v>
      </c>
      <c r="E21" s="16">
        <f t="shared" si="0"/>
        <v>573.41646489494497</v>
      </c>
      <c r="F21" s="11">
        <v>0.90845999999999982</v>
      </c>
      <c r="G21" s="7">
        <f t="shared" si="1"/>
        <v>967.8632798021232</v>
      </c>
      <c r="H21" s="121">
        <f t="shared" si="9"/>
        <v>9867.3354440701441</v>
      </c>
      <c r="I21" s="11">
        <f t="shared" si="2"/>
        <v>7.7661707307713476E-2</v>
      </c>
      <c r="J21" s="11">
        <f t="shared" si="3"/>
        <v>1.71933226022963E-2</v>
      </c>
      <c r="K21" s="12">
        <f t="shared" si="4"/>
        <v>2184.5036298618752</v>
      </c>
      <c r="L21" s="12">
        <f t="shared" si="5"/>
        <v>6039.0911738994282</v>
      </c>
      <c r="M21" s="321">
        <f t="shared" si="15"/>
        <v>378.08725200465335</v>
      </c>
      <c r="N21" s="320">
        <f t="shared" si="16"/>
        <v>-2.9838287285326713E-3</v>
      </c>
      <c r="O21" s="170">
        <f t="shared" si="17"/>
        <v>415.37094860393506</v>
      </c>
      <c r="P21" s="7">
        <f t="shared" si="6"/>
        <v>25.414443247197617</v>
      </c>
      <c r="Q21" s="176">
        <f t="shared" si="18"/>
        <v>2.3849535142402525</v>
      </c>
      <c r="R21" s="7">
        <f t="shared" si="19"/>
        <v>28.99880407502436</v>
      </c>
      <c r="S21" s="7">
        <f t="shared" si="7"/>
        <v>4.2282491928412442</v>
      </c>
      <c r="T21" s="172">
        <f t="shared" si="20"/>
        <v>10.224013497488848</v>
      </c>
      <c r="U21" s="16">
        <f t="shared" si="21"/>
        <v>142.8885694273489</v>
      </c>
      <c r="V21" s="16">
        <f t="shared" si="8"/>
        <v>874.2003794583884</v>
      </c>
      <c r="W21" s="172">
        <f t="shared" si="12"/>
        <v>2084.3833965228914</v>
      </c>
      <c r="X21" s="16">
        <f t="shared" si="13"/>
        <v>25486.626613592445</v>
      </c>
      <c r="Y21" s="7">
        <f t="shared" si="14"/>
        <v>4.1943628815733733</v>
      </c>
    </row>
    <row r="22" spans="2:25">
      <c r="B22" s="120">
        <v>14000</v>
      </c>
      <c r="C22" s="7" cm="1">
        <f t="array" ref="C22">Linterp(B22,atmos_h,atmos_aspeed)</f>
        <v>1061.3594740223903</v>
      </c>
      <c r="D22" s="7" cm="1">
        <f t="array" ref="D22">Linterp(B22,atmos_h,atmos_qms)</f>
        <v>870.22647607150509</v>
      </c>
      <c r="E22" s="16">
        <f t="shared" si="0"/>
        <v>571.63755090504037</v>
      </c>
      <c r="F22" s="11">
        <v>0.90907999999999978</v>
      </c>
      <c r="G22" s="7">
        <f t="shared" si="1"/>
        <v>964.86067064427425</v>
      </c>
      <c r="H22" s="121">
        <f t="shared" si="9"/>
        <v>9857.1114305726551</v>
      </c>
      <c r="I22" s="11">
        <f t="shared" si="2"/>
        <v>8.0623982340684394E-2</v>
      </c>
      <c r="J22" s="11">
        <f t="shared" si="3"/>
        <v>1.7246522506290884E-2</v>
      </c>
      <c r="K22" s="12">
        <f t="shared" si="4"/>
        <v>2108.5648364035569</v>
      </c>
      <c r="L22" s="12">
        <f t="shared" si="5"/>
        <v>5894.7785125688561</v>
      </c>
      <c r="M22" s="321">
        <f t="shared" si="15"/>
        <v>370.61249560969407</v>
      </c>
      <c r="N22" s="320">
        <f t="shared" si="16"/>
        <v>-3.0026091578489512E-3</v>
      </c>
      <c r="O22" s="170">
        <f t="shared" si="17"/>
        <v>407.28650315740197</v>
      </c>
      <c r="P22" s="7">
        <f t="shared" si="6"/>
        <v>24.968472829380755</v>
      </c>
      <c r="Q22" s="176">
        <f t="shared" si="18"/>
        <v>2.4311455463242124</v>
      </c>
      <c r="R22" s="7">
        <f t="shared" si="19"/>
        <v>31.429949621348573</v>
      </c>
      <c r="S22" s="7">
        <f t="shared" si="7"/>
        <v>4.1109511664549814</v>
      </c>
      <c r="T22" s="172">
        <f t="shared" si="20"/>
        <v>10.136904906704144</v>
      </c>
      <c r="U22" s="16">
        <f t="shared" si="21"/>
        <v>153.02547433405303</v>
      </c>
      <c r="V22" s="16">
        <f t="shared" si="8"/>
        <v>874.68498220898607</v>
      </c>
      <c r="W22" s="172">
        <f t="shared" si="12"/>
        <v>2125.8974290246238</v>
      </c>
      <c r="X22" s="16">
        <f t="shared" si="13"/>
        <v>27612.524042617068</v>
      </c>
      <c r="Y22" s="7">
        <f t="shared" si="14"/>
        <v>4.5442242187178374</v>
      </c>
    </row>
    <row r="23" spans="2:25">
      <c r="B23" s="120">
        <v>15000</v>
      </c>
      <c r="C23" s="7" cm="1">
        <f t="array" ref="C23">Linterp(B23,atmos_h,atmos_aspeed)</f>
        <v>1057.3146036052262</v>
      </c>
      <c r="D23" s="7" cm="1">
        <f t="array" ref="D23">Linterp(B23,atmos_h,atmos_qms)</f>
        <v>835.98801615348191</v>
      </c>
      <c r="E23" s="16">
        <f t="shared" si="0"/>
        <v>569.84740004588696</v>
      </c>
      <c r="F23" s="11">
        <v>0.90969999999999995</v>
      </c>
      <c r="G23" s="7">
        <f t="shared" si="1"/>
        <v>961.83909489967425</v>
      </c>
      <c r="H23" s="121">
        <f t="shared" si="9"/>
        <v>9846.9745256659517</v>
      </c>
      <c r="I23" s="11">
        <f t="shared" si="2"/>
        <v>8.3725442534032066E-2</v>
      </c>
      <c r="J23" s="11">
        <f t="shared" si="3"/>
        <v>1.7301501259891706E-2</v>
      </c>
      <c r="K23" s="12">
        <f t="shared" si="4"/>
        <v>2034.8347766890731</v>
      </c>
      <c r="L23" s="12">
        <f t="shared" si="5"/>
        <v>5750.4307393980689</v>
      </c>
      <c r="M23" s="321">
        <f t="shared" si="15"/>
        <v>362.93436613142939</v>
      </c>
      <c r="N23" s="320">
        <f t="shared" si="16"/>
        <v>-3.0215757445999996E-3</v>
      </c>
      <c r="O23" s="170">
        <f t="shared" si="17"/>
        <v>398.97355100598793</v>
      </c>
      <c r="P23" s="7">
        <f t="shared" si="6"/>
        <v>24.506898560216349</v>
      </c>
      <c r="Q23" s="176">
        <f t="shared" si="18"/>
        <v>2.4805892213961735</v>
      </c>
      <c r="R23" s="7">
        <f t="shared" si="19"/>
        <v>33.910538842744749</v>
      </c>
      <c r="S23" s="7">
        <f t="shared" si="7"/>
        <v>3.9936200625409288</v>
      </c>
      <c r="T23" s="172">
        <f t="shared" si="20"/>
        <v>10.052056017342396</v>
      </c>
      <c r="U23" s="16">
        <f t="shared" si="21"/>
        <v>163.07753035139544</v>
      </c>
      <c r="V23" s="16">
        <f t="shared" si="8"/>
        <v>875.1882940688231</v>
      </c>
      <c r="W23" s="172">
        <f t="shared" si="12"/>
        <v>2170.3583939719706</v>
      </c>
      <c r="X23" s="16">
        <f t="shared" si="13"/>
        <v>29782.88243658904</v>
      </c>
      <c r="Y23" s="7">
        <f t="shared" si="14"/>
        <v>4.9014025469997105</v>
      </c>
    </row>
    <row r="24" spans="2:25">
      <c r="B24" s="120">
        <v>16000</v>
      </c>
      <c r="C24" s="7" cm="1">
        <f t="array" ref="C24">Linterp(B24,atmos_h,atmos_aspeed)</f>
        <v>1053.2541995627971</v>
      </c>
      <c r="D24" s="7" cm="1">
        <f t="array" ref="D24">Linterp(B24,atmos_h,atmos_qms)</f>
        <v>802.84861605334584</v>
      </c>
      <c r="E24" s="16">
        <f t="shared" si="0"/>
        <v>568.25806229772309</v>
      </c>
      <c r="F24" s="11">
        <v>0.91065999999999991</v>
      </c>
      <c r="G24" s="7">
        <f t="shared" si="1"/>
        <v>959.15646937385668</v>
      </c>
      <c r="H24" s="121">
        <f t="shared" si="9"/>
        <v>9836.922469648609</v>
      </c>
      <c r="I24" s="11">
        <f t="shared" si="2"/>
        <v>8.6908877783592367E-2</v>
      </c>
      <c r="J24" s="11">
        <f t="shared" si="3"/>
        <v>1.7366184103259127E-2</v>
      </c>
      <c r="K24" s="12">
        <f t="shared" si="4"/>
        <v>1965.6197499498189</v>
      </c>
      <c r="L24" s="12">
        <f t="shared" si="5"/>
        <v>5615.3443955672537</v>
      </c>
      <c r="M24" s="321">
        <f t="shared" si="15"/>
        <v>355.86912635311421</v>
      </c>
      <c r="N24" s="320">
        <f t="shared" si="16"/>
        <v>-2.6826255258175706E-3</v>
      </c>
      <c r="O24" s="170">
        <f t="shared" si="17"/>
        <v>386.80299861378023</v>
      </c>
      <c r="P24" s="7">
        <f t="shared" si="6"/>
        <v>23.783020889809311</v>
      </c>
      <c r="Q24" s="176">
        <f t="shared" si="18"/>
        <v>2.5452528469674824</v>
      </c>
      <c r="R24" s="7">
        <f t="shared" si="19"/>
        <v>36.455791689712228</v>
      </c>
      <c r="S24" s="7">
        <f t="shared" si="7"/>
        <v>3.8861885541244869</v>
      </c>
      <c r="T24" s="172">
        <f t="shared" si="20"/>
        <v>10.028052657563276</v>
      </c>
      <c r="U24" s="16">
        <f t="shared" si="21"/>
        <v>173.10558300895872</v>
      </c>
      <c r="V24" s="16">
        <f t="shared" si="8"/>
        <v>877.704148905034</v>
      </c>
      <c r="W24" s="172">
        <f t="shared" si="12"/>
        <v>2230.7772404534976</v>
      </c>
      <c r="X24" s="16">
        <f t="shared" si="13"/>
        <v>32013.659677042539</v>
      </c>
      <c r="Y24" s="7">
        <f t="shared" si="14"/>
        <v>5.2685240729778391</v>
      </c>
    </row>
    <row r="25" spans="2:25">
      <c r="B25" s="120">
        <v>17000</v>
      </c>
      <c r="C25" s="7" cm="1">
        <f t="array" ref="C25">Linterp(B25,atmos_h,atmos_aspeed)</f>
        <v>1049.1780815459595</v>
      </c>
      <c r="D25" s="7" cm="1">
        <f t="array" ref="D25">Linterp(B25,atmos_h,atmos_qms)</f>
        <v>770.78107902517468</v>
      </c>
      <c r="E25" s="16">
        <f t="shared" si="0"/>
        <v>566.65561874072466</v>
      </c>
      <c r="F25" s="11">
        <v>0.91161999999999987</v>
      </c>
      <c r="G25" s="7">
        <f t="shared" si="1"/>
        <v>956.45172269892748</v>
      </c>
      <c r="H25" s="121">
        <f t="shared" si="9"/>
        <v>9826.8944169910465</v>
      </c>
      <c r="I25" s="11">
        <f t="shared" si="2"/>
        <v>9.0241983864471575E-2</v>
      </c>
      <c r="J25" s="11">
        <f t="shared" si="3"/>
        <v>1.7432792055954865E-2</v>
      </c>
      <c r="K25" s="12">
        <f t="shared" si="4"/>
        <v>1898.342651514711</v>
      </c>
      <c r="L25" s="12">
        <f t="shared" si="5"/>
        <v>5480.191779240994</v>
      </c>
      <c r="M25" s="321">
        <f t="shared" si="15"/>
        <v>348.6214080755779</v>
      </c>
      <c r="N25" s="320">
        <f t="shared" si="16"/>
        <v>-2.7047466749291972E-3</v>
      </c>
      <c r="O25" s="170">
        <f t="shared" si="17"/>
        <v>379.103318145831</v>
      </c>
      <c r="P25" s="7">
        <f t="shared" si="6"/>
        <v>23.351089197722906</v>
      </c>
      <c r="Q25" s="176">
        <f t="shared" si="18"/>
        <v>2.6112854225587014</v>
      </c>
      <c r="R25" s="7">
        <f t="shared" si="19"/>
        <v>39.06707711227093</v>
      </c>
      <c r="S25" s="7">
        <f t="shared" si="7"/>
        <v>3.7786989212795334</v>
      </c>
      <c r="T25" s="172">
        <f t="shared" si="20"/>
        <v>10.007604465037643</v>
      </c>
      <c r="U25" s="16">
        <f t="shared" si="21"/>
        <v>183.11318747399636</v>
      </c>
      <c r="V25" s="16">
        <f t="shared" si="8"/>
        <v>878.11193593104451</v>
      </c>
      <c r="W25" s="172">
        <f t="shared" si="12"/>
        <v>2292.4684735132719</v>
      </c>
      <c r="X25" s="16">
        <f t="shared" si="13"/>
        <v>34306.128150555807</v>
      </c>
      <c r="Y25" s="7">
        <f t="shared" si="14"/>
        <v>5.6457981947461997</v>
      </c>
    </row>
    <row r="26" spans="2:25">
      <c r="B26" s="120">
        <v>18000</v>
      </c>
      <c r="C26" s="7" cm="1">
        <f t="array" ref="C26">Linterp(B26,atmos_h,atmos_aspeed)</f>
        <v>1045.0860656884925</v>
      </c>
      <c r="D26" s="7" cm="1">
        <f t="array" ref="D26">Linterp(B26,atmos_h,atmos_qms)</f>
        <v>739.75867821996189</v>
      </c>
      <c r="E26" s="16">
        <f t="shared" si="0"/>
        <v>565.03994315279044</v>
      </c>
      <c r="F26" s="11">
        <v>0.91257999999999984</v>
      </c>
      <c r="G26" s="7">
        <f t="shared" si="1"/>
        <v>953.72464182600424</v>
      </c>
      <c r="H26" s="121">
        <f t="shared" si="9"/>
        <v>9816.8868125260087</v>
      </c>
      <c r="I26" s="11">
        <f t="shared" si="2"/>
        <v>9.373308272071347E-2</v>
      </c>
      <c r="J26" s="11">
        <f t="shared" si="3"/>
        <v>1.7501432653184119E-2</v>
      </c>
      <c r="K26" s="12">
        <f t="shared" si="4"/>
        <v>1832.9663169755981</v>
      </c>
      <c r="L26" s="12">
        <f t="shared" si="5"/>
        <v>5344.9728904192907</v>
      </c>
      <c r="M26" s="321">
        <f t="shared" si="15"/>
        <v>341.19647861013618</v>
      </c>
      <c r="N26" s="320">
        <f t="shared" si="16"/>
        <v>-2.7270808729232387E-3</v>
      </c>
      <c r="O26" s="170">
        <f t="shared" si="17"/>
        <v>371.20388624989158</v>
      </c>
      <c r="P26" s="7">
        <f t="shared" si="6"/>
        <v>22.905659951340226</v>
      </c>
      <c r="Q26" s="176">
        <f t="shared" si="18"/>
        <v>2.6655748315928096</v>
      </c>
      <c r="R26" s="7">
        <f t="shared" si="19"/>
        <v>41.732651943863736</v>
      </c>
      <c r="S26" s="7">
        <f t="shared" si="7"/>
        <v>3.6711511640060688</v>
      </c>
      <c r="T26" s="172">
        <f t="shared" si="20"/>
        <v>9.9290664432384244</v>
      </c>
      <c r="U26" s="16">
        <f t="shared" si="21"/>
        <v>193.04225391723477</v>
      </c>
      <c r="V26" s="16">
        <f t="shared" si="8"/>
        <v>878.52055596845184</v>
      </c>
      <c r="W26" s="172">
        <f t="shared" si="12"/>
        <v>2341.2176793827289</v>
      </c>
      <c r="X26" s="16">
        <f t="shared" si="13"/>
        <v>36647.345829938538</v>
      </c>
      <c r="Y26" s="7">
        <f t="shared" si="14"/>
        <v>6.0310950282961198</v>
      </c>
    </row>
    <row r="27" spans="2:25">
      <c r="B27" s="120">
        <v>19000</v>
      </c>
      <c r="C27" s="7" cm="1">
        <f t="array" ref="C27">Linterp(B27,atmos_h,atmos_aspeed)</f>
        <v>1040.9779645103174</v>
      </c>
      <c r="D27" s="7" cm="1">
        <f t="array" ref="D27">Linterp(B27,atmos_h,atmos_qms)</f>
        <v>709.75515213034032</v>
      </c>
      <c r="E27" s="16">
        <f t="shared" si="0"/>
        <v>563.41090693758122</v>
      </c>
      <c r="F27" s="11">
        <v>0.9135399999999998</v>
      </c>
      <c r="G27" s="7">
        <f t="shared" si="1"/>
        <v>950.97500969875512</v>
      </c>
      <c r="H27" s="121">
        <f t="shared" si="9"/>
        <v>9806.9577460827695</v>
      </c>
      <c r="I27" s="11">
        <f t="shared" si="2"/>
        <v>9.7391643117193019E-2</v>
      </c>
      <c r="J27" s="11">
        <f t="shared" si="3"/>
        <v>1.7572228117515659E-2</v>
      </c>
      <c r="K27" s="12">
        <f t="shared" si="4"/>
        <v>1769.4546794496105</v>
      </c>
      <c r="L27" s="12">
        <f t="shared" si="5"/>
        <v>5209.6877291021419</v>
      </c>
      <c r="M27" s="321">
        <f t="shared" si="15"/>
        <v>333.59740527750023</v>
      </c>
      <c r="N27" s="320">
        <f t="shared" si="16"/>
        <v>-2.7496321272491285E-3</v>
      </c>
      <c r="O27" s="170">
        <f t="shared" si="17"/>
        <v>363.1077408420569</v>
      </c>
      <c r="P27" s="7">
        <f t="shared" si="6"/>
        <v>22.446884584832684</v>
      </c>
      <c r="Q27" s="176">
        <f t="shared" si="18"/>
        <v>2.7236392918364691</v>
      </c>
      <c r="R27" s="7">
        <f t="shared" si="19"/>
        <v>44.456291235700206</v>
      </c>
      <c r="S27" s="7">
        <f t="shared" si="7"/>
        <v>3.5635452823040925</v>
      </c>
      <c r="T27" s="172">
        <f t="shared" si="20"/>
        <v>9.8523517528400149</v>
      </c>
      <c r="U27" s="16">
        <f t="shared" si="21"/>
        <v>202.89460567007478</v>
      </c>
      <c r="V27" s="16">
        <f t="shared" si="8"/>
        <v>878.92334000874337</v>
      </c>
      <c r="W27" s="172">
        <f t="shared" si="12"/>
        <v>2393.3216241408263</v>
      </c>
      <c r="X27" s="16">
        <f t="shared" si="13"/>
        <v>39040.667454079361</v>
      </c>
      <c r="Y27" s="7">
        <f t="shared" si="14"/>
        <v>6.4249666667894418</v>
      </c>
    </row>
    <row r="28" spans="2:25">
      <c r="B28" s="120">
        <v>20000</v>
      </c>
      <c r="C28" s="7" cm="1">
        <f t="array" ref="C28">Linterp(B28,atmos_h,atmos_aspeed)</f>
        <v>1036.8535868172689</v>
      </c>
      <c r="D28" s="7" cm="1">
        <f t="array" ref="D28">Linterp(B28,atmos_h,atmos_qms)</f>
        <v>680.74470004439161</v>
      </c>
      <c r="E28" s="16">
        <f t="shared" si="0"/>
        <v>561.76837905993898</v>
      </c>
      <c r="F28" s="11">
        <v>0.91449999999999998</v>
      </c>
      <c r="G28" s="7">
        <f t="shared" si="1"/>
        <v>948.20260514439246</v>
      </c>
      <c r="H28" s="121">
        <f t="shared" si="9"/>
        <v>9797.1053943299303</v>
      </c>
      <c r="I28" s="11">
        <f t="shared" si="2"/>
        <v>0.10122718743124472</v>
      </c>
      <c r="J28" s="11">
        <f t="shared" si="3"/>
        <v>1.7676404598167345E-2</v>
      </c>
      <c r="K28" s="12">
        <f t="shared" si="4"/>
        <v>1710.7814929530566</v>
      </c>
      <c r="L28" s="12">
        <f t="shared" si="5"/>
        <v>5074.3362952895486</v>
      </c>
      <c r="M28" s="321">
        <f t="shared" si="15"/>
        <v>325.53813578112749</v>
      </c>
      <c r="N28" s="320">
        <f t="shared" si="16"/>
        <v>-2.7724045543626517E-3</v>
      </c>
      <c r="O28" s="170">
        <f t="shared" si="17"/>
        <v>354.50308048198616</v>
      </c>
      <c r="P28" s="7">
        <f t="shared" si="6"/>
        <v>21.954396145538759</v>
      </c>
      <c r="Q28" s="176">
        <f t="shared" si="18"/>
        <v>2.7870259764336573</v>
      </c>
      <c r="R28" s="7">
        <f t="shared" si="19"/>
        <v>47.24331721213386</v>
      </c>
      <c r="S28" s="7">
        <f t="shared" si="7"/>
        <v>3.4558812761736055</v>
      </c>
      <c r="T28" s="172">
        <f t="shared" si="20"/>
        <v>9.7816620790728273</v>
      </c>
      <c r="U28" s="16">
        <f t="shared" si="21"/>
        <v>212.6762677491476</v>
      </c>
      <c r="V28" s="16">
        <f t="shared" si="8"/>
        <v>879.44058715264839</v>
      </c>
      <c r="W28" s="172">
        <f t="shared" si="12"/>
        <v>2450.302970511349</v>
      </c>
      <c r="X28" s="16">
        <f t="shared" si="13"/>
        <v>41490.970424590712</v>
      </c>
      <c r="Y28" s="7">
        <f t="shared" si="14"/>
        <v>6.8282157897094846</v>
      </c>
    </row>
    <row r="29" spans="2:25">
      <c r="B29" s="120">
        <v>21000</v>
      </c>
      <c r="C29" s="7" cm="1">
        <f t="array" ref="C29">Linterp(B29,atmos_h,atmos_aspeed)</f>
        <v>1032.7127375972602</v>
      </c>
      <c r="D29" s="7" cm="1">
        <f t="array" ref="D29">Linterp(B29,atmos_h,atmos_qms)</f>
        <v>652.70197750857403</v>
      </c>
      <c r="E29" s="16">
        <f t="shared" si="0"/>
        <v>560.07551576385947</v>
      </c>
      <c r="F29" s="11">
        <v>0.91539999999999999</v>
      </c>
      <c r="G29" s="7">
        <f t="shared" si="1"/>
        <v>945.34523999653197</v>
      </c>
      <c r="H29" s="121">
        <f t="shared" si="9"/>
        <v>9787.3237322508576</v>
      </c>
      <c r="I29" s="11">
        <f t="shared" si="2"/>
        <v>0.10526361667148565</v>
      </c>
      <c r="J29" s="11">
        <f t="shared" si="3"/>
        <v>1.7852880605633271E-2</v>
      </c>
      <c r="K29" s="12">
        <f t="shared" si="4"/>
        <v>1659.946024711194</v>
      </c>
      <c r="L29" s="12">
        <f t="shared" si="5"/>
        <v>4947.8768504891341</v>
      </c>
      <c r="M29" s="321">
        <f t="shared" si="15"/>
        <v>317.57708650679541</v>
      </c>
      <c r="N29" s="320">
        <f t="shared" si="16"/>
        <v>-2.8573651478604914E-3</v>
      </c>
      <c r="O29" s="170">
        <f t="shared" si="17"/>
        <v>346.68317846464043</v>
      </c>
      <c r="P29" s="7">
        <f t="shared" si="6"/>
        <v>21.513874930335039</v>
      </c>
      <c r="Q29" s="176">
        <f t="shared" si="18"/>
        <v>2.8523091753174779</v>
      </c>
      <c r="R29" s="7">
        <f t="shared" si="19"/>
        <v>50.09562638745134</v>
      </c>
      <c r="S29" s="7">
        <f t="shared" si="7"/>
        <v>3.3575987543761854</v>
      </c>
      <c r="T29" s="172">
        <f t="shared" si="20"/>
        <v>9.7170758034897879</v>
      </c>
      <c r="U29" s="16">
        <f t="shared" si="21"/>
        <v>222.39334355263739</v>
      </c>
      <c r="V29" s="16">
        <f t="shared" si="8"/>
        <v>879.48189097545082</v>
      </c>
      <c r="W29" s="172">
        <f t="shared" si="12"/>
        <v>2508.4953615184663</v>
      </c>
      <c r="X29" s="16">
        <f t="shared" si="13"/>
        <v>43999.465786109176</v>
      </c>
      <c r="Y29" s="7">
        <f t="shared" si="14"/>
        <v>7.2410417000377159</v>
      </c>
    </row>
    <row r="30" spans="2:25">
      <c r="B30" s="120">
        <v>22000</v>
      </c>
      <c r="C30" s="7" cm="1">
        <f t="array" ref="C30">Linterp(B30,atmos_h,atmos_aspeed)</f>
        <v>1028.5552179126889</v>
      </c>
      <c r="D30" s="7" cm="1">
        <f t="array" ref="D30">Linterp(B30,atmos_h,atmos_qms)</f>
        <v>625.60209179984054</v>
      </c>
      <c r="E30" s="16">
        <f t="shared" si="0"/>
        <v>558.36918672638876</v>
      </c>
      <c r="F30" s="11">
        <v>0.9163</v>
      </c>
      <c r="G30" s="7">
        <f t="shared" si="1"/>
        <v>942.46514617339687</v>
      </c>
      <c r="H30" s="121">
        <f t="shared" si="9"/>
        <v>9777.6066564473676</v>
      </c>
      <c r="I30" s="11">
        <f t="shared" si="2"/>
        <v>0.10949898042043534</v>
      </c>
      <c r="J30" s="11">
        <f t="shared" si="3"/>
        <v>1.8037033960605253E-2</v>
      </c>
      <c r="K30" s="12">
        <f t="shared" si="4"/>
        <v>1610.5996844776832</v>
      </c>
      <c r="L30" s="12">
        <f t="shared" si="5"/>
        <v>4821.3477814137059</v>
      </c>
      <c r="M30" s="321">
        <f t="shared" si="15"/>
        <v>309.48454778648755</v>
      </c>
      <c r="N30" s="320">
        <f t="shared" si="16"/>
        <v>-2.8800938231350985E-3</v>
      </c>
      <c r="O30" s="170">
        <f t="shared" si="17"/>
        <v>338.00023761464456</v>
      </c>
      <c r="P30" s="7">
        <f t="shared" si="6"/>
        <v>21.016341494188278</v>
      </c>
      <c r="Q30" s="176">
        <f t="shared" si="18"/>
        <v>2.9210580438075104</v>
      </c>
      <c r="R30" s="7">
        <f t="shared" si="19"/>
        <v>53.016684431258852</v>
      </c>
      <c r="S30" s="7">
        <f t="shared" si="7"/>
        <v>3.2592581984607016</v>
      </c>
      <c r="T30" s="172">
        <f t="shared" si="20"/>
        <v>9.6641116134039216</v>
      </c>
      <c r="U30" s="16">
        <f t="shared" si="21"/>
        <v>232.05745516604131</v>
      </c>
      <c r="V30" s="16">
        <f t="shared" si="8"/>
        <v>879.77064688706582</v>
      </c>
      <c r="W30" s="172">
        <f t="shared" si="12"/>
        <v>2569.4393884060405</v>
      </c>
      <c r="X30" s="16">
        <f t="shared" si="13"/>
        <v>46568.905174515217</v>
      </c>
      <c r="Y30" s="7">
        <f t="shared" si="14"/>
        <v>7.6638972375938419</v>
      </c>
    </row>
    <row r="31" spans="2:25">
      <c r="B31" s="120">
        <v>23000</v>
      </c>
      <c r="C31" s="7" cm="1">
        <f t="array" ref="C31">Linterp(B31,atmos_h,atmos_aspeed)</f>
        <v>1024.3808247889115</v>
      </c>
      <c r="D31" s="7" cm="1">
        <f t="array" ref="D31">Linterp(B31,atmos_h,atmos_qms)</f>
        <v>599.42059740698846</v>
      </c>
      <c r="E31" s="16">
        <f t="shared" si="0"/>
        <v>556.64925498436628</v>
      </c>
      <c r="F31" s="11">
        <v>0.91720000000000002</v>
      </c>
      <c r="G31" s="7">
        <f t="shared" si="1"/>
        <v>939.5620924963896</v>
      </c>
      <c r="H31" s="121">
        <f t="shared" si="9"/>
        <v>9767.9425448339643</v>
      </c>
      <c r="I31" s="11">
        <f t="shared" si="2"/>
        <v>0.11394477646536522</v>
      </c>
      <c r="J31" s="11">
        <f t="shared" si="3"/>
        <v>1.8229310302718869E-2</v>
      </c>
      <c r="K31" s="12">
        <f t="shared" si="4"/>
        <v>1562.7118784425538</v>
      </c>
      <c r="L31" s="12">
        <f t="shared" si="5"/>
        <v>4694.7490880632658</v>
      </c>
      <c r="M31" s="321">
        <f t="shared" si="15"/>
        <v>301.26543240205046</v>
      </c>
      <c r="N31" s="320">
        <f t="shared" si="16"/>
        <v>-2.9030536770072784E-3</v>
      </c>
      <c r="O31" s="170">
        <f t="shared" si="17"/>
        <v>329.17143537472504</v>
      </c>
      <c r="P31" s="7">
        <f t="shared" si="6"/>
        <v>20.508454377182066</v>
      </c>
      <c r="Q31" s="176">
        <f t="shared" si="18"/>
        <v>2.9977291917066551</v>
      </c>
      <c r="R31" s="7">
        <f t="shared" si="19"/>
        <v>56.014413622965506</v>
      </c>
      <c r="S31" s="7">
        <f t="shared" si="7"/>
        <v>3.1608596084271565</v>
      </c>
      <c r="T31" s="172">
        <f t="shared" si="20"/>
        <v>9.6228872819517211</v>
      </c>
      <c r="U31" s="16">
        <f t="shared" si="21"/>
        <v>241.68034244799304</v>
      </c>
      <c r="V31" s="16">
        <f t="shared" si="8"/>
        <v>880.01312023715718</v>
      </c>
      <c r="W31" s="172">
        <f t="shared" si="12"/>
        <v>2637.677584899895</v>
      </c>
      <c r="X31" s="16">
        <f t="shared" si="13"/>
        <v>49206.582759415112</v>
      </c>
      <c r="Y31" s="7">
        <f t="shared" si="14"/>
        <v>8.0979828120951733</v>
      </c>
    </row>
    <row r="32" spans="2:25">
      <c r="B32" s="120">
        <v>24000</v>
      </c>
      <c r="C32" s="7" cm="1">
        <f t="array" ref="C32">Linterp(B32,atmos_h,atmos_aspeed)</f>
        <v>1020.1893510986098</v>
      </c>
      <c r="D32" s="7" cm="1">
        <f t="array" ref="D32">Linterp(B32,atmos_h,atmos_qms)</f>
        <v>574.13349152130138</v>
      </c>
      <c r="E32" s="16">
        <f t="shared" si="0"/>
        <v>554.91558088293743</v>
      </c>
      <c r="F32" s="11">
        <v>0.91810000000000003</v>
      </c>
      <c r="G32" s="7">
        <f t="shared" si="1"/>
        <v>936.63584324363364</v>
      </c>
      <c r="H32" s="121">
        <f t="shared" si="9"/>
        <v>9758.3196575520124</v>
      </c>
      <c r="I32" s="11">
        <f t="shared" si="2"/>
        <v>0.11861326549677358</v>
      </c>
      <c r="J32" s="11">
        <f t="shared" si="3"/>
        <v>1.8430184937360414E-2</v>
      </c>
      <c r="K32" s="12">
        <f t="shared" si="4"/>
        <v>1516.2522944910845</v>
      </c>
      <c r="L32" s="12">
        <f t="shared" si="5"/>
        <v>4568.0807704378112</v>
      </c>
      <c r="M32" s="321">
        <f t="shared" si="15"/>
        <v>292.92460570208169</v>
      </c>
      <c r="N32" s="320">
        <f t="shared" si="16"/>
        <v>-2.9262492527559517E-3</v>
      </c>
      <c r="O32" s="170">
        <f t="shared" si="17"/>
        <v>320.20187575761275</v>
      </c>
      <c r="P32" s="7">
        <f t="shared" si="6"/>
        <v>19.990466748244458</v>
      </c>
      <c r="Q32" s="176">
        <f t="shared" si="18"/>
        <v>3.0798925143882512</v>
      </c>
      <c r="R32" s="7">
        <f t="shared" si="19"/>
        <v>59.094306137353755</v>
      </c>
      <c r="S32" s="7">
        <f t="shared" si="7"/>
        <v>3.0624029842755478</v>
      </c>
      <c r="T32" s="172">
        <f t="shared" si="20"/>
        <v>9.583489937168741</v>
      </c>
      <c r="U32" s="16">
        <f t="shared" si="21"/>
        <v>251.26383238516178</v>
      </c>
      <c r="V32" s="16">
        <f t="shared" si="8"/>
        <v>880.20307975490459</v>
      </c>
      <c r="W32" s="172">
        <f t="shared" si="12"/>
        <v>2710.6383490302419</v>
      </c>
      <c r="X32" s="16">
        <f t="shared" si="13"/>
        <v>51917.221108445352</v>
      </c>
      <c r="Y32" s="7">
        <f t="shared" si="14"/>
        <v>8.5440756218230121</v>
      </c>
    </row>
    <row r="33" spans="2:25">
      <c r="B33" s="120">
        <v>25000</v>
      </c>
      <c r="C33" s="7" cm="1">
        <f t="array" ref="C33">Linterp(B33,atmos_h,atmos_aspeed)</f>
        <v>1015.9805854418648</v>
      </c>
      <c r="D33" s="7" cm="1">
        <f t="array" ref="D33">Linterp(B33,atmos_h,atmos_qms)</f>
        <v>549.71720953653789</v>
      </c>
      <c r="E33" s="16">
        <f t="shared" si="0"/>
        <v>553.168021999188</v>
      </c>
      <c r="F33" s="11">
        <v>0.91900000000000004</v>
      </c>
      <c r="G33" s="7">
        <f t="shared" si="1"/>
        <v>933.68615802107377</v>
      </c>
      <c r="H33" s="121">
        <f t="shared" si="9"/>
        <v>9748.736167614843</v>
      </c>
      <c r="I33" s="11">
        <f t="shared" si="2"/>
        <v>0.12351765550695665</v>
      </c>
      <c r="J33" s="11">
        <f t="shared" si="3"/>
        <v>1.8640169909982445E-2</v>
      </c>
      <c r="K33" s="12">
        <f t="shared" si="4"/>
        <v>1471.1912869953821</v>
      </c>
      <c r="L33" s="12">
        <f t="shared" si="5"/>
        <v>4441.3428285373429</v>
      </c>
      <c r="M33" s="321">
        <f t="shared" si="15"/>
        <v>284.466553805731</v>
      </c>
      <c r="N33" s="320">
        <f t="shared" si="16"/>
        <v>-2.9496852225598786E-3</v>
      </c>
      <c r="O33" s="170">
        <f t="shared" si="17"/>
        <v>311.09625668285253</v>
      </c>
      <c r="P33" s="7">
        <f t="shared" si="6"/>
        <v>19.462599192974061</v>
      </c>
      <c r="Q33" s="176">
        <f t="shared" si="18"/>
        <v>3.1680752678111408</v>
      </c>
      <c r="R33" s="7">
        <f t="shared" si="19"/>
        <v>62.262381405164895</v>
      </c>
      <c r="S33" s="7">
        <f t="shared" si="7"/>
        <v>2.9638883260058768</v>
      </c>
      <c r="T33" s="172">
        <f t="shared" si="20"/>
        <v>9.545872228363887</v>
      </c>
      <c r="U33" s="16">
        <f t="shared" si="21"/>
        <v>260.80970461352564</v>
      </c>
      <c r="V33" s="16">
        <f t="shared" si="8"/>
        <v>880.33457319252784</v>
      </c>
      <c r="W33" s="172">
        <f t="shared" si="12"/>
        <v>2788.7578981765173</v>
      </c>
      <c r="X33" s="16">
        <f t="shared" si="13"/>
        <v>54705.97900662187</v>
      </c>
      <c r="Y33" s="7">
        <f t="shared" si="14"/>
        <v>9.0030246538446903</v>
      </c>
    </row>
    <row r="34" spans="2:25">
      <c r="B34" s="120">
        <v>26000</v>
      </c>
      <c r="C34" s="7" cm="1">
        <f t="array" ref="C34">Linterp(B34,atmos_h,atmos_aspeed)</f>
        <v>1011.7543120217408</v>
      </c>
      <c r="D34" s="7" cm="1">
        <f t="array" ref="D34">Linterp(B34,atmos_h,atmos_qms)</f>
        <v>526.14862055832521</v>
      </c>
      <c r="E34" s="16">
        <f t="shared" si="0"/>
        <v>551.57427065535444</v>
      </c>
      <c r="F34" s="11">
        <v>0.92018</v>
      </c>
      <c r="G34" s="7">
        <f t="shared" si="1"/>
        <v>930.99608283616544</v>
      </c>
      <c r="H34" s="121">
        <f t="shared" si="9"/>
        <v>9739.1902953864792</v>
      </c>
      <c r="I34" s="11">
        <f t="shared" si="2"/>
        <v>0.12859376585529797</v>
      </c>
      <c r="J34" s="11">
        <f t="shared" si="3"/>
        <v>1.8868589682254661E-2</v>
      </c>
      <c r="K34" s="12">
        <f t="shared" si="4"/>
        <v>1429.0333928615798</v>
      </c>
      <c r="L34" s="12">
        <f t="shared" si="5"/>
        <v>4324.679434096458</v>
      </c>
      <c r="M34" s="321">
        <f t="shared" si="15"/>
        <v>276.80279775894269</v>
      </c>
      <c r="N34" s="320">
        <f t="shared" si="16"/>
        <v>-2.6900751849083236E-3</v>
      </c>
      <c r="O34" s="170">
        <f t="shared" si="17"/>
        <v>300.16812027518824</v>
      </c>
      <c r="P34" s="7">
        <f t="shared" si="6"/>
        <v>18.809103086872152</v>
      </c>
      <c r="Q34" s="176">
        <f t="shared" si="18"/>
        <v>3.271906682920092</v>
      </c>
      <c r="R34" s="7">
        <f t="shared" si="19"/>
        <v>65.534288088084992</v>
      </c>
      <c r="S34" s="7">
        <f t="shared" si="7"/>
        <v>2.8752616364035855</v>
      </c>
      <c r="T34" s="172">
        <f t="shared" si="20"/>
        <v>9.5525768922900625</v>
      </c>
      <c r="U34" s="16">
        <f t="shared" si="21"/>
        <v>270.3622815058157</v>
      </c>
      <c r="V34" s="16">
        <f t="shared" si="8"/>
        <v>881.27907374834695</v>
      </c>
      <c r="W34" s="172">
        <f t="shared" si="12"/>
        <v>2881.9177320745421</v>
      </c>
      <c r="X34" s="16">
        <f t="shared" si="13"/>
        <v>57587.896738696414</v>
      </c>
      <c r="Y34" s="7">
        <f t="shared" si="14"/>
        <v>9.4773051047818466</v>
      </c>
    </row>
    <row r="35" spans="2:25">
      <c r="B35" s="120">
        <v>27000</v>
      </c>
      <c r="C35" s="7" cm="1">
        <f t="array" ref="C35">Linterp(B35,atmos_h,atmos_aspeed)</f>
        <v>1007.5103105151719</v>
      </c>
      <c r="D35" s="7" cm="1">
        <f t="array" ref="D35">Linterp(B35,atmos_h,atmos_qms)</f>
        <v>503.40502292301625</v>
      </c>
      <c r="E35" s="16">
        <f t="shared" si="0"/>
        <v>549.96493300416887</v>
      </c>
      <c r="F35" s="11">
        <v>0.92135999999999996</v>
      </c>
      <c r="G35" s="7">
        <f t="shared" si="1"/>
        <v>928.27969969625872</v>
      </c>
      <c r="H35" s="121">
        <f t="shared" si="9"/>
        <v>9729.6377184941884</v>
      </c>
      <c r="I35" s="11">
        <f t="shared" si="2"/>
        <v>0.13392803474726225</v>
      </c>
      <c r="J35" s="11">
        <f t="shared" si="3"/>
        <v>1.9132030255779534E-2</v>
      </c>
      <c r="K35" s="12">
        <f t="shared" si="4"/>
        <v>1389.9085696231336</v>
      </c>
      <c r="L35" s="12">
        <f t="shared" si="5"/>
        <v>4207.9190512218329</v>
      </c>
      <c r="M35" s="321">
        <f t="shared" si="15"/>
        <v>268.85912911505619</v>
      </c>
      <c r="N35" s="320">
        <f t="shared" si="16"/>
        <v>-2.7163831399067248E-3</v>
      </c>
      <c r="O35" s="170">
        <f t="shared" si="17"/>
        <v>291.72218509615999</v>
      </c>
      <c r="P35" s="7">
        <f t="shared" si="6"/>
        <v>18.316211907983462</v>
      </c>
      <c r="Q35" s="176">
        <f t="shared" si="18"/>
        <v>3.3790044909507562</v>
      </c>
      <c r="R35" s="7">
        <f t="shared" si="19"/>
        <v>68.913292579035755</v>
      </c>
      <c r="S35" s="7">
        <f t="shared" si="7"/>
        <v>2.7865573687549405</v>
      </c>
      <c r="T35" s="172">
        <f t="shared" si="20"/>
        <v>9.5656559226904996</v>
      </c>
      <c r="U35" s="16">
        <f t="shared" si="21"/>
        <v>279.9279374285062</v>
      </c>
      <c r="V35" s="16">
        <f t="shared" si="8"/>
        <v>881.24988941326853</v>
      </c>
      <c r="W35" s="172">
        <f t="shared" si="12"/>
        <v>2977.7966409769397</v>
      </c>
      <c r="X35" s="16">
        <f t="shared" si="13"/>
        <v>60565.69337967335</v>
      </c>
      <c r="Y35" s="7">
        <f t="shared" si="14"/>
        <v>9.9673644558740957</v>
      </c>
    </row>
    <row r="36" spans="2:25">
      <c r="B36" s="120">
        <v>28000</v>
      </c>
      <c r="C36" s="7" cm="1">
        <f t="array" ref="C36">Linterp(B36,atmos_h,atmos_aspeed)</f>
        <v>1003.2483559389319</v>
      </c>
      <c r="D36" s="7" cm="1">
        <f t="array" ref="D36">Linterp(B36,atmos_h,atmos_qms)</f>
        <v>481.46413972606013</v>
      </c>
      <c r="E36" s="16">
        <f t="shared" si="0"/>
        <v>548.33984889678879</v>
      </c>
      <c r="F36" s="11">
        <v>0.92253999999999992</v>
      </c>
      <c r="G36" s="7">
        <f t="shared" si="1"/>
        <v>925.53673828790215</v>
      </c>
      <c r="H36" s="121">
        <f t="shared" si="9"/>
        <v>9720.0720625714985</v>
      </c>
      <c r="I36" s="11">
        <f t="shared" si="2"/>
        <v>0.13953597984655966</v>
      </c>
      <c r="J36" s="11">
        <f t="shared" si="3"/>
        <v>1.9406097152986072E-2</v>
      </c>
      <c r="K36" s="12">
        <f t="shared" si="4"/>
        <v>1351.828130548932</v>
      </c>
      <c r="L36" s="12">
        <f t="shared" si="5"/>
        <v>4091.0616799134696</v>
      </c>
      <c r="M36" s="321">
        <f t="shared" si="15"/>
        <v>260.82741654251998</v>
      </c>
      <c r="N36" s="320">
        <f t="shared" si="16"/>
        <v>-2.7429614083565638E-3</v>
      </c>
      <c r="O36" s="170">
        <f t="shared" si="17"/>
        <v>283.17123740681916</v>
      </c>
      <c r="P36" s="7">
        <f t="shared" si="6"/>
        <v>17.81554008326863</v>
      </c>
      <c r="Q36" s="176">
        <f t="shared" si="18"/>
        <v>3.4789056922800956</v>
      </c>
      <c r="R36" s="7">
        <f t="shared" si="19"/>
        <v>72.392198271315849</v>
      </c>
      <c r="S36" s="7">
        <f t="shared" si="7"/>
        <v>2.6977755230599421</v>
      </c>
      <c r="T36" s="172">
        <f t="shared" si="20"/>
        <v>9.5397384578468767</v>
      </c>
      <c r="U36" s="16">
        <f t="shared" si="21"/>
        <v>289.46767588635305</v>
      </c>
      <c r="V36" s="16">
        <f t="shared" si="8"/>
        <v>881.15396170368524</v>
      </c>
      <c r="W36" s="172">
        <f t="shared" si="12"/>
        <v>3065.6183948735661</v>
      </c>
      <c r="X36" s="16">
        <f t="shared" si="13"/>
        <v>63631.311774546914</v>
      </c>
      <c r="Y36" s="7">
        <f t="shared" si="14"/>
        <v>10.471876732036554</v>
      </c>
    </row>
    <row r="37" spans="2:25">
      <c r="B37" s="120">
        <v>29000</v>
      </c>
      <c r="C37" s="7" cm="1">
        <f t="array" ref="C37">Linterp(B37,atmos_h,atmos_aspeed)</f>
        <v>998.96821851045968</v>
      </c>
      <c r="D37" s="7" cm="1">
        <f t="array" ref="D37">Linterp(B37,atmos_h,atmos_qms)</f>
        <v>460.30411435996132</v>
      </c>
      <c r="E37" s="16">
        <f t="shared" si="0"/>
        <v>546.69885492872993</v>
      </c>
      <c r="F37" s="11">
        <v>0.92371999999999987</v>
      </c>
      <c r="G37" s="7">
        <f t="shared" si="1"/>
        <v>922.76692280248164</v>
      </c>
      <c r="H37" s="121">
        <f t="shared" si="9"/>
        <v>9710.5323241136521</v>
      </c>
      <c r="I37" s="11">
        <f t="shared" si="2"/>
        <v>0.14543487645145878</v>
      </c>
      <c r="J37" s="11">
        <f t="shared" si="3"/>
        <v>1.9691464058906566E-2</v>
      </c>
      <c r="K37" s="12">
        <f t="shared" si="4"/>
        <v>1314.7781530722129</v>
      </c>
      <c r="L37" s="12">
        <f t="shared" si="5"/>
        <v>3974.1073201713671</v>
      </c>
      <c r="M37" s="321">
        <f t="shared" si="15"/>
        <v>252.70921411272488</v>
      </c>
      <c r="N37" s="320">
        <f t="shared" si="16"/>
        <v>-2.7698154854205086E-3</v>
      </c>
      <c r="O37" s="170">
        <f t="shared" si="17"/>
        <v>274.51675288308184</v>
      </c>
      <c r="P37" s="7">
        <f t="shared" si="6"/>
        <v>17.307092373993612</v>
      </c>
      <c r="Q37" s="176">
        <f t="shared" si="18"/>
        <v>3.5862346595635795</v>
      </c>
      <c r="R37" s="7">
        <f t="shared" si="19"/>
        <v>75.978432930879421</v>
      </c>
      <c r="S37" s="7">
        <f t="shared" si="7"/>
        <v>2.6089160993185905</v>
      </c>
      <c r="T37" s="172">
        <f t="shared" si="20"/>
        <v>9.5155207118947871</v>
      </c>
      <c r="U37" s="16">
        <f t="shared" si="21"/>
        <v>298.98319659824784</v>
      </c>
      <c r="V37" s="16">
        <f t="shared" si="8"/>
        <v>880.98771058675391</v>
      </c>
      <c r="W37" s="172">
        <f t="shared" si="12"/>
        <v>3159.7267701146498</v>
      </c>
      <c r="X37" s="16">
        <f t="shared" si="13"/>
        <v>66791.038544661569</v>
      </c>
      <c r="Y37" s="7">
        <f t="shared" si="14"/>
        <v>10.991876529632936</v>
      </c>
    </row>
    <row r="38" spans="2:25">
      <c r="B38" s="120">
        <v>30000</v>
      </c>
      <c r="C38" s="7" cm="1">
        <f t="array" ref="C38">Linterp(B38,atmos_h,atmos_aspeed)</f>
        <v>994.66966350329255</v>
      </c>
      <c r="D38" s="7" cm="1">
        <f t="array" ref="D38">Linterp(B38,atmos_h,atmos_qms)</f>
        <v>439.90350606186917</v>
      </c>
      <c r="E38" s="16">
        <f t="shared" si="0"/>
        <v>545.04178434387188</v>
      </c>
      <c r="F38" s="11">
        <v>0.92490000000000006</v>
      </c>
      <c r="G38" s="7">
        <f t="shared" si="1"/>
        <v>919.9699717741953</v>
      </c>
      <c r="H38" s="121">
        <f t="shared" si="9"/>
        <v>9701.016803401757</v>
      </c>
      <c r="I38" s="11">
        <f t="shared" si="2"/>
        <v>0.15164264580163886</v>
      </c>
      <c r="J38" s="11">
        <f t="shared" si="3"/>
        <v>1.9988830539508864E-2</v>
      </c>
      <c r="K38" s="12">
        <f t="shared" si="4"/>
        <v>1278.7430601664562</v>
      </c>
      <c r="L38" s="12">
        <f t="shared" si="5"/>
        <v>3857.0559719955263</v>
      </c>
      <c r="M38" s="321">
        <f t="shared" si="15"/>
        <v>244.50740626371021</v>
      </c>
      <c r="N38" s="320">
        <f t="shared" si="16"/>
        <v>-2.796951028286344E-3</v>
      </c>
      <c r="O38" s="170">
        <f t="shared" si="17"/>
        <v>265.76165594593573</v>
      </c>
      <c r="P38" s="7">
        <f t="shared" si="6"/>
        <v>16.790962659019648</v>
      </c>
      <c r="Q38" s="176">
        <f t="shared" si="18"/>
        <v>3.7017951621178744</v>
      </c>
      <c r="R38" s="7">
        <f t="shared" si="19"/>
        <v>79.680228092997297</v>
      </c>
      <c r="S38" s="7">
        <f t="shared" si="7"/>
        <v>2.5199790975308862</v>
      </c>
      <c r="T38" s="172">
        <f t="shared" si="20"/>
        <v>9.4930597133534995</v>
      </c>
      <c r="U38" s="16">
        <f t="shared" si="21"/>
        <v>308.47625631160133</v>
      </c>
      <c r="V38" s="16">
        <f t="shared" si="8"/>
        <v>880.7471210257163</v>
      </c>
      <c r="W38" s="172">
        <f t="shared" si="12"/>
        <v>3260.7907382987955</v>
      </c>
      <c r="X38" s="16">
        <f t="shared" si="13"/>
        <v>70051.82928296036</v>
      </c>
      <c r="Y38" s="7">
        <f t="shared" si="14"/>
        <v>11.528508538437292</v>
      </c>
    </row>
    <row r="39" spans="2:25">
      <c r="B39" s="120">
        <v>31000</v>
      </c>
      <c r="C39" s="7" cm="1">
        <f t="array" ref="C39">Linterp(B39,atmos_h,atmos_aspeed)</f>
        <v>990.35245109685331</v>
      </c>
      <c r="D39" s="7" cm="1">
        <f t="array" ref="D39">Linterp(B39,atmos_h,atmos_qms)</f>
        <v>420.24128547087412</v>
      </c>
      <c r="E39" s="16">
        <f t="shared" si="0"/>
        <v>543.42420726427849</v>
      </c>
      <c r="F39" s="11">
        <v>0.92617500000000008</v>
      </c>
      <c r="G39" s="7">
        <f t="shared" si="1"/>
        <v>917.23968139462818</v>
      </c>
      <c r="H39" s="121">
        <f t="shared" si="9"/>
        <v>9691.5237436884036</v>
      </c>
      <c r="I39" s="11">
        <f t="shared" si="2"/>
        <v>0.1581460388468833</v>
      </c>
      <c r="J39" s="11">
        <f t="shared" si="3"/>
        <v>2.030258735691445E-2</v>
      </c>
      <c r="K39" s="12">
        <f t="shared" si="4"/>
        <v>1244.1854937533396</v>
      </c>
      <c r="L39" s="12">
        <f t="shared" si="5"/>
        <v>3749.919920408116</v>
      </c>
      <c r="M39" s="321">
        <f t="shared" si="15"/>
        <v>237.15146430520613</v>
      </c>
      <c r="N39" s="320">
        <f t="shared" si="16"/>
        <v>-2.7302903795671228E-3</v>
      </c>
      <c r="O39" s="170">
        <f t="shared" si="17"/>
        <v>257.16873112786237</v>
      </c>
      <c r="P39" s="7">
        <f t="shared" si="6"/>
        <v>16.282434575408466</v>
      </c>
      <c r="Q39" s="176">
        <f t="shared" si="18"/>
        <v>3.8246008444671848</v>
      </c>
      <c r="R39" s="7">
        <f t="shared" si="19"/>
        <v>83.504828937464481</v>
      </c>
      <c r="S39" s="7">
        <f t="shared" si="7"/>
        <v>2.440508807577416</v>
      </c>
      <c r="T39" s="172">
        <f t="shared" si="20"/>
        <v>9.4859431154232343</v>
      </c>
      <c r="U39" s="16">
        <f t="shared" si="21"/>
        <v>317.96219942702459</v>
      </c>
      <c r="V39" s="16">
        <f t="shared" si="8"/>
        <v>880.45038296033715</v>
      </c>
      <c r="W39" s="172">
        <f t="shared" si="12"/>
        <v>3367.9387305092791</v>
      </c>
      <c r="X39" s="16">
        <f t="shared" si="13"/>
        <v>73419.768013469642</v>
      </c>
      <c r="Y39" s="7">
        <f t="shared" si="14"/>
        <v>12.082774013144238</v>
      </c>
    </row>
    <row r="40" spans="2:25">
      <c r="B40" s="120">
        <v>32000</v>
      </c>
      <c r="C40" s="7" cm="1">
        <f t="array" ref="C40">Linterp(B40,atmos_h,atmos_aspeed)</f>
        <v>986.01633622031693</v>
      </c>
      <c r="D40" s="7" cm="1">
        <f t="array" ref="D40">Linterp(B40,atmos_h,atmos_qms)</f>
        <v>401.29683019506137</v>
      </c>
      <c r="E40" s="16">
        <f t="shared" ref="E40:E58" si="22">F40*C40*3600/6076.4</f>
        <v>541.78972149613571</v>
      </c>
      <c r="F40" s="11">
        <v>0.92745000000000011</v>
      </c>
      <c r="G40" s="7">
        <f t="shared" ref="G40:G58" si="23">F40*C40</f>
        <v>914.48085102753305</v>
      </c>
      <c r="H40" s="121">
        <f t="shared" si="9"/>
        <v>9682.0378005729799</v>
      </c>
      <c r="I40" s="11">
        <f t="shared" ref="I40:I58" si="24">H40/(D40*F40*F40*_xlfn.SINGLE(S))</f>
        <v>0.16499512480924675</v>
      </c>
      <c r="J40" s="11">
        <f t="shared" si="3"/>
        <v>2.0629802460429742E-2</v>
      </c>
      <c r="K40" s="12">
        <f t="shared" ref="K40:K58" si="25">J40*D40*F40*F40*_xlfn.SINGLE(S)</f>
        <v>1210.5722970369873</v>
      </c>
      <c r="L40" s="12">
        <f t="shared" ref="L40:L58" si="26">_xlfn.SINGLE(InterpolateXY(B40,F40,Tmax_h,Tmax_M,Tmax_table))*_xlfn.SINGLE(numeng)</f>
        <v>3642.6766733282498</v>
      </c>
      <c r="M40" s="321">
        <f t="shared" si="15"/>
        <v>229.71536835840476</v>
      </c>
      <c r="N40" s="320">
        <f t="shared" si="16"/>
        <v>-2.7588303670951289E-3</v>
      </c>
      <c r="O40" s="170">
        <f t="shared" si="17"/>
        <v>249.26095992611934</v>
      </c>
      <c r="P40" s="7">
        <f t="shared" si="6"/>
        <v>15.817313771536419</v>
      </c>
      <c r="Q40" s="176">
        <f t="shared" si="18"/>
        <v>3.9492155284924131</v>
      </c>
      <c r="R40" s="7">
        <f t="shared" si="19"/>
        <v>87.454044465956898</v>
      </c>
      <c r="S40" s="7">
        <f t="shared" ref="S40:S58" si="27">_xlfn.SINGLE(InterpolateXY(B40,F40,FFmax_h,FFmax_M,FFmax_table))*_xlfn.SINGLE(numeng)/3600</f>
        <v>2.3609558229026755</v>
      </c>
      <c r="T40" s="172">
        <f t="shared" si="20"/>
        <v>9.4810093390995309</v>
      </c>
      <c r="U40" s="16">
        <f t="shared" si="21"/>
        <v>327.44320876612414</v>
      </c>
      <c r="V40" s="16">
        <f t="shared" si="8"/>
        <v>879.85464751443499</v>
      </c>
      <c r="W40" s="172">
        <f t="shared" si="12"/>
        <v>3475.9119806171402</v>
      </c>
      <c r="X40" s="16">
        <f t="shared" si="13"/>
        <v>76895.679994086779</v>
      </c>
      <c r="Y40" s="7">
        <f t="shared" si="14"/>
        <v>12.654808767376537</v>
      </c>
    </row>
    <row r="41" spans="2:25">
      <c r="B41" s="120">
        <v>33000</v>
      </c>
      <c r="C41" s="7" cm="1">
        <f t="array" ref="C41">Linterp(B41,atmos_h,atmos_aspeed)</f>
        <v>981.66106839027111</v>
      </c>
      <c r="D41" s="7" cm="1">
        <f t="array" ref="D41">Linterp(B41,atmos_h,atmos_qms)</f>
        <v>383.0499203883931</v>
      </c>
      <c r="E41" s="16">
        <f t="shared" si="22"/>
        <v>540.13814638054055</v>
      </c>
      <c r="F41" s="11">
        <v>0.92872500000000013</v>
      </c>
      <c r="G41" s="7">
        <f t="shared" si="23"/>
        <v>911.69317574075467</v>
      </c>
      <c r="H41" s="121">
        <f t="shared" si="9"/>
        <v>9672.5567912338811</v>
      </c>
      <c r="I41" s="11">
        <f t="shared" si="24"/>
        <v>0.17221172536059237</v>
      </c>
      <c r="J41" s="11">
        <f t="shared" si="3"/>
        <v>2.0971329945795144E-2</v>
      </c>
      <c r="K41" s="12">
        <f t="shared" si="25"/>
        <v>1177.8894814721198</v>
      </c>
      <c r="L41" s="12">
        <f t="shared" si="26"/>
        <v>3535.3262307559271</v>
      </c>
      <c r="M41" s="321">
        <f t="shared" si="15"/>
        <v>222.20174489028199</v>
      </c>
      <c r="N41" s="320">
        <f t="shared" si="16"/>
        <v>-2.7876752867783809E-3</v>
      </c>
      <c r="O41" s="170">
        <f t="shared" si="17"/>
        <v>241.25942914855298</v>
      </c>
      <c r="P41" s="7">
        <f t="shared" si="6"/>
        <v>15.344842339863087</v>
      </c>
      <c r="Q41" s="176">
        <f t="shared" si="18"/>
        <v>4.077302482314427</v>
      </c>
      <c r="R41" s="7">
        <f t="shared" si="19"/>
        <v>91.53134694827132</v>
      </c>
      <c r="S41" s="7">
        <f t="shared" si="27"/>
        <v>2.2813201435066635</v>
      </c>
      <c r="T41" s="172">
        <f t="shared" si="20"/>
        <v>9.4639816607147011</v>
      </c>
      <c r="U41" s="16">
        <f t="shared" si="21"/>
        <v>336.90719042683884</v>
      </c>
      <c r="V41" s="16">
        <f t="shared" si="8"/>
        <v>879.19186446371134</v>
      </c>
      <c r="W41" s="172">
        <f t="shared" ref="W41:W58" si="28">AVERAGE(V40:V41)*Q41</f>
        <v>3586.0823548975154</v>
      </c>
      <c r="X41" s="16">
        <f t="shared" ref="X41:X58" si="29">X40+W41</f>
        <v>80481.762348984295</v>
      </c>
      <c r="Y41" s="7">
        <f t="shared" si="14"/>
        <v>13.244974384336828</v>
      </c>
    </row>
    <row r="42" spans="2:25">
      <c r="B42" s="120">
        <v>34000</v>
      </c>
      <c r="C42" s="7" cm="1">
        <f t="array" ref="C42">Linterp(B42,atmos_h,atmos_aspeed)</f>
        <v>977.28639154186544</v>
      </c>
      <c r="D42" s="7" cm="1">
        <f t="array" ref="D42">Linterp(B42,atmos_h,atmos_qms)</f>
        <v>365.48073433747794</v>
      </c>
      <c r="E42" s="16">
        <f t="shared" si="22"/>
        <v>538.4692974264641</v>
      </c>
      <c r="F42" s="11">
        <v>0.93</v>
      </c>
      <c r="G42" s="7">
        <f t="shared" si="23"/>
        <v>908.87634413393494</v>
      </c>
      <c r="H42" s="121">
        <f t="shared" si="9"/>
        <v>9663.092809573167</v>
      </c>
      <c r="I42" s="11">
        <f t="shared" si="24"/>
        <v>0.17981952388437511</v>
      </c>
      <c r="J42" s="11">
        <f t="shared" si="3"/>
        <v>2.1328096788577354E-2</v>
      </c>
      <c r="K42" s="12">
        <f t="shared" si="25"/>
        <v>1146.1234812972966</v>
      </c>
      <c r="L42" s="12">
        <f t="shared" si="26"/>
        <v>3427.868592691148</v>
      </c>
      <c r="M42" s="321">
        <f t="shared" si="15"/>
        <v>214.61287767355364</v>
      </c>
      <c r="N42" s="320">
        <f t="shared" si="16"/>
        <v>-2.8168316068197326E-3</v>
      </c>
      <c r="O42" s="170">
        <f t="shared" si="17"/>
        <v>233.166410390095</v>
      </c>
      <c r="P42" s="7">
        <f t="shared" si="6"/>
        <v>14.865070042549725</v>
      </c>
      <c r="Q42" s="176">
        <f t="shared" si="18"/>
        <v>4.2156219862410644</v>
      </c>
      <c r="R42" s="7">
        <f t="shared" si="19"/>
        <v>95.746968934512381</v>
      </c>
      <c r="S42" s="7">
        <f t="shared" si="27"/>
        <v>2.2016017693893799</v>
      </c>
      <c r="T42" s="172">
        <f t="shared" si="20"/>
        <v>9.4491520893032046</v>
      </c>
      <c r="U42" s="16">
        <f t="shared" si="21"/>
        <v>346.35634251614204</v>
      </c>
      <c r="V42" s="16">
        <f t="shared" si="8"/>
        <v>878.45866948426476</v>
      </c>
      <c r="W42" s="172">
        <f t="shared" si="28"/>
        <v>3704.7951175197172</v>
      </c>
      <c r="X42" s="16">
        <f t="shared" si="29"/>
        <v>84186.557466504019</v>
      </c>
      <c r="Y42" s="7">
        <f t="shared" si="14"/>
        <v>13.854676694507278</v>
      </c>
    </row>
    <row r="43" spans="2:25">
      <c r="B43" s="120">
        <v>35000</v>
      </c>
      <c r="C43" s="7" cm="1">
        <f t="array" ref="C43">Linterp(B43,atmos_h,atmos_aspeed)</f>
        <v>972.89204385312564</v>
      </c>
      <c r="D43" s="7" cm="1">
        <f t="array" ref="D43">Linterp(B43,atmos_h,atmos_qms)</f>
        <v>348.56984405829382</v>
      </c>
      <c r="E43" s="16">
        <f t="shared" si="22"/>
        <v>536.04808156478589</v>
      </c>
      <c r="F43" s="11">
        <v>0.93</v>
      </c>
      <c r="G43" s="7">
        <f t="shared" si="23"/>
        <v>904.78960078340685</v>
      </c>
      <c r="H43" s="121">
        <f t="shared" si="9"/>
        <v>9653.6436574838644</v>
      </c>
      <c r="I43" s="11">
        <f t="shared" si="24"/>
        <v>0.18835911148775239</v>
      </c>
      <c r="J43" s="11">
        <f t="shared" si="3"/>
        <v>2.1654736014406532E-2</v>
      </c>
      <c r="K43" s="12">
        <f t="shared" si="25"/>
        <v>1109.8327196853222</v>
      </c>
      <c r="L43" s="12">
        <f t="shared" si="26"/>
        <v>3318.091285116755</v>
      </c>
      <c r="M43" s="321">
        <f t="shared" si="15"/>
        <v>206.96945699816808</v>
      </c>
      <c r="N43" s="320">
        <f t="shared" si="16"/>
        <v>-4.0867433505280817E-3</v>
      </c>
      <c r="O43" s="170">
        <f t="shared" si="17"/>
        <v>233.84435314110218</v>
      </c>
      <c r="P43" s="7">
        <f t="shared" si="6"/>
        <v>14.978207558684337</v>
      </c>
      <c r="Q43" s="176">
        <f t="shared" si="18"/>
        <v>4.2825565408331245</v>
      </c>
      <c r="R43" s="7">
        <f t="shared" si="19"/>
        <v>100.02952547534551</v>
      </c>
      <c r="S43" s="7">
        <f t="shared" si="27"/>
        <v>2.1203868452953714</v>
      </c>
      <c r="T43" s="172">
        <f t="shared" si="20"/>
        <v>9.2545803056122384</v>
      </c>
      <c r="U43" s="16">
        <f t="shared" si="21"/>
        <v>355.61092282175429</v>
      </c>
      <c r="V43" s="16">
        <f t="shared" si="8"/>
        <v>874.04864864023227</v>
      </c>
      <c r="W43" s="172">
        <f t="shared" si="28"/>
        <v>3752.6058390459912</v>
      </c>
      <c r="X43" s="16">
        <f t="shared" si="29"/>
        <v>87939.163305550013</v>
      </c>
      <c r="Y43" s="7">
        <f t="shared" si="14"/>
        <v>14.472247269032653</v>
      </c>
    </row>
    <row r="44" spans="2:25">
      <c r="B44" s="120">
        <v>36000</v>
      </c>
      <c r="C44" s="7" cm="1">
        <f t="array" ref="C44">Linterp(B44,atmos_h,atmos_aspeed)</f>
        <v>968.47775756209501</v>
      </c>
      <c r="D44" s="7" cm="1">
        <f t="array" ref="D44">Linterp(B44,atmos_h,atmos_qms)</f>
        <v>332.29821090292938</v>
      </c>
      <c r="E44" s="16">
        <f t="shared" si="22"/>
        <v>533.61587984956464</v>
      </c>
      <c r="F44" s="11">
        <v>0.93</v>
      </c>
      <c r="G44" s="7">
        <f t="shared" si="23"/>
        <v>900.68431453274843</v>
      </c>
      <c r="H44" s="121">
        <f t="shared" si="9"/>
        <v>9644.3890771782517</v>
      </c>
      <c r="I44" s="11">
        <f t="shared" si="24"/>
        <v>0.1973930697408342</v>
      </c>
      <c r="J44" s="11">
        <f t="shared" si="3"/>
        <v>2.2000284917586911E-2</v>
      </c>
      <c r="K44" s="12">
        <f t="shared" si="25"/>
        <v>1074.9075832933947</v>
      </c>
      <c r="L44" s="12">
        <f t="shared" si="26"/>
        <v>3199.9846117550755</v>
      </c>
      <c r="M44" s="321">
        <f t="shared" si="15"/>
        <v>198.45980200430722</v>
      </c>
      <c r="N44" s="320">
        <f t="shared" si="16"/>
        <v>-4.1052862506584234E-3</v>
      </c>
      <c r="O44" s="170">
        <f t="shared" si="17"/>
        <v>224.22912499544395</v>
      </c>
      <c r="P44" s="7">
        <f t="shared" si="6"/>
        <v>14.415634585998555</v>
      </c>
      <c r="Q44" s="176">
        <f t="shared" si="18"/>
        <v>4.3661117603578532</v>
      </c>
      <c r="R44" s="7">
        <f t="shared" si="19"/>
        <v>104.39563723570336</v>
      </c>
      <c r="S44" s="7">
        <f t="shared" si="27"/>
        <v>2.0431863427667549</v>
      </c>
      <c r="T44" s="172">
        <f t="shared" si="20"/>
        <v>9.0893129307543443</v>
      </c>
      <c r="U44" s="16">
        <f t="shared" si="21"/>
        <v>364.7002357525086</v>
      </c>
      <c r="V44" s="16">
        <f t="shared" si="8"/>
        <v>872.32650650378866</v>
      </c>
      <c r="W44" s="172">
        <f t="shared" si="28"/>
        <v>3812.43455143554</v>
      </c>
      <c r="X44" s="16">
        <f t="shared" si="29"/>
        <v>91751.597856985551</v>
      </c>
      <c r="Y44" s="7">
        <f t="shared" si="14"/>
        <v>15.099663922221309</v>
      </c>
    </row>
    <row r="45" spans="2:25">
      <c r="B45" s="120">
        <v>37000</v>
      </c>
      <c r="C45" s="7" cm="1">
        <f t="array" ref="C45">Linterp(B45,atmos_h,atmos_aspeed)</f>
        <v>968.1005104214338</v>
      </c>
      <c r="D45" s="7" cm="1">
        <f t="array" ref="D45">Linterp(B45,atmos_h,atmos_qms)</f>
        <v>316.70457937064464</v>
      </c>
      <c r="E45" s="16">
        <f t="shared" si="22"/>
        <v>533.4080226599566</v>
      </c>
      <c r="F45" s="11">
        <v>0.93</v>
      </c>
      <c r="G45" s="7">
        <f t="shared" si="23"/>
        <v>900.33347469193347</v>
      </c>
      <c r="H45" s="121">
        <f t="shared" si="9"/>
        <v>9635.2997642474966</v>
      </c>
      <c r="I45" s="11">
        <f t="shared" si="24"/>
        <v>0.20691695038492514</v>
      </c>
      <c r="J45" s="11">
        <f t="shared" si="3"/>
        <v>2.2540955587038981E-2</v>
      </c>
      <c r="K45" s="12">
        <f t="shared" si="25"/>
        <v>1049.6426882847254</v>
      </c>
      <c r="L45" s="12">
        <f t="shared" si="26"/>
        <v>3081.8779383933957</v>
      </c>
      <c r="M45" s="321">
        <f t="shared" si="15"/>
        <v>189.89439549259998</v>
      </c>
      <c r="N45" s="320">
        <f t="shared" si="16"/>
        <v>-3.50839840814956E-4</v>
      </c>
      <c r="O45" s="170">
        <f t="shared" si="17"/>
        <v>191.77719557638795</v>
      </c>
      <c r="P45" s="7">
        <f t="shared" si="6"/>
        <v>12.298619674081966</v>
      </c>
      <c r="Q45" s="176">
        <f t="shared" si="18"/>
        <v>4.8076192622526746</v>
      </c>
      <c r="R45" s="7">
        <f t="shared" si="19"/>
        <v>109.20325649795603</v>
      </c>
      <c r="S45" s="7">
        <f t="shared" si="27"/>
        <v>1.9659858402381396</v>
      </c>
      <c r="T45" s="172">
        <f t="shared" si="20"/>
        <v>9.6372867063509666</v>
      </c>
      <c r="U45" s="16">
        <f t="shared" si="21"/>
        <v>374.33752245885955</v>
      </c>
      <c r="V45" s="16">
        <f t="shared" si="8"/>
        <v>879.67145736786654</v>
      </c>
      <c r="W45" s="172">
        <f t="shared" si="28"/>
        <v>4211.4695792684179</v>
      </c>
      <c r="X45" s="16">
        <f t="shared" si="29"/>
        <v>95963.067436253972</v>
      </c>
      <c r="Y45" s="7">
        <f t="shared" si="14"/>
        <v>15.792750219908823</v>
      </c>
    </row>
    <row r="46" spans="2:25">
      <c r="B46" s="120">
        <v>38000</v>
      </c>
      <c r="C46" s="7" cm="1">
        <f t="array" ref="C46">Linterp(B46,atmos_h,atmos_aspeed)</f>
        <v>968.1005104214338</v>
      </c>
      <c r="D46" s="7" cm="1">
        <f t="array" ref="D46">Linterp(B46,atmos_h,atmos_qms)</f>
        <v>301.84260713385146</v>
      </c>
      <c r="E46" s="16">
        <f t="shared" si="22"/>
        <v>533.4080226599566</v>
      </c>
      <c r="F46" s="11">
        <v>0.93</v>
      </c>
      <c r="G46" s="7">
        <f t="shared" si="23"/>
        <v>900.33347469193347</v>
      </c>
      <c r="H46" s="121">
        <f t="shared" si="9"/>
        <v>9625.6624775411456</v>
      </c>
      <c r="I46" s="11">
        <f t="shared" si="24"/>
        <v>0.21688787179063793</v>
      </c>
      <c r="J46" s="11">
        <f t="shared" si="3"/>
        <v>2.3176601826653171E-2</v>
      </c>
      <c r="K46" s="12">
        <f t="shared" si="25"/>
        <v>1028.5966878548015</v>
      </c>
      <c r="L46" s="12">
        <f t="shared" si="26"/>
        <v>2963.7712650317167</v>
      </c>
      <c r="M46" s="321">
        <f t="shared" si="15"/>
        <v>181.0059780581723</v>
      </c>
      <c r="N46" s="320">
        <f t="shared" si="16"/>
        <v>0</v>
      </c>
      <c r="O46" s="170">
        <f t="shared" si="17"/>
        <v>181.0059780581723</v>
      </c>
      <c r="P46" s="7">
        <f t="shared" si="6"/>
        <v>11.597972741152173</v>
      </c>
      <c r="Q46" s="176">
        <f t="shared" si="18"/>
        <v>5.3650490189790645</v>
      </c>
      <c r="R46" s="7">
        <f t="shared" si="19"/>
        <v>114.5683055169351</v>
      </c>
      <c r="S46" s="7">
        <f t="shared" si="27"/>
        <v>1.8887853377095236</v>
      </c>
      <c r="T46" s="172">
        <f t="shared" si="20"/>
        <v>10.340518163318441</v>
      </c>
      <c r="U46" s="16">
        <f t="shared" si="21"/>
        <v>384.678040622178</v>
      </c>
      <c r="V46" s="16">
        <f t="shared" si="8"/>
        <v>881.95079316141835</v>
      </c>
      <c r="W46" s="172">
        <f t="shared" si="28"/>
        <v>4725.5948635069162</v>
      </c>
      <c r="X46" s="16">
        <f t="shared" si="29"/>
        <v>100688.66229976089</v>
      </c>
      <c r="Y46" s="7">
        <f t="shared" si="14"/>
        <v>16.570446695372407</v>
      </c>
    </row>
    <row r="47" spans="2:25">
      <c r="B47" s="120">
        <v>39000</v>
      </c>
      <c r="C47" s="7" cm="1">
        <f t="array" ref="C47">Linterp(B47,atmos_h,atmos_aspeed)</f>
        <v>968.1005104214338</v>
      </c>
      <c r="D47" s="7" cm="1">
        <f t="array" ref="D47">Linterp(B47,atmos_h,atmos_qms)</f>
        <v>287.67806156264714</v>
      </c>
      <c r="E47" s="16">
        <f t="shared" si="22"/>
        <v>533.4080226599566</v>
      </c>
      <c r="F47" s="11">
        <v>0.93</v>
      </c>
      <c r="G47" s="7">
        <f t="shared" si="23"/>
        <v>900.33347469193347</v>
      </c>
      <c r="H47" s="121">
        <f t="shared" si="9"/>
        <v>9615.3219593778267</v>
      </c>
      <c r="I47" s="11">
        <f t="shared" si="24"/>
        <v>0.22732241884796098</v>
      </c>
      <c r="J47" s="11">
        <f t="shared" si="3"/>
        <v>2.3841804201557515E-2</v>
      </c>
      <c r="K47" s="12">
        <f t="shared" si="25"/>
        <v>1008.464649691012</v>
      </c>
      <c r="L47" s="12">
        <f t="shared" si="26"/>
        <v>2845.6645916700368</v>
      </c>
      <c r="M47" s="321">
        <f t="shared" si="15"/>
        <v>172.02675214141496</v>
      </c>
      <c r="N47" s="320">
        <f t="shared" si="16"/>
        <v>0</v>
      </c>
      <c r="O47" s="170">
        <f t="shared" si="17"/>
        <v>172.02675214141496</v>
      </c>
      <c r="P47" s="7">
        <f t="shared" si="6"/>
        <v>11.015237033079988</v>
      </c>
      <c r="Q47" s="176">
        <f t="shared" si="18"/>
        <v>5.6651971018927876</v>
      </c>
      <c r="R47" s="7">
        <f t="shared" si="19"/>
        <v>120.23350261882788</v>
      </c>
      <c r="S47" s="7">
        <f t="shared" si="27"/>
        <v>1.8115848351809078</v>
      </c>
      <c r="T47" s="172">
        <f t="shared" si="20"/>
        <v>10.481663189694693</v>
      </c>
      <c r="U47" s="16">
        <f t="shared" si="21"/>
        <v>395.1597038118727</v>
      </c>
      <c r="V47" s="16">
        <f t="shared" si="8"/>
        <v>883.74609600185875</v>
      </c>
      <c r="W47" s="172">
        <f t="shared" si="28"/>
        <v>5001.5104496544536</v>
      </c>
      <c r="X47" s="16">
        <f t="shared" si="29"/>
        <v>105690.17274941535</v>
      </c>
      <c r="Y47" s="7">
        <f t="shared" si="14"/>
        <v>17.393550909982121</v>
      </c>
    </row>
    <row r="48" spans="2:25">
      <c r="B48" s="120">
        <v>40000</v>
      </c>
      <c r="C48" s="7" cm="1">
        <f t="array" ref="C48">Linterp(B48,atmos_h,atmos_aspeed)</f>
        <v>968.1005104214338</v>
      </c>
      <c r="D48" s="7" cm="1">
        <f t="array" ref="D48">Linterp(B48,atmos_h,atmos_qms)</f>
        <v>274.17821456777654</v>
      </c>
      <c r="E48" s="16">
        <f t="shared" si="22"/>
        <v>533.4080226599566</v>
      </c>
      <c r="F48" s="11">
        <v>0.93</v>
      </c>
      <c r="G48" s="7">
        <f t="shared" si="23"/>
        <v>900.33347469193347</v>
      </c>
      <c r="H48" s="121">
        <f t="shared" si="9"/>
        <v>9604.8402961881329</v>
      </c>
      <c r="I48" s="11">
        <f t="shared" si="24"/>
        <v>0.23825519864537956</v>
      </c>
      <c r="J48" s="11">
        <f t="shared" si="3"/>
        <v>2.4538768913642952E-2</v>
      </c>
      <c r="K48" s="12">
        <f t="shared" si="25"/>
        <v>989.23741358277914</v>
      </c>
      <c r="L48" s="12">
        <f t="shared" si="26"/>
        <v>2727.5579183083573</v>
      </c>
      <c r="M48" s="321">
        <f t="shared" si="15"/>
        <v>162.94577441011103</v>
      </c>
      <c r="N48" s="320">
        <f t="shared" si="16"/>
        <v>0</v>
      </c>
      <c r="O48" s="170">
        <f t="shared" si="17"/>
        <v>162.94577441011103</v>
      </c>
      <c r="P48" s="7">
        <f t="shared" si="6"/>
        <v>10.427068666543603</v>
      </c>
      <c r="Q48" s="176">
        <f t="shared" si="18"/>
        <v>5.9706389075832362</v>
      </c>
      <c r="R48" s="7">
        <f t="shared" si="19"/>
        <v>126.20414152641112</v>
      </c>
      <c r="S48" s="7">
        <f t="shared" si="27"/>
        <v>1.7343843326522921</v>
      </c>
      <c r="T48" s="172">
        <f t="shared" si="20"/>
        <v>10.585850739277728</v>
      </c>
      <c r="U48" s="16">
        <f t="shared" si="21"/>
        <v>405.74555455115041</v>
      </c>
      <c r="V48" s="16">
        <f t="shared" si="8"/>
        <v>885.46543707405067</v>
      </c>
      <c r="W48" s="172">
        <f t="shared" si="28"/>
        <v>5281.661607564005</v>
      </c>
      <c r="X48" s="16">
        <f t="shared" si="29"/>
        <v>110971.83435697935</v>
      </c>
      <c r="Y48" s="7">
        <f t="shared" si="14"/>
        <v>18.262759916559041</v>
      </c>
    </row>
    <row r="49" spans="2:25">
      <c r="B49" s="120">
        <v>41000</v>
      </c>
      <c r="C49" s="7" cm="1">
        <f t="array" ref="C49">Linterp(B49,atmos_h,atmos_aspeed)</f>
        <v>968.1005104214338</v>
      </c>
      <c r="D49" s="7" cm="1">
        <f t="array" ref="D49">Linterp(B49,atmos_h,atmos_qms)</f>
        <v>261.31187388859428</v>
      </c>
      <c r="E49" s="16">
        <f t="shared" si="22"/>
        <v>533.4080226599566</v>
      </c>
      <c r="F49" s="11">
        <v>0.93</v>
      </c>
      <c r="G49" s="7">
        <f t="shared" si="23"/>
        <v>900.33347469193347</v>
      </c>
      <c r="H49" s="121">
        <f t="shared" si="9"/>
        <v>9594.2544454488543</v>
      </c>
      <c r="I49" s="11">
        <f t="shared" si="24"/>
        <v>0.24971076735801348</v>
      </c>
      <c r="J49" s="11">
        <f t="shared" ref="J49:J58" si="30">InterpolateXY(I49,F49,CD_CL,CD_M,CD_table)</f>
        <v>2.5269061419073362E-2</v>
      </c>
      <c r="K49" s="12">
        <f t="shared" si="25"/>
        <v>970.87445374223148</v>
      </c>
      <c r="L49" s="12">
        <f t="shared" si="26"/>
        <v>2596.62178455614</v>
      </c>
      <c r="M49" s="321">
        <f t="shared" si="15"/>
        <v>152.5615931540311</v>
      </c>
      <c r="N49" s="320">
        <f t="shared" si="16"/>
        <v>0</v>
      </c>
      <c r="O49" s="170">
        <f t="shared" si="17"/>
        <v>152.5615931540311</v>
      </c>
      <c r="P49" s="7">
        <f t="shared" si="6"/>
        <v>9.7558479883262841</v>
      </c>
      <c r="Q49" s="176">
        <f t="shared" si="18"/>
        <v>6.3389961871283509</v>
      </c>
      <c r="R49" s="7">
        <f t="shared" si="19"/>
        <v>132.54313771353947</v>
      </c>
      <c r="S49" s="7">
        <f t="shared" si="27"/>
        <v>1.6511253934255294</v>
      </c>
      <c r="T49" s="172">
        <f t="shared" si="20"/>
        <v>10.730366622546629</v>
      </c>
      <c r="U49" s="16">
        <f t="shared" si="21"/>
        <v>416.47592117369703</v>
      </c>
      <c r="V49" s="16">
        <f t="shared" si="8"/>
        <v>887.31354432644287</v>
      </c>
      <c r="W49" s="172">
        <f t="shared" si="28"/>
        <v>5618.8196018595054</v>
      </c>
      <c r="X49" s="16">
        <f t="shared" si="29"/>
        <v>116590.65395883886</v>
      </c>
      <c r="Y49" s="7">
        <f t="shared" si="14"/>
        <v>19.187455394450474</v>
      </c>
    </row>
    <row r="50" spans="2:25">
      <c r="B50" s="120">
        <v>42000</v>
      </c>
      <c r="C50" s="7" cm="1">
        <f t="array" ref="C50">Linterp(B50,atmos_h,atmos_aspeed)</f>
        <v>968.1005104214338</v>
      </c>
      <c r="D50" s="7" cm="1">
        <f t="array" ref="D50">Linterp(B50,atmos_h,atmos_qms)</f>
        <v>249.04931102134992</v>
      </c>
      <c r="E50" s="16">
        <f t="shared" si="22"/>
        <v>533.4080226599566</v>
      </c>
      <c r="F50" s="11">
        <v>0.93</v>
      </c>
      <c r="G50" s="7">
        <f t="shared" si="23"/>
        <v>900.33347469193347</v>
      </c>
      <c r="H50" s="121">
        <f t="shared" si="9"/>
        <v>9583.5240788263072</v>
      </c>
      <c r="I50" s="11">
        <f t="shared" si="24"/>
        <v>0.26171286711447245</v>
      </c>
      <c r="J50" s="11">
        <f t="shared" si="30"/>
        <v>2.6034195278547622E-2</v>
      </c>
      <c r="K50" s="12">
        <f t="shared" si="25"/>
        <v>953.33232972338737</v>
      </c>
      <c r="L50" s="12">
        <f t="shared" si="26"/>
        <v>2465.6856508039227</v>
      </c>
      <c r="M50" s="321">
        <f t="shared" si="15"/>
        <v>142.079501165826</v>
      </c>
      <c r="N50" s="320">
        <f t="shared" si="16"/>
        <v>0</v>
      </c>
      <c r="O50" s="170">
        <f t="shared" si="17"/>
        <v>142.079501165826</v>
      </c>
      <c r="P50" s="7">
        <f t="shared" si="6"/>
        <v>9.0796666680927132</v>
      </c>
      <c r="Q50" s="176">
        <f t="shared" si="18"/>
        <v>6.7879193994196747</v>
      </c>
      <c r="R50" s="7">
        <f t="shared" si="19"/>
        <v>139.33105711295914</v>
      </c>
      <c r="S50" s="7">
        <f t="shared" si="27"/>
        <v>1.567866454198767</v>
      </c>
      <c r="T50" s="172">
        <f t="shared" si="20"/>
        <v>10.925128604531372</v>
      </c>
      <c r="U50" s="16">
        <f t="shared" si="21"/>
        <v>427.40104977822841</v>
      </c>
      <c r="V50" s="16">
        <f t="shared" si="8"/>
        <v>889.05218125783847</v>
      </c>
      <c r="W50" s="172">
        <f t="shared" si="28"/>
        <v>6028.9136845788744</v>
      </c>
      <c r="X50" s="16">
        <f t="shared" si="29"/>
        <v>122619.56764341773</v>
      </c>
      <c r="Y50" s="7">
        <f t="shared" si="14"/>
        <v>20.179640517974086</v>
      </c>
    </row>
    <row r="51" spans="2:25">
      <c r="B51" s="120">
        <v>43000</v>
      </c>
      <c r="C51" s="7" cm="1">
        <f t="array" ref="C51">Linterp(B51,atmos_h,atmos_aspeed)</f>
        <v>968.1005104214338</v>
      </c>
      <c r="D51" s="7" cm="1">
        <f t="array" ref="D51">Linterp(B51,atmos_h,atmos_qms)</f>
        <v>237.36219252957719</v>
      </c>
      <c r="E51" s="16">
        <f t="shared" si="22"/>
        <v>533.4080226599566</v>
      </c>
      <c r="F51" s="11">
        <v>0.93</v>
      </c>
      <c r="G51" s="7">
        <f t="shared" si="23"/>
        <v>900.33347469193347</v>
      </c>
      <c r="H51" s="121">
        <f t="shared" si="9"/>
        <v>9572.5989502217762</v>
      </c>
      <c r="I51" s="11">
        <f t="shared" si="24"/>
        <v>0.27428591143422854</v>
      </c>
      <c r="J51" s="11">
        <f t="shared" si="30"/>
        <v>2.6835726853932075E-2</v>
      </c>
      <c r="K51" s="12">
        <f t="shared" si="25"/>
        <v>936.56888670342073</v>
      </c>
      <c r="L51" s="12">
        <f t="shared" si="26"/>
        <v>2334.7495170517059</v>
      </c>
      <c r="M51" s="321">
        <f t="shared" si="15"/>
        <v>131.50334947848881</v>
      </c>
      <c r="N51" s="320">
        <f t="shared" si="16"/>
        <v>0</v>
      </c>
      <c r="O51" s="170">
        <f t="shared" si="17"/>
        <v>131.50334947848881</v>
      </c>
      <c r="P51" s="7">
        <f t="shared" si="6"/>
        <v>8.3987075642247824</v>
      </c>
      <c r="Q51" s="176">
        <f t="shared" si="18"/>
        <v>7.3103997392007614</v>
      </c>
      <c r="R51" s="7">
        <f t="shared" si="19"/>
        <v>146.64145685215991</v>
      </c>
      <c r="S51" s="7">
        <f t="shared" si="27"/>
        <v>1.4846075149720046</v>
      </c>
      <c r="T51" s="172">
        <f t="shared" si="20"/>
        <v>11.15740245407156</v>
      </c>
      <c r="U51" s="16">
        <f t="shared" si="21"/>
        <v>438.5584522323</v>
      </c>
      <c r="V51" s="16">
        <f t="shared" si="8"/>
        <v>890.67796353496306</v>
      </c>
      <c r="W51" s="172">
        <f t="shared" si="28"/>
        <v>6505.2693931705153</v>
      </c>
      <c r="X51" s="16">
        <f t="shared" si="29"/>
        <v>129124.83703658824</v>
      </c>
      <c r="Y51" s="7">
        <f t="shared" si="14"/>
        <v>21.250220037619027</v>
      </c>
    </row>
    <row r="52" spans="2:25">
      <c r="B52" s="120">
        <v>44000</v>
      </c>
      <c r="C52" s="7" cm="1">
        <f t="array" ref="C52">Linterp(B52,atmos_h,atmos_aspeed)</f>
        <v>968.1005104214338</v>
      </c>
      <c r="D52" s="7" cm="1">
        <f t="array" ref="D52">Linterp(B52,atmos_h,atmos_qms)</f>
        <v>226.22351457787488</v>
      </c>
      <c r="E52" s="16">
        <f t="shared" si="22"/>
        <v>533.4080226599566</v>
      </c>
      <c r="F52" s="11">
        <v>0.93</v>
      </c>
      <c r="G52" s="7">
        <f t="shared" si="23"/>
        <v>900.33347469193347</v>
      </c>
      <c r="H52" s="121">
        <f t="shared" si="9"/>
        <v>9561.4415477677048</v>
      </c>
      <c r="I52" s="11">
        <f t="shared" si="24"/>
        <v>0.28745562448486156</v>
      </c>
      <c r="J52" s="11">
        <f t="shared" si="30"/>
        <v>2.7675296060909928E-2</v>
      </c>
      <c r="K52" s="12">
        <f t="shared" si="25"/>
        <v>920.54460954717445</v>
      </c>
      <c r="L52" s="12">
        <f t="shared" si="26"/>
        <v>2203.813383299489</v>
      </c>
      <c r="M52" s="321">
        <f t="shared" si="15"/>
        <v>120.8363642933968</v>
      </c>
      <c r="N52" s="320">
        <f t="shared" si="16"/>
        <v>0</v>
      </c>
      <c r="O52" s="170">
        <f t="shared" si="17"/>
        <v>120.8363642933968</v>
      </c>
      <c r="P52" s="7">
        <f t="shared" si="6"/>
        <v>7.7131080350977506</v>
      </c>
      <c r="Q52" s="176">
        <f t="shared" si="18"/>
        <v>7.925823367652681</v>
      </c>
      <c r="R52" s="7">
        <f t="shared" si="19"/>
        <v>154.56728021981257</v>
      </c>
      <c r="S52" s="7">
        <f t="shared" si="27"/>
        <v>1.4013485757452422</v>
      </c>
      <c r="T52" s="172">
        <f t="shared" si="20"/>
        <v>11.436789110913168</v>
      </c>
      <c r="U52" s="16">
        <f t="shared" si="21"/>
        <v>449.99524134321314</v>
      </c>
      <c r="V52" s="16">
        <f t="shared" si="8"/>
        <v>892.18772616260753</v>
      </c>
      <c r="W52" s="172">
        <f t="shared" si="28"/>
        <v>7065.3392723956094</v>
      </c>
      <c r="X52" s="16">
        <f t="shared" si="29"/>
        <v>136190.17630898385</v>
      </c>
      <c r="Y52" s="7">
        <f t="shared" si="14"/>
        <v>22.412970888846004</v>
      </c>
    </row>
    <row r="53" spans="2:25">
      <c r="B53" s="120">
        <v>45000</v>
      </c>
      <c r="C53" s="7" cm="1">
        <f t="array" ref="C53">Linterp(B53,atmos_h,atmos_aspeed)</f>
        <v>968.1005104214338</v>
      </c>
      <c r="D53" s="7" cm="1">
        <f t="array" ref="D53">Linterp(B53,atmos_h,atmos_qms)</f>
        <v>215.60754053781716</v>
      </c>
      <c r="E53" s="16">
        <f t="shared" si="22"/>
        <v>533.4080226599566</v>
      </c>
      <c r="F53" s="11">
        <v>0.93</v>
      </c>
      <c r="G53" s="7">
        <f t="shared" si="23"/>
        <v>900.33347469193347</v>
      </c>
      <c r="H53" s="121">
        <f t="shared" si="9"/>
        <v>9550.0047586567925</v>
      </c>
      <c r="I53" s="11">
        <f t="shared" si="24"/>
        <v>0.30124845202228445</v>
      </c>
      <c r="J53" s="11">
        <f t="shared" si="30"/>
        <v>2.857846546134683E-2</v>
      </c>
      <c r="K53" s="12">
        <f t="shared" si="25"/>
        <v>905.97803679595927</v>
      </c>
      <c r="L53" s="12">
        <f t="shared" si="26"/>
        <v>2072.8772495472722</v>
      </c>
      <c r="M53" s="321">
        <f t="shared" si="15"/>
        <v>110.01025123881068</v>
      </c>
      <c r="N53" s="320">
        <f t="shared" si="16"/>
        <v>0</v>
      </c>
      <c r="O53" s="170">
        <f t="shared" si="17"/>
        <v>110.01025123881068</v>
      </c>
      <c r="P53" s="7">
        <f t="shared" si="6"/>
        <v>7.0184146855904848</v>
      </c>
      <c r="Q53" s="176">
        <f t="shared" si="18"/>
        <v>8.663761413131752</v>
      </c>
      <c r="R53" s="7">
        <f t="shared" si="19"/>
        <v>163.23104163294431</v>
      </c>
      <c r="S53" s="7">
        <f t="shared" si="27"/>
        <v>1.31808963651848</v>
      </c>
      <c r="T53" s="172">
        <f t="shared" si="20"/>
        <v>11.780281924403216</v>
      </c>
      <c r="U53" s="16">
        <f t="shared" si="21"/>
        <v>461.77552326761634</v>
      </c>
      <c r="V53" s="16">
        <f t="shared" si="8"/>
        <v>893.58721469883631</v>
      </c>
      <c r="W53" s="172">
        <f t="shared" si="28"/>
        <v>7735.7640125865064</v>
      </c>
      <c r="X53" s="16">
        <f t="shared" si="29"/>
        <v>143925.94032157035</v>
      </c>
      <c r="Y53" s="7">
        <f t="shared" si="14"/>
        <v>23.686054295564865</v>
      </c>
    </row>
    <row r="54" spans="2:25">
      <c r="B54" s="120">
        <v>46000</v>
      </c>
      <c r="C54" s="7" cm="1">
        <f t="array" ref="C54">Linterp(B54,atmos_h,atmos_aspeed)</f>
        <v>968.1005104214338</v>
      </c>
      <c r="D54" s="7" cm="1">
        <f t="array" ref="D54">Linterp(B54,atmos_h,atmos_qms)</f>
        <v>205.48974152182566</v>
      </c>
      <c r="E54" s="16">
        <f t="shared" si="22"/>
        <v>533.4080226599566</v>
      </c>
      <c r="F54" s="11">
        <v>0.93</v>
      </c>
      <c r="G54" s="7">
        <f t="shared" si="23"/>
        <v>900.33347469193347</v>
      </c>
      <c r="H54" s="121">
        <f t="shared" si="9"/>
        <v>9538.22447673239</v>
      </c>
      <c r="I54" s="11">
        <f t="shared" si="24"/>
        <v>0.31569127181126799</v>
      </c>
      <c r="J54" s="11">
        <f t="shared" si="30"/>
        <v>2.9775414151358842E-2</v>
      </c>
      <c r="K54" s="12">
        <f t="shared" si="25"/>
        <v>899.62760906840469</v>
      </c>
      <c r="L54" s="12">
        <f t="shared" si="26"/>
        <v>1961.6629332978612</v>
      </c>
      <c r="M54" s="321">
        <f t="shared" si="15"/>
        <v>100.24779308157478</v>
      </c>
      <c r="N54" s="320">
        <f t="shared" si="16"/>
        <v>0</v>
      </c>
      <c r="O54" s="170">
        <f t="shared" si="17"/>
        <v>100.24779308157478</v>
      </c>
      <c r="P54" s="7">
        <f t="shared" si="6"/>
        <v>6.3928651231884892</v>
      </c>
      <c r="Q54" s="176">
        <f t="shared" si="18"/>
        <v>9.5121211959550749</v>
      </c>
      <c r="R54" s="7">
        <f t="shared" si="19"/>
        <v>172.74316282889939</v>
      </c>
      <c r="S54" s="7">
        <f t="shared" si="27"/>
        <v>1.2473712967263608</v>
      </c>
      <c r="T54" s="172">
        <f t="shared" si="20"/>
        <v>12.201487660256468</v>
      </c>
      <c r="U54" s="16">
        <f t="shared" si="21"/>
        <v>473.97701092787281</v>
      </c>
      <c r="V54" s="16">
        <f t="shared" si="8"/>
        <v>894.73501419868671</v>
      </c>
      <c r="W54" s="172">
        <f t="shared" si="28"/>
        <v>8505.3688893468752</v>
      </c>
      <c r="X54" s="16">
        <f t="shared" si="29"/>
        <v>152431.30921091721</v>
      </c>
      <c r="Y54" s="7">
        <f t="shared" si="14"/>
        <v>25.08579244469048</v>
      </c>
    </row>
    <row r="55" spans="2:25">
      <c r="B55" s="120">
        <v>47000</v>
      </c>
      <c r="C55" s="7" cm="1">
        <f t="array" ref="C55">Linterp(B55,atmos_h,atmos_aspeed)</f>
        <v>968.1005104214338</v>
      </c>
      <c r="D55" s="7" cm="1">
        <f t="array" ref="D55">Linterp(B55,atmos_h,atmos_qms)</f>
        <v>195.84673970760483</v>
      </c>
      <c r="E55" s="16">
        <f t="shared" si="22"/>
        <v>533.4080226599566</v>
      </c>
      <c r="F55" s="11">
        <v>0.93</v>
      </c>
      <c r="G55" s="7">
        <f t="shared" si="23"/>
        <v>900.33347469193347</v>
      </c>
      <c r="H55" s="121">
        <f t="shared" si="9"/>
        <v>9526.022989072133</v>
      </c>
      <c r="I55" s="11">
        <f t="shared" si="24"/>
        <v>0.3308113949393312</v>
      </c>
      <c r="J55" s="11">
        <f t="shared" si="30"/>
        <v>3.102849435559708E-2</v>
      </c>
      <c r="K55" s="12">
        <f t="shared" si="25"/>
        <v>893.49446563628771</v>
      </c>
      <c r="L55" s="12">
        <f t="shared" si="26"/>
        <v>1850.4486170484506</v>
      </c>
      <c r="M55" s="321">
        <f t="shared" si="15"/>
        <v>90.444654316932727</v>
      </c>
      <c r="N55" s="320">
        <f t="shared" si="16"/>
        <v>0</v>
      </c>
      <c r="O55" s="170">
        <f t="shared" si="17"/>
        <v>90.444654316932727</v>
      </c>
      <c r="P55" s="7">
        <f t="shared" si="6"/>
        <v>5.7654778581965349</v>
      </c>
      <c r="Q55" s="176">
        <f t="shared" si="18"/>
        <v>10.488092356486549</v>
      </c>
      <c r="R55" s="7">
        <f t="shared" si="19"/>
        <v>183.23125518538595</v>
      </c>
      <c r="S55" s="7">
        <f t="shared" si="27"/>
        <v>1.1766529569342419</v>
      </c>
      <c r="T55" s="172">
        <f t="shared" si="20"/>
        <v>12.71169512337789</v>
      </c>
      <c r="U55" s="16">
        <f t="shared" si="21"/>
        <v>486.68870605125068</v>
      </c>
      <c r="V55" s="16">
        <f t="shared" si="8"/>
        <v>895.77906324960566</v>
      </c>
      <c r="W55" s="172">
        <f t="shared" si="28"/>
        <v>9389.5385049335</v>
      </c>
      <c r="X55" s="16">
        <f t="shared" si="29"/>
        <v>161820.84771585072</v>
      </c>
      <c r="Y55" s="7">
        <f t="shared" si="14"/>
        <v>26.631039384479415</v>
      </c>
    </row>
    <row r="56" spans="2:25">
      <c r="B56" s="120">
        <v>48000</v>
      </c>
      <c r="C56" s="7" cm="1">
        <f t="array" ref="C56">Linterp(B56,atmos_h,atmos_aspeed)</f>
        <v>968.1005104214338</v>
      </c>
      <c r="D56" s="7" cm="1">
        <f t="array" ref="D56">Linterp(B56,atmos_h,atmos_qms)</f>
        <v>186.65625432218673</v>
      </c>
      <c r="E56" s="16">
        <f t="shared" si="22"/>
        <v>533.4080226599566</v>
      </c>
      <c r="F56" s="11">
        <v>0.93</v>
      </c>
      <c r="G56" s="7">
        <f t="shared" si="23"/>
        <v>900.33347469193347</v>
      </c>
      <c r="H56" s="121">
        <f t="shared" si="9"/>
        <v>9513.3112939487546</v>
      </c>
      <c r="I56" s="11">
        <f t="shared" si="24"/>
        <v>0.34663654150599971</v>
      </c>
      <c r="J56" s="11">
        <f t="shared" si="30"/>
        <v>3.2340003377309731E-2</v>
      </c>
      <c r="K56" s="12">
        <f t="shared" si="25"/>
        <v>887.55939589933985</v>
      </c>
      <c r="L56" s="12">
        <f t="shared" si="26"/>
        <v>1739.2343007990401</v>
      </c>
      <c r="M56" s="321">
        <f t="shared" si="15"/>
        <v>80.601948442916111</v>
      </c>
      <c r="N56" s="320">
        <f t="shared" si="16"/>
        <v>0</v>
      </c>
      <c r="O56" s="170">
        <f t="shared" si="17"/>
        <v>80.601948442916111</v>
      </c>
      <c r="P56" s="7">
        <f t="shared" si="6"/>
        <v>5.1362553528613377</v>
      </c>
      <c r="Q56" s="176">
        <f t="shared" si="18"/>
        <v>11.692719806940687</v>
      </c>
      <c r="R56" s="7">
        <f t="shared" si="19"/>
        <v>194.92397499232663</v>
      </c>
      <c r="S56" s="7">
        <f t="shared" si="27"/>
        <v>1.1059346171421227</v>
      </c>
      <c r="T56" s="172">
        <f t="shared" si="20"/>
        <v>13.344828469239701</v>
      </c>
      <c r="U56" s="16">
        <f t="shared" si="21"/>
        <v>500.03353452049038</v>
      </c>
      <c r="V56" s="16">
        <f t="shared" si="8"/>
        <v>896.71828996516842</v>
      </c>
      <c r="W56" s="172">
        <f t="shared" si="28"/>
        <v>10479.584652911573</v>
      </c>
      <c r="X56" s="16">
        <f t="shared" si="29"/>
        <v>172300.4323687623</v>
      </c>
      <c r="Y56" s="7">
        <f t="shared" si="14"/>
        <v>28.355676448022233</v>
      </c>
    </row>
    <row r="57" spans="2:25">
      <c r="B57" s="120">
        <v>49000</v>
      </c>
      <c r="C57" s="7" cm="1">
        <f t="array" ref="C57">Linterp(B57,atmos_h,atmos_aspeed)</f>
        <v>968.1005104214338</v>
      </c>
      <c r="D57" s="7" cm="1">
        <f t="array" ref="D57">Linterp(B57,atmos_h,atmos_qms)</f>
        <v>177.89705016077923</v>
      </c>
      <c r="E57" s="16">
        <f t="shared" si="22"/>
        <v>533.4080226599566</v>
      </c>
      <c r="F57" s="11">
        <v>0.93</v>
      </c>
      <c r="G57" s="7">
        <f t="shared" si="23"/>
        <v>900.33347469193347</v>
      </c>
      <c r="H57" s="121">
        <f t="shared" si="9"/>
        <v>9499.9664654795142</v>
      </c>
      <c r="I57" s="11">
        <f t="shared" si="24"/>
        <v>0.3631938675718952</v>
      </c>
      <c r="J57" s="11">
        <f t="shared" si="30"/>
        <v>3.4112625655827837E-2</v>
      </c>
      <c r="K57" s="12">
        <f t="shared" si="25"/>
        <v>892.27497685012611</v>
      </c>
      <c r="L57" s="12">
        <f t="shared" si="26"/>
        <v>1628.0199845496293</v>
      </c>
      <c r="M57" s="321">
        <f t="shared" si="15"/>
        <v>69.728231323383028</v>
      </c>
      <c r="N57" s="320">
        <f t="shared" si="16"/>
        <v>0</v>
      </c>
      <c r="O57" s="170">
        <f t="shared" si="17"/>
        <v>69.728231323383028</v>
      </c>
      <c r="P57" s="7">
        <f t="shared" si="6"/>
        <v>4.4418408706313173</v>
      </c>
      <c r="Q57" s="176">
        <f t="shared" si="18"/>
        <v>13.304048482541349</v>
      </c>
      <c r="R57" s="7">
        <f t="shared" si="19"/>
        <v>208.228023474868</v>
      </c>
      <c r="S57" s="7">
        <f t="shared" si="27"/>
        <v>1.035216277350004</v>
      </c>
      <c r="T57" s="172">
        <f t="shared" si="20"/>
        <v>14.242987654380014</v>
      </c>
      <c r="U57" s="16">
        <f t="shared" si="21"/>
        <v>514.27652217487037</v>
      </c>
      <c r="V57" s="16">
        <f t="shared" si="8"/>
        <v>897.62928840772747</v>
      </c>
      <c r="W57" s="172">
        <f t="shared" si="28"/>
        <v>11936.043588601835</v>
      </c>
      <c r="X57" s="16">
        <f t="shared" si="29"/>
        <v>184236.47595736413</v>
      </c>
      <c r="Y57" s="7">
        <f t="shared" si="14"/>
        <v>30.320004600974944</v>
      </c>
    </row>
    <row r="58" spans="2:25" ht="15" thickBot="1">
      <c r="B58" s="120">
        <v>50000</v>
      </c>
      <c r="C58" s="7" cm="1">
        <f t="array" ref="C58">Linterp(B58,atmos_h,atmos_aspeed)</f>
        <v>968.1005104214338</v>
      </c>
      <c r="D58" s="7" cm="1">
        <f t="array" ref="D58">Linterp(B58,atmos_h,atmos_qms)</f>
        <v>169.54888852146578</v>
      </c>
      <c r="E58" s="16">
        <f t="shared" si="22"/>
        <v>533.4080226599566</v>
      </c>
      <c r="F58" s="11">
        <v>0.93</v>
      </c>
      <c r="G58" s="7">
        <f t="shared" si="23"/>
        <v>900.33347469193347</v>
      </c>
      <c r="H58" s="121">
        <f t="shared" si="9"/>
        <v>9485.723477825135</v>
      </c>
      <c r="I58" s="11">
        <f t="shared" si="24"/>
        <v>0.38050528619686907</v>
      </c>
      <c r="J58" s="11">
        <f t="shared" si="30"/>
        <v>3.6072711029640506E-2</v>
      </c>
      <c r="K58" s="12">
        <f t="shared" si="25"/>
        <v>899.26677587765448</v>
      </c>
      <c r="L58" s="12">
        <f t="shared" si="26"/>
        <v>1516.8056683002185</v>
      </c>
      <c r="M58" s="321">
        <f t="shared" si="15"/>
        <v>58.613445571332583</v>
      </c>
      <c r="N58" s="320">
        <f t="shared" si="16"/>
        <v>0</v>
      </c>
      <c r="O58" s="170">
        <f t="shared" si="17"/>
        <v>58.613445571332583</v>
      </c>
      <c r="P58" s="7">
        <f t="shared" si="6"/>
        <v>3.7327056160423995</v>
      </c>
      <c r="Q58" s="176">
        <f>(B58-B57)/AVERAGE($O57:$O58)</f>
        <v>15.583402433183796</v>
      </c>
      <c r="R58" s="7">
        <f t="shared" si="19"/>
        <v>223.8114259080518</v>
      </c>
      <c r="S58" s="7">
        <f t="shared" si="27"/>
        <v>0.96449793755788493</v>
      </c>
      <c r="T58" s="172">
        <f t="shared" si="20"/>
        <v>15.58117568113391</v>
      </c>
      <c r="U58" s="16">
        <f t="shared" si="21"/>
        <v>529.85769785600428</v>
      </c>
      <c r="V58" s="16">
        <f t="shared" si="8"/>
        <v>898.4235246525476</v>
      </c>
      <c r="W58" s="172">
        <f t="shared" si="28"/>
        <v>13994.306888585046</v>
      </c>
      <c r="X58" s="16">
        <f t="shared" si="29"/>
        <v>198230.78284594917</v>
      </c>
      <c r="Y58" s="7">
        <f t="shared" si="14"/>
        <v>32.623063466188725</v>
      </c>
    </row>
    <row r="59" spans="2:25">
      <c r="B59" s="120">
        <v>51000</v>
      </c>
      <c r="C59" s="7" cm="1">
        <f t="array" ref="C59">Linterp(B59,atmos_h,atmos_aspeed)</f>
        <v>968.1005104214338</v>
      </c>
      <c r="D59" s="7" cm="1">
        <f t="array" ref="D59">Linterp(B59,atmos_h,atmos_qms)</f>
        <v>161.59248044238913</v>
      </c>
      <c r="E59" s="16">
        <f t="shared" ref="E59" si="31">F59*C59*3600/6076.4</f>
        <v>533.4080226599566</v>
      </c>
      <c r="F59" s="11">
        <v>0.93</v>
      </c>
      <c r="G59" s="7">
        <f t="shared" ref="G59" si="32">F59*C59</f>
        <v>900.33347469193347</v>
      </c>
      <c r="H59" s="121">
        <f>H58-T58</f>
        <v>9470.1423021440005</v>
      </c>
      <c r="W59" s="297"/>
    </row>
    <row r="60" spans="2:25">
      <c r="B60" s="55"/>
      <c r="C60" s="55"/>
      <c r="D60" s="55"/>
      <c r="E60" s="55"/>
      <c r="R60" s="7"/>
    </row>
  </sheetData>
  <mergeCells count="2">
    <mergeCell ref="B2:D2"/>
    <mergeCell ref="B3:D3"/>
  </mergeCell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5BC25-DAB4-4F5F-9010-EEA433F5AAB7}">
  <sheetPr codeName="Sheet46">
    <tabColor theme="8" tint="0.79998168889431442"/>
  </sheetPr>
  <dimension ref="A2:CQ231"/>
  <sheetViews>
    <sheetView topLeftCell="I1" workbookViewId="0">
      <selection activeCell="P15" sqref="P15"/>
    </sheetView>
  </sheetViews>
  <sheetFormatPr defaultRowHeight="14.5"/>
  <cols>
    <col min="9" max="9" width="13.54296875" customWidth="1"/>
  </cols>
  <sheetData>
    <row r="2" spans="1:79">
      <c r="A2" t="s">
        <v>567</v>
      </c>
      <c r="I2" s="5" t="s">
        <v>570</v>
      </c>
      <c r="M2" t="s">
        <v>576</v>
      </c>
      <c r="N2" s="3" cm="1">
        <f t="array" ref="N2">y_max(I7:I84,O7:O84)</f>
        <v>10270.544682527354</v>
      </c>
      <c r="O2" t="s">
        <v>208</v>
      </c>
      <c r="U2" t="s">
        <v>576</v>
      </c>
      <c r="V2" s="3" cm="1">
        <f t="array" ref="V2">y_max(Q9:Q84,W9:W84)</f>
        <v>9747.0661513640662</v>
      </c>
      <c r="W2" t="s">
        <v>208</v>
      </c>
      <c r="AC2" t="s">
        <v>576</v>
      </c>
      <c r="AD2" s="3" cm="1">
        <f t="array" ref="AD2">y_max(Y11:Y84,AE11:AE84)</f>
        <v>9266.873841768087</v>
      </c>
      <c r="AE2" t="s">
        <v>208</v>
      </c>
      <c r="AK2" t="s">
        <v>576</v>
      </c>
      <c r="AL2" s="3" cm="1">
        <f t="array" ref="AL2">y_max(AG14:AG84,AM14:AM84)</f>
        <v>8223.4721220107749</v>
      </c>
      <c r="AM2" t="s">
        <v>208</v>
      </c>
      <c r="AS2" t="s">
        <v>576</v>
      </c>
      <c r="AT2" s="3" cm="1">
        <f t="array" ref="AT2">y_max(AO17:AO84,AU17:AU84)</f>
        <v>7145.0478077824373</v>
      </c>
      <c r="AU2" t="s">
        <v>208</v>
      </c>
      <c r="BA2" t="s">
        <v>576</v>
      </c>
      <c r="BB2" s="3" cm="1">
        <f t="array" ref="BB2">y_max(AW21:AW84,BC21:BC84)</f>
        <v>6094.9549900651837</v>
      </c>
      <c r="BC2" t="s">
        <v>208</v>
      </c>
      <c r="BI2" t="s">
        <v>576</v>
      </c>
      <c r="BJ2" s="3" cm="1">
        <f t="array" ref="BJ2">y_max(BE25:BE84,BK25:BK84)</f>
        <v>5112.7833702836087</v>
      </c>
      <c r="BK2" t="s">
        <v>208</v>
      </c>
      <c r="BQ2" t="s">
        <v>576</v>
      </c>
      <c r="BR2" s="3" cm="1">
        <f t="array" ref="BR2">y_max(BM30:BM84,BS30:BS84)</f>
        <v>4025.7861498670973</v>
      </c>
      <c r="BS2" t="s">
        <v>208</v>
      </c>
      <c r="BY2" t="s">
        <v>576</v>
      </c>
      <c r="BZ2" s="3" cm="1">
        <f t="array" ref="BZ2">y_max(BU36:BU84,CA36:CA84)</f>
        <v>2767.5990866591164</v>
      </c>
      <c r="CA2" t="s">
        <v>208</v>
      </c>
    </row>
    <row r="3" spans="1:79">
      <c r="I3" t="s">
        <v>1</v>
      </c>
      <c r="J3">
        <v>0</v>
      </c>
      <c r="K3" t="s">
        <v>132</v>
      </c>
      <c r="M3" t="s">
        <v>577</v>
      </c>
      <c r="N3" s="2" cm="1">
        <f t="array" ref="N3">x_at_ymax(I7:I84,O7:O84)</f>
        <v>0.63120463531621274</v>
      </c>
      <c r="Q3" t="s">
        <v>1</v>
      </c>
      <c r="R3">
        <v>5000</v>
      </c>
      <c r="S3" t="s">
        <v>132</v>
      </c>
      <c r="U3" t="s">
        <v>577</v>
      </c>
      <c r="V3" s="2" cm="1">
        <f t="array" ref="V3">x_at_ymax(Q9:Q84,W9:W84)</f>
        <v>0.69122497334412147</v>
      </c>
      <c r="Y3" t="s">
        <v>1</v>
      </c>
      <c r="Z3">
        <v>10000</v>
      </c>
      <c r="AA3" t="s">
        <v>132</v>
      </c>
      <c r="AC3" t="s">
        <v>577</v>
      </c>
      <c r="AD3" s="2" cm="1">
        <f t="array" ref="AD3">x_at_ymax(Y11:Y84,AE11:AE84)</f>
        <v>0.76029630529664027</v>
      </c>
      <c r="AG3" t="s">
        <v>1</v>
      </c>
      <c r="AH3">
        <v>15000</v>
      </c>
      <c r="AI3" t="s">
        <v>132</v>
      </c>
      <c r="AK3" t="s">
        <v>577</v>
      </c>
      <c r="AL3" s="2" cm="1">
        <f t="array" ref="AL3">x_at_ymax(AG14:AG84,AM14:AM84)</f>
        <v>0.79866139017356619</v>
      </c>
      <c r="AO3" t="s">
        <v>1</v>
      </c>
      <c r="AP3">
        <v>20000</v>
      </c>
      <c r="AQ3" t="s">
        <v>132</v>
      </c>
      <c r="AS3" t="s">
        <v>577</v>
      </c>
      <c r="AT3" s="2" cm="1">
        <f t="array" ref="AT3">x_at_ymax(AO17:AO84,AU17:AU84)</f>
        <v>0.80207216527601477</v>
      </c>
      <c r="AW3" t="s">
        <v>1</v>
      </c>
      <c r="AX3">
        <v>25000</v>
      </c>
      <c r="AY3" t="s">
        <v>132</v>
      </c>
      <c r="BA3" t="s">
        <v>577</v>
      </c>
      <c r="BB3" s="2" cm="1">
        <f t="array" ref="BB3">x_at_ymax(AW21:AW84,BC21:BC84)</f>
        <v>0.80949211260790221</v>
      </c>
      <c r="BE3" t="s">
        <v>1</v>
      </c>
      <c r="BF3">
        <v>30000</v>
      </c>
      <c r="BG3" t="s">
        <v>132</v>
      </c>
      <c r="BI3" t="s">
        <v>577</v>
      </c>
      <c r="BJ3" s="2" cm="1">
        <f t="array" ref="BJ3">x_at_ymax(BE25:BE84,BK25:BK84)</f>
        <v>0.83699184100503643</v>
      </c>
      <c r="BM3" t="s">
        <v>1</v>
      </c>
      <c r="BN3">
        <v>35000</v>
      </c>
      <c r="BO3" t="s">
        <v>132</v>
      </c>
      <c r="BQ3" t="s">
        <v>577</v>
      </c>
      <c r="BR3" s="2" cm="1">
        <f t="array" ref="BR3">x_at_ymax(BM30:BM83,BS30:BS84)</f>
        <v>0.85402385308192297</v>
      </c>
      <c r="BU3" t="s">
        <v>1</v>
      </c>
      <c r="BV3">
        <v>40000</v>
      </c>
      <c r="BW3" t="s">
        <v>132</v>
      </c>
      <c r="BY3" t="s">
        <v>577</v>
      </c>
      <c r="BZ3" s="2" cm="1">
        <f t="array" ref="BZ3">x_at_ymax(BU36:BU84,CA36:CA84)</f>
        <v>0.85360190090492871</v>
      </c>
    </row>
    <row r="4" spans="1:79" ht="15" thickBot="1">
      <c r="A4" s="433" t="s">
        <v>568</v>
      </c>
      <c r="B4" s="6"/>
      <c r="C4" s="9"/>
      <c r="D4" s="6" t="s">
        <v>569</v>
      </c>
      <c r="E4" s="6"/>
      <c r="I4" t="s">
        <v>571</v>
      </c>
      <c r="J4">
        <v>10000</v>
      </c>
      <c r="K4" t="s">
        <v>547</v>
      </c>
      <c r="Q4" t="s">
        <v>571</v>
      </c>
      <c r="R4">
        <v>10000</v>
      </c>
      <c r="S4" t="s">
        <v>547</v>
      </c>
      <c r="Y4" t="s">
        <v>571</v>
      </c>
      <c r="Z4">
        <v>10000</v>
      </c>
      <c r="AA4" t="s">
        <v>547</v>
      </c>
      <c r="AG4" t="s">
        <v>571</v>
      </c>
      <c r="AH4">
        <v>10000</v>
      </c>
      <c r="AI4" t="s">
        <v>547</v>
      </c>
      <c r="AO4" t="s">
        <v>571</v>
      </c>
      <c r="AP4">
        <v>10000</v>
      </c>
      <c r="AQ4" t="s">
        <v>547</v>
      </c>
      <c r="AW4" t="s">
        <v>571</v>
      </c>
      <c r="AX4">
        <v>10000</v>
      </c>
      <c r="AY4" t="s">
        <v>547</v>
      </c>
      <c r="BE4" t="s">
        <v>571</v>
      </c>
      <c r="BF4">
        <v>10000</v>
      </c>
      <c r="BG4" t="s">
        <v>547</v>
      </c>
      <c r="BM4" t="s">
        <v>571</v>
      </c>
      <c r="BN4">
        <v>10000</v>
      </c>
      <c r="BO4" t="s">
        <v>547</v>
      </c>
      <c r="BU4" t="s">
        <v>571</v>
      </c>
      <c r="BV4">
        <v>10000</v>
      </c>
      <c r="BW4" t="s">
        <v>547</v>
      </c>
    </row>
    <row r="5" spans="1:79">
      <c r="C5" s="9"/>
      <c r="D5" s="55"/>
      <c r="I5" t="s">
        <v>367</v>
      </c>
      <c r="J5" t="s">
        <v>574</v>
      </c>
      <c r="K5" t="s">
        <v>74</v>
      </c>
      <c r="L5" t="s">
        <v>75</v>
      </c>
      <c r="M5" t="s">
        <v>572</v>
      </c>
      <c r="N5" t="s">
        <v>573</v>
      </c>
      <c r="O5" s="432" t="s">
        <v>575</v>
      </c>
      <c r="Q5" t="s">
        <v>367</v>
      </c>
      <c r="R5" t="s">
        <v>574</v>
      </c>
      <c r="S5" t="s">
        <v>74</v>
      </c>
      <c r="T5" t="s">
        <v>75</v>
      </c>
      <c r="U5" t="s">
        <v>572</v>
      </c>
      <c r="V5" t="s">
        <v>573</v>
      </c>
      <c r="W5" s="432" t="s">
        <v>575</v>
      </c>
      <c r="Y5" t="s">
        <v>367</v>
      </c>
      <c r="Z5" t="s">
        <v>574</v>
      </c>
      <c r="AA5" t="s">
        <v>74</v>
      </c>
      <c r="AB5" t="s">
        <v>75</v>
      </c>
      <c r="AC5" t="s">
        <v>572</v>
      </c>
      <c r="AD5" t="s">
        <v>573</v>
      </c>
      <c r="AE5" s="432" t="s">
        <v>575</v>
      </c>
      <c r="AG5" t="s">
        <v>367</v>
      </c>
      <c r="AH5" t="s">
        <v>574</v>
      </c>
      <c r="AI5" t="s">
        <v>74</v>
      </c>
      <c r="AJ5" t="s">
        <v>75</v>
      </c>
      <c r="AK5" t="s">
        <v>572</v>
      </c>
      <c r="AL5" t="s">
        <v>573</v>
      </c>
      <c r="AM5" s="432" t="s">
        <v>575</v>
      </c>
      <c r="AO5" t="s">
        <v>367</v>
      </c>
      <c r="AP5" t="s">
        <v>574</v>
      </c>
      <c r="AQ5" t="s">
        <v>74</v>
      </c>
      <c r="AR5" t="s">
        <v>75</v>
      </c>
      <c r="AS5" t="s">
        <v>572</v>
      </c>
      <c r="AT5" t="s">
        <v>573</v>
      </c>
      <c r="AU5" s="432" t="s">
        <v>575</v>
      </c>
      <c r="AW5" t="s">
        <v>367</v>
      </c>
      <c r="AX5" t="s">
        <v>574</v>
      </c>
      <c r="AY5" t="s">
        <v>74</v>
      </c>
      <c r="AZ5" t="s">
        <v>75</v>
      </c>
      <c r="BA5" t="s">
        <v>572</v>
      </c>
      <c r="BB5" t="s">
        <v>573</v>
      </c>
      <c r="BC5" s="432" t="s">
        <v>575</v>
      </c>
      <c r="BE5" t="s">
        <v>367</v>
      </c>
      <c r="BF5" t="s">
        <v>574</v>
      </c>
      <c r="BG5" t="s">
        <v>74</v>
      </c>
      <c r="BH5" t="s">
        <v>75</v>
      </c>
      <c r="BI5" t="s">
        <v>572</v>
      </c>
      <c r="BJ5" t="s">
        <v>573</v>
      </c>
      <c r="BK5" s="432" t="s">
        <v>575</v>
      </c>
      <c r="BM5" t="s">
        <v>367</v>
      </c>
      <c r="BN5" t="s">
        <v>574</v>
      </c>
      <c r="BO5" t="s">
        <v>74</v>
      </c>
      <c r="BP5" t="s">
        <v>75</v>
      </c>
      <c r="BQ5" t="s">
        <v>572</v>
      </c>
      <c r="BR5" t="s">
        <v>573</v>
      </c>
      <c r="BS5" s="432" t="s">
        <v>575</v>
      </c>
      <c r="BU5" t="s">
        <v>367</v>
      </c>
      <c r="BV5" t="s">
        <v>574</v>
      </c>
      <c r="BW5" t="s">
        <v>74</v>
      </c>
      <c r="BX5" t="s">
        <v>75</v>
      </c>
      <c r="BY5" t="s">
        <v>572</v>
      </c>
      <c r="BZ5" t="s">
        <v>573</v>
      </c>
      <c r="CA5" s="432" t="s">
        <v>575</v>
      </c>
    </row>
    <row r="6" spans="1:79">
      <c r="A6" s="6" t="s">
        <v>1</v>
      </c>
      <c r="B6" s="6" t="s">
        <v>72</v>
      </c>
      <c r="D6" s="6" t="s">
        <v>1</v>
      </c>
      <c r="E6" s="6" t="s">
        <v>72</v>
      </c>
      <c r="I6">
        <v>0.22</v>
      </c>
      <c r="J6" cm="1">
        <f t="array" ref="J6">numeng*InterpolateXY(J$3,I6,Tmil_h,Tmil_M,Tmil_table)</f>
        <v>3888</v>
      </c>
      <c r="K6" cm="1">
        <f t="array" ref="K6">1*J$4/(S*Linterp(J$3,atmos_h,atmos_qms)*I6^2)</f>
        <v>0.8204400689700253</v>
      </c>
      <c r="L6" t="e" cm="1">
        <f t="array" ref="L6">InterpolateXY(K6,I6,CD_CL,CD_M,CD_table)</f>
        <v>#VALUE!</v>
      </c>
      <c r="M6" t="e" cm="1">
        <f t="array" ref="M6">L6*S*Linterp(J$3,atmos_h,atmos_qms)*I6^2</f>
        <v>#VALUE!</v>
      </c>
      <c r="N6" cm="1">
        <f t="array" ref="N6">I6*Linterp(J$3,atmos_h,atmos_aspeed)</f>
        <v>245.619</v>
      </c>
      <c r="O6" s="162" t="e">
        <f t="shared" ref="O6:O49" si="0">(J6-M6)*N6*(60/1)/J$4</f>
        <v>#VALUE!</v>
      </c>
      <c r="Q6">
        <v>0.22</v>
      </c>
      <c r="R6" cm="1">
        <f t="array" ref="R6">numeng*InterpolateXY(R$3,Q6,Tmil_h,Tmil_M,Tmil_table)</f>
        <v>3425.9921805663475</v>
      </c>
      <c r="S6" cm="1">
        <f t="array" ref="S6">1*R$4/(S*Linterp(R$3,atmos_h,atmos_qms)*Q6^2)</f>
        <v>0.98605006409114093</v>
      </c>
      <c r="T6" t="e" cm="1">
        <f t="array" ref="T6">InterpolateXY(S6,Q6,CD_CL,CD_M,CD_table)</f>
        <v>#VALUE!</v>
      </c>
      <c r="U6" t="e" cm="1">
        <f t="array" ref="U6">T6*S*Linterp(R$3,atmos_h,atmos_qms)*Q6^2</f>
        <v>#VALUE!</v>
      </c>
      <c r="V6" cm="1">
        <f t="array" ref="V6">Q6*Linterp(R$3,atmos_h,atmos_aspeed)</f>
        <v>241.36033380145466</v>
      </c>
      <c r="W6" s="162" t="e">
        <f t="shared" ref="W6:W49" si="1">(R6-U6)*V6*(60/1)/R$4</f>
        <v>#VALUE!</v>
      </c>
      <c r="Y6">
        <v>0.22</v>
      </c>
      <c r="Z6" cm="1">
        <f t="array" ref="Z6">numeng*InterpolateXY(Z$3,Y6,Tmil_h,Tmil_M,Tmil_table)</f>
        <v>3001.1627806509769</v>
      </c>
      <c r="AA6" cm="1">
        <f t="array" ref="AA6">1*Z$4/(S*Linterp(Z$3,atmos_h,atmos_qms)*Y6^2)</f>
        <v>1.1930151536346254</v>
      </c>
      <c r="AB6" t="e" cm="1">
        <f t="array" ref="AB6">InterpolateXY(AA6,Y6,CD_CL,CD_M,CD_table)</f>
        <v>#VALUE!</v>
      </c>
      <c r="AC6" t="e" cm="1">
        <f t="array" ref="AC6">AB6*S*Linterp(Z$3,atmos_h,atmos_qms)*Y6^2</f>
        <v>#VALUE!</v>
      </c>
      <c r="AD6" cm="1">
        <f t="array" ref="AD6">Y6*Linterp(Z$3,atmos_h,atmos_aspeed)</f>
        <v>237.02516386345826</v>
      </c>
      <c r="AE6" s="162" t="e">
        <f t="shared" ref="AE6:AE49" si="2">(Z6-AC6)*AD6*(60/1)/Z$4</f>
        <v>#VALUE!</v>
      </c>
      <c r="AG6">
        <v>0.22</v>
      </c>
      <c r="AH6" cm="1">
        <f t="array" ref="AH6">numeng*InterpolateXY(AH$3,AG6,Tmil_h,Tmil_M,Tmil_table)</f>
        <v>2584.8874554041304</v>
      </c>
      <c r="AI6" cm="1">
        <f t="array" ref="AI6">1*AH$4/(S*Linterp(AH$3,atmos_h,atmos_qms)*AG6^2)</f>
        <v>1.4538033493842457</v>
      </c>
      <c r="AJ6" t="e" cm="1">
        <f t="array" ref="AJ6">InterpolateXY(AI6,AG6,CD_CL,CD_M,CD_table)</f>
        <v>#VALUE!</v>
      </c>
      <c r="AK6" t="e" cm="1">
        <f t="array" ref="AK6">AJ6*S*Linterp(AH$3,atmos_h,atmos_qms)*AG6^2</f>
        <v>#VALUE!</v>
      </c>
      <c r="AL6" cm="1">
        <f t="array" ref="AL6">AG6*Linterp(AH$3,atmos_h,atmos_aspeed)</f>
        <v>232.60921279314977</v>
      </c>
      <c r="AM6" s="162" t="e">
        <f t="shared" ref="AM6:AM49" si="3">(AH6-AK6)*AL6*(60/1)/AH$4</f>
        <v>#VALUE!</v>
      </c>
      <c r="AO6">
        <v>0.22</v>
      </c>
      <c r="AP6" cm="1">
        <f t="array" ref="AP6">numeng*InterpolateXY(AP$3,AO6,Tmil_h,Tmil_M,Tmil_table)</f>
        <v>2212.2098635042948</v>
      </c>
      <c r="AQ6" cm="1">
        <f t="array" ref="AQ6">1*AP$4/(S*Linterp(AP$3,atmos_h,atmos_qms)*AO6^2)</f>
        <v>1.7853421082085086</v>
      </c>
      <c r="AR6" t="e" cm="1">
        <f t="array" ref="AR6">InterpolateXY(AQ6,AO6,CD_CL,CD_M,CD_table)</f>
        <v>#VALUE!</v>
      </c>
      <c r="AS6" t="e" cm="1">
        <f t="array" ref="AS6">AR6*S*Linterp(AP$3,atmos_h,atmos_qms)*AO6^2</f>
        <v>#VALUE!</v>
      </c>
      <c r="AT6" cm="1">
        <f t="array" ref="AT6">AO6*Linterp(AP$3,atmos_h,atmos_aspeed)</f>
        <v>228.10778909979916</v>
      </c>
      <c r="AU6" s="162" t="e">
        <f t="shared" ref="AU6:AU49" si="4">(AP6-AS6)*AT6*(60/1)/AP$4</f>
        <v>#VALUE!</v>
      </c>
      <c r="AW6">
        <v>0.22</v>
      </c>
      <c r="AX6" cm="1">
        <f t="array" ref="AX6">numeng*InterpolateXY(AX$3,AW6,Tmil_h,Tmil_M,Tmil_table)</f>
        <v>1880.284376114163</v>
      </c>
      <c r="AY6" cm="1">
        <f t="array" ref="AY6">1*AX$4/(S*Linterp(AX$3,atmos_h,atmos_qms)*AW6^2)</f>
        <v>2.2108861735540075</v>
      </c>
      <c r="AZ6" t="e" cm="1">
        <f t="array" ref="AZ6">InterpolateXY(AY6,AW6,CD_CL,CD_M,CD_table)</f>
        <v>#VALUE!</v>
      </c>
      <c r="BA6" t="e" cm="1">
        <f t="array" ref="BA6">AZ6*S*Linterp(AX$3,atmos_h,atmos_qms)*AW6^2</f>
        <v>#VALUE!</v>
      </c>
      <c r="BB6" cm="1">
        <f t="array" ref="BB6">AW6*Linterp(AX$3,atmos_h,atmos_aspeed)</f>
        <v>223.51572879721027</v>
      </c>
      <c r="BC6" s="162" t="e">
        <f t="shared" ref="BC6:BC49" si="5">(AX6-BA6)*BB6*(60/1)/AX$4</f>
        <v>#VALUE!</v>
      </c>
      <c r="BE6">
        <v>0.22</v>
      </c>
      <c r="BF6" cm="1">
        <f t="array" ref="BF6">numeng*InterpolateXY(BF$3,BE6,Tmil_h,Tmil_M,Tmil_table)</f>
        <v>1586.2989521548159</v>
      </c>
      <c r="BG6" cm="1">
        <f t="array" ref="BG6">1*BF$4/(S*Linterp(BF$3,atmos_h,atmos_qms)*BE6^2)</f>
        <v>2.7627926606206481</v>
      </c>
      <c r="BH6" t="e" cm="1">
        <f t="array" ref="BH6">InterpolateXY(BG6,BE6,CD_CL,CD_M,CD_table)</f>
        <v>#VALUE!</v>
      </c>
      <c r="BI6" t="e" cm="1">
        <f t="array" ref="BI6">BH6*S*Linterp(BF$3,atmos_h,atmos_qms)*BE6^2</f>
        <v>#VALUE!</v>
      </c>
      <c r="BJ6" cm="1">
        <f t="array" ref="BJ6">BE6*Linterp(BF$3,atmos_h,atmos_aspeed)</f>
        <v>218.82732597072436</v>
      </c>
      <c r="BK6" s="162" t="e">
        <f t="shared" ref="BK6:BK49" si="6">(BF6-BI6)*BJ6*(60/1)/BF$4</f>
        <v>#VALUE!</v>
      </c>
      <c r="BM6">
        <v>0.22</v>
      </c>
      <c r="BN6" cm="1">
        <f t="array" ref="BN6">numeng*InterpolateXY(BN$3,BM6,Tmil_h,Tmil_M,Tmil_table)</f>
        <v>1327.4844102951231</v>
      </c>
      <c r="BO6" cm="1">
        <f t="array" ref="BO6">1*BN$4/(S*Linterp(BN$3,atmos_h,atmos_qms)*BM6^2)</f>
        <v>3.4867106224076263</v>
      </c>
      <c r="BP6" t="e" cm="1">
        <f t="array" ref="BP6">InterpolateXY(BO6,BM6,CD_CL,CD_M,CD_table)</f>
        <v>#VALUE!</v>
      </c>
      <c r="BQ6" t="e" cm="1">
        <f t="array" ref="BQ6">BP6*S*Linterp(BN$3,atmos_h,atmos_qms)*BM6^2</f>
        <v>#VALUE!</v>
      </c>
      <c r="BR6" cm="1">
        <f t="array" ref="BR6">BM6*Linterp(BN$3,atmos_h,atmos_aspeed)</f>
        <v>214.03624964768764</v>
      </c>
      <c r="BS6" s="162" t="e">
        <f t="shared" ref="BS6:BS49" si="7">(BN6-BQ6)*BR6*(60/1)/BN$4</f>
        <v>#VALUE!</v>
      </c>
      <c r="BU6">
        <v>0.22</v>
      </c>
      <c r="BV6" cm="1">
        <f t="array" ref="BV6">numeng*InterpolateXY(BV$3,BU6,Tmil_h,Tmil_M,Tmil_table)</f>
        <v>1065.4215406533003</v>
      </c>
      <c r="BW6" cm="1">
        <f t="array" ref="BW6">1*BV$4/(S*Linterp(BV$3,atmos_h,atmos_qms)*BU6^2)</f>
        <v>4.4327452487242986</v>
      </c>
      <c r="BX6" t="e" cm="1">
        <f t="array" ref="BX6">InterpolateXY(BW6,BU6,CD_CL,CD_M,CD_table)</f>
        <v>#VALUE!</v>
      </c>
      <c r="BY6" t="e" cm="1">
        <f t="array" ref="BY6">BX6*S*Linterp(BV$3,atmos_h,atmos_qms)*BU6^2</f>
        <v>#VALUE!</v>
      </c>
      <c r="BZ6" cm="1">
        <f t="array" ref="BZ6">BU6*Linterp(BV$3,atmos_h,atmos_aspeed)</f>
        <v>212.98211229271544</v>
      </c>
      <c r="CA6" s="162" t="e">
        <f t="shared" ref="CA6:CA49" si="8">(BV6-BY6)*BZ6*(60/1)/BV$4</f>
        <v>#VALUE!</v>
      </c>
    </row>
    <row r="7" spans="1:79">
      <c r="A7" s="55" t="s">
        <v>30</v>
      </c>
      <c r="B7" s="55" t="s">
        <v>48</v>
      </c>
      <c r="C7" s="6"/>
      <c r="D7" s="55" t="s">
        <v>30</v>
      </c>
      <c r="E7" s="55" t="s">
        <v>48</v>
      </c>
      <c r="I7">
        <v>0.23</v>
      </c>
      <c r="J7" cm="1">
        <f t="array" ref="J7">numeng*InterpolateXY(J$3,I7,Tmil_h,Tmil_M,Tmil_table)</f>
        <v>3892</v>
      </c>
      <c r="K7" cm="1">
        <f t="array" ref="K7">1*J$4/(S*Linterp(J$3,atmos_h,atmos_qms)*I7^2)</f>
        <v>0.75064838068335016</v>
      </c>
      <c r="L7" cm="1">
        <f t="array" ref="L7">InterpolateXY(K7,I7,CD_CL,CD_M,CD_table)</f>
        <v>0.1629156967494016</v>
      </c>
      <c r="M7" cm="1">
        <f t="array" ref="M7">L7*S*Linterp(J$3,atmos_h,atmos_qms)*I7^2</f>
        <v>2170.3330206493201</v>
      </c>
      <c r="N7" cm="1">
        <f t="array" ref="N7">I7*Linterp(J$3,atmos_h,atmos_aspeed)</f>
        <v>256.7835</v>
      </c>
      <c r="O7" s="162">
        <f t="shared" si="0"/>
        <v>2652.5740367525714</v>
      </c>
      <c r="Q7">
        <v>0.23</v>
      </c>
      <c r="R7" cm="1">
        <f t="array" ref="R7">numeng*InterpolateXY(R$3,Q7,Tmil_h,Tmil_M,Tmil_table)</f>
        <v>3432.8855249940466</v>
      </c>
      <c r="S7" cm="1">
        <f t="array" ref="S7">1*R$4/(S*Linterp(R$3,atmos_h,atmos_qms)*Q7^2)</f>
        <v>0.9021705690361288</v>
      </c>
      <c r="T7" t="e" cm="1">
        <f t="array" ref="T7">InterpolateXY(S7,Q7,CD_CL,CD_M,CD_table)</f>
        <v>#VALUE!</v>
      </c>
      <c r="U7" t="e" cm="1">
        <f t="array" ref="U7">T7*S*Linterp(R$3,atmos_h,atmos_qms)*Q7^2</f>
        <v>#VALUE!</v>
      </c>
      <c r="V7" cm="1">
        <f t="array" ref="V7">Q7*Linterp(R$3,atmos_h,atmos_aspeed)</f>
        <v>252.33125806515716</v>
      </c>
      <c r="W7" s="162" t="e">
        <f t="shared" si="1"/>
        <v>#VALUE!</v>
      </c>
      <c r="Y7">
        <v>0.23</v>
      </c>
      <c r="Z7" cm="1">
        <f t="array" ref="Z7">numeng*InterpolateXY(Z$3,Y7,Tmil_h,Tmil_M,Tmil_table)</f>
        <v>3010.0244817749463</v>
      </c>
      <c r="AA7" cm="1">
        <f t="array" ref="AA7">1*Z$4/(S*Linterp(Z$3,atmos_h,atmos_qms)*Y7^2)</f>
        <v>1.0915299326260086</v>
      </c>
      <c r="AB7" t="e" cm="1">
        <f t="array" ref="AB7">InterpolateXY(AA7,Y7,CD_CL,CD_M,CD_table)</f>
        <v>#VALUE!</v>
      </c>
      <c r="AC7" t="e" cm="1">
        <f t="array" ref="AC7">AB7*S*Linterp(Z$3,atmos_h,atmos_qms)*Y7^2</f>
        <v>#VALUE!</v>
      </c>
      <c r="AD7" cm="1">
        <f t="array" ref="AD7">Y7*Linterp(Z$3,atmos_h,atmos_aspeed)</f>
        <v>247.79903494816091</v>
      </c>
      <c r="AE7" s="162" t="e">
        <f t="shared" si="2"/>
        <v>#VALUE!</v>
      </c>
      <c r="AG7">
        <v>0.23</v>
      </c>
      <c r="AH7" cm="1">
        <f t="array" ref="AH7">numeng*InterpolateXY(AH$3,AG7,Tmil_h,Tmil_M,Tmil_table)</f>
        <v>2593.6967115812627</v>
      </c>
      <c r="AI7" cm="1">
        <f t="array" ref="AI7">1*AH$4/(S*Linterp(AH$3,atmos_h,atmos_qms)*AG7^2)</f>
        <v>1.3301338773194231</v>
      </c>
      <c r="AJ7" t="e" cm="1">
        <f t="array" ref="AJ7">InterpolateXY(AI7,AG7,CD_CL,CD_M,CD_table)</f>
        <v>#VALUE!</v>
      </c>
      <c r="AK7" t="e" cm="1">
        <f t="array" ref="AK7">AJ7*S*Linterp(AH$3,atmos_h,atmos_qms)*AG7^2</f>
        <v>#VALUE!</v>
      </c>
      <c r="AL7" cm="1">
        <f t="array" ref="AL7">AG7*Linterp(AH$3,atmos_h,atmos_aspeed)</f>
        <v>243.18235882920206</v>
      </c>
      <c r="AM7" s="162" t="e">
        <f t="shared" si="3"/>
        <v>#VALUE!</v>
      </c>
      <c r="AO7">
        <v>0.23</v>
      </c>
      <c r="AP7" cm="1">
        <f t="array" ref="AP7">numeng*InterpolateXY(AP$3,AO7,Tmil_h,Tmil_M,Tmil_table)</f>
        <v>2220.7347570052748</v>
      </c>
      <c r="AQ7" cm="1">
        <f t="array" ref="AQ7">1*AP$4/(S*Linterp(AP$3,atmos_h,atmos_qms)*AO7^2)</f>
        <v>1.6334699061869908</v>
      </c>
      <c r="AR7" t="e" cm="1">
        <f t="array" ref="AR7">InterpolateXY(AQ7,AO7,CD_CL,CD_M,CD_table)</f>
        <v>#VALUE!</v>
      </c>
      <c r="AS7" t="e" cm="1">
        <f t="array" ref="AS7">AR7*S*Linterp(AP$3,atmos_h,atmos_qms)*AO7^2</f>
        <v>#VALUE!</v>
      </c>
      <c r="AT7" cm="1">
        <f t="array" ref="AT7">AO7*Linterp(AP$3,atmos_h,atmos_aspeed)</f>
        <v>238.47632496797186</v>
      </c>
      <c r="AU7" s="162" t="e">
        <f t="shared" si="4"/>
        <v>#VALUE!</v>
      </c>
      <c r="AW7">
        <v>0.23</v>
      </c>
      <c r="AX7" cm="1">
        <f t="array" ref="AX7">numeng*InterpolateXY(AX$3,AW7,Tmil_h,Tmil_M,Tmil_table)</f>
        <v>1888.3504196723266</v>
      </c>
      <c r="AY7" cm="1">
        <f t="array" ref="AY7">1*AX$4/(S*Linterp(AX$3,atmos_h,atmos_qms)*AW7^2)</f>
        <v>2.0228145708887331</v>
      </c>
      <c r="AZ7" t="e" cm="1">
        <f t="array" ref="AZ7">InterpolateXY(AY7,AW7,CD_CL,CD_M,CD_table)</f>
        <v>#VALUE!</v>
      </c>
      <c r="BA7" t="e" cm="1">
        <f t="array" ref="BA7">AZ7*S*Linterp(AX$3,atmos_h,atmos_qms)*AW7^2</f>
        <v>#VALUE!</v>
      </c>
      <c r="BB7" cm="1">
        <f t="array" ref="BB7">AW7*Linterp(AX$3,atmos_h,atmos_aspeed)</f>
        <v>233.67553465162891</v>
      </c>
      <c r="BC7" s="162" t="e">
        <f t="shared" si="5"/>
        <v>#VALUE!</v>
      </c>
      <c r="BE7">
        <v>0.23</v>
      </c>
      <c r="BF7" cm="1">
        <f t="array" ref="BF7">numeng*InterpolateXY(BF$3,BE7,Tmil_h,Tmil_M,Tmil_table)</f>
        <v>1593.7814943819612</v>
      </c>
      <c r="BG7" cm="1">
        <f t="array" ref="BG7">1*BF$4/(S*Linterp(BF$3,atmos_h,atmos_qms)*BE7^2)</f>
        <v>2.5277724910026347</v>
      </c>
      <c r="BH7" t="e" cm="1">
        <f t="array" ref="BH7">InterpolateXY(BG7,BE7,CD_CL,CD_M,CD_table)</f>
        <v>#VALUE!</v>
      </c>
      <c r="BI7" t="e" cm="1">
        <f t="array" ref="BI7">BH7*S*Linterp(BF$3,atmos_h,atmos_qms)*BE7^2</f>
        <v>#VALUE!</v>
      </c>
      <c r="BJ7" cm="1">
        <f t="array" ref="BJ7">BE7*Linterp(BF$3,atmos_h,atmos_aspeed)</f>
        <v>228.7740226057573</v>
      </c>
      <c r="BK7" s="162" t="e">
        <f t="shared" si="6"/>
        <v>#VALUE!</v>
      </c>
      <c r="BM7">
        <v>0.23</v>
      </c>
      <c r="BN7" cm="1">
        <f t="array" ref="BN7">numeng*InterpolateXY(BN$3,BM7,Tmil_h,Tmil_M,Tmil_table)</f>
        <v>1334.3015571267042</v>
      </c>
      <c r="BO7" cm="1">
        <f t="array" ref="BO7">1*BN$4/(S*Linterp(BN$3,atmos_h,atmos_qms)*BM7^2)</f>
        <v>3.1901095297642552</v>
      </c>
      <c r="BP7" t="e" cm="1">
        <f t="array" ref="BP7">InterpolateXY(BO7,BM7,CD_CL,CD_M,CD_table)</f>
        <v>#VALUE!</v>
      </c>
      <c r="BQ7" t="e" cm="1">
        <f t="array" ref="BQ7">BP7*S*Linterp(BN$3,atmos_h,atmos_qms)*BM7^2</f>
        <v>#VALUE!</v>
      </c>
      <c r="BR7" cm="1">
        <f t="array" ref="BR7">BM7*Linterp(BN$3,atmos_h,atmos_aspeed)</f>
        <v>223.76517008621892</v>
      </c>
      <c r="BS7" s="162" t="e">
        <f t="shared" si="7"/>
        <v>#VALUE!</v>
      </c>
      <c r="BU7">
        <v>0.23</v>
      </c>
      <c r="BV7" cm="1">
        <f t="array" ref="BV7">numeng*InterpolateXY(BV$3,BU7,Tmil_h,Tmil_M,Tmil_table)</f>
        <v>1071.3296083463872</v>
      </c>
      <c r="BW7" cm="1">
        <f t="array" ref="BW7">1*BV$4/(S*Linterp(BV$3,atmos_h,atmos_qms)*BU7^2)</f>
        <v>4.0556686207609847</v>
      </c>
      <c r="BX7" t="e" cm="1">
        <f t="array" ref="BX7">InterpolateXY(BW7,BU7,CD_CL,CD_M,CD_table)</f>
        <v>#VALUE!</v>
      </c>
      <c r="BY7" t="e" cm="1">
        <f t="array" ref="BY7">BX7*S*Linterp(BV$3,atmos_h,atmos_qms)*BU7^2</f>
        <v>#VALUE!</v>
      </c>
      <c r="BZ7" cm="1">
        <f t="array" ref="BZ7">BU7*Linterp(BV$3,atmos_h,atmos_aspeed)</f>
        <v>222.66311739692978</v>
      </c>
      <c r="CA7" s="162" t="e">
        <f t="shared" si="8"/>
        <v>#VALUE!</v>
      </c>
    </row>
    <row r="8" spans="1:79">
      <c r="A8" s="120">
        <v>0</v>
      </c>
      <c r="B8" s="11">
        <v>0.90100000000000002</v>
      </c>
      <c r="C8" s="11"/>
      <c r="D8" s="120">
        <v>0</v>
      </c>
      <c r="E8" s="11">
        <v>0.74987047238021276</v>
      </c>
      <c r="I8">
        <v>0.24</v>
      </c>
      <c r="J8" cm="1">
        <f t="array" ref="J8">numeng*InterpolateXY(J$3,I8,Tmil_h,Tmil_M,Tmil_table)</f>
        <v>3896</v>
      </c>
      <c r="K8" cm="1">
        <f t="array" ref="K8">1*J$4/(S*Linterp(J$3,atmos_h,atmos_qms)*I8^2)</f>
        <v>0.68939755795397961</v>
      </c>
      <c r="L8" cm="1">
        <f t="array" ref="L8">InterpolateXY(K8,I8,CD_CL,CD_M,CD_table)</f>
        <v>0.1286761303838431</v>
      </c>
      <c r="M8" cm="1">
        <f t="array" ref="M8">L8*S*Linterp(J$3,atmos_h,atmos_qms)*I8^2</f>
        <v>1866.5011051929605</v>
      </c>
      <c r="N8" cm="1">
        <f t="array" ref="N8">I8*Linterp(J$3,atmos_h,atmos_aspeed)</f>
        <v>267.94799999999998</v>
      </c>
      <c r="O8" s="162">
        <f t="shared" si="0"/>
        <v>3262.8010191945391</v>
      </c>
      <c r="Q8">
        <v>0.24</v>
      </c>
      <c r="R8" cm="1">
        <f t="array" ref="R8">numeng*InterpolateXY(R$3,Q8,Tmil_h,Tmil_M,Tmil_table)</f>
        <v>3439.7788694217452</v>
      </c>
      <c r="S8" cm="1">
        <f t="array" ref="S8">1*R$4/(S*Linterp(R$3,atmos_h,atmos_qms)*Q8^2)</f>
        <v>0.82855595663213932</v>
      </c>
      <c r="T8" t="e" cm="1">
        <f t="array" ref="T8">InterpolateXY(S8,Q8,CD_CL,CD_M,CD_table)</f>
        <v>#VALUE!</v>
      </c>
      <c r="U8" t="e" cm="1">
        <f t="array" ref="U8">T8*S*Linterp(R$3,atmos_h,atmos_qms)*Q8^2</f>
        <v>#VALUE!</v>
      </c>
      <c r="V8" cm="1">
        <f t="array" ref="V8">Q8*Linterp(R$3,atmos_h,atmos_aspeed)</f>
        <v>263.3021823288596</v>
      </c>
      <c r="W8" s="162" t="e">
        <f t="shared" si="1"/>
        <v>#VALUE!</v>
      </c>
      <c r="Y8">
        <v>0.24</v>
      </c>
      <c r="Z8" cm="1">
        <f t="array" ref="Z8">numeng*InterpolateXY(Z$3,Y8,Tmil_h,Tmil_M,Tmil_table)</f>
        <v>3018.8861828989156</v>
      </c>
      <c r="AA8" cm="1">
        <f t="array" ref="AA8">1*Z$4/(S*Linterp(Z$3,atmos_h,atmos_qms)*Y8^2)</f>
        <v>1.0024641221513171</v>
      </c>
      <c r="AB8" t="e" cm="1">
        <f t="array" ref="AB8">InterpolateXY(AA8,Y8,CD_CL,CD_M,CD_table)</f>
        <v>#VALUE!</v>
      </c>
      <c r="AC8" t="e" cm="1">
        <f t="array" ref="AC8">AB8*S*Linterp(Z$3,atmos_h,atmos_qms)*Y8^2</f>
        <v>#VALUE!</v>
      </c>
      <c r="AD8" cm="1">
        <f t="array" ref="AD8">Y8*Linterp(Z$3,atmos_h,atmos_aspeed)</f>
        <v>258.57290603286356</v>
      </c>
      <c r="AE8" s="162" t="e">
        <f t="shared" si="2"/>
        <v>#VALUE!</v>
      </c>
      <c r="AG8">
        <v>0.24</v>
      </c>
      <c r="AH8" cm="1">
        <f t="array" ref="AH8">numeng*InterpolateXY(AH$3,AG8,Tmil_h,Tmil_M,Tmil_table)</f>
        <v>2602.5059677583945</v>
      </c>
      <c r="AI8" cm="1">
        <f t="array" ref="AI8">1*AH$4/(S*Linterp(AH$3,atmos_h,atmos_qms)*AG8^2)</f>
        <v>1.2215986477464842</v>
      </c>
      <c r="AJ8" t="e" cm="1">
        <f t="array" ref="AJ8">InterpolateXY(AI8,AG8,CD_CL,CD_M,CD_table)</f>
        <v>#VALUE!</v>
      </c>
      <c r="AK8" t="e" cm="1">
        <f t="array" ref="AK8">AJ8*S*Linterp(AH$3,atmos_h,atmos_qms)*AG8^2</f>
        <v>#VALUE!</v>
      </c>
      <c r="AL8" cm="1">
        <f t="array" ref="AL8">AG8*Linterp(AH$3,atmos_h,atmos_aspeed)</f>
        <v>253.7555048652543</v>
      </c>
      <c r="AM8" s="162" t="e">
        <f t="shared" si="3"/>
        <v>#VALUE!</v>
      </c>
      <c r="AO8">
        <v>0.24</v>
      </c>
      <c r="AP8" cm="1">
        <f t="array" ref="AP8">numeng*InterpolateXY(AP$3,AO8,Tmil_h,Tmil_M,Tmil_table)</f>
        <v>2229.2596505062547</v>
      </c>
      <c r="AQ8" cm="1">
        <f t="array" ref="AQ8">1*AP$4/(S*Linterp(AP$3,atmos_h,atmos_qms)*AO8^2)</f>
        <v>1.5001832992585384</v>
      </c>
      <c r="AR8" t="e" cm="1">
        <f t="array" ref="AR8">InterpolateXY(AQ8,AO8,CD_CL,CD_M,CD_table)</f>
        <v>#VALUE!</v>
      </c>
      <c r="AS8" t="e" cm="1">
        <f t="array" ref="AS8">AR8*S*Linterp(AP$3,atmos_h,atmos_qms)*AO8^2</f>
        <v>#VALUE!</v>
      </c>
      <c r="AT8" cm="1">
        <f t="array" ref="AT8">AO8*Linterp(AP$3,atmos_h,atmos_aspeed)</f>
        <v>248.84486083614453</v>
      </c>
      <c r="AU8" s="162" t="e">
        <f t="shared" si="4"/>
        <v>#VALUE!</v>
      </c>
      <c r="AW8">
        <v>0.24</v>
      </c>
      <c r="AX8" cm="1">
        <f t="array" ref="AX8">numeng*InterpolateXY(AX$3,AW8,Tmil_h,Tmil_M,Tmil_table)</f>
        <v>1896.4164632304903</v>
      </c>
      <c r="AY8" cm="1">
        <f t="array" ref="AY8">1*AX$4/(S*Linterp(AX$3,atmos_h,atmos_qms)*AW8^2)</f>
        <v>1.8577585208335761</v>
      </c>
      <c r="AZ8" t="e" cm="1">
        <f t="array" ref="AZ8">InterpolateXY(AY8,AW8,CD_CL,CD_M,CD_table)</f>
        <v>#VALUE!</v>
      </c>
      <c r="BA8" t="e" cm="1">
        <f t="array" ref="BA8">AZ8*S*Linterp(AX$3,atmos_h,atmos_qms)*AW8^2</f>
        <v>#VALUE!</v>
      </c>
      <c r="BB8" cm="1">
        <f t="array" ref="BB8">AW8*Linterp(AX$3,atmos_h,atmos_aspeed)</f>
        <v>243.83534050604754</v>
      </c>
      <c r="BC8" s="162" t="e">
        <f t="shared" si="5"/>
        <v>#VALUE!</v>
      </c>
      <c r="BE8">
        <v>0.24</v>
      </c>
      <c r="BF8" cm="1">
        <f t="array" ref="BF8">numeng*InterpolateXY(BF$3,BE8,Tmil_h,Tmil_M,Tmil_table)</f>
        <v>1601.2640366091066</v>
      </c>
      <c r="BG8" cm="1">
        <f t="array" ref="BG8">1*BF$4/(S*Linterp(BF$3,atmos_h,atmos_qms)*BE8^2)</f>
        <v>2.3215132773270724</v>
      </c>
      <c r="BH8" t="e" cm="1">
        <f t="array" ref="BH8">InterpolateXY(BG8,BE8,CD_CL,CD_M,CD_table)</f>
        <v>#VALUE!</v>
      </c>
      <c r="BI8" t="e" cm="1">
        <f t="array" ref="BI8">BH8*S*Linterp(BF$3,atmos_h,atmos_qms)*BE8^2</f>
        <v>#VALUE!</v>
      </c>
      <c r="BJ8" cm="1">
        <f t="array" ref="BJ8">BE8*Linterp(BF$3,atmos_h,atmos_aspeed)</f>
        <v>238.7207192407902</v>
      </c>
      <c r="BK8" s="162" t="e">
        <f t="shared" si="6"/>
        <v>#VALUE!</v>
      </c>
      <c r="BM8">
        <v>0.24</v>
      </c>
      <c r="BN8" cm="1">
        <f t="array" ref="BN8">numeng*InterpolateXY(BN$3,BM8,Tmil_h,Tmil_M,Tmil_table)</f>
        <v>1341.1187039582851</v>
      </c>
      <c r="BO8" cm="1">
        <f t="array" ref="BO8">1*BN$4/(S*Linterp(BN$3,atmos_h,atmos_qms)*BM8^2)</f>
        <v>2.9298054535508529</v>
      </c>
      <c r="BP8" t="e" cm="1">
        <f t="array" ref="BP8">InterpolateXY(BO8,BM8,CD_CL,CD_M,CD_table)</f>
        <v>#VALUE!</v>
      </c>
      <c r="BQ8" t="e" cm="1">
        <f t="array" ref="BQ8">BP8*S*Linterp(BN$3,atmos_h,atmos_qms)*BM8^2</f>
        <v>#VALUE!</v>
      </c>
      <c r="BR8" cm="1">
        <f t="array" ref="BR8">BM8*Linterp(BN$3,atmos_h,atmos_aspeed)</f>
        <v>233.49409052475013</v>
      </c>
      <c r="BS8" s="162" t="e">
        <f t="shared" si="7"/>
        <v>#VALUE!</v>
      </c>
      <c r="BU8">
        <v>0.24</v>
      </c>
      <c r="BV8" cm="1">
        <f t="array" ref="BV8">numeng*InterpolateXY(BV$3,BU8,Tmil_h,Tmil_M,Tmil_table)</f>
        <v>1077.2376760394739</v>
      </c>
      <c r="BW8" cm="1">
        <f t="array" ref="BW8">1*BV$4/(S*Linterp(BV$3,atmos_h,atmos_qms)*BU8^2)</f>
        <v>3.7247373270530568</v>
      </c>
      <c r="BX8" t="e" cm="1">
        <f t="array" ref="BX8">InterpolateXY(BW8,BU8,CD_CL,CD_M,CD_table)</f>
        <v>#VALUE!</v>
      </c>
      <c r="BY8" t="e" cm="1">
        <f t="array" ref="BY8">BX8*S*Linterp(BV$3,atmos_h,atmos_qms)*BU8^2</f>
        <v>#VALUE!</v>
      </c>
      <c r="BZ8" cm="1">
        <f t="array" ref="BZ8">BU8*Linterp(BV$3,atmos_h,atmos_aspeed)</f>
        <v>232.34412250114411</v>
      </c>
      <c r="CA8" s="162" t="e">
        <f t="shared" si="8"/>
        <v>#VALUE!</v>
      </c>
    </row>
    <row r="9" spans="1:79">
      <c r="A9" s="120">
        <v>1000</v>
      </c>
      <c r="B9" s="11">
        <v>0.90154000000000001</v>
      </c>
      <c r="C9" s="11"/>
      <c r="D9" s="120">
        <v>1000</v>
      </c>
      <c r="E9" s="11">
        <v>0.75246162489308566</v>
      </c>
      <c r="I9">
        <v>0.25</v>
      </c>
      <c r="J9" cm="1">
        <f t="array" ref="J9">numeng*InterpolateXY(J$3,I9,Tmil_h,Tmil_M,Tmil_table)</f>
        <v>3900</v>
      </c>
      <c r="K9" cm="1">
        <f t="array" ref="K9">1*J$4/(S*Linterp(J$3,atmos_h,atmos_qms)*I9^2)</f>
        <v>0.63534878941038764</v>
      </c>
      <c r="L9" cm="1">
        <f t="array" ref="L9">InterpolateXY(K9,I9,CD_CL,CD_M,CD_table)</f>
        <v>0.10498276976174978</v>
      </c>
      <c r="M9" cm="1">
        <f t="array" ref="M9">L9*S*Linterp(J$3,atmos_h,atmos_qms)*I9^2</f>
        <v>1652.3643628750003</v>
      </c>
      <c r="N9" cm="1">
        <f t="array" ref="N9">I9*Linterp(J$3,atmos_h,atmos_aspeed)</f>
        <v>279.11250000000001</v>
      </c>
      <c r="O9" s="162">
        <f t="shared" si="0"/>
        <v>3764.0592106023087</v>
      </c>
      <c r="Q9">
        <v>0.25</v>
      </c>
      <c r="R9" cm="1">
        <f t="array" ref="R9">numeng*InterpolateXY(R$3,Q9,Tmil_h,Tmil_M,Tmil_table)</f>
        <v>3446.6722138494442</v>
      </c>
      <c r="S9" cm="1">
        <f t="array" ref="S9">1*R$4/(S*Linterp(R$3,atmos_h,atmos_qms)*Q9^2)</f>
        <v>0.7635971696321795</v>
      </c>
      <c r="T9" cm="1">
        <f t="array" ref="T9">InterpolateXY(S9,Q9,CD_CL,CD_M,CD_table)</f>
        <v>0.17043703336185667</v>
      </c>
      <c r="U9" cm="1">
        <f t="array" ref="U9">T9*S*Linterp(R$3,atmos_h,atmos_qms)*Q9^2</f>
        <v>2232.0280920364758</v>
      </c>
      <c r="V9" cm="1">
        <f t="array" ref="V9">Q9*Linterp(R$3,atmos_h,atmos_aspeed)</f>
        <v>274.2731065925621</v>
      </c>
      <c r="W9" s="162">
        <f t="shared" si="1"/>
        <v>1998.8653001642238</v>
      </c>
      <c r="Y9">
        <v>0.25</v>
      </c>
      <c r="Z9" cm="1">
        <f t="array" ref="Z9">numeng*InterpolateXY(Z$3,Y9,Tmil_h,Tmil_M,Tmil_table)</f>
        <v>3027.747884022885</v>
      </c>
      <c r="AA9" cm="1">
        <f t="array" ref="AA9">1*Z$4/(S*Linterp(Z$3,atmos_h,atmos_qms)*Y9^2)</f>
        <v>0.92387093497465378</v>
      </c>
      <c r="AB9" t="e" cm="1">
        <f t="array" ref="AB9">InterpolateXY(AA9,Y9,CD_CL,CD_M,CD_table)</f>
        <v>#VALUE!</v>
      </c>
      <c r="AC9" t="e" cm="1">
        <f t="array" ref="AC9">AB9*S*Linterp(Z$3,atmos_h,atmos_qms)*Y9^2</f>
        <v>#VALUE!</v>
      </c>
      <c r="AD9" cm="1">
        <f t="array" ref="AD9">Y9*Linterp(Z$3,atmos_h,atmos_aspeed)</f>
        <v>269.34677711756621</v>
      </c>
      <c r="AE9" s="162" t="e">
        <f t="shared" si="2"/>
        <v>#VALUE!</v>
      </c>
      <c r="AG9">
        <v>0.25</v>
      </c>
      <c r="AH9" cm="1">
        <f t="array" ref="AH9">numeng*InterpolateXY(AH$3,AG9,Tmil_h,Tmil_M,Tmil_table)</f>
        <v>2611.3152239355263</v>
      </c>
      <c r="AI9" cm="1">
        <f t="array" ref="AI9">1*AH$4/(S*Linterp(AH$3,atmos_h,atmos_qms)*AG9^2)</f>
        <v>1.12582531376316</v>
      </c>
      <c r="AJ9" t="e" cm="1">
        <f t="array" ref="AJ9">InterpolateXY(AI9,AG9,CD_CL,CD_M,CD_table)</f>
        <v>#VALUE!</v>
      </c>
      <c r="AK9" t="e" cm="1">
        <f t="array" ref="AK9">AJ9*S*Linterp(AH$3,atmos_h,atmos_qms)*AG9^2</f>
        <v>#VALUE!</v>
      </c>
      <c r="AL9" cm="1">
        <f t="array" ref="AL9">AG9*Linterp(AH$3,atmos_h,atmos_aspeed)</f>
        <v>264.32865090130656</v>
      </c>
      <c r="AM9" s="162" t="e">
        <f t="shared" si="3"/>
        <v>#VALUE!</v>
      </c>
      <c r="AO9">
        <v>0.25</v>
      </c>
      <c r="AP9" cm="1">
        <f t="array" ref="AP9">numeng*InterpolateXY(AP$3,AO9,Tmil_h,Tmil_M,Tmil_table)</f>
        <v>2237.7845440072347</v>
      </c>
      <c r="AQ9" cm="1">
        <f t="array" ref="AQ9">1*AP$4/(S*Linterp(AP$3,atmos_h,atmos_qms)*AO9^2)</f>
        <v>1.3825689285966691</v>
      </c>
      <c r="AR9" t="e" cm="1">
        <f t="array" ref="AR9">InterpolateXY(AQ9,AO9,CD_CL,CD_M,CD_table)</f>
        <v>#VALUE!</v>
      </c>
      <c r="AS9" t="e" cm="1">
        <f t="array" ref="AS9">AR9*S*Linterp(AP$3,atmos_h,atmos_qms)*AO9^2</f>
        <v>#VALUE!</v>
      </c>
      <c r="AT9" cm="1">
        <f t="array" ref="AT9">AO9*Linterp(AP$3,atmos_h,atmos_aspeed)</f>
        <v>259.21339670431723</v>
      </c>
      <c r="AU9" s="162" t="e">
        <f t="shared" si="4"/>
        <v>#VALUE!</v>
      </c>
      <c r="AW9">
        <v>0.25</v>
      </c>
      <c r="AX9" cm="1">
        <f t="array" ref="AX9">numeng*InterpolateXY(AX$3,AW9,Tmil_h,Tmil_M,Tmil_table)</f>
        <v>1904.4825067886541</v>
      </c>
      <c r="AY9" cm="1">
        <f t="array" ref="AY9">1*AX$4/(S*Linterp(AX$3,atmos_h,atmos_qms)*AW9^2)</f>
        <v>1.7121102528002234</v>
      </c>
      <c r="AZ9" t="e" cm="1">
        <f t="array" ref="AZ9">InterpolateXY(AY9,AW9,CD_CL,CD_M,CD_table)</f>
        <v>#VALUE!</v>
      </c>
      <c r="BA9" t="e" cm="1">
        <f t="array" ref="BA9">AZ9*S*Linterp(AX$3,atmos_h,atmos_qms)*AW9^2</f>
        <v>#VALUE!</v>
      </c>
      <c r="BB9" cm="1">
        <f t="array" ref="BB9">AW9*Linterp(AX$3,atmos_h,atmos_aspeed)</f>
        <v>253.99514636046621</v>
      </c>
      <c r="BC9" s="162" t="e">
        <f t="shared" si="5"/>
        <v>#VALUE!</v>
      </c>
      <c r="BE9">
        <v>0.25</v>
      </c>
      <c r="BF9" cm="1">
        <f t="array" ref="BF9">numeng*InterpolateXY(BF$3,BE9,Tmil_h,Tmil_M,Tmil_table)</f>
        <v>1608.746578836252</v>
      </c>
      <c r="BG9" cm="1">
        <f t="array" ref="BG9">1*BF$4/(S*Linterp(BF$3,atmos_h,atmos_qms)*BE9^2)</f>
        <v>2.1395066363846298</v>
      </c>
      <c r="BH9" t="e" cm="1">
        <f t="array" ref="BH9">InterpolateXY(BG9,BE9,CD_CL,CD_M,CD_table)</f>
        <v>#VALUE!</v>
      </c>
      <c r="BI9" t="e" cm="1">
        <f t="array" ref="BI9">BH9*S*Linterp(BF$3,atmos_h,atmos_qms)*BE9^2</f>
        <v>#VALUE!</v>
      </c>
      <c r="BJ9" cm="1">
        <f t="array" ref="BJ9">BE9*Linterp(BF$3,atmos_h,atmos_aspeed)</f>
        <v>248.66741587582314</v>
      </c>
      <c r="BK9" s="162" t="e">
        <f t="shared" si="6"/>
        <v>#VALUE!</v>
      </c>
      <c r="BM9">
        <v>0.25</v>
      </c>
      <c r="BN9" cm="1">
        <f t="array" ref="BN9">numeng*InterpolateXY(BN$3,BM9,Tmil_h,Tmil_M,Tmil_table)</f>
        <v>1347.935850789866</v>
      </c>
      <c r="BO9" cm="1">
        <f t="array" ref="BO9">1*BN$4/(S*Linterp(BN$3,atmos_h,atmos_qms)*BM9^2)</f>
        <v>2.7001087059924656</v>
      </c>
      <c r="BP9" t="e" cm="1">
        <f t="array" ref="BP9">InterpolateXY(BO9,BM9,CD_CL,CD_M,CD_table)</f>
        <v>#VALUE!</v>
      </c>
      <c r="BQ9" t="e" cm="1">
        <f t="array" ref="BQ9">BP9*S*Linterp(BN$3,atmos_h,atmos_qms)*BM9^2</f>
        <v>#VALUE!</v>
      </c>
      <c r="BR9" cm="1">
        <f t="array" ref="BR9">BM9*Linterp(BN$3,atmos_h,atmos_aspeed)</f>
        <v>243.22301096328141</v>
      </c>
      <c r="BS9" s="162" t="e">
        <f t="shared" si="7"/>
        <v>#VALUE!</v>
      </c>
      <c r="BU9">
        <v>0.25</v>
      </c>
      <c r="BV9" cm="1">
        <f t="array" ref="BV9">numeng*InterpolateXY(BV$3,BU9,Tmil_h,Tmil_M,Tmil_table)</f>
        <v>1083.1457437325605</v>
      </c>
      <c r="BW9" cm="1">
        <f t="array" ref="BW9">1*BV$4/(S*Linterp(BV$3,atmos_h,atmos_qms)*BU9^2)</f>
        <v>3.4327179206120975</v>
      </c>
      <c r="BX9" t="e" cm="1">
        <f t="array" ref="BX9">InterpolateXY(BW9,BU9,CD_CL,CD_M,CD_table)</f>
        <v>#VALUE!</v>
      </c>
      <c r="BY9" t="e" cm="1">
        <f t="array" ref="BY9">BX9*S*Linterp(BV$3,atmos_h,atmos_qms)*BU9^2</f>
        <v>#VALUE!</v>
      </c>
      <c r="BZ9" cm="1">
        <f t="array" ref="BZ9">BU9*Linterp(BV$3,atmos_h,atmos_aspeed)</f>
        <v>242.02512760535845</v>
      </c>
      <c r="CA9" s="162" t="e">
        <f t="shared" si="8"/>
        <v>#VALUE!</v>
      </c>
    </row>
    <row r="10" spans="1:79">
      <c r="A10" s="120">
        <v>2000</v>
      </c>
      <c r="B10" s="11">
        <v>0.90207999999999999</v>
      </c>
      <c r="C10" s="11"/>
      <c r="D10" s="120">
        <v>2000</v>
      </c>
      <c r="E10" s="11">
        <v>0.75507982531078732</v>
      </c>
      <c r="I10">
        <v>0.26</v>
      </c>
      <c r="J10" cm="1">
        <f t="array" ref="J10">numeng*InterpolateXY(J$3,I10,Tmil_h,Tmil_M,Tmil_table)</f>
        <v>3904</v>
      </c>
      <c r="K10" cm="1">
        <f t="array" ref="K10">1*J$4/(S*Linterp(J$3,atmos_h,atmos_qms)*I10^2)</f>
        <v>0.58741567068268086</v>
      </c>
      <c r="L10" cm="1">
        <f t="array" ref="L10">InterpolateXY(K10,I10,CD_CL,CD_M,CD_table)</f>
        <v>8.5541104923679112E-2</v>
      </c>
      <c r="M10" cm="1">
        <f t="array" ref="M10">L10*S*Linterp(J$3,atmos_h,atmos_qms)*I10^2</f>
        <v>1456.2278330822403</v>
      </c>
      <c r="N10" cm="1">
        <f t="array" ref="N10">I10*Linterp(J$3,atmos_h,atmos_aspeed)</f>
        <v>290.27700000000004</v>
      </c>
      <c r="O10" s="162">
        <f t="shared" si="0"/>
        <v>4263.1917677783194</v>
      </c>
      <c r="Q10">
        <v>0.26</v>
      </c>
      <c r="R10" cm="1">
        <f t="array" ref="R10">numeng*InterpolateXY(R$3,Q10,Tmil_h,Tmil_M,Tmil_table)</f>
        <v>3453.5655582771433</v>
      </c>
      <c r="S10" cm="1">
        <f t="array" ref="S10">1*R$4/(S*Linterp(R$3,atmos_h,atmos_qms)*Q10^2)</f>
        <v>0.70598850742620145</v>
      </c>
      <c r="T10" cm="1">
        <f t="array" ref="T10">InterpolateXY(S10,Q10,CD_CL,CD_M,CD_table)</f>
        <v>0.13677693864303736</v>
      </c>
      <c r="U10" cm="1">
        <f t="array" ref="U10">T10*S*Linterp(R$3,atmos_h,atmos_qms)*Q10^2</f>
        <v>1937.3819432511791</v>
      </c>
      <c r="V10" cm="1">
        <f t="array" ref="V10">Q10*Linterp(R$3,atmos_h,atmos_aspeed)</f>
        <v>285.2440308562646</v>
      </c>
      <c r="W10" s="162">
        <f t="shared" si="1"/>
        <v>2594.8939552093739</v>
      </c>
      <c r="Y10">
        <v>0.26</v>
      </c>
      <c r="Z10" cm="1">
        <f t="array" ref="Z10">numeng*InterpolateXY(Z$3,Y10,Tmil_h,Tmil_M,Tmil_table)</f>
        <v>3036.6095851468549</v>
      </c>
      <c r="AA10" cm="1">
        <f t="array" ref="AA10">1*Z$4/(S*Linterp(Z$3,atmos_h,atmos_qms)*Y10^2)</f>
        <v>0.8541706129573351</v>
      </c>
      <c r="AB10" t="e" cm="1">
        <f t="array" ref="AB10">InterpolateXY(AA10,Y10,CD_CL,CD_M,CD_table)</f>
        <v>#VALUE!</v>
      </c>
      <c r="AC10" t="e" cm="1">
        <f t="array" ref="AC10">AB10*S*Linterp(Z$3,atmos_h,atmos_qms)*Y10^2</f>
        <v>#VALUE!</v>
      </c>
      <c r="AD10" cm="1">
        <f t="array" ref="AD10">Y10*Linterp(Z$3,atmos_h,atmos_aspeed)</f>
        <v>280.12064820226885</v>
      </c>
      <c r="AE10" s="162" t="e">
        <f t="shared" si="2"/>
        <v>#VALUE!</v>
      </c>
      <c r="AG10">
        <v>0.26</v>
      </c>
      <c r="AH10" cm="1">
        <f t="array" ref="AH10">numeng*InterpolateXY(AH$3,AG10,Tmil_h,Tmil_M,Tmil_table)</f>
        <v>2620.1244801126581</v>
      </c>
      <c r="AI10" cm="1">
        <f t="array" ref="AI10">1*AH$4/(S*Linterp(AH$3,atmos_h,atmos_qms)*AG10^2)</f>
        <v>1.0408887886123888</v>
      </c>
      <c r="AJ10" t="e" cm="1">
        <f t="array" ref="AJ10">InterpolateXY(AI10,AG10,CD_CL,CD_M,CD_table)</f>
        <v>#VALUE!</v>
      </c>
      <c r="AK10" t="e" cm="1">
        <f t="array" ref="AK10">AJ10*S*Linterp(AH$3,atmos_h,atmos_qms)*AG10^2</f>
        <v>#VALUE!</v>
      </c>
      <c r="AL10" cm="1">
        <f t="array" ref="AL10">AG10*Linterp(AH$3,atmos_h,atmos_aspeed)</f>
        <v>274.90179693735882</v>
      </c>
      <c r="AM10" s="162" t="e">
        <f t="shared" si="3"/>
        <v>#VALUE!</v>
      </c>
      <c r="AO10">
        <v>0.26</v>
      </c>
      <c r="AP10" cm="1">
        <f t="array" ref="AP10">numeng*InterpolateXY(AP$3,AO10,Tmil_h,Tmil_M,Tmil_table)</f>
        <v>2246.3094375082146</v>
      </c>
      <c r="AQ10" cm="1">
        <f t="array" ref="AQ10">1*AP$4/(S*Linterp(AP$3,atmos_h,atmos_qms)*AO10^2)</f>
        <v>1.2782626928593464</v>
      </c>
      <c r="AR10" t="e" cm="1">
        <f t="array" ref="AR10">InterpolateXY(AQ10,AO10,CD_CL,CD_M,CD_table)</f>
        <v>#VALUE!</v>
      </c>
      <c r="AS10" t="e" cm="1">
        <f t="array" ref="AS10">AR10*S*Linterp(AP$3,atmos_h,atmos_qms)*AO10^2</f>
        <v>#VALUE!</v>
      </c>
      <c r="AT10" cm="1">
        <f t="array" ref="AT10">AO10*Linterp(AP$3,atmos_h,atmos_aspeed)</f>
        <v>269.5819325724899</v>
      </c>
      <c r="AU10" s="162" t="e">
        <f t="shared" si="4"/>
        <v>#VALUE!</v>
      </c>
      <c r="AW10">
        <v>0.26</v>
      </c>
      <c r="AX10" cm="1">
        <f t="array" ref="AX10">numeng*InterpolateXY(AX$3,AW10,Tmil_h,Tmil_M,Tmil_table)</f>
        <v>1912.5485503468178</v>
      </c>
      <c r="AY10" cm="1">
        <f t="array" ref="AY10">1*AX$4/(S*Linterp(AX$3,atmos_h,atmos_qms)*AW10^2)</f>
        <v>1.5829421715978396</v>
      </c>
      <c r="AZ10" t="e" cm="1">
        <f t="array" ref="AZ10">InterpolateXY(AY10,AW10,CD_CL,CD_M,CD_table)</f>
        <v>#VALUE!</v>
      </c>
      <c r="BA10" t="e" cm="1">
        <f t="array" ref="BA10">AZ10*S*Linterp(AX$3,atmos_h,atmos_qms)*AW10^2</f>
        <v>#VALUE!</v>
      </c>
      <c r="BB10" cm="1">
        <f t="array" ref="BB10">AW10*Linterp(AX$3,atmos_h,atmos_aspeed)</f>
        <v>264.15495221488487</v>
      </c>
      <c r="BC10" s="162" t="e">
        <f t="shared" si="5"/>
        <v>#VALUE!</v>
      </c>
      <c r="BE10">
        <v>0.26</v>
      </c>
      <c r="BF10" cm="1">
        <f t="array" ref="BF10">numeng*InterpolateXY(BF$3,BE10,Tmil_h,Tmil_M,Tmil_table)</f>
        <v>1616.2291210633973</v>
      </c>
      <c r="BG10" cm="1">
        <f t="array" ref="BG10">1*BF$4/(S*Linterp(BF$3,atmos_h,atmos_qms)*BE10^2)</f>
        <v>1.9780941534621206</v>
      </c>
      <c r="BH10" t="e" cm="1">
        <f t="array" ref="BH10">InterpolateXY(BG10,BE10,CD_CL,CD_M,CD_table)</f>
        <v>#VALUE!</v>
      </c>
      <c r="BI10" t="e" cm="1">
        <f t="array" ref="BI10">BH10*S*Linterp(BF$3,atmos_h,atmos_qms)*BE10^2</f>
        <v>#VALUE!</v>
      </c>
      <c r="BJ10" cm="1">
        <f t="array" ref="BJ10">BE10*Linterp(BF$3,atmos_h,atmos_aspeed)</f>
        <v>258.61411251085605</v>
      </c>
      <c r="BK10" s="162" t="e">
        <f t="shared" si="6"/>
        <v>#VALUE!</v>
      </c>
      <c r="BM10">
        <v>0.26</v>
      </c>
      <c r="BN10" cm="1">
        <f t="array" ref="BN10">numeng*InterpolateXY(BN$3,BM10,Tmil_h,Tmil_M,Tmil_table)</f>
        <v>1354.7529976214469</v>
      </c>
      <c r="BO10" cm="1">
        <f t="array" ref="BO10">1*BN$4/(S*Linterp(BN$3,atmos_h,atmos_qms)*BM10^2)</f>
        <v>2.4964022799486552</v>
      </c>
      <c r="BP10" t="e" cm="1">
        <f t="array" ref="BP10">InterpolateXY(BO10,BM10,CD_CL,CD_M,CD_table)</f>
        <v>#VALUE!</v>
      </c>
      <c r="BQ10" t="e" cm="1">
        <f t="array" ref="BQ10">BP10*S*Linterp(BN$3,atmos_h,atmos_qms)*BM10^2</f>
        <v>#VALUE!</v>
      </c>
      <c r="BR10" cm="1">
        <f t="array" ref="BR10">BM10*Linterp(BN$3,atmos_h,atmos_aspeed)</f>
        <v>252.95193140181269</v>
      </c>
      <c r="BS10" s="162" t="e">
        <f t="shared" si="7"/>
        <v>#VALUE!</v>
      </c>
      <c r="BU10">
        <v>0.26</v>
      </c>
      <c r="BV10" cm="1">
        <f t="array" ref="BV10">numeng*InterpolateXY(BV$3,BU10,Tmil_h,Tmil_M,Tmil_table)</f>
        <v>1089.0538114256472</v>
      </c>
      <c r="BW10" cm="1">
        <f t="array" ref="BW10">1*BV$4/(S*Linterp(BV$3,atmos_h,atmos_qms)*BU10^2)</f>
        <v>3.1737406810392907</v>
      </c>
      <c r="BX10" t="e" cm="1">
        <f t="array" ref="BX10">InterpolateXY(BW10,BU10,CD_CL,CD_M,CD_table)</f>
        <v>#VALUE!</v>
      </c>
      <c r="BY10" t="e" cm="1">
        <f t="array" ref="BY10">BX10*S*Linterp(BV$3,atmos_h,atmos_qms)*BU10^2</f>
        <v>#VALUE!</v>
      </c>
      <c r="BZ10" cm="1">
        <f t="array" ref="BZ10">BU10*Linterp(BV$3,atmos_h,atmos_aspeed)</f>
        <v>251.70613270957278</v>
      </c>
      <c r="CA10" s="162" t="e">
        <f t="shared" si="8"/>
        <v>#VALUE!</v>
      </c>
    </row>
    <row r="11" spans="1:79">
      <c r="A11" s="120">
        <v>3000</v>
      </c>
      <c r="B11" s="11">
        <v>0.90261999999999998</v>
      </c>
      <c r="C11" s="11"/>
      <c r="D11" s="120">
        <v>3000</v>
      </c>
      <c r="E11" s="11">
        <v>0.7577255475006397</v>
      </c>
      <c r="I11">
        <v>0.27</v>
      </c>
      <c r="J11" cm="1">
        <f t="array" ref="J11">numeng*InterpolateXY(J$3,I11,Tmil_h,Tmil_M,Tmil_table)</f>
        <v>3908</v>
      </c>
      <c r="K11" cm="1">
        <f t="array" ref="K11">1*J$4/(S*Linterp(J$3,atmos_h,atmos_qms)*I11^2)</f>
        <v>0.54470918159326787</v>
      </c>
      <c r="L11" cm="1">
        <f t="array" ref="L11">InterpolateXY(K11,I11,CD_CL,CD_M,CD_table)</f>
        <v>7.2153973838692834E-2</v>
      </c>
      <c r="M11" cm="1">
        <f t="array" ref="M11">L11*S*Linterp(J$3,atmos_h,atmos_qms)*I11^2</f>
        <v>1324.6329652025204</v>
      </c>
      <c r="N11" cm="1">
        <f t="array" ref="N11">I11*Linterp(J$3,atmos_h,atmos_aspeed)</f>
        <v>301.44150000000002</v>
      </c>
      <c r="O11" s="162">
        <f t="shared" si="0"/>
        <v>4672.404204119427</v>
      </c>
      <c r="Q11">
        <v>0.27</v>
      </c>
      <c r="R11" cm="1">
        <f t="array" ref="R11">numeng*InterpolateXY(R$3,Q11,Tmil_h,Tmil_M,Tmil_table)</f>
        <v>3460.4589027048419</v>
      </c>
      <c r="S11" cm="1">
        <f t="array" ref="S11">1*R$4/(S*Linterp(R$3,atmos_h,atmos_qms)*Q11^2)</f>
        <v>0.65466149659823347</v>
      </c>
      <c r="T11" cm="1">
        <f t="array" ref="T11">InterpolateXY(S11,Q11,CD_CL,CD_M,CD_table)</f>
        <v>0.11340173551002626</v>
      </c>
      <c r="U11" cm="1">
        <f t="array" ref="U11">T11*S*Linterp(R$3,atmos_h,atmos_qms)*Q11^2</f>
        <v>1732.2194156718681</v>
      </c>
      <c r="V11" cm="1">
        <f t="array" ref="V11">Q11*Linterp(R$3,atmos_h,atmos_aspeed)</f>
        <v>296.2149551199671</v>
      </c>
      <c r="W11" s="162">
        <f t="shared" si="1"/>
        <v>3071.5822925281641</v>
      </c>
      <c r="Y11">
        <v>0.27</v>
      </c>
      <c r="Z11" cm="1">
        <f t="array" ref="Z11">numeng*InterpolateXY(Z$3,Y11,Tmil_h,Tmil_M,Tmil_table)</f>
        <v>3045.4712862708243</v>
      </c>
      <c r="AA11" cm="1">
        <f t="array" ref="AA11">1*Z$4/(S*Linterp(Z$3,atmos_h,atmos_qms)*Y11^2)</f>
        <v>0.79207041750227514</v>
      </c>
      <c r="AB11" cm="1">
        <f t="array" ref="AB11">InterpolateXY(AA11,Y11,CD_CL,CD_M,CD_table)</f>
        <v>0.18702374744658407</v>
      </c>
      <c r="AC11" cm="1">
        <f t="array" ref="AC11">AB11*S*Linterp(Z$3,atmos_h,atmos_qms)*Y11^2</f>
        <v>2361.2010158938538</v>
      </c>
      <c r="AD11" cm="1">
        <f t="array" ref="AD11">Y11*Linterp(Z$3,atmos_h,atmos_aspeed)</f>
        <v>290.8945192869715</v>
      </c>
      <c r="AE11" s="162">
        <f t="shared" si="2"/>
        <v>1194.3028281820491</v>
      </c>
      <c r="AG11">
        <v>0.27</v>
      </c>
      <c r="AH11" cm="1">
        <f t="array" ref="AH11">numeng*InterpolateXY(AH$3,AG11,Tmil_h,Tmil_M,Tmil_table)</f>
        <v>2628.93373628979</v>
      </c>
      <c r="AI11" cm="1">
        <f t="array" ref="AI11">1*AH$4/(S*Linterp(AH$3,atmos_h,atmos_qms)*AG11^2)</f>
        <v>0.96521374636759238</v>
      </c>
      <c r="AJ11" t="e" cm="1">
        <f t="array" ref="AJ11">InterpolateXY(AI11,AG11,CD_CL,CD_M,CD_table)</f>
        <v>#VALUE!</v>
      </c>
      <c r="AK11" t="e" cm="1">
        <f t="array" ref="AK11">AJ11*S*Linterp(AH$3,atmos_h,atmos_qms)*AG11^2</f>
        <v>#VALUE!</v>
      </c>
      <c r="AL11" cm="1">
        <f t="array" ref="AL11">AG11*Linterp(AH$3,atmos_h,atmos_aspeed)</f>
        <v>285.47494297341109</v>
      </c>
      <c r="AM11" s="162" t="e">
        <f t="shared" si="3"/>
        <v>#VALUE!</v>
      </c>
      <c r="AO11">
        <v>0.27</v>
      </c>
      <c r="AP11" cm="1">
        <f t="array" ref="AP11">numeng*InterpolateXY(AP$3,AO11,Tmil_h,Tmil_M,Tmil_table)</f>
        <v>2254.8343310091946</v>
      </c>
      <c r="AQ11" cm="1">
        <f t="array" ref="AQ11">1*AP$4/(S*Linterp(AP$3,atmos_h,atmos_qms)*AO11^2)</f>
        <v>1.1853300142289687</v>
      </c>
      <c r="AR11" t="e" cm="1">
        <f t="array" ref="AR11">InterpolateXY(AQ11,AO11,CD_CL,CD_M,CD_table)</f>
        <v>#VALUE!</v>
      </c>
      <c r="AS11" t="e" cm="1">
        <f t="array" ref="AS11">AR11*S*Linterp(AP$3,atmos_h,atmos_qms)*AO11^2</f>
        <v>#VALUE!</v>
      </c>
      <c r="AT11" cm="1">
        <f t="array" ref="AT11">AO11*Linterp(AP$3,atmos_h,atmos_aspeed)</f>
        <v>279.95046844066263</v>
      </c>
      <c r="AU11" s="162" t="e">
        <f t="shared" si="4"/>
        <v>#VALUE!</v>
      </c>
      <c r="AW11">
        <v>0.27</v>
      </c>
      <c r="AX11" cm="1">
        <f t="array" ref="AX11">numeng*InterpolateXY(AX$3,AW11,Tmil_h,Tmil_M,Tmil_table)</f>
        <v>1920.6145939049816</v>
      </c>
      <c r="AY11" cm="1">
        <f t="array" ref="AY11">1*AX$4/(S*Linterp(AX$3,atmos_h,atmos_qms)*AW11^2)</f>
        <v>1.4678585843623315</v>
      </c>
      <c r="AZ11" t="e" cm="1">
        <f t="array" ref="AZ11">InterpolateXY(AY11,AW11,CD_CL,CD_M,CD_table)</f>
        <v>#VALUE!</v>
      </c>
      <c r="BA11" t="e" cm="1">
        <f t="array" ref="BA11">AZ11*S*Linterp(AX$3,atmos_h,atmos_qms)*AW11^2</f>
        <v>#VALUE!</v>
      </c>
      <c r="BB11" cm="1">
        <f t="array" ref="BB11">AW11*Linterp(AX$3,atmos_h,atmos_aspeed)</f>
        <v>274.31475806930354</v>
      </c>
      <c r="BC11" s="162" t="e">
        <f t="shared" si="5"/>
        <v>#VALUE!</v>
      </c>
      <c r="BE11">
        <v>0.27</v>
      </c>
      <c r="BF11" cm="1">
        <f t="array" ref="BF11">numeng*InterpolateXY(BF$3,BE11,Tmil_h,Tmil_M,Tmil_table)</f>
        <v>1623.7116632905427</v>
      </c>
      <c r="BG11" cm="1">
        <f t="array" ref="BG11">1*BF$4/(S*Linterp(BF$3,atmos_h,atmos_qms)*BE11^2)</f>
        <v>1.8342820956658348</v>
      </c>
      <c r="BH11" t="e" cm="1">
        <f t="array" ref="BH11">InterpolateXY(BG11,BE11,CD_CL,CD_M,CD_table)</f>
        <v>#VALUE!</v>
      </c>
      <c r="BI11" t="e" cm="1">
        <f t="array" ref="BI11">BH11*S*Linterp(BF$3,atmos_h,atmos_qms)*BE11^2</f>
        <v>#VALUE!</v>
      </c>
      <c r="BJ11" cm="1">
        <f t="array" ref="BJ11">BE11*Linterp(BF$3,atmos_h,atmos_aspeed)</f>
        <v>268.56080914588898</v>
      </c>
      <c r="BK11" s="162" t="e">
        <f t="shared" si="6"/>
        <v>#VALUE!</v>
      </c>
      <c r="BM11">
        <v>0.27</v>
      </c>
      <c r="BN11" cm="1">
        <f t="array" ref="BN11">numeng*InterpolateXY(BN$3,BM11,Tmil_h,Tmil_M,Tmil_table)</f>
        <v>1361.5701444530278</v>
      </c>
      <c r="BO11" cm="1">
        <f t="array" ref="BO11">1*BN$4/(S*Linterp(BN$3,atmos_h,atmos_qms)*BM11^2)</f>
        <v>2.3149080126821548</v>
      </c>
      <c r="BP11" t="e" cm="1">
        <f t="array" ref="BP11">InterpolateXY(BO11,BM11,CD_CL,CD_M,CD_table)</f>
        <v>#VALUE!</v>
      </c>
      <c r="BQ11" t="e" cm="1">
        <f t="array" ref="BQ11">BP11*S*Linterp(BN$3,atmos_h,atmos_qms)*BM11^2</f>
        <v>#VALUE!</v>
      </c>
      <c r="BR11" cm="1">
        <f t="array" ref="BR11">BM11*Linterp(BN$3,atmos_h,atmos_aspeed)</f>
        <v>262.68085184034396</v>
      </c>
      <c r="BS11" s="162" t="e">
        <f t="shared" si="7"/>
        <v>#VALUE!</v>
      </c>
      <c r="BU11">
        <v>0.27</v>
      </c>
      <c r="BV11" cm="1">
        <f t="array" ref="BV11">numeng*InterpolateXY(BV$3,BU11,Tmil_h,Tmil_M,Tmil_table)</f>
        <v>1094.9618791187338</v>
      </c>
      <c r="BW11" cm="1">
        <f t="array" ref="BW11">1*BV$4/(S*Linterp(BV$3,atmos_h,atmos_qms)*BU11^2)</f>
        <v>2.9430023324863659</v>
      </c>
      <c r="BX11" t="e" cm="1">
        <f t="array" ref="BX11">InterpolateXY(BW11,BU11,CD_CL,CD_M,CD_table)</f>
        <v>#VALUE!</v>
      </c>
      <c r="BY11" t="e" cm="1">
        <f t="array" ref="BY11">BX11*S*Linterp(BV$3,atmos_h,atmos_qms)*BU11^2</f>
        <v>#VALUE!</v>
      </c>
      <c r="BZ11" cm="1">
        <f t="array" ref="BZ11">BU11*Linterp(BV$3,atmos_h,atmos_aspeed)</f>
        <v>261.38713781378715</v>
      </c>
      <c r="CA11" s="162" t="e">
        <f t="shared" si="8"/>
        <v>#VALUE!</v>
      </c>
    </row>
    <row r="12" spans="1:79">
      <c r="A12" s="120">
        <v>4000</v>
      </c>
      <c r="B12" s="11">
        <v>0.90315999999999996</v>
      </c>
      <c r="C12" s="11"/>
      <c r="D12" s="120">
        <v>4000</v>
      </c>
      <c r="E12" s="11">
        <v>0.76039927703473642</v>
      </c>
      <c r="I12">
        <v>0.28000000000000003</v>
      </c>
      <c r="J12" cm="1">
        <f t="array" ref="J12">numeng*InterpolateXY(J$3,I12,Tmil_h,Tmil_M,Tmil_table)</f>
        <v>3912</v>
      </c>
      <c r="K12" cm="1">
        <f t="array" ref="K12">1*J$4/(S*Linterp(J$3,atmos_h,atmos_qms)*I12^2)</f>
        <v>0.50649616502741357</v>
      </c>
      <c r="L12" cm="1">
        <f t="array" ref="L12">InterpolateXY(K12,I12,CD_CL,CD_M,CD_table)</f>
        <v>6.0173299653580446E-2</v>
      </c>
      <c r="M12" cm="1">
        <f t="array" ref="M12">L12*S*Linterp(J$3,atmos_h,atmos_qms)*I12^2</f>
        <v>1188.0307060236801</v>
      </c>
      <c r="N12" cm="1">
        <f t="array" ref="N12">I12*Linterp(J$3,atmos_h,atmos_aspeed)</f>
        <v>312.60600000000005</v>
      </c>
      <c r="O12" s="162">
        <f t="shared" si="0"/>
        <v>5109.1748706765693</v>
      </c>
      <c r="Q12">
        <v>0.28000000000000003</v>
      </c>
      <c r="R12" cm="1">
        <f t="array" ref="R12">numeng*InterpolateXY(R$3,Q12,Tmil_h,Tmil_M,Tmil_table)</f>
        <v>3467.3522471325409</v>
      </c>
      <c r="S12" cm="1">
        <f t="array" ref="S12">1*R$4/(S*Linterp(R$3,atmos_h,atmos_qms)*Q12^2)</f>
        <v>0.60873498854606134</v>
      </c>
      <c r="T12" cm="1">
        <f t="array" ref="T12">InterpolateXY(S12,Q12,CD_CL,CD_M,CD_table)</f>
        <v>9.3265924983174875E-2</v>
      </c>
      <c r="U12" cm="1">
        <f t="array" ref="U12">T12*S*Linterp(R$3,atmos_h,atmos_qms)*Q12^2</f>
        <v>1532.1268982079825</v>
      </c>
      <c r="V12" cm="1">
        <f t="array" ref="V12">Q12*Linterp(R$3,atmos_h,atmos_aspeed)</f>
        <v>307.1858793836696</v>
      </c>
      <c r="W12" s="162">
        <f t="shared" si="1"/>
        <v>3566.8434036897556</v>
      </c>
      <c r="Y12">
        <v>0.28000000000000003</v>
      </c>
      <c r="Z12" cm="1">
        <f t="array" ref="Z12">numeng*InterpolateXY(Z$3,Y12,Tmil_h,Tmil_M,Tmil_table)</f>
        <v>3054.3329873947937</v>
      </c>
      <c r="AA12" cm="1">
        <f t="array" ref="AA12">1*Z$4/(S*Linterp(Z$3,atmos_h,atmos_qms)*Y12^2)</f>
        <v>0.7365042530091308</v>
      </c>
      <c r="AB12" cm="1">
        <f t="array" ref="AB12">InterpolateXY(AA12,Y12,CD_CL,CD_M,CD_table)</f>
        <v>0.15455635212212021</v>
      </c>
      <c r="AC12" cm="1">
        <f t="array" ref="AC12">AB12*S*Linterp(Z$3,atmos_h,atmos_qms)*Y12^2</f>
        <v>2098.5126900578007</v>
      </c>
      <c r="AD12" cm="1">
        <f t="array" ref="AD12">Y12*Linterp(Z$3,atmos_h,atmos_aspeed)</f>
        <v>301.66839037167421</v>
      </c>
      <c r="AE12" s="162">
        <f t="shared" si="2"/>
        <v>1730.044623493354</v>
      </c>
      <c r="AG12">
        <v>0.28000000000000003</v>
      </c>
      <c r="AH12" cm="1">
        <f t="array" ref="AH12">numeng*InterpolateXY(AH$3,AG12,Tmil_h,Tmil_M,Tmil_table)</f>
        <v>2637.7429924669223</v>
      </c>
      <c r="AI12" cm="1">
        <f t="array" ref="AI12">1*AH$4/(S*Linterp(AH$3,atmos_h,atmos_qms)*AG12^2)</f>
        <v>0.89750104732394753</v>
      </c>
      <c r="AJ12" t="e" cm="1">
        <f t="array" ref="AJ12">InterpolateXY(AI12,AG12,CD_CL,CD_M,CD_table)</f>
        <v>#VALUE!</v>
      </c>
      <c r="AK12" t="e" cm="1">
        <f t="array" ref="AK12">AJ12*S*Linterp(AH$3,atmos_h,atmos_qms)*AG12^2</f>
        <v>#VALUE!</v>
      </c>
      <c r="AL12" cm="1">
        <f t="array" ref="AL12">AG12*Linterp(AH$3,atmos_h,atmos_aspeed)</f>
        <v>296.04808900946335</v>
      </c>
      <c r="AM12" s="162" t="e">
        <f t="shared" si="3"/>
        <v>#VALUE!</v>
      </c>
      <c r="AO12">
        <v>0.28000000000000003</v>
      </c>
      <c r="AP12" cm="1">
        <f t="array" ref="AP12">numeng*InterpolateXY(AP$3,AO12,Tmil_h,Tmil_M,Tmil_table)</f>
        <v>2263.3592245101745</v>
      </c>
      <c r="AQ12" cm="1">
        <f t="array" ref="AQ12">1*AP$4/(S*Linterp(AP$3,atmos_h,atmos_qms)*AO12^2)</f>
        <v>1.1021754851695384</v>
      </c>
      <c r="AR12" t="e" cm="1">
        <f t="array" ref="AR12">InterpolateXY(AQ12,AO12,CD_CL,CD_M,CD_table)</f>
        <v>#VALUE!</v>
      </c>
      <c r="AS12" t="e" cm="1">
        <f t="array" ref="AS12">AR12*S*Linterp(AP$3,atmos_h,atmos_qms)*AO12^2</f>
        <v>#VALUE!</v>
      </c>
      <c r="AT12" cm="1">
        <f t="array" ref="AT12">AO12*Linterp(AP$3,atmos_h,atmos_aspeed)</f>
        <v>290.3190043088353</v>
      </c>
      <c r="AU12" s="162" t="e">
        <f t="shared" si="4"/>
        <v>#VALUE!</v>
      </c>
      <c r="AW12">
        <v>0.28000000000000003</v>
      </c>
      <c r="AX12" cm="1">
        <f t="array" ref="AX12">numeng*InterpolateXY(AX$3,AW12,Tmil_h,Tmil_M,Tmil_table)</f>
        <v>1928.6806374631453</v>
      </c>
      <c r="AY12" cm="1">
        <f t="array" ref="AY12">1*AX$4/(S*Linterp(AX$3,atmos_h,atmos_qms)*AW12^2)</f>
        <v>1.3648838112246677</v>
      </c>
      <c r="AZ12" t="e" cm="1">
        <f t="array" ref="AZ12">InterpolateXY(AY12,AW12,CD_CL,CD_M,CD_table)</f>
        <v>#VALUE!</v>
      </c>
      <c r="BA12" t="e" cm="1">
        <f t="array" ref="BA12">AZ12*S*Linterp(AX$3,atmos_h,atmos_qms)*AW12^2</f>
        <v>#VALUE!</v>
      </c>
      <c r="BB12" cm="1">
        <f t="array" ref="BB12">AW12*Linterp(AX$3,atmos_h,atmos_aspeed)</f>
        <v>284.4745639237222</v>
      </c>
      <c r="BC12" s="162" t="e">
        <f t="shared" si="5"/>
        <v>#VALUE!</v>
      </c>
      <c r="BE12">
        <v>0.28000000000000003</v>
      </c>
      <c r="BF12" cm="1">
        <f t="array" ref="BF12">numeng*InterpolateXY(BF$3,BE12,Tmil_h,Tmil_M,Tmil_table)</f>
        <v>1631.194205517688</v>
      </c>
      <c r="BG12" cm="1">
        <f t="array" ref="BG12">1*BF$4/(S*Linterp(BF$3,atmos_h,atmos_qms)*BE12^2)</f>
        <v>1.705601591505604</v>
      </c>
      <c r="BH12" t="e" cm="1">
        <f t="array" ref="BH12">InterpolateXY(BG12,BE12,CD_CL,CD_M,CD_table)</f>
        <v>#VALUE!</v>
      </c>
      <c r="BI12" t="e" cm="1">
        <f t="array" ref="BI12">BH12*S*Linterp(BF$3,atmos_h,atmos_qms)*BE12^2</f>
        <v>#VALUE!</v>
      </c>
      <c r="BJ12" cm="1">
        <f t="array" ref="BJ12">BE12*Linterp(BF$3,atmos_h,atmos_aspeed)</f>
        <v>278.50750578092192</v>
      </c>
      <c r="BK12" s="162" t="e">
        <f t="shared" si="6"/>
        <v>#VALUE!</v>
      </c>
      <c r="BM12">
        <v>0.28000000000000003</v>
      </c>
      <c r="BN12" cm="1">
        <f t="array" ref="BN12">numeng*InterpolateXY(BN$3,BM12,Tmil_h,Tmil_M,Tmil_table)</f>
        <v>1368.3872912846089</v>
      </c>
      <c r="BO12" cm="1">
        <f t="array" ref="BO12">1*BN$4/(S*Linterp(BN$3,atmos_h,atmos_qms)*BM12^2)</f>
        <v>2.1525101291394018</v>
      </c>
      <c r="BP12" t="e" cm="1">
        <f t="array" ref="BP12">InterpolateXY(BO12,BM12,CD_CL,CD_M,CD_table)</f>
        <v>#VALUE!</v>
      </c>
      <c r="BQ12" t="e" cm="1">
        <f t="array" ref="BQ12">BP12*S*Linterp(BN$3,atmos_h,atmos_qms)*BM12^2</f>
        <v>#VALUE!</v>
      </c>
      <c r="BR12" cm="1">
        <f t="array" ref="BR12">BM12*Linterp(BN$3,atmos_h,atmos_aspeed)</f>
        <v>272.40977227887521</v>
      </c>
      <c r="BS12" s="162" t="e">
        <f t="shared" si="7"/>
        <v>#VALUE!</v>
      </c>
      <c r="BU12">
        <v>0.28000000000000003</v>
      </c>
      <c r="BV12" cm="1">
        <f t="array" ref="BV12">numeng*InterpolateXY(BV$3,BU12,Tmil_h,Tmil_M,Tmil_table)</f>
        <v>1100.8699468118207</v>
      </c>
      <c r="BW12" cm="1">
        <f t="array" ref="BW12">1*BV$4/(S*Linterp(BV$3,atmos_h,atmos_qms)*BU12^2)</f>
        <v>2.7365417096716333</v>
      </c>
      <c r="BX12" t="e" cm="1">
        <f t="array" ref="BX12">InterpolateXY(BW12,BU12,CD_CL,CD_M,CD_table)</f>
        <v>#VALUE!</v>
      </c>
      <c r="BY12" t="e" cm="1">
        <f t="array" ref="BY12">BX12*S*Linterp(BV$3,atmos_h,atmos_qms)*BU12^2</f>
        <v>#VALUE!</v>
      </c>
      <c r="BZ12" cm="1">
        <f t="array" ref="BZ12">BU12*Linterp(BV$3,atmos_h,atmos_aspeed)</f>
        <v>271.06814291800151</v>
      </c>
      <c r="CA12" s="162" t="e">
        <f t="shared" si="8"/>
        <v>#VALUE!</v>
      </c>
    </row>
    <row r="13" spans="1:79">
      <c r="A13" s="120">
        <v>5000</v>
      </c>
      <c r="B13" s="11">
        <v>0.90369999999999995</v>
      </c>
      <c r="C13" s="11"/>
      <c r="D13" s="120">
        <v>5000</v>
      </c>
      <c r="E13" s="11">
        <v>0.76310151156430617</v>
      </c>
      <c r="I13">
        <v>0.28999999999999998</v>
      </c>
      <c r="J13" cm="1">
        <f t="array" ref="J13">numeng*InterpolateXY(J$3,I13,Tmil_h,Tmil_M,Tmil_table)</f>
        <v>3916</v>
      </c>
      <c r="K13" cm="1">
        <f t="array" ref="K13">1*J$4/(S*Linterp(J$3,atmos_h,atmos_qms)*I13^2)</f>
        <v>0.47216764968072805</v>
      </c>
      <c r="L13" cm="1">
        <f t="array" ref="L13">InterpolateXY(K13,I13,CD_CL,CD_M,CD_table)</f>
        <v>5.2525697585826335E-2</v>
      </c>
      <c r="M13" cm="1">
        <f t="array" ref="M13">L13*S*Linterp(J$3,atmos_h,atmos_qms)*I13^2</f>
        <v>1112.4374493115599</v>
      </c>
      <c r="N13" cm="1">
        <f t="array" ref="N13">I13*Linterp(J$3,atmos_h,atmos_aspeed)</f>
        <v>323.77049999999997</v>
      </c>
      <c r="O13" s="162">
        <f t="shared" si="0"/>
        <v>5446.2650929060292</v>
      </c>
      <c r="Q13">
        <v>0.28999999999999998</v>
      </c>
      <c r="R13" cm="1">
        <f t="array" ref="R13">numeng*InterpolateXY(R$3,Q13,Tmil_h,Tmil_M,Tmil_table)</f>
        <v>3474.2455915602395</v>
      </c>
      <c r="S13" cm="1">
        <f t="array" ref="S13">1*R$4/(S*Linterp(R$3,atmos_h,atmos_qms)*Q13^2)</f>
        <v>0.56747708801440222</v>
      </c>
      <c r="T13" cm="1">
        <f t="array" ref="T13">InterpolateXY(S13,Q13,CD_CL,CD_M,CD_table)</f>
        <v>7.9240328548507905E-2</v>
      </c>
      <c r="U13" cm="1">
        <f t="array" ref="U13">T13*S*Linterp(R$3,atmos_h,atmos_qms)*Q13^2</f>
        <v>1396.3617249423971</v>
      </c>
      <c r="V13" cm="1">
        <f t="array" ref="V13">Q13*Linterp(R$3,atmos_h,atmos_aspeed)</f>
        <v>318.15680364737199</v>
      </c>
      <c r="W13" s="162">
        <f t="shared" si="1"/>
        <v>3966.5573361214506</v>
      </c>
      <c r="Y13">
        <v>0.28999999999999998</v>
      </c>
      <c r="Z13" cm="1">
        <f t="array" ref="Z13">numeng*InterpolateXY(Z$3,Y13,Tmil_h,Tmil_M,Tmil_table)</f>
        <v>3063.1946885187631</v>
      </c>
      <c r="AA13" cm="1">
        <f t="array" ref="AA13">1*Z$4/(S*Linterp(Z$3,atmos_h,atmos_qms)*Y13^2)</f>
        <v>0.68658660446986763</v>
      </c>
      <c r="AB13" cm="1">
        <f t="array" ref="AB13">InterpolateXY(AA13,Y13,CD_CL,CD_M,CD_table)</f>
        <v>0.12734493275780201</v>
      </c>
      <c r="AC13" cm="1">
        <f t="array" ref="AC13">AB13*S*Linterp(Z$3,atmos_h,atmos_qms)*Y13^2</f>
        <v>1854.7541115534657</v>
      </c>
      <c r="AD13" cm="1">
        <f t="array" ref="AD13">Y13*Linterp(Z$3,atmos_h,atmos_aspeed)</f>
        <v>312.4422614563768</v>
      </c>
      <c r="AE13" s="162">
        <f t="shared" si="2"/>
        <v>2265.4074402161177</v>
      </c>
      <c r="AG13">
        <v>0.28999999999999998</v>
      </c>
      <c r="AH13" cm="1">
        <f t="array" ref="AH13">numeng*InterpolateXY(AH$3,AG13,Tmil_h,Tmil_M,Tmil_table)</f>
        <v>2646.5522486440541</v>
      </c>
      <c r="AI13" cm="1">
        <f t="array" ref="AI13">1*AH$4/(S*Linterp(AH$3,atmos_h,atmos_qms)*AG13^2)</f>
        <v>0.83667160654218187</v>
      </c>
      <c r="AJ13" t="e" cm="1">
        <f t="array" ref="AJ13">InterpolateXY(AI13,AG13,CD_CL,CD_M,CD_table)</f>
        <v>#VALUE!</v>
      </c>
      <c r="AK13" t="e" cm="1">
        <f t="array" ref="AK13">AJ13*S*Linterp(AH$3,atmos_h,atmos_qms)*AG13^2</f>
        <v>#VALUE!</v>
      </c>
      <c r="AL13" cm="1">
        <f t="array" ref="AL13">AG13*Linterp(AH$3,atmos_h,atmos_aspeed)</f>
        <v>306.62123504551556</v>
      </c>
      <c r="AM13" s="162" t="e">
        <f t="shared" si="3"/>
        <v>#VALUE!</v>
      </c>
      <c r="AO13">
        <v>0.28999999999999998</v>
      </c>
      <c r="AP13" cm="1">
        <f t="array" ref="AP13">numeng*InterpolateXY(AP$3,AO13,Tmil_h,Tmil_M,Tmil_table)</f>
        <v>2271.8841180111544</v>
      </c>
      <c r="AQ13" cm="1">
        <f t="array" ref="AQ13">1*AP$4/(S*Linterp(AP$3,atmos_h,atmos_qms)*AO13^2)</f>
        <v>1.0274739362341476</v>
      </c>
      <c r="AR13" t="e" cm="1">
        <f t="array" ref="AR13">InterpolateXY(AQ13,AO13,CD_CL,CD_M,CD_table)</f>
        <v>#VALUE!</v>
      </c>
      <c r="AS13" t="e" cm="1">
        <f t="array" ref="AS13">AR13*S*Linterp(AP$3,atmos_h,atmos_qms)*AO13^2</f>
        <v>#VALUE!</v>
      </c>
      <c r="AT13" cm="1">
        <f t="array" ref="AT13">AO13*Linterp(AP$3,atmos_h,atmos_aspeed)</f>
        <v>300.68754017700797</v>
      </c>
      <c r="AU13" s="162" t="e">
        <f t="shared" si="4"/>
        <v>#VALUE!</v>
      </c>
      <c r="AW13">
        <v>0.28999999999999998</v>
      </c>
      <c r="AX13" cm="1">
        <f t="array" ref="AX13">numeng*InterpolateXY(AX$3,AW13,Tmil_h,Tmil_M,Tmil_table)</f>
        <v>1936.7466810213089</v>
      </c>
      <c r="AY13" cm="1">
        <f t="array" ref="AY13">1*AX$4/(S*Linterp(AX$3,atmos_h,atmos_qms)*AW13^2)</f>
        <v>1.2723768228301304</v>
      </c>
      <c r="AZ13" t="e" cm="1">
        <f t="array" ref="AZ13">InterpolateXY(AY13,AW13,CD_CL,CD_M,CD_table)</f>
        <v>#VALUE!</v>
      </c>
      <c r="BA13" t="e" cm="1">
        <f t="array" ref="BA13">AZ13*S*Linterp(AX$3,atmos_h,atmos_qms)*AW13^2</f>
        <v>#VALUE!</v>
      </c>
      <c r="BB13" cm="1">
        <f t="array" ref="BB13">AW13*Linterp(AX$3,atmos_h,atmos_aspeed)</f>
        <v>294.63436977814081</v>
      </c>
      <c r="BC13" s="162" t="e">
        <f t="shared" si="5"/>
        <v>#VALUE!</v>
      </c>
      <c r="BE13">
        <v>0.28999999999999998</v>
      </c>
      <c r="BF13" cm="1">
        <f t="array" ref="BF13">numeng*InterpolateXY(BF$3,BE13,Tmil_h,Tmil_M,Tmil_table)</f>
        <v>1638.6767477448334</v>
      </c>
      <c r="BG13" cm="1">
        <f t="array" ref="BG13">1*BF$4/(S*Linterp(BF$3,atmos_h,atmos_qms)*BE13^2)</f>
        <v>1.5900019592632506</v>
      </c>
      <c r="BH13" t="e" cm="1">
        <f t="array" ref="BH13">InterpolateXY(BG13,BE13,CD_CL,CD_M,CD_table)</f>
        <v>#VALUE!</v>
      </c>
      <c r="BI13" t="e" cm="1">
        <f t="array" ref="BI13">BH13*S*Linterp(BF$3,atmos_h,atmos_qms)*BE13^2</f>
        <v>#VALUE!</v>
      </c>
      <c r="BJ13" cm="1">
        <f t="array" ref="BJ13">BE13*Linterp(BF$3,atmos_h,atmos_aspeed)</f>
        <v>288.4542024159548</v>
      </c>
      <c r="BK13" s="162" t="e">
        <f t="shared" si="6"/>
        <v>#VALUE!</v>
      </c>
      <c r="BM13">
        <v>0.28999999999999998</v>
      </c>
      <c r="BN13" cm="1">
        <f t="array" ref="BN13">numeng*InterpolateXY(BN$3,BM13,Tmil_h,Tmil_M,Tmil_table)</f>
        <v>1375.2044381161897</v>
      </c>
      <c r="BO13" cm="1">
        <f t="array" ref="BO13">1*BN$4/(S*Linterp(BN$3,atmos_h,atmos_qms)*BM13^2)</f>
        <v>2.0066206197922605</v>
      </c>
      <c r="BP13" t="e" cm="1">
        <f t="array" ref="BP13">InterpolateXY(BO13,BM13,CD_CL,CD_M,CD_table)</f>
        <v>#VALUE!</v>
      </c>
      <c r="BQ13" t="e" cm="1">
        <f t="array" ref="BQ13">BP13*S*Linterp(BN$3,atmos_h,atmos_qms)*BM13^2</f>
        <v>#VALUE!</v>
      </c>
      <c r="BR13" cm="1">
        <f t="array" ref="BR13">BM13*Linterp(BN$3,atmos_h,atmos_aspeed)</f>
        <v>282.1386927174064</v>
      </c>
      <c r="BS13" s="162" t="e">
        <f t="shared" si="7"/>
        <v>#VALUE!</v>
      </c>
      <c r="BU13">
        <v>0.28999999999999998</v>
      </c>
      <c r="BV13" cm="1">
        <f t="array" ref="BV13">numeng*InterpolateXY(BV$3,BU13,Tmil_h,Tmil_M,Tmil_table)</f>
        <v>1106.7780145049073</v>
      </c>
      <c r="BW13" cm="1">
        <f t="array" ref="BW13">1*BV$4/(S*Linterp(BV$3,atmos_h,atmos_qms)*BU13^2)</f>
        <v>2.551068609253937</v>
      </c>
      <c r="BX13" t="e" cm="1">
        <f t="array" ref="BX13">InterpolateXY(BW13,BU13,CD_CL,CD_M,CD_table)</f>
        <v>#VALUE!</v>
      </c>
      <c r="BY13" t="e" cm="1">
        <f t="array" ref="BY13">BX13*S*Linterp(BV$3,atmos_h,atmos_qms)*BU13^2</f>
        <v>#VALUE!</v>
      </c>
      <c r="BZ13" cm="1">
        <f t="array" ref="BZ13">BU13*Linterp(BV$3,atmos_h,atmos_aspeed)</f>
        <v>280.74914802221576</v>
      </c>
      <c r="CA13" s="162" t="e">
        <f t="shared" si="8"/>
        <v>#VALUE!</v>
      </c>
    </row>
    <row r="14" spans="1:79">
      <c r="A14" s="120">
        <v>6000</v>
      </c>
      <c r="B14" s="11">
        <v>0.90427999999999997</v>
      </c>
      <c r="C14" s="11"/>
      <c r="D14" s="120">
        <v>6000</v>
      </c>
      <c r="E14" s="11">
        <v>0.76583276120881061</v>
      </c>
      <c r="I14">
        <v>0.3</v>
      </c>
      <c r="J14" cm="1">
        <f t="array" ref="J14">numeng*InterpolateXY(J$3,I14,Tmil_h,Tmil_M,Tmil_table)</f>
        <v>3920</v>
      </c>
      <c r="K14" cm="1">
        <f t="array" ref="K14">1*J$4/(S*Linterp(J$3,atmos_h,atmos_qms)*I14^2)</f>
        <v>0.44121443709054697</v>
      </c>
      <c r="L14" cm="1">
        <f t="array" ref="L14">InterpolateXY(K14,I14,CD_CL,CD_M,CD_table)</f>
        <v>4.628410185519994E-2</v>
      </c>
      <c r="M14" cm="1">
        <f t="array" ref="M14">L14*S*Linterp(J$3,atmos_h,atmos_qms)*I14^2</f>
        <v>1049.0160331200002</v>
      </c>
      <c r="N14" cm="1">
        <f t="array" ref="N14">I14*Linterp(J$3,atmos_h,atmos_aspeed)</f>
        <v>334.935</v>
      </c>
      <c r="O14" s="162">
        <f t="shared" si="0"/>
        <v>5769.5580896817164</v>
      </c>
      <c r="Q14">
        <v>0.3</v>
      </c>
      <c r="R14" cm="1">
        <f t="array" ref="R14">numeng*InterpolateXY(R$3,Q14,Tmil_h,Tmil_M,Tmil_table)</f>
        <v>3481.1389359879386</v>
      </c>
      <c r="S14" cm="1">
        <f t="array" ref="S14">1*R$4/(S*Linterp(R$3,atmos_h,atmos_qms)*Q14^2)</f>
        <v>0.5302758122445691</v>
      </c>
      <c r="T14" cm="1">
        <f t="array" ref="T14">InterpolateXY(S14,Q14,CD_CL,CD_M,CD_table)</f>
        <v>6.7576329232550122E-2</v>
      </c>
      <c r="U14" cm="1">
        <f t="array" ref="U14">T14*S*Linterp(R$3,atmos_h,atmos_qms)*Q14^2</f>
        <v>1274.3619013379241</v>
      </c>
      <c r="V14" cm="1">
        <f t="array" ref="V14">Q14*Linterp(R$3,atmos_h,atmos_aspeed)</f>
        <v>329.12772791107449</v>
      </c>
      <c r="W14" s="162">
        <f t="shared" si="1"/>
        <v>4357.8690685241872</v>
      </c>
      <c r="Y14">
        <v>0.3</v>
      </c>
      <c r="Z14" cm="1">
        <f t="array" ref="Z14">numeng*InterpolateXY(Z$3,Y14,Tmil_h,Tmil_M,Tmil_table)</f>
        <v>3072.0563896427325</v>
      </c>
      <c r="AA14" cm="1">
        <f t="array" ref="AA14">1*Z$4/(S*Linterp(Z$3,atmos_h,atmos_qms)*Y14^2)</f>
        <v>0.64157703817684297</v>
      </c>
      <c r="AB14" cm="1">
        <f t="array" ref="AB14">InterpolateXY(AA14,Y14,CD_CL,CD_M,CD_table)</f>
        <v>0.10761074272145722</v>
      </c>
      <c r="AC14" cm="1">
        <f t="array" ref="AC14">AB14*S*Linterp(Z$3,atmos_h,atmos_qms)*Y14^2</f>
        <v>1677.2848203428944</v>
      </c>
      <c r="AD14" cm="1">
        <f t="array" ref="AD14">Y14*Linterp(Z$3,atmos_h,atmos_aspeed)</f>
        <v>323.21613254107945</v>
      </c>
      <c r="AE14" s="162">
        <f t="shared" si="2"/>
        <v>2704.8760344440752</v>
      </c>
      <c r="AG14">
        <v>0.3</v>
      </c>
      <c r="AH14" cm="1">
        <f t="array" ref="AH14">numeng*InterpolateXY(AH$3,AG14,Tmil_h,Tmil_M,Tmil_table)</f>
        <v>2655.3615048211859</v>
      </c>
      <c r="AI14" cm="1">
        <f t="array" ref="AI14">1*AH$4/(S*Linterp(AH$3,atmos_h,atmos_qms)*AG14^2)</f>
        <v>0.78182313455774999</v>
      </c>
      <c r="AJ14" cm="1">
        <f t="array" ref="AJ14">InterpolateXY(AI14,AG14,CD_CL,CD_M,CD_table)</f>
        <v>0.18097993258846717</v>
      </c>
      <c r="AK14" cm="1">
        <f t="array" ref="AK14">AJ14*S*Linterp(AH$3,atmos_h,atmos_qms)*AG14^2</f>
        <v>2314.84493856582</v>
      </c>
      <c r="AL14" cm="1">
        <f t="array" ref="AL14">AG14*Linterp(AH$3,atmos_h,atmos_aspeed)</f>
        <v>317.19438108156788</v>
      </c>
      <c r="AM14" s="162">
        <f t="shared" si="3"/>
        <v>648.05964888834899</v>
      </c>
      <c r="AO14">
        <v>0.3</v>
      </c>
      <c r="AP14" cm="1">
        <f t="array" ref="AP14">numeng*InterpolateXY(AP$3,AO14,Tmil_h,Tmil_M,Tmil_table)</f>
        <v>2280.4090115121344</v>
      </c>
      <c r="AQ14" cm="1">
        <f t="array" ref="AQ14">1*AP$4/(S*Linterp(AP$3,atmos_h,atmos_qms)*AO14^2)</f>
        <v>0.96011731152546453</v>
      </c>
      <c r="AR14" t="e" cm="1">
        <f t="array" ref="AR14">InterpolateXY(AQ14,AO14,CD_CL,CD_M,CD_table)</f>
        <v>#VALUE!</v>
      </c>
      <c r="AS14" t="e" cm="1">
        <f t="array" ref="AS14">AR14*S*Linterp(AP$3,atmos_h,atmos_qms)*AO14^2</f>
        <v>#VALUE!</v>
      </c>
      <c r="AT14" cm="1">
        <f t="array" ref="AT14">AO14*Linterp(AP$3,atmos_h,atmos_aspeed)</f>
        <v>311.05607604518065</v>
      </c>
      <c r="AU14" s="162" t="e">
        <f t="shared" si="4"/>
        <v>#VALUE!</v>
      </c>
      <c r="AW14">
        <v>0.3</v>
      </c>
      <c r="AX14" cm="1">
        <f t="array" ref="AX14">numeng*InterpolateXY(AX$3,AW14,Tmil_h,Tmil_M,Tmil_table)</f>
        <v>1944.8127245794726</v>
      </c>
      <c r="AY14" cm="1">
        <f t="array" ref="AY14">1*AX$4/(S*Linterp(AX$3,atmos_h,atmos_qms)*AW14^2)</f>
        <v>1.1889654533334886</v>
      </c>
      <c r="AZ14" t="e" cm="1">
        <f t="array" ref="AZ14">InterpolateXY(AY14,AW14,CD_CL,CD_M,CD_table)</f>
        <v>#VALUE!</v>
      </c>
      <c r="BA14" t="e" cm="1">
        <f t="array" ref="BA14">AZ14*S*Linterp(AX$3,atmos_h,atmos_qms)*AW14^2</f>
        <v>#VALUE!</v>
      </c>
      <c r="BB14" cm="1">
        <f t="array" ref="BB14">AW14*Linterp(AX$3,atmos_h,atmos_aspeed)</f>
        <v>304.79417563255942</v>
      </c>
      <c r="BC14" s="162" t="e">
        <f t="shared" si="5"/>
        <v>#VALUE!</v>
      </c>
      <c r="BE14">
        <v>0.3</v>
      </c>
      <c r="BF14" cm="1">
        <f t="array" ref="BF14">numeng*InterpolateXY(BF$3,BE14,Tmil_h,Tmil_M,Tmil_table)</f>
        <v>1646.1592899719788</v>
      </c>
      <c r="BG14" cm="1">
        <f t="array" ref="BG14">1*BF$4/(S*Linterp(BF$3,atmos_h,atmos_qms)*BE14^2)</f>
        <v>1.4857684974893264</v>
      </c>
      <c r="BH14" t="e" cm="1">
        <f t="array" ref="BH14">InterpolateXY(BG14,BE14,CD_CL,CD_M,CD_table)</f>
        <v>#VALUE!</v>
      </c>
      <c r="BI14" t="e" cm="1">
        <f t="array" ref="BI14">BH14*S*Linterp(BF$3,atmos_h,atmos_qms)*BE14^2</f>
        <v>#VALUE!</v>
      </c>
      <c r="BJ14" cm="1">
        <f t="array" ref="BJ14">BE14*Linterp(BF$3,atmos_h,atmos_aspeed)</f>
        <v>298.40089905098773</v>
      </c>
      <c r="BK14" s="162" t="e">
        <f t="shared" si="6"/>
        <v>#VALUE!</v>
      </c>
      <c r="BM14">
        <v>0.3</v>
      </c>
      <c r="BN14" cm="1">
        <f t="array" ref="BN14">numeng*InterpolateXY(BN$3,BM14,Tmil_h,Tmil_M,Tmil_table)</f>
        <v>1382.0215849477706</v>
      </c>
      <c r="BO14" cm="1">
        <f t="array" ref="BO14">1*BN$4/(S*Linterp(BN$3,atmos_h,atmos_qms)*BM14^2)</f>
        <v>1.8750754902725457</v>
      </c>
      <c r="BP14" t="e" cm="1">
        <f t="array" ref="BP14">InterpolateXY(BO14,BM14,CD_CL,CD_M,CD_table)</f>
        <v>#VALUE!</v>
      </c>
      <c r="BQ14" t="e" cm="1">
        <f t="array" ref="BQ14">BP14*S*Linterp(BN$3,atmos_h,atmos_qms)*BM14^2</f>
        <v>#VALUE!</v>
      </c>
      <c r="BR14" cm="1">
        <f t="array" ref="BR14">BM14*Linterp(BN$3,atmos_h,atmos_aspeed)</f>
        <v>291.8676131559377</v>
      </c>
      <c r="BS14" s="162" t="e">
        <f t="shared" si="7"/>
        <v>#VALUE!</v>
      </c>
      <c r="BU14">
        <v>0.3</v>
      </c>
      <c r="BV14" cm="1">
        <f t="array" ref="BV14">numeng*InterpolateXY(BV$3,BU14,Tmil_h,Tmil_M,Tmil_table)</f>
        <v>1112.686082197994</v>
      </c>
      <c r="BW14" cm="1">
        <f t="array" ref="BW14">1*BV$4/(S*Linterp(BV$3,atmos_h,atmos_qms)*BU14^2)</f>
        <v>2.383831889313957</v>
      </c>
      <c r="BX14" t="e" cm="1">
        <f t="array" ref="BX14">InterpolateXY(BW14,BU14,CD_CL,CD_M,CD_table)</f>
        <v>#VALUE!</v>
      </c>
      <c r="BY14" t="e" cm="1">
        <f t="array" ref="BY14">BX14*S*Linterp(BV$3,atmos_h,atmos_qms)*BU14^2</f>
        <v>#VALUE!</v>
      </c>
      <c r="BZ14" cm="1">
        <f t="array" ref="BZ14">BU14*Linterp(BV$3,atmos_h,atmos_aspeed)</f>
        <v>290.43015312643013</v>
      </c>
      <c r="CA14" s="162" t="e">
        <f t="shared" si="8"/>
        <v>#VALUE!</v>
      </c>
    </row>
    <row r="15" spans="1:79">
      <c r="A15" s="120">
        <v>7000</v>
      </c>
      <c r="B15" s="11">
        <v>0.90486</v>
      </c>
      <c r="C15" s="11"/>
      <c r="D15" s="120">
        <v>7000</v>
      </c>
      <c r="E15" s="11">
        <v>0.76859354896047472</v>
      </c>
      <c r="I15">
        <v>0.31</v>
      </c>
      <c r="J15" cm="1">
        <f t="array" ref="J15">numeng*InterpolateXY(J$3,I15,Tmil_h,Tmil_M,Tmil_table)</f>
        <v>3924</v>
      </c>
      <c r="K15" cm="1">
        <f t="array" ref="K15">1*J$4/(S*Linterp(J$3,atmos_h,atmos_qms)*I15^2)</f>
        <v>0.41320810965816052</v>
      </c>
      <c r="L15" cm="1">
        <f t="array" ref="L15">InterpolateXY(K15,I15,CD_CL,CD_M,CD_table)</f>
        <v>4.0634830041290267E-2</v>
      </c>
      <c r="M15" cm="1">
        <f t="array" ref="M15">L15*S*Linterp(J$3,atmos_h,atmos_qms)*I15^2</f>
        <v>983.39865775884027</v>
      </c>
      <c r="N15" cm="1">
        <f t="array" ref="N15">I15*Linterp(J$3,atmos_h,atmos_aspeed)</f>
        <v>346.09950000000003</v>
      </c>
      <c r="O15" s="162">
        <f t="shared" si="0"/>
        <v>6106.4439254939662</v>
      </c>
      <c r="Q15">
        <v>0.31</v>
      </c>
      <c r="R15" cm="1">
        <f t="array" ref="R15">numeng*InterpolateXY(R$3,Q15,Tmil_h,Tmil_M,Tmil_table)</f>
        <v>3488.0322804156376</v>
      </c>
      <c r="S15" cm="1">
        <f t="array" ref="S15">1*R$4/(S*Linterp(R$3,atmos_h,atmos_qms)*Q15^2)</f>
        <v>0.49661626536952358</v>
      </c>
      <c r="T15" cm="1">
        <f t="array" ref="T15">InterpolateXY(S15,Q15,CD_CL,CD_M,CD_table)</f>
        <v>5.739986933927424E-2</v>
      </c>
      <c r="U15" cm="1">
        <f t="array" ref="U15">T15*S*Linterp(R$3,atmos_h,atmos_qms)*Q15^2</f>
        <v>1155.8193587671558</v>
      </c>
      <c r="V15" cm="1">
        <f t="array" ref="V15">Q15*Linterp(R$3,atmos_h,atmos_aspeed)</f>
        <v>340.09865217477699</v>
      </c>
      <c r="W15" s="162">
        <f t="shared" si="1"/>
        <v>4759.0948274234843</v>
      </c>
      <c r="Y15">
        <v>0.31</v>
      </c>
      <c r="Z15" cm="1">
        <f t="array" ref="Z15">numeng*InterpolateXY(Z$3,Y15,Tmil_h,Tmil_M,Tmil_table)</f>
        <v>3080.9180907667019</v>
      </c>
      <c r="AA15" cm="1">
        <f t="array" ref="AA15">1*Z$4/(S*Linterp(Z$3,atmos_h,atmos_qms)*Y15^2)</f>
        <v>0.60085258518122642</v>
      </c>
      <c r="AB15" cm="1">
        <f t="array" ref="AB15">InterpolateXY(AA15,Y15,CD_CL,CD_M,CD_table)</f>
        <v>8.9753432309377171E-2</v>
      </c>
      <c r="AC15" cm="1">
        <f t="array" ref="AC15">AB15*S*Linterp(Z$3,atmos_h,atmos_qms)*Y15^2</f>
        <v>1493.7679311524664</v>
      </c>
      <c r="AD15" cm="1">
        <f t="array" ref="AD15">Y15*Linterp(Z$3,atmos_h,atmos_aspeed)</f>
        <v>333.99000362578209</v>
      </c>
      <c r="AE15" s="162">
        <f t="shared" si="2"/>
        <v>3180.5537253853145</v>
      </c>
      <c r="AG15">
        <v>0.31</v>
      </c>
      <c r="AH15" cm="1">
        <f t="array" ref="AH15">numeng*InterpolateXY(AH$3,AG15,Tmil_h,Tmil_M,Tmil_table)</f>
        <v>2664.1707609983177</v>
      </c>
      <c r="AI15" cm="1">
        <f t="array" ref="AI15">1*AH$4/(S*Linterp(AH$3,atmos_h,atmos_qms)*AG15^2)</f>
        <v>0.73219648397708104</v>
      </c>
      <c r="AJ15" cm="1">
        <f t="array" ref="AJ15">InterpolateXY(AI15,AG15,CD_CL,CD_M,CD_table)</f>
        <v>0.15198086655595977</v>
      </c>
      <c r="AK15" cm="1">
        <f t="array" ref="AK15">AJ15*S*Linterp(AH$3,atmos_h,atmos_qms)*AG15^2</f>
        <v>2075.6841897197232</v>
      </c>
      <c r="AL15" cm="1">
        <f t="array" ref="AL15">AG15*Linterp(AH$3,atmos_h,atmos_aspeed)</f>
        <v>327.76752711762015</v>
      </c>
      <c r="AM15" s="162">
        <f t="shared" si="3"/>
        <v>1157.320729259472</v>
      </c>
      <c r="AO15">
        <v>0.31</v>
      </c>
      <c r="AP15" cm="1">
        <f t="array" ref="AP15">numeng*InterpolateXY(AP$3,AO15,Tmil_h,Tmil_M,Tmil_table)</f>
        <v>2288.9339050131143</v>
      </c>
      <c r="AQ15" cm="1">
        <f t="array" ref="AQ15">1*AP$4/(S*Linterp(AP$3,atmos_h,atmos_qms)*AO15^2)</f>
        <v>0.89917334065860366</v>
      </c>
      <c r="AR15" t="e" cm="1">
        <f t="array" ref="AR15">InterpolateXY(AQ15,AO15,CD_CL,CD_M,CD_table)</f>
        <v>#VALUE!</v>
      </c>
      <c r="AS15" t="e" cm="1">
        <f t="array" ref="AS15">AR15*S*Linterp(AP$3,atmos_h,atmos_qms)*AO15^2</f>
        <v>#VALUE!</v>
      </c>
      <c r="AT15" cm="1">
        <f t="array" ref="AT15">AO15*Linterp(AP$3,atmos_h,atmos_aspeed)</f>
        <v>321.42461191335337</v>
      </c>
      <c r="AU15" s="162" t="e">
        <f t="shared" si="4"/>
        <v>#VALUE!</v>
      </c>
      <c r="AW15">
        <v>0.31</v>
      </c>
      <c r="AX15" cm="1">
        <f t="array" ref="AX15">numeng*InterpolateXY(AX$3,AW15,Tmil_h,Tmil_M,Tmil_table)</f>
        <v>1952.8787681376364</v>
      </c>
      <c r="AY15" cm="1">
        <f t="array" ref="AY15">1*AX$4/(S*Linterp(AX$3,atmos_h,atmos_qms)*AW15^2)</f>
        <v>1.113495221644266</v>
      </c>
      <c r="AZ15" t="e" cm="1">
        <f t="array" ref="AZ15">InterpolateXY(AY15,AW15,CD_CL,CD_M,CD_table)</f>
        <v>#VALUE!</v>
      </c>
      <c r="BA15" t="e" cm="1">
        <f t="array" ref="BA15">AZ15*S*Linterp(AX$3,atmos_h,atmos_qms)*AW15^2</f>
        <v>#VALUE!</v>
      </c>
      <c r="BB15" cm="1">
        <f t="array" ref="BB15">AW15*Linterp(AX$3,atmos_h,atmos_aspeed)</f>
        <v>314.95398148697808</v>
      </c>
      <c r="BC15" s="162" t="e">
        <f t="shared" si="5"/>
        <v>#VALUE!</v>
      </c>
      <c r="BE15">
        <v>0.31</v>
      </c>
      <c r="BF15" cm="1">
        <f t="array" ref="BF15">numeng*InterpolateXY(BF$3,BE15,Tmil_h,Tmil_M,Tmil_table)</f>
        <v>1653.6418321991241</v>
      </c>
      <c r="BG15" cm="1">
        <f t="array" ref="BG15">1*BF$4/(S*Linterp(BF$3,atmos_h,atmos_qms)*BE15^2)</f>
        <v>1.3914585304270484</v>
      </c>
      <c r="BH15" t="e" cm="1">
        <f t="array" ref="BH15">InterpolateXY(BG15,BE15,CD_CL,CD_M,CD_table)</f>
        <v>#VALUE!</v>
      </c>
      <c r="BI15" t="e" cm="1">
        <f t="array" ref="BI15">BH15*S*Linterp(BF$3,atmos_h,atmos_qms)*BE15^2</f>
        <v>#VALUE!</v>
      </c>
      <c r="BJ15" cm="1">
        <f t="array" ref="BJ15">BE15*Linterp(BF$3,atmos_h,atmos_aspeed)</f>
        <v>308.34759568602067</v>
      </c>
      <c r="BK15" s="162" t="e">
        <f t="shared" si="6"/>
        <v>#VALUE!</v>
      </c>
      <c r="BM15">
        <v>0.31</v>
      </c>
      <c r="BN15" cm="1">
        <f t="array" ref="BN15">numeng*InterpolateXY(BN$3,BM15,Tmil_h,Tmil_M,Tmil_table)</f>
        <v>1388.8387317793515</v>
      </c>
      <c r="BO15" cm="1">
        <f t="array" ref="BO15">1*BN$4/(S*Linterp(BN$3,atmos_h,atmos_qms)*BM15^2)</f>
        <v>1.7560540491626335</v>
      </c>
      <c r="BP15" t="e" cm="1">
        <f t="array" ref="BP15">InterpolateXY(BO15,BM15,CD_CL,CD_M,CD_table)</f>
        <v>#VALUE!</v>
      </c>
      <c r="BQ15" t="e" cm="1">
        <f t="array" ref="BQ15">BP15*S*Linterp(BN$3,atmos_h,atmos_qms)*BM15^2</f>
        <v>#VALUE!</v>
      </c>
      <c r="BR15" cm="1">
        <f t="array" ref="BR15">BM15*Linterp(BN$3,atmos_h,atmos_aspeed)</f>
        <v>301.59653359446895</v>
      </c>
      <c r="BS15" s="162" t="e">
        <f t="shared" si="7"/>
        <v>#VALUE!</v>
      </c>
      <c r="BU15">
        <v>0.31</v>
      </c>
      <c r="BV15" cm="1">
        <f t="array" ref="BV15">numeng*InterpolateXY(BV$3,BU15,Tmil_h,Tmil_M,Tmil_table)</f>
        <v>1118.5941498910806</v>
      </c>
      <c r="BW15" cm="1">
        <f t="array" ref="BW15">1*BV$4/(S*Linterp(BV$3,atmos_h,atmos_qms)*BU15^2)</f>
        <v>2.2325168578382524</v>
      </c>
      <c r="BX15" t="e" cm="1">
        <f t="array" ref="BX15">InterpolateXY(BW15,BU15,CD_CL,CD_M,CD_table)</f>
        <v>#VALUE!</v>
      </c>
      <c r="BY15" t="e" cm="1">
        <f t="array" ref="BY15">BX15*S*Linterp(BV$3,atmos_h,atmos_qms)*BU15^2</f>
        <v>#VALUE!</v>
      </c>
      <c r="BZ15" cm="1">
        <f t="array" ref="BZ15">BU15*Linterp(BV$3,atmos_h,atmos_aspeed)</f>
        <v>300.11115823064449</v>
      </c>
      <c r="CA15" s="162" t="e">
        <f t="shared" si="8"/>
        <v>#VALUE!</v>
      </c>
    </row>
    <row r="16" spans="1:79">
      <c r="A16" s="120">
        <v>8000</v>
      </c>
      <c r="B16" s="11">
        <v>0.90544000000000002</v>
      </c>
      <c r="C16" s="11"/>
      <c r="D16" s="120">
        <v>8000</v>
      </c>
      <c r="E16" s="11">
        <v>0.77138441110497524</v>
      </c>
      <c r="I16">
        <v>0.32</v>
      </c>
      <c r="J16" cm="1">
        <f t="array" ref="J16">numeng*InterpolateXY(J$3,I16,Tmil_h,Tmil_M,Tmil_table)</f>
        <v>3928</v>
      </c>
      <c r="K16" cm="1">
        <f t="array" ref="K16">1*J$4/(S*Linterp(J$3,atmos_h,atmos_qms)*I16^2)</f>
        <v>0.38778612634911352</v>
      </c>
      <c r="L16" cm="1">
        <f t="array" ref="L16">InterpolateXY(K16,I16,CD_CL,CD_M,CD_table)</f>
        <v>3.6228683409986848E-2</v>
      </c>
      <c r="M16" cm="1">
        <f t="array" ref="M16">L16*S*Linterp(J$3,atmos_h,atmos_qms)*I16^2</f>
        <v>934.24392850432025</v>
      </c>
      <c r="N16" cm="1">
        <f t="array" ref="N16">I16*Linterp(J$3,atmos_h,atmos_aspeed)</f>
        <v>357.26400000000001</v>
      </c>
      <c r="O16" s="162">
        <f t="shared" si="0"/>
        <v>6417.3676147609949</v>
      </c>
      <c r="Q16">
        <v>0.32</v>
      </c>
      <c r="R16" cm="1">
        <f t="array" ref="R16">numeng*InterpolateXY(R$3,Q16,Tmil_h,Tmil_M,Tmil_table)</f>
        <v>3494.9256248433362</v>
      </c>
      <c r="S16" cm="1">
        <f t="array" ref="S16">1*R$4/(S*Linterp(R$3,atmos_h,atmos_qms)*Q16^2)</f>
        <v>0.46606272560557832</v>
      </c>
      <c r="T16" cm="1">
        <f t="array" ref="T16">InterpolateXY(S16,Q16,CD_CL,CD_M,CD_table)</f>
        <v>5.123860784672124E-2</v>
      </c>
      <c r="U16" cm="1">
        <f t="array" ref="U16">T16*S*Linterp(R$3,atmos_h,atmos_qms)*Q16^2</f>
        <v>1099.3929578930474</v>
      </c>
      <c r="V16" cm="1">
        <f t="array" ref="V16">Q16*Linterp(R$3,atmos_h,atmos_aspeed)</f>
        <v>351.06957643847949</v>
      </c>
      <c r="W16" s="162">
        <f t="shared" si="1"/>
        <v>5045.9918323846741</v>
      </c>
      <c r="Y16">
        <v>0.32</v>
      </c>
      <c r="Z16" cm="1">
        <f t="array" ref="Z16">numeng*InterpolateXY(Z$3,Y16,Tmil_h,Tmil_M,Tmil_table)</f>
        <v>3089.7797918906713</v>
      </c>
      <c r="AA16" cm="1">
        <f t="array" ref="AA16">1*Z$4/(S*Linterp(Z$3,atmos_h,atmos_qms)*Y16^2)</f>
        <v>0.56388606871011582</v>
      </c>
      <c r="AB16" cm="1">
        <f t="array" ref="AB16">InterpolateXY(AA16,Y16,CD_CL,CD_M,CD_table)</f>
        <v>7.8056339506266254E-2</v>
      </c>
      <c r="AC16" cm="1">
        <f t="array" ref="AC16">AB16*S*Linterp(Z$3,atmos_h,atmos_qms)*Y16^2</f>
        <v>1384.2572788652044</v>
      </c>
      <c r="AD16" cm="1">
        <f t="array" ref="AD16">Y16*Linterp(Z$3,atmos_h,atmos_aspeed)</f>
        <v>344.76387471048474</v>
      </c>
      <c r="AE16" s="162">
        <f t="shared" si="2"/>
        <v>3528.0152999797388</v>
      </c>
      <c r="AG16">
        <v>0.32</v>
      </c>
      <c r="AH16" cm="1">
        <f t="array" ref="AH16">numeng*InterpolateXY(AH$3,AG16,Tmil_h,Tmil_M,Tmil_table)</f>
        <v>2672.9800171754496</v>
      </c>
      <c r="AI16" cm="1">
        <f t="array" ref="AI16">1*AH$4/(S*Linterp(AH$3,atmos_h,atmos_qms)*AG16^2)</f>
        <v>0.68714923935739736</v>
      </c>
      <c r="AJ16" cm="1">
        <f t="array" ref="AJ16">InterpolateXY(AI16,AG16,CD_CL,CD_M,CD_table)</f>
        <v>0.12753136683854002</v>
      </c>
      <c r="AK16" cm="1">
        <f t="array" ref="AK16">AJ16*S*Linterp(AH$3,atmos_h,atmos_qms)*AG16^2</f>
        <v>1855.9485994309446</v>
      </c>
      <c r="AL16" cm="1">
        <f t="array" ref="AL16">AG16*Linterp(AH$3,atmos_h,atmos_aspeed)</f>
        <v>338.34067315367241</v>
      </c>
      <c r="AM16" s="162">
        <f t="shared" si="3"/>
        <v>1658.6097592042508</v>
      </c>
      <c r="AO16">
        <v>0.32</v>
      </c>
      <c r="AP16" cm="1">
        <f t="array" ref="AP16">numeng*InterpolateXY(AP$3,AO16,Tmil_h,Tmil_M,Tmil_table)</f>
        <v>2297.4587985140943</v>
      </c>
      <c r="AQ16" cm="1">
        <f t="array" ref="AQ16">1*AP$4/(S*Linterp(AP$3,atmos_h,atmos_qms)*AO16^2)</f>
        <v>0.84385310583292794</v>
      </c>
      <c r="AR16" t="e" cm="1">
        <f t="array" ref="AR16">InterpolateXY(AQ16,AO16,CD_CL,CD_M,CD_table)</f>
        <v>#VALUE!</v>
      </c>
      <c r="AS16" t="e" cm="1">
        <f t="array" ref="AS16">AR16*S*Linterp(AP$3,atmos_h,atmos_qms)*AO16^2</f>
        <v>#VALUE!</v>
      </c>
      <c r="AT16" cm="1">
        <f t="array" ref="AT16">AO16*Linterp(AP$3,atmos_h,atmos_aspeed)</f>
        <v>331.79314778152605</v>
      </c>
      <c r="AU16" s="162" t="e">
        <f t="shared" si="4"/>
        <v>#VALUE!</v>
      </c>
      <c r="AW16">
        <v>0.32</v>
      </c>
      <c r="AX16" cm="1">
        <f t="array" ref="AX16">numeng*InterpolateXY(AX$3,AW16,Tmil_h,Tmil_M,Tmil_table)</f>
        <v>1960.9448116958001</v>
      </c>
      <c r="AY16" cm="1">
        <f t="array" ref="AY16">1*AX$4/(S*Linterp(AX$3,atmos_h,atmos_qms)*AW16^2)</f>
        <v>1.0449891679688863</v>
      </c>
      <c r="AZ16" t="e" cm="1">
        <f t="array" ref="AZ16">InterpolateXY(AY16,AW16,CD_CL,CD_M,CD_table)</f>
        <v>#VALUE!</v>
      </c>
      <c r="BA16" t="e" cm="1">
        <f t="array" ref="BA16">AZ16*S*Linterp(AX$3,atmos_h,atmos_qms)*AW16^2</f>
        <v>#VALUE!</v>
      </c>
      <c r="BB16" cm="1">
        <f t="array" ref="BB16">AW16*Linterp(AX$3,atmos_h,atmos_aspeed)</f>
        <v>325.11378734139674</v>
      </c>
      <c r="BC16" s="162" t="e">
        <f t="shared" si="5"/>
        <v>#VALUE!</v>
      </c>
      <c r="BE16">
        <v>0.32</v>
      </c>
      <c r="BF16" cm="1">
        <f t="array" ref="BF16">numeng*InterpolateXY(BF$3,BE16,Tmil_h,Tmil_M,Tmil_table)</f>
        <v>1661.1243744262695</v>
      </c>
      <c r="BG16" cm="1">
        <f t="array" ref="BG16">1*BF$4/(S*Linterp(BF$3,atmos_h,atmos_qms)*BE16^2)</f>
        <v>1.3058512184964781</v>
      </c>
      <c r="BH16" t="e" cm="1">
        <f t="array" ref="BH16">InterpolateXY(BG16,BE16,CD_CL,CD_M,CD_table)</f>
        <v>#VALUE!</v>
      </c>
      <c r="BI16" t="e" cm="1">
        <f t="array" ref="BI16">BH16*S*Linterp(BF$3,atmos_h,atmos_qms)*BE16^2</f>
        <v>#VALUE!</v>
      </c>
      <c r="BJ16" cm="1">
        <f t="array" ref="BJ16">BE16*Linterp(BF$3,atmos_h,atmos_aspeed)</f>
        <v>318.2942923210536</v>
      </c>
      <c r="BK16" s="162" t="e">
        <f t="shared" si="6"/>
        <v>#VALUE!</v>
      </c>
      <c r="BM16">
        <v>0.32</v>
      </c>
      <c r="BN16" cm="1">
        <f t="array" ref="BN16">numeng*InterpolateXY(BN$3,BM16,Tmil_h,Tmil_M,Tmil_table)</f>
        <v>1395.6558786109324</v>
      </c>
      <c r="BO16" cm="1">
        <f t="array" ref="BO16">1*BN$4/(S*Linterp(BN$3,atmos_h,atmos_qms)*BM16^2)</f>
        <v>1.6480155676223545</v>
      </c>
      <c r="BP16" t="e" cm="1">
        <f t="array" ref="BP16">InterpolateXY(BO16,BM16,CD_CL,CD_M,CD_table)</f>
        <v>#VALUE!</v>
      </c>
      <c r="BQ16" t="e" cm="1">
        <f t="array" ref="BQ16">BP16*S*Linterp(BN$3,atmos_h,atmos_qms)*BM16^2</f>
        <v>#VALUE!</v>
      </c>
      <c r="BR16" cm="1">
        <f t="array" ref="BR16">BM16*Linterp(BN$3,atmos_h,atmos_aspeed)</f>
        <v>311.3254540330002</v>
      </c>
      <c r="BS16" s="162" t="e">
        <f t="shared" si="7"/>
        <v>#VALUE!</v>
      </c>
      <c r="BU16">
        <v>0.32</v>
      </c>
      <c r="BV16" cm="1">
        <f t="array" ref="BV16">numeng*InterpolateXY(BV$3,BU16,Tmil_h,Tmil_M,Tmil_table)</f>
        <v>1124.5022175841673</v>
      </c>
      <c r="BW16" cm="1">
        <f t="array" ref="BW16">1*BV$4/(S*Linterp(BV$3,atmos_h,atmos_qms)*BU16^2)</f>
        <v>2.0951647464673444</v>
      </c>
      <c r="BX16" t="e" cm="1">
        <f t="array" ref="BX16">InterpolateXY(BW16,BU16,CD_CL,CD_M,CD_table)</f>
        <v>#VALUE!</v>
      </c>
      <c r="BY16" t="e" cm="1">
        <f t="array" ref="BY16">BX16*S*Linterp(BV$3,atmos_h,atmos_qms)*BU16^2</f>
        <v>#VALUE!</v>
      </c>
      <c r="BZ16" cm="1">
        <f t="array" ref="BZ16">BU16*Linterp(BV$3,atmos_h,atmos_aspeed)</f>
        <v>309.7921633348588</v>
      </c>
      <c r="CA16" s="162" t="e">
        <f t="shared" si="8"/>
        <v>#VALUE!</v>
      </c>
    </row>
    <row r="17" spans="1:79">
      <c r="A17" s="120">
        <v>9000</v>
      </c>
      <c r="B17" s="11">
        <v>0.90602000000000005</v>
      </c>
      <c r="C17" s="11"/>
      <c r="D17" s="120">
        <v>9000</v>
      </c>
      <c r="E17" s="11">
        <v>0.77420589765905279</v>
      </c>
      <c r="I17">
        <v>0.33</v>
      </c>
      <c r="J17" cm="1">
        <f t="array" ref="J17">numeng*InterpolateXY(J$3,I17,Tmil_h,Tmil_M,Tmil_table)</f>
        <v>3932</v>
      </c>
      <c r="K17" cm="1">
        <f t="array" ref="K17">1*J$4/(S*Linterp(J$3,atmos_h,atmos_qms)*I17^2)</f>
        <v>0.36464003065334455</v>
      </c>
      <c r="L17" cm="1">
        <f t="array" ref="L17">InterpolateXY(K17,I17,CD_CL,CD_M,CD_table)</f>
        <v>3.2927724345111591E-2</v>
      </c>
      <c r="M17" cm="1">
        <f t="array" ref="M17">L17*S*Linterp(J$3,atmos_h,atmos_qms)*I17^2</f>
        <v>903.02000814648011</v>
      </c>
      <c r="N17" cm="1">
        <f t="array" ref="N17">I17*Linterp(J$3,atmos_h,atmos_aspeed)</f>
        <v>368.42850000000004</v>
      </c>
      <c r="O17" s="162">
        <f t="shared" si="0"/>
        <v>6695.7753295716284</v>
      </c>
      <c r="Q17">
        <v>0.33</v>
      </c>
      <c r="R17" cm="1">
        <f t="array" ref="R17">numeng*InterpolateXY(R$3,Q17,Tmil_h,Tmil_M,Tmil_table)</f>
        <v>3501.8189692710353</v>
      </c>
      <c r="S17" cm="1">
        <f t="array" ref="S17">1*R$4/(S*Linterp(R$3,atmos_h,atmos_qms)*Q17^2)</f>
        <v>0.43824447292939589</v>
      </c>
      <c r="T17" cm="1">
        <f t="array" ref="T17">InterpolateXY(S17,Q17,CD_CL,CD_M,CD_table)</f>
        <v>4.5627139058808573E-2</v>
      </c>
      <c r="U17" cm="1">
        <f t="array" ref="U17">T17*S*Linterp(R$3,atmos_h,atmos_qms)*Q17^2</f>
        <v>1041.1343867914429</v>
      </c>
      <c r="V17" cm="1">
        <f t="array" ref="V17">Q17*Linterp(R$3,atmos_h,atmos_aspeed)</f>
        <v>362.04050070218199</v>
      </c>
      <c r="W17" s="162">
        <f t="shared" si="1"/>
        <v>5345.2048698663075</v>
      </c>
      <c r="Y17">
        <v>0.33</v>
      </c>
      <c r="Z17" cm="1">
        <f t="array" ref="Z17">numeng*InterpolateXY(Z$3,Y17,Tmil_h,Tmil_M,Tmil_table)</f>
        <v>3098.6414930146407</v>
      </c>
      <c r="AA17" cm="1">
        <f t="array" ref="AA17">1*Z$4/(S*Linterp(Z$3,atmos_h,atmos_qms)*Y17^2)</f>
        <v>0.53022895717094454</v>
      </c>
      <c r="AB17" cm="1">
        <f t="array" ref="AB17">InterpolateXY(AA17,Y17,CD_CL,CD_M,CD_table)</f>
        <v>6.7501663594505629E-2</v>
      </c>
      <c r="AC17" cm="1">
        <f t="array" ref="AC17">AB17*S*Linterp(Z$3,atmos_h,atmos_qms)*Y17^2</f>
        <v>1273.0663363740669</v>
      </c>
      <c r="AD17" cm="1">
        <f t="array" ref="AD17">Y17*Linterp(Z$3,atmos_h,atmos_aspeed)</f>
        <v>355.53774579518739</v>
      </c>
      <c r="AE17" s="162">
        <f t="shared" si="2"/>
        <v>3894.3652558301142</v>
      </c>
      <c r="AG17">
        <v>0.33</v>
      </c>
      <c r="AH17" cm="1">
        <f t="array" ref="AH17">numeng*InterpolateXY(AH$3,AG17,Tmil_h,Tmil_M,Tmil_table)</f>
        <v>2681.7892733525814</v>
      </c>
      <c r="AI17" cm="1">
        <f t="array" ref="AI17">1*AH$4/(S*Linterp(AH$3,atmos_h,atmos_qms)*AG17^2)</f>
        <v>0.64613482194855365</v>
      </c>
      <c r="AJ17" cm="1">
        <f t="array" ref="AJ17">InterpolateXY(AI17,AG17,CD_CL,CD_M,CD_table)</f>
        <v>0.1095470520134665</v>
      </c>
      <c r="AK17" cm="1">
        <f t="array" ref="AK17">AJ17*S*Linterp(AH$3,atmos_h,atmos_qms)*AG17^2</f>
        <v>1695.4209600266497</v>
      </c>
      <c r="AL17" cm="1">
        <f t="array" ref="AL17">AG17*Linterp(AH$3,atmos_h,atmos_aspeed)</f>
        <v>348.91381918972468</v>
      </c>
      <c r="AM17" s="162">
        <f t="shared" si="3"/>
        <v>2064.9452119816669</v>
      </c>
      <c r="AO17">
        <v>0.33</v>
      </c>
      <c r="AP17" cm="1">
        <f t="array" ref="AP17">numeng*InterpolateXY(AP$3,AO17,Tmil_h,Tmil_M,Tmil_table)</f>
        <v>2305.9836920150742</v>
      </c>
      <c r="AQ17" cm="1">
        <f t="array" ref="AQ17">1*AP$4/(S*Linterp(AP$3,atmos_h,atmos_qms)*AO17^2)</f>
        <v>0.79348538142600367</v>
      </c>
      <c r="AR17" cm="1">
        <f t="array" ref="AR17">InterpolateXY(AQ17,AO17,CD_CL,CD_M,CD_table)</f>
        <v>0.18773000375241095</v>
      </c>
      <c r="AS17" cm="1">
        <f t="array" ref="AS17">AR17*S*Linterp(AP$3,atmos_h,atmos_qms)*AO17^2</f>
        <v>2365.8911449009183</v>
      </c>
      <c r="AT17" cm="1">
        <f t="array" ref="AT17">AO17*Linterp(AP$3,atmos_h,atmos_aspeed)</f>
        <v>342.16168364969877</v>
      </c>
      <c r="AU17" s="162">
        <f t="shared" si="4"/>
        <v>-122.98820965551256</v>
      </c>
      <c r="AW17">
        <v>0.33</v>
      </c>
      <c r="AX17" cm="1">
        <f t="array" ref="AX17">numeng*InterpolateXY(AX$3,AW17,Tmil_h,Tmil_M,Tmil_table)</f>
        <v>1969.0108552539637</v>
      </c>
      <c r="AY17" cm="1">
        <f t="array" ref="AY17">1*AX$4/(S*Linterp(AX$3,atmos_h,atmos_qms)*AW17^2)</f>
        <v>0.98261607713511434</v>
      </c>
      <c r="AZ17" t="e" cm="1">
        <f t="array" ref="AZ17">InterpolateXY(AY17,AW17,CD_CL,CD_M,CD_table)</f>
        <v>#VALUE!</v>
      </c>
      <c r="BA17" t="e" cm="1">
        <f t="array" ref="BA17">AZ17*S*Linterp(AX$3,atmos_h,atmos_qms)*AW17^2</f>
        <v>#VALUE!</v>
      </c>
      <c r="BB17" cm="1">
        <f t="array" ref="BB17">AW17*Linterp(AX$3,atmos_h,atmos_aspeed)</f>
        <v>335.27359319581541</v>
      </c>
      <c r="BC17" s="162" t="e">
        <f t="shared" si="5"/>
        <v>#VALUE!</v>
      </c>
      <c r="BE17">
        <v>0.33</v>
      </c>
      <c r="BF17" cm="1">
        <f t="array" ref="BF17">numeng*InterpolateXY(BF$3,BE17,Tmil_h,Tmil_M,Tmil_table)</f>
        <v>1668.6069166534148</v>
      </c>
      <c r="BG17" cm="1">
        <f t="array" ref="BG17">1*BF$4/(S*Linterp(BF$3,atmos_h,atmos_qms)*BE17^2)</f>
        <v>1.2279078491647324</v>
      </c>
      <c r="BH17" t="e" cm="1">
        <f t="array" ref="BH17">InterpolateXY(BG17,BE17,CD_CL,CD_M,CD_table)</f>
        <v>#VALUE!</v>
      </c>
      <c r="BI17" t="e" cm="1">
        <f t="array" ref="BI17">BH17*S*Linterp(BF$3,atmos_h,atmos_qms)*BE17^2</f>
        <v>#VALUE!</v>
      </c>
      <c r="BJ17" cm="1">
        <f t="array" ref="BJ17">BE17*Linterp(BF$3,atmos_h,atmos_aspeed)</f>
        <v>328.24098895608654</v>
      </c>
      <c r="BK17" s="162" t="e">
        <f t="shared" si="6"/>
        <v>#VALUE!</v>
      </c>
      <c r="BM17">
        <v>0.33</v>
      </c>
      <c r="BN17" cm="1">
        <f t="array" ref="BN17">numeng*InterpolateXY(BN$3,BM17,Tmil_h,Tmil_M,Tmil_table)</f>
        <v>1402.4730254425135</v>
      </c>
      <c r="BO17" cm="1">
        <f t="array" ref="BO17">1*BN$4/(S*Linterp(BN$3,atmos_h,atmos_qms)*BM17^2)</f>
        <v>1.5496491655145004</v>
      </c>
      <c r="BP17" t="e" cm="1">
        <f t="array" ref="BP17">InterpolateXY(BO17,BM17,CD_CL,CD_M,CD_table)</f>
        <v>#VALUE!</v>
      </c>
      <c r="BQ17" t="e" cm="1">
        <f t="array" ref="BQ17">BP17*S*Linterp(BN$3,atmos_h,atmos_qms)*BM17^2</f>
        <v>#VALUE!</v>
      </c>
      <c r="BR17" cm="1">
        <f t="array" ref="BR17">BM17*Linterp(BN$3,atmos_h,atmos_aspeed)</f>
        <v>321.0543744715315</v>
      </c>
      <c r="BS17" s="162" t="e">
        <f t="shared" si="7"/>
        <v>#VALUE!</v>
      </c>
      <c r="BU17">
        <v>0.33</v>
      </c>
      <c r="BV17" cm="1">
        <f t="array" ref="BV17">numeng*InterpolateXY(BV$3,BU17,Tmil_h,Tmil_M,Tmil_table)</f>
        <v>1130.4102852772542</v>
      </c>
      <c r="BW17" cm="1">
        <f t="array" ref="BW17">1*BV$4/(S*Linterp(BV$3,atmos_h,atmos_qms)*BU17^2)</f>
        <v>1.9701089994330214</v>
      </c>
      <c r="BX17" t="e" cm="1">
        <f t="array" ref="BX17">InterpolateXY(BW17,BU17,CD_CL,CD_M,CD_table)</f>
        <v>#VALUE!</v>
      </c>
      <c r="BY17" t="e" cm="1">
        <f t="array" ref="BY17">BX17*S*Linterp(BV$3,atmos_h,atmos_qms)*BU17^2</f>
        <v>#VALUE!</v>
      </c>
      <c r="BZ17" cm="1">
        <f t="array" ref="BZ17">BU17*Linterp(BV$3,atmos_h,atmos_aspeed)</f>
        <v>319.47316843907316</v>
      </c>
      <c r="CA17" s="162" t="e">
        <f t="shared" si="8"/>
        <v>#VALUE!</v>
      </c>
    </row>
    <row r="18" spans="1:79">
      <c r="A18" s="120">
        <v>10000</v>
      </c>
      <c r="B18" s="11">
        <v>0.90659999999999996</v>
      </c>
      <c r="C18" s="11"/>
      <c r="D18" s="120">
        <v>10000</v>
      </c>
      <c r="E18" s="11">
        <v>0.77705857282586432</v>
      </c>
      <c r="I18">
        <v>0.34</v>
      </c>
      <c r="J18" cm="1">
        <f t="array" ref="J18">numeng*InterpolateXY(J$3,I18,Tmil_h,Tmil_M,Tmil_table)</f>
        <v>3936</v>
      </c>
      <c r="K18" cm="1">
        <f t="array" ref="K18">1*J$4/(S*Linterp(J$3,atmos_h,atmos_qms)*I18^2)</f>
        <v>0.34350604963796905</v>
      </c>
      <c r="L18" cm="1">
        <f t="array" ref="L18">InterpolateXY(K18,I18,CD_CL,CD_M,CD_table)</f>
        <v>3.0304866533084982E-2</v>
      </c>
      <c r="M18" cm="1">
        <f t="array" ref="M18">L18*S*Linterp(J$3,atmos_h,atmos_qms)*I18^2</f>
        <v>882.22220729516005</v>
      </c>
      <c r="N18" cm="1">
        <f t="array" ref="N18">I18*Linterp(J$3,atmos_h,atmos_aspeed)</f>
        <v>379.59300000000002</v>
      </c>
      <c r="O18" s="162">
        <f t="shared" si="0"/>
        <v>6955.1560419972511</v>
      </c>
      <c r="Q18">
        <v>0.34</v>
      </c>
      <c r="R18" cm="1">
        <f t="array" ref="R18">numeng*InterpolateXY(R$3,Q18,Tmil_h,Tmil_M,Tmil_table)</f>
        <v>3508.7123136987343</v>
      </c>
      <c r="S18" cm="1">
        <f t="array" ref="S18">1*R$4/(S*Linterp(R$3,atmos_h,atmos_qms)*Q18^2)</f>
        <v>0.41284449050182709</v>
      </c>
      <c r="T18" cm="1">
        <f t="array" ref="T18">InterpolateXY(S18,Q18,CD_CL,CD_M,CD_table)</f>
        <v>4.0501742590867244E-2</v>
      </c>
      <c r="U18" cm="1">
        <f t="array" ref="U18">T18*S*Linterp(R$3,atmos_h,atmos_qms)*Q18^2</f>
        <v>981.04113104757539</v>
      </c>
      <c r="V18" cm="1">
        <f t="array" ref="V18">Q18*Linterp(R$3,atmos_h,atmos_aspeed)</f>
        <v>373.01142496588449</v>
      </c>
      <c r="W18" s="162">
        <f t="shared" si="1"/>
        <v>5657.1013781154679</v>
      </c>
      <c r="Y18">
        <v>0.34</v>
      </c>
      <c r="Z18" cm="1">
        <f t="array" ref="Z18">numeng*InterpolateXY(Z$3,Y18,Tmil_h,Tmil_M,Tmil_table)</f>
        <v>3107.5031941386101</v>
      </c>
      <c r="AA18" cm="1">
        <f t="array" ref="AA18">1*Z$4/(S*Linterp(Z$3,atmos_h,atmos_qms)*Y18^2)</f>
        <v>0.49949769408231703</v>
      </c>
      <c r="AB18" cm="1">
        <f t="array" ref="AB18">InterpolateXY(AA18,Y18,CD_CL,CD_M,CD_table)</f>
        <v>5.7919036510545724E-2</v>
      </c>
      <c r="AC18" cm="1">
        <f t="array" ref="AC18">AB18*S*Linterp(Z$3,atmos_h,atmos_qms)*Y18^2</f>
        <v>1159.545623467897</v>
      </c>
      <c r="AD18" cm="1">
        <f t="array" ref="AD18">Y18*Linterp(Z$3,atmos_h,atmos_aspeed)</f>
        <v>366.31161687989004</v>
      </c>
      <c r="AE18" s="162">
        <f t="shared" si="2"/>
        <v>4281.3569239548688</v>
      </c>
      <c r="AG18">
        <v>0.34</v>
      </c>
      <c r="AH18" cm="1">
        <f t="array" ref="AH18">numeng*InterpolateXY(AH$3,AG18,Tmil_h,Tmil_M,Tmil_table)</f>
        <v>2690.5985295297132</v>
      </c>
      <c r="AI18" cm="1">
        <f t="array" ref="AI18">1*AH$4/(S*Linterp(AH$3,atmos_h,atmos_qms)*AG18^2)</f>
        <v>0.6086858314030924</v>
      </c>
      <c r="AJ18" cm="1">
        <f t="array" ref="AJ18">InterpolateXY(AI18,AG18,CD_CL,CD_M,CD_table)</f>
        <v>9.312439415455448E-2</v>
      </c>
      <c r="AK18" cm="1">
        <f t="array" ref="AK18">AJ18*S*Linterp(AH$3,atmos_h,atmos_qms)*AG18^2</f>
        <v>1529.9254451166014</v>
      </c>
      <c r="AL18" cm="1">
        <f t="array" ref="AL18">AG18*Linterp(AH$3,atmos_h,atmos_aspeed)</f>
        <v>359.48696522577694</v>
      </c>
      <c r="AM18" s="162">
        <f t="shared" si="3"/>
        <v>2503.4810684094696</v>
      </c>
      <c r="AO18">
        <v>0.34</v>
      </c>
      <c r="AP18" cm="1">
        <f t="array" ref="AP18">numeng*InterpolateXY(AP$3,AO18,Tmil_h,Tmil_M,Tmil_table)</f>
        <v>2314.5085855160542</v>
      </c>
      <c r="AQ18" cm="1">
        <f t="array" ref="AQ18">1*AP$4/(S*Linterp(AP$3,atmos_h,atmos_qms)*AO18^2)</f>
        <v>0.7474961767931817</v>
      </c>
      <c r="AR18" cm="1">
        <f t="array" ref="AR18">InterpolateXY(AQ18,AO18,CD_CL,CD_M,CD_table)</f>
        <v>0.16085499374784337</v>
      </c>
      <c r="AS18" cm="1">
        <f t="array" ref="AS18">AR18*S*Linterp(AP$3,atmos_h,atmos_qms)*AO18^2</f>
        <v>2151.9172771949707</v>
      </c>
      <c r="AT18" cm="1">
        <f t="array" ref="AT18">AO18*Linterp(AP$3,atmos_h,atmos_aspeed)</f>
        <v>352.53021951787144</v>
      </c>
      <c r="AU18" s="162">
        <f t="shared" si="4"/>
        <v>343.91009768477687</v>
      </c>
      <c r="AW18">
        <v>0.34</v>
      </c>
      <c r="AX18" cm="1">
        <f t="array" ref="AX18">numeng*InterpolateXY(AX$3,AW18,Tmil_h,Tmil_M,Tmil_table)</f>
        <v>1977.0768988121274</v>
      </c>
      <c r="AY18" cm="1">
        <f t="array" ref="AY18">1*AX$4/(S*Linterp(AX$3,atmos_h,atmos_qms)*AW18^2)</f>
        <v>0.92566514532884037</v>
      </c>
      <c r="AZ18" t="e" cm="1">
        <f t="array" ref="AZ18">InterpolateXY(AY18,AW18,CD_CL,CD_M,CD_table)</f>
        <v>#VALUE!</v>
      </c>
      <c r="BA18" t="e" cm="1">
        <f t="array" ref="BA18">AZ18*S*Linterp(AX$3,atmos_h,atmos_qms)*AW18^2</f>
        <v>#VALUE!</v>
      </c>
      <c r="BB18" cm="1">
        <f t="array" ref="BB18">AW18*Linterp(AX$3,atmos_h,atmos_aspeed)</f>
        <v>345.43339905023407</v>
      </c>
      <c r="BC18" s="162" t="e">
        <f t="shared" si="5"/>
        <v>#VALUE!</v>
      </c>
      <c r="BE18">
        <v>0.34</v>
      </c>
      <c r="BF18" cm="1">
        <f t="array" ref="BF18">numeng*InterpolateXY(BF$3,BE18,Tmil_h,Tmil_M,Tmil_table)</f>
        <v>1676.0894588805602</v>
      </c>
      <c r="BG18" cm="1">
        <f t="array" ref="BG18">1*BF$4/(S*Linterp(BF$3,atmos_h,atmos_qms)*BE18^2)</f>
        <v>1.1567401797062227</v>
      </c>
      <c r="BH18" t="e" cm="1">
        <f t="array" ref="BH18">InterpolateXY(BG18,BE18,CD_CL,CD_M,CD_table)</f>
        <v>#VALUE!</v>
      </c>
      <c r="BI18" t="e" cm="1">
        <f t="array" ref="BI18">BH18*S*Linterp(BF$3,atmos_h,atmos_qms)*BE18^2</f>
        <v>#VALUE!</v>
      </c>
      <c r="BJ18" cm="1">
        <f t="array" ref="BJ18">BE18*Linterp(BF$3,atmos_h,atmos_aspeed)</f>
        <v>338.18768559111948</v>
      </c>
      <c r="BK18" s="162" t="e">
        <f t="shared" si="6"/>
        <v>#VALUE!</v>
      </c>
      <c r="BM18">
        <v>0.34</v>
      </c>
      <c r="BN18" cm="1">
        <f t="array" ref="BN18">numeng*InterpolateXY(BN$3,BM18,Tmil_h,Tmil_M,Tmil_table)</f>
        <v>1409.2901722740944</v>
      </c>
      <c r="BO18" cm="1">
        <f t="array" ref="BO18">1*BN$4/(S*Linterp(BN$3,atmos_h,atmos_qms)*BM18^2)</f>
        <v>1.459833859208729</v>
      </c>
      <c r="BP18" t="e" cm="1">
        <f t="array" ref="BP18">InterpolateXY(BO18,BM18,CD_CL,CD_M,CD_table)</f>
        <v>#VALUE!</v>
      </c>
      <c r="BQ18" t="e" cm="1">
        <f t="array" ref="BQ18">BP18*S*Linterp(BN$3,atmos_h,atmos_qms)*BM18^2</f>
        <v>#VALUE!</v>
      </c>
      <c r="BR18" cm="1">
        <f t="array" ref="BR18">BM18*Linterp(BN$3,atmos_h,atmos_aspeed)</f>
        <v>330.78329491006275</v>
      </c>
      <c r="BS18" s="162" t="e">
        <f t="shared" si="7"/>
        <v>#VALUE!</v>
      </c>
      <c r="BU18">
        <v>0.34</v>
      </c>
      <c r="BV18" cm="1">
        <f t="array" ref="BV18">numeng*InterpolateXY(BV$3,BU18,Tmil_h,Tmil_M,Tmil_table)</f>
        <v>1136.3183529703408</v>
      </c>
      <c r="BW18" cm="1">
        <f t="array" ref="BW18">1*BV$4/(S*Linterp(BV$3,atmos_h,atmos_qms)*BU18^2)</f>
        <v>1.8559244812997928</v>
      </c>
      <c r="BX18" t="e" cm="1">
        <f t="array" ref="BX18">InterpolateXY(BW18,BU18,CD_CL,CD_M,CD_table)</f>
        <v>#VALUE!</v>
      </c>
      <c r="BY18" t="e" cm="1">
        <f t="array" ref="BY18">BX18*S*Linterp(BV$3,atmos_h,atmos_qms)*BU18^2</f>
        <v>#VALUE!</v>
      </c>
      <c r="BZ18" cm="1">
        <f t="array" ref="BZ18">BU18*Linterp(BV$3,atmos_h,atmos_aspeed)</f>
        <v>329.15417354328753</v>
      </c>
      <c r="CA18" s="162" t="e">
        <f t="shared" si="8"/>
        <v>#VALUE!</v>
      </c>
    </row>
    <row r="19" spans="1:79">
      <c r="A19" s="120">
        <v>11000</v>
      </c>
      <c r="B19" s="11">
        <v>0.90721999999999992</v>
      </c>
      <c r="C19" s="11"/>
      <c r="D19" s="120">
        <v>11000</v>
      </c>
      <c r="E19" s="11">
        <v>0.7799430154689273</v>
      </c>
      <c r="I19">
        <v>0.35</v>
      </c>
      <c r="J19" cm="1">
        <f t="array" ref="J19">numeng*InterpolateXY(J$3,I19,Tmil_h,Tmil_M,Tmil_table)</f>
        <v>3940</v>
      </c>
      <c r="K19" cm="1">
        <f t="array" ref="K19">1*J$4/(S*Linterp(J$3,atmos_h,atmos_qms)*I19^2)</f>
        <v>0.32415754561754473</v>
      </c>
      <c r="L19" cm="1">
        <f t="array" ref="L19">InterpolateXY(K19,I19,CD_CL,CD_M,CD_table)</f>
        <v>2.8712800581425509E-2</v>
      </c>
      <c r="M19" cm="1">
        <f t="array" ref="M19">L19*S*Linterp(J$3,atmos_h,atmos_qms)*I19^2</f>
        <v>885.76684299374995</v>
      </c>
      <c r="N19" cm="1">
        <f t="array" ref="N19">I19*Linterp(J$3,atmos_h,atmos_aspeed)</f>
        <v>390.75749999999999</v>
      </c>
      <c r="O19" s="162">
        <f t="shared" si="0"/>
        <v>7160.7870770932186</v>
      </c>
      <c r="Q19">
        <v>0.35</v>
      </c>
      <c r="R19" cm="1">
        <f t="array" ref="R19">numeng*InterpolateXY(R$3,Q19,Tmil_h,Tmil_M,Tmil_table)</f>
        <v>3515.6056581264329</v>
      </c>
      <c r="S19" cm="1">
        <f t="array" ref="S19">1*R$4/(S*Linterp(R$3,atmos_h,atmos_qms)*Q19^2)</f>
        <v>0.38959039266947937</v>
      </c>
      <c r="T19" cm="1">
        <f t="array" ref="T19">InterpolateXY(S19,Q19,CD_CL,CD_M,CD_table)</f>
        <v>3.6424438160898701E-2</v>
      </c>
      <c r="U19" cm="1">
        <f t="array" ref="U19">T19*S*Linterp(R$3,atmos_h,atmos_qms)*Q19^2</f>
        <v>934.94189913970638</v>
      </c>
      <c r="V19" cm="1">
        <f t="array" ref="V19">Q19*Linterp(R$3,atmos_h,atmos_aspeed)</f>
        <v>383.98234922958693</v>
      </c>
      <c r="W19" s="162">
        <f t="shared" si="1"/>
        <v>5945.5759964842791</v>
      </c>
      <c r="Y19">
        <v>0.35</v>
      </c>
      <c r="Z19" cm="1">
        <f t="array" ref="Z19">numeng*InterpolateXY(Z$3,Y19,Tmil_h,Tmil_M,Tmil_table)</f>
        <v>3116.3648952625795</v>
      </c>
      <c r="AA19" cm="1">
        <f t="array" ref="AA19">1*Z$4/(S*Linterp(Z$3,atmos_h,atmos_qms)*Y19^2)</f>
        <v>0.47136272192584378</v>
      </c>
      <c r="AB19" cm="1">
        <f t="array" ref="AB19">InterpolateXY(AA19,Y19,CD_CL,CD_M,CD_table)</f>
        <v>5.2243907107094603E-2</v>
      </c>
      <c r="AC19" cm="1">
        <f t="array" ref="AC19">AB19*S*Linterp(Z$3,atmos_h,atmos_qms)*Y19^2</f>
        <v>1108.3589065686397</v>
      </c>
      <c r="AD19" cm="1">
        <f t="array" ref="AD19">Y19*Linterp(Z$3,atmos_h,atmos_aspeed)</f>
        <v>377.08548796459269</v>
      </c>
      <c r="AE19" s="162">
        <f t="shared" si="2"/>
        <v>4543.1395084948717</v>
      </c>
      <c r="AG19">
        <v>0.35</v>
      </c>
      <c r="AH19" cm="1">
        <f t="array" ref="AH19">numeng*InterpolateXY(AH$3,AG19,Tmil_h,Tmil_M,Tmil_table)</f>
        <v>2699.4077857068451</v>
      </c>
      <c r="AI19" cm="1">
        <f t="array" ref="AI19">1*AH$4/(S*Linterp(AH$3,atmos_h,atmos_qms)*AG19^2)</f>
        <v>0.57440067028732655</v>
      </c>
      <c r="AJ19" cm="1">
        <f t="array" ref="AJ19">InterpolateXY(AI19,AG19,CD_CL,CD_M,CD_table)</f>
        <v>8.1287409799933208E-2</v>
      </c>
      <c r="AK19" cm="1">
        <f t="array" ref="AK19">AJ19*S*Linterp(AH$3,atmos_h,atmos_qms)*AG19^2</f>
        <v>1415.1691320149687</v>
      </c>
      <c r="AL19" cm="1">
        <f t="array" ref="AL19">AG19*Linterp(AH$3,atmos_h,atmos_aspeed)</f>
        <v>370.06011126182915</v>
      </c>
      <c r="AM19" s="162">
        <f t="shared" si="3"/>
        <v>2851.4729944317446</v>
      </c>
      <c r="AO19">
        <v>0.35</v>
      </c>
      <c r="AP19" cm="1">
        <f t="array" ref="AP19">numeng*InterpolateXY(AP$3,AO19,Tmil_h,Tmil_M,Tmil_table)</f>
        <v>2323.0334790170341</v>
      </c>
      <c r="AQ19" cm="1">
        <f t="array" ref="AQ19">1*AP$4/(S*Linterp(AP$3,atmos_h,atmos_qms)*AO19^2)</f>
        <v>0.70539231050850471</v>
      </c>
      <c r="AR19" cm="1">
        <f t="array" ref="AR19">InterpolateXY(AQ19,AO19,CD_CL,CD_M,CD_table)</f>
        <v>0.13624879445752103</v>
      </c>
      <c r="AS19" cm="1">
        <f t="array" ref="AS19">AR19*S*Linterp(AP$3,atmos_h,atmos_qms)*AO19^2</f>
        <v>1931.532176177278</v>
      </c>
      <c r="AT19" cm="1">
        <f t="array" ref="AT19">AO19*Linterp(AP$3,atmos_h,atmos_aspeed)</f>
        <v>362.89875538604412</v>
      </c>
      <c r="AU19" s="162">
        <f t="shared" si="4"/>
        <v>852.45201319537352</v>
      </c>
      <c r="AW19">
        <v>0.35</v>
      </c>
      <c r="AX19" cm="1">
        <f t="array" ref="AX19">numeng*InterpolateXY(AX$3,AW19,Tmil_h,Tmil_M,Tmil_table)</f>
        <v>1985.1429423702912</v>
      </c>
      <c r="AY19" cm="1">
        <f t="array" ref="AY19">1*AX$4/(S*Linterp(AX$3,atmos_h,atmos_qms)*AW19^2)</f>
        <v>0.87352563918378767</v>
      </c>
      <c r="AZ19" t="e" cm="1">
        <f t="array" ref="AZ19">InterpolateXY(AY19,AW19,CD_CL,CD_M,CD_table)</f>
        <v>#VALUE!</v>
      </c>
      <c r="BA19" t="e" cm="1">
        <f t="array" ref="BA19">AZ19*S*Linterp(AX$3,atmos_h,atmos_qms)*AW19^2</f>
        <v>#VALUE!</v>
      </c>
      <c r="BB19" cm="1">
        <f t="array" ref="BB19">AW19*Linterp(AX$3,atmos_h,atmos_aspeed)</f>
        <v>355.59320490465268</v>
      </c>
      <c r="BC19" s="162" t="e">
        <f t="shared" si="5"/>
        <v>#VALUE!</v>
      </c>
      <c r="BE19">
        <v>0.35</v>
      </c>
      <c r="BF19" cm="1">
        <f t="array" ref="BF19">numeng*InterpolateXY(BF$3,BE19,Tmil_h,Tmil_M,Tmil_table)</f>
        <v>1683.5720011077055</v>
      </c>
      <c r="BG19" cm="1">
        <f t="array" ref="BG19">1*BF$4/(S*Linterp(BF$3,atmos_h,atmos_qms)*BE19^2)</f>
        <v>1.0915850185635867</v>
      </c>
      <c r="BH19" t="e" cm="1">
        <f t="array" ref="BH19">InterpolateXY(BG19,BE19,CD_CL,CD_M,CD_table)</f>
        <v>#VALUE!</v>
      </c>
      <c r="BI19" t="e" cm="1">
        <f t="array" ref="BI19">BH19*S*Linterp(BF$3,atmos_h,atmos_qms)*BE19^2</f>
        <v>#VALUE!</v>
      </c>
      <c r="BJ19" cm="1">
        <f t="array" ref="BJ19">BE19*Linterp(BF$3,atmos_h,atmos_aspeed)</f>
        <v>348.13438222615235</v>
      </c>
      <c r="BK19" s="162" t="e">
        <f t="shared" si="6"/>
        <v>#VALUE!</v>
      </c>
      <c r="BM19">
        <v>0.35</v>
      </c>
      <c r="BN19" cm="1">
        <f t="array" ref="BN19">numeng*InterpolateXY(BN$3,BM19,Tmil_h,Tmil_M,Tmil_table)</f>
        <v>1416.1073191056753</v>
      </c>
      <c r="BO19" cm="1">
        <f t="array" ref="BO19">1*BN$4/(S*Linterp(BN$3,atmos_h,atmos_qms)*BM19^2)</f>
        <v>1.3776064826492174</v>
      </c>
      <c r="BP19" t="e" cm="1">
        <f t="array" ref="BP19">InterpolateXY(BO19,BM19,CD_CL,CD_M,CD_table)</f>
        <v>#VALUE!</v>
      </c>
      <c r="BQ19" t="e" cm="1">
        <f t="array" ref="BQ19">BP19*S*Linterp(BN$3,atmos_h,atmos_qms)*BM19^2</f>
        <v>#VALUE!</v>
      </c>
      <c r="BR19" cm="1">
        <f t="array" ref="BR19">BM19*Linterp(BN$3,atmos_h,atmos_aspeed)</f>
        <v>340.51221534859394</v>
      </c>
      <c r="BS19" s="162" t="e">
        <f t="shared" si="7"/>
        <v>#VALUE!</v>
      </c>
      <c r="BU19">
        <v>0.35</v>
      </c>
      <c r="BV19" cm="1">
        <f t="array" ref="BV19">numeng*InterpolateXY(BV$3,BU19,Tmil_h,Tmil_M,Tmil_table)</f>
        <v>1142.2264206634275</v>
      </c>
      <c r="BW19" cm="1">
        <f t="array" ref="BW19">1*BV$4/(S*Linterp(BV$3,atmos_h,atmos_qms)*BU19^2)</f>
        <v>1.7513866941898459</v>
      </c>
      <c r="BX19" t="e" cm="1">
        <f t="array" ref="BX19">InterpolateXY(BW19,BU19,CD_CL,CD_M,CD_table)</f>
        <v>#VALUE!</v>
      </c>
      <c r="BY19" t="e" cm="1">
        <f t="array" ref="BY19">BX19*S*Linterp(BV$3,atmos_h,atmos_qms)*BU19^2</f>
        <v>#VALUE!</v>
      </c>
      <c r="BZ19" cm="1">
        <f t="array" ref="BZ19">BU19*Linterp(BV$3,atmos_h,atmos_aspeed)</f>
        <v>338.83517864750183</v>
      </c>
      <c r="CA19" s="162" t="e">
        <f t="shared" si="8"/>
        <v>#VALUE!</v>
      </c>
    </row>
    <row r="20" spans="1:79">
      <c r="A20" s="120">
        <v>12000</v>
      </c>
      <c r="B20" s="11">
        <v>0.90783999999999987</v>
      </c>
      <c r="C20" s="11"/>
      <c r="D20" s="120">
        <v>12000</v>
      </c>
      <c r="E20" s="11">
        <v>0.78285981960556006</v>
      </c>
      <c r="I20">
        <v>0.36</v>
      </c>
      <c r="J20" cm="1">
        <f t="array" ref="J20">numeng*InterpolateXY(J$3,I20,Tmil_h,Tmil_M,Tmil_table)</f>
        <v>3944</v>
      </c>
      <c r="K20" cm="1">
        <f t="array" ref="K20">1*J$4/(S*Linterp(J$3,atmos_h,atmos_qms)*I20^2)</f>
        <v>0.30639891464621316</v>
      </c>
      <c r="L20" cm="1">
        <f t="array" ref="L20">InterpolateXY(K20,I20,CD_CL,CD_M,CD_table)</f>
        <v>2.7249911815004819E-2</v>
      </c>
      <c r="M20" cm="1">
        <f t="array" ref="M20">L20*S*Linterp(J$3,atmos_h,atmos_qms)*I20^2</f>
        <v>889.36058557744002</v>
      </c>
      <c r="N20" cm="1">
        <f t="array" ref="N20">I20*Linterp(J$3,atmos_h,atmos_aspeed)</f>
        <v>401.92200000000003</v>
      </c>
      <c r="O20" s="162">
        <f t="shared" si="0"/>
        <v>7366.360696341264</v>
      </c>
      <c r="Q20">
        <v>0.36</v>
      </c>
      <c r="R20" cm="1">
        <f t="array" ref="R20">numeng*InterpolateXY(R$3,Q20,Tmil_h,Tmil_M,Tmil_table)</f>
        <v>3522.4990025541319</v>
      </c>
      <c r="S20" cm="1">
        <f t="array" ref="S20">1*R$4/(S*Linterp(R$3,atmos_h,atmos_qms)*Q20^2)</f>
        <v>0.36824709183650634</v>
      </c>
      <c r="T20" cm="1">
        <f t="array" ref="T20">InterpolateXY(S20,Q20,CD_CL,CD_M,CD_table)</f>
        <v>3.3379025267824769E-2</v>
      </c>
      <c r="U20" cm="1">
        <f t="array" ref="U20">T20*S*Linterp(R$3,atmos_h,atmos_qms)*Q20^2</f>
        <v>906.43011194897167</v>
      </c>
      <c r="V20" cm="1">
        <f t="array" ref="V20">Q20*Linterp(R$3,atmos_h,atmos_aspeed)</f>
        <v>394.95327349328943</v>
      </c>
      <c r="W20" s="162">
        <f t="shared" si="1"/>
        <v>6199.3498321707966</v>
      </c>
      <c r="Y20">
        <v>0.36</v>
      </c>
      <c r="Z20" cm="1">
        <f t="array" ref="Z20">numeng*InterpolateXY(Z$3,Y20,Tmil_h,Tmil_M,Tmil_table)</f>
        <v>3125.2265963865489</v>
      </c>
      <c r="AA20" cm="1">
        <f t="array" ref="AA20">1*Z$4/(S*Linterp(Z$3,atmos_h,atmos_qms)*Y20^2)</f>
        <v>0.44553960984502983</v>
      </c>
      <c r="AB20" cm="1">
        <f t="array" ref="AB20">InterpolateXY(AA20,Y20,CD_CL,CD_M,CD_table)</f>
        <v>4.7033461578850994E-2</v>
      </c>
      <c r="AC20" cm="1">
        <f t="array" ref="AC20">AB20*S*Linterp(Z$3,atmos_h,atmos_qms)*Y20^2</f>
        <v>1055.6516309562342</v>
      </c>
      <c r="AD20" cm="1">
        <f t="array" ref="AD20">Y20*Linterp(Z$3,atmos_h,atmos_aspeed)</f>
        <v>387.85935904929534</v>
      </c>
      <c r="AE20" s="162">
        <f t="shared" si="2"/>
        <v>4816.2241175776162</v>
      </c>
      <c r="AG20">
        <v>0.36</v>
      </c>
      <c r="AH20" cm="1">
        <f t="array" ref="AH20">numeng*InterpolateXY(AH$3,AG20,Tmil_h,Tmil_M,Tmil_table)</f>
        <v>2708.2170418839773</v>
      </c>
      <c r="AI20" cm="1">
        <f t="array" ref="AI20">1*AH$4/(S*Linterp(AH$3,atmos_h,atmos_qms)*AG20^2)</f>
        <v>0.54293273233177075</v>
      </c>
      <c r="AJ20" cm="1">
        <f t="array" ref="AJ20">InterpolateXY(AI20,AG20,CD_CL,CD_M,CD_table)</f>
        <v>7.141794521984425E-2</v>
      </c>
      <c r="AK20" cm="1">
        <f t="array" ref="AK20">AJ20*S*Linterp(AH$3,atmos_h,atmos_qms)*AG20^2</f>
        <v>1315.4105650090512</v>
      </c>
      <c r="AL20" cm="1">
        <f t="array" ref="AL20">AG20*Linterp(AH$3,atmos_h,atmos_aspeed)</f>
        <v>380.63325729788141</v>
      </c>
      <c r="AM20" s="162">
        <f t="shared" si="3"/>
        <v>3180.8907964709369</v>
      </c>
      <c r="AO20">
        <v>0.36</v>
      </c>
      <c r="AP20" cm="1">
        <f t="array" ref="AP20">numeng*InterpolateXY(AP$3,AO20,Tmil_h,Tmil_M,Tmil_table)</f>
        <v>2331.558372518014</v>
      </c>
      <c r="AQ20" cm="1">
        <f t="array" ref="AQ20">1*AP$4/(S*Linterp(AP$3,atmos_h,atmos_qms)*AO20^2)</f>
        <v>0.66674813300379487</v>
      </c>
      <c r="AR20" cm="1">
        <f t="array" ref="AR20">InterpolateXY(AQ20,AO20,CD_CL,CD_M,CD_table)</f>
        <v>0.11851568225566214</v>
      </c>
      <c r="AS20" cm="1">
        <f t="array" ref="AS20">AR20*S*Linterp(AP$3,atmos_h,atmos_qms)*AO20^2</f>
        <v>1777.5180220112832</v>
      </c>
      <c r="AT20" cm="1">
        <f t="array" ref="AT20">AO20*Linterp(AP$3,atmos_h,atmos_aspeed)</f>
        <v>373.26729125421679</v>
      </c>
      <c r="AU20" s="162">
        <f t="shared" si="4"/>
        <v>1240.8308452751055</v>
      </c>
      <c r="AW20">
        <v>0.36</v>
      </c>
      <c r="AX20" cm="1">
        <f t="array" ref="AX20">numeng*InterpolateXY(AX$3,AW20,Tmil_h,Tmil_M,Tmil_table)</f>
        <v>1993.2089859284549</v>
      </c>
      <c r="AY20" cm="1">
        <f t="array" ref="AY20">1*AX$4/(S*Linterp(AX$3,atmos_h,atmos_qms)*AW20^2)</f>
        <v>0.82567045370381154</v>
      </c>
      <c r="AZ20" t="e" cm="1">
        <f t="array" ref="AZ20">InterpolateXY(AY20,AW20,CD_CL,CD_M,CD_table)</f>
        <v>#VALUE!</v>
      </c>
      <c r="BA20" t="e" cm="1">
        <f t="array" ref="BA20">AZ20*S*Linterp(AX$3,atmos_h,atmos_qms)*AW20^2</f>
        <v>#VALUE!</v>
      </c>
      <c r="BB20" cm="1">
        <f t="array" ref="BB20">AW20*Linterp(AX$3,atmos_h,atmos_aspeed)</f>
        <v>365.75301075907134</v>
      </c>
      <c r="BC20" s="162" t="e">
        <f t="shared" si="5"/>
        <v>#VALUE!</v>
      </c>
      <c r="BE20">
        <v>0.36</v>
      </c>
      <c r="BF20" cm="1">
        <f t="array" ref="BF20">numeng*InterpolateXY(BF$3,BE20,Tmil_h,Tmil_M,Tmil_table)</f>
        <v>1691.0545433348509</v>
      </c>
      <c r="BG20" cm="1">
        <f t="array" ref="BG20">1*BF$4/(S*Linterp(BF$3,atmos_h,atmos_qms)*BE20^2)</f>
        <v>1.031783678812032</v>
      </c>
      <c r="BH20" t="e" cm="1">
        <f t="array" ref="BH20">InterpolateXY(BG20,BE20,CD_CL,CD_M,CD_table)</f>
        <v>#VALUE!</v>
      </c>
      <c r="BI20" t="e" cm="1">
        <f t="array" ref="BI20">BH20*S*Linterp(BF$3,atmos_h,atmos_qms)*BE20^2</f>
        <v>#VALUE!</v>
      </c>
      <c r="BJ20" cm="1">
        <f t="array" ref="BJ20">BE20*Linterp(BF$3,atmos_h,atmos_aspeed)</f>
        <v>358.08107886118529</v>
      </c>
      <c r="BK20" s="162" t="e">
        <f t="shared" si="6"/>
        <v>#VALUE!</v>
      </c>
      <c r="BM20">
        <v>0.36</v>
      </c>
      <c r="BN20" cm="1">
        <f t="array" ref="BN20">numeng*InterpolateXY(BN$3,BM20,Tmil_h,Tmil_M,Tmil_table)</f>
        <v>1422.9244659372562</v>
      </c>
      <c r="BO20" cm="1">
        <f t="array" ref="BO20">1*BN$4/(S*Linterp(BN$3,atmos_h,atmos_qms)*BM20^2)</f>
        <v>1.3021357571337122</v>
      </c>
      <c r="BP20" t="e" cm="1">
        <f t="array" ref="BP20">InterpolateXY(BO20,BM20,CD_CL,CD_M,CD_table)</f>
        <v>#VALUE!</v>
      </c>
      <c r="BQ20" t="e" cm="1">
        <f t="array" ref="BQ20">BP20*S*Linterp(BN$3,atmos_h,atmos_qms)*BM20^2</f>
        <v>#VALUE!</v>
      </c>
      <c r="BR20" cm="1">
        <f t="array" ref="BR20">BM20*Linterp(BN$3,atmos_h,atmos_aspeed)</f>
        <v>350.24113578712524</v>
      </c>
      <c r="BS20" s="162" t="e">
        <f t="shared" si="7"/>
        <v>#VALUE!</v>
      </c>
      <c r="BU20">
        <v>0.36</v>
      </c>
      <c r="BV20" cm="1">
        <f t="array" ref="BV20">numeng*InterpolateXY(BV$3,BU20,Tmil_h,Tmil_M,Tmil_table)</f>
        <v>1148.1344883565141</v>
      </c>
      <c r="BW20" cm="1">
        <f t="array" ref="BW20">1*BV$4/(S*Linterp(BV$3,atmos_h,atmos_qms)*BU20^2)</f>
        <v>1.655438812023581</v>
      </c>
      <c r="BX20" t="e" cm="1">
        <f t="array" ref="BX20">InterpolateXY(BW20,BU20,CD_CL,CD_M,CD_table)</f>
        <v>#VALUE!</v>
      </c>
      <c r="BY20" t="e" cm="1">
        <f t="array" ref="BY20">BX20*S*Linterp(BV$3,atmos_h,atmos_qms)*BU20^2</f>
        <v>#VALUE!</v>
      </c>
      <c r="BZ20" cm="1">
        <f t="array" ref="BZ20">BU20*Linterp(BV$3,atmos_h,atmos_aspeed)</f>
        <v>348.51618375171614</v>
      </c>
      <c r="CA20" s="162" t="e">
        <f t="shared" si="8"/>
        <v>#VALUE!</v>
      </c>
    </row>
    <row r="21" spans="1:79">
      <c r="A21" s="120">
        <v>13000</v>
      </c>
      <c r="B21" s="11">
        <v>0.90845999999999982</v>
      </c>
      <c r="C21" s="11"/>
      <c r="D21" s="120">
        <v>13000</v>
      </c>
      <c r="E21" s="11">
        <v>0.78580959492077573</v>
      </c>
      <c r="I21">
        <v>0.37</v>
      </c>
      <c r="J21" cm="1">
        <f t="array" ref="J21">numeng*InterpolateXY(J$3,I21,Tmil_h,Tmil_M,Tmil_table)</f>
        <v>3948</v>
      </c>
      <c r="K21" cm="1">
        <f t="array" ref="K21">1*J$4/(S*Linterp(J$3,atmos_h,atmos_qms)*I21^2)</f>
        <v>0.29006062336120692</v>
      </c>
      <c r="L21" cm="1">
        <f t="array" ref="L21">InterpolateXY(K21,I21,CD_CL,CD_M,CD_table)</f>
        <v>2.6088788960075434E-2</v>
      </c>
      <c r="M21" cm="1">
        <f t="array" ref="M21">L21*S*Linterp(J$3,atmos_h,atmos_qms)*I21^2</f>
        <v>899.42539107032007</v>
      </c>
      <c r="N21" cm="1">
        <f t="array" ref="N21">I21*Linterp(J$3,atmos_h,atmos_aspeed)</f>
        <v>413.0865</v>
      </c>
      <c r="O21" s="162">
        <f t="shared" si="0"/>
        <v>7555.9500911497817</v>
      </c>
      <c r="Q21">
        <v>0.37</v>
      </c>
      <c r="R21" cm="1">
        <f t="array" ref="R21">numeng*InterpolateXY(R$3,Q21,Tmil_h,Tmil_M,Tmil_table)</f>
        <v>3529.392346981831</v>
      </c>
      <c r="S21" cm="1">
        <f t="array" ref="S21">1*R$4/(S*Linterp(R$3,atmos_h,atmos_qms)*Q21^2)</f>
        <v>0.34861083346976784</v>
      </c>
      <c r="T21" cm="1">
        <f t="array" ref="T21">InterpolateXY(S21,Q21,CD_CL,CD_M,CD_table)</f>
        <v>3.0659630219418636E-2</v>
      </c>
      <c r="U21" cm="1">
        <f t="array" ref="U21">T21*S*Linterp(R$3,atmos_h,atmos_qms)*Q21^2</f>
        <v>879.48013302568495</v>
      </c>
      <c r="V21" cm="1">
        <f t="array" ref="V21">Q21*Linterp(R$3,atmos_h,atmos_aspeed)</f>
        <v>405.92419775699193</v>
      </c>
      <c r="W21" s="162">
        <f t="shared" si="1"/>
        <v>6453.9809374596171</v>
      </c>
      <c r="Y21">
        <v>0.37</v>
      </c>
      <c r="Z21" cm="1">
        <f t="array" ref="Z21">numeng*InterpolateXY(Z$3,Y21,Tmil_h,Tmil_M,Tmil_table)</f>
        <v>3134.0882975105183</v>
      </c>
      <c r="AA21" cm="1">
        <f t="array" ref="AA21">1*Z$4/(S*Linterp(Z$3,atmos_h,atmos_qms)*Y21^2)</f>
        <v>0.42178183663926855</v>
      </c>
      <c r="AB21" cm="1">
        <f t="array" ref="AB21">InterpolateXY(AA21,Y21,CD_CL,CD_M,CD_table)</f>
        <v>4.2238149164492977E-2</v>
      </c>
      <c r="AC21" cm="1">
        <f t="array" ref="AC21">AB21*S*Linterp(Z$3,atmos_h,atmos_qms)*Y21^2</f>
        <v>1001.4217184183161</v>
      </c>
      <c r="AD21" cm="1">
        <f t="array" ref="AD21">Y21*Linterp(Z$3,atmos_h,atmos_aspeed)</f>
        <v>398.63323013399798</v>
      </c>
      <c r="AE21" s="162">
        <f t="shared" si="2"/>
        <v>5100.9106033340877</v>
      </c>
      <c r="AG21">
        <v>0.37</v>
      </c>
      <c r="AH21" cm="1">
        <f t="array" ref="AH21">numeng*InterpolateXY(AH$3,AG21,Tmil_h,Tmil_M,Tmil_table)</f>
        <v>2717.0262980611092</v>
      </c>
      <c r="AI21" cm="1">
        <f t="array" ref="AI21">1*AH$4/(S*Linterp(AH$3,atmos_h,atmos_qms)*AG21^2)</f>
        <v>0.51398160781736668</v>
      </c>
      <c r="AJ21" cm="1">
        <f t="array" ref="AJ21">InterpolateXY(AI21,AG21,CD_CL,CD_M,CD_table)</f>
        <v>6.2336243246835774E-2</v>
      </c>
      <c r="AK21" cm="1">
        <f t="array" ref="AK21">AJ21*S*Linterp(AH$3,atmos_h,atmos_qms)*AG21^2</f>
        <v>1212.8107756919142</v>
      </c>
      <c r="AL21" cm="1">
        <f t="array" ref="AL21">AG21*Linterp(AH$3,atmos_h,atmos_aspeed)</f>
        <v>391.20640333393368</v>
      </c>
      <c r="AM21" s="162">
        <f t="shared" si="3"/>
        <v>3530.7524660707622</v>
      </c>
      <c r="AO21">
        <v>0.37</v>
      </c>
      <c r="AP21" cm="1">
        <f t="array" ref="AP21">numeng*InterpolateXY(AP$3,AO21,Tmil_h,Tmil_M,Tmil_table)</f>
        <v>2340.083266018994</v>
      </c>
      <c r="AQ21" cm="1">
        <f t="array" ref="AQ21">1*AP$4/(S*Linterp(AP$3,atmos_h,atmos_qms)*AO21^2)</f>
        <v>0.63119472634983065</v>
      </c>
      <c r="AR21" cm="1">
        <f t="array" ref="AR21">InterpolateXY(AQ21,AO21,CD_CL,CD_M,CD_table)</f>
        <v>0.10292329014122582</v>
      </c>
      <c r="AS21" cm="1">
        <f t="array" ref="AS21">AR21*S*Linterp(AP$3,atmos_h,atmos_qms)*AO21^2</f>
        <v>1630.6107425267376</v>
      </c>
      <c r="AT21" cm="1">
        <f t="array" ref="AT21">AO21*Linterp(AP$3,atmos_h,atmos_aspeed)</f>
        <v>383.63582712238951</v>
      </c>
      <c r="AU21" s="162">
        <f t="shared" si="4"/>
        <v>1633.0744702233642</v>
      </c>
      <c r="AW21">
        <v>0.37</v>
      </c>
      <c r="AX21" cm="1">
        <f t="array" ref="AX21">numeng*InterpolateXY(AX$3,AW21,Tmil_h,Tmil_M,Tmil_table)</f>
        <v>2001.2750294866187</v>
      </c>
      <c r="AY21" cm="1">
        <f t="array" ref="AY21">1*AX$4/(S*Linterp(AX$3,atmos_h,atmos_qms)*AW21^2)</f>
        <v>0.7816427377648939</v>
      </c>
      <c r="AZ21" cm="1">
        <f t="array" ref="AZ21">InterpolateXY(AY21,AW21,CD_CL,CD_M,CD_table)</f>
        <v>0.18073459139555853</v>
      </c>
      <c r="BA21" cm="1">
        <f t="array" ref="BA21">AZ21*S*Linterp(AX$3,atmos_h,atmos_qms)*AW21^2</f>
        <v>2312.2403965828275</v>
      </c>
      <c r="BB21" cm="1">
        <f t="array" ref="BB21">AW21*Linterp(AX$3,atmos_h,atmos_aspeed)</f>
        <v>375.91281661349001</v>
      </c>
      <c r="BC21" s="162">
        <f t="shared" si="5"/>
        <v>-701.37520208630269</v>
      </c>
      <c r="BE21">
        <v>0.37</v>
      </c>
      <c r="BF21" cm="1">
        <f t="array" ref="BF21">numeng*InterpolateXY(BF$3,BE21,Tmil_h,Tmil_M,Tmil_table)</f>
        <v>1698.5370855619963</v>
      </c>
      <c r="BG21" cm="1">
        <f t="array" ref="BG21">1*BF$4/(S*Linterp(BF$3,atmos_h,atmos_qms)*BE21^2)</f>
        <v>0.97676526496741689</v>
      </c>
      <c r="BH21" t="e" cm="1">
        <f t="array" ref="BH21">InterpolateXY(BG21,BE21,CD_CL,CD_M,CD_table)</f>
        <v>#VALUE!</v>
      </c>
      <c r="BI21" t="e" cm="1">
        <f t="array" ref="BI21">BH21*S*Linterp(BF$3,atmos_h,atmos_qms)*BE21^2</f>
        <v>#VALUE!</v>
      </c>
      <c r="BJ21" cm="1">
        <f t="array" ref="BJ21">BE21*Linterp(BF$3,atmos_h,atmos_aspeed)</f>
        <v>368.02777549621823</v>
      </c>
      <c r="BK21" s="162" t="e">
        <f t="shared" si="6"/>
        <v>#VALUE!</v>
      </c>
      <c r="BM21">
        <v>0.37</v>
      </c>
      <c r="BN21" cm="1">
        <f t="array" ref="BN21">numeng*InterpolateXY(BN$3,BM21,Tmil_h,Tmil_M,Tmil_table)</f>
        <v>1429.7416127688371</v>
      </c>
      <c r="BO21" cm="1">
        <f t="array" ref="BO21">1*BN$4/(S*Linterp(BN$3,atmos_h,atmos_qms)*BM21^2)</f>
        <v>1.232701198864347</v>
      </c>
      <c r="BP21" t="e" cm="1">
        <f t="array" ref="BP21">InterpolateXY(BO21,BM21,CD_CL,CD_M,CD_table)</f>
        <v>#VALUE!</v>
      </c>
      <c r="BQ21" t="e" cm="1">
        <f t="array" ref="BQ21">BP21*S*Linterp(BN$3,atmos_h,atmos_qms)*BM21^2</f>
        <v>#VALUE!</v>
      </c>
      <c r="BR21" cm="1">
        <f t="array" ref="BR21">BM21*Linterp(BN$3,atmos_h,atmos_aspeed)</f>
        <v>359.97005622565649</v>
      </c>
      <c r="BS21" s="162" t="e">
        <f t="shared" si="7"/>
        <v>#VALUE!</v>
      </c>
      <c r="BU21">
        <v>0.37</v>
      </c>
      <c r="BV21" cm="1">
        <f t="array" ref="BV21">numeng*InterpolateXY(BV$3,BU21,Tmil_h,Tmil_M,Tmil_table)</f>
        <v>1154.0425560496008</v>
      </c>
      <c r="BW21" cm="1">
        <f t="array" ref="BW21">1*BV$4/(S*Linterp(BV$3,atmos_h,atmos_qms)*BU21^2)</f>
        <v>1.5671648651443104</v>
      </c>
      <c r="BX21" t="e" cm="1">
        <f t="array" ref="BX21">InterpolateXY(BW21,BU21,CD_CL,CD_M,CD_table)</f>
        <v>#VALUE!</v>
      </c>
      <c r="BY21" t="e" cm="1">
        <f t="array" ref="BY21">BX21*S*Linterp(BV$3,atmos_h,atmos_qms)*BU21^2</f>
        <v>#VALUE!</v>
      </c>
      <c r="BZ21" cm="1">
        <f t="array" ref="BZ21">BU21*Linterp(BV$3,atmos_h,atmos_aspeed)</f>
        <v>358.19718885593051</v>
      </c>
      <c r="CA21" s="162" t="e">
        <f t="shared" si="8"/>
        <v>#VALUE!</v>
      </c>
    </row>
    <row r="22" spans="1:79">
      <c r="A22" s="120">
        <v>14000</v>
      </c>
      <c r="B22" s="11">
        <v>0.90907999999999978</v>
      </c>
      <c r="C22" s="11"/>
      <c r="D22" s="120">
        <v>14000</v>
      </c>
      <c r="E22" s="11">
        <v>0.78879296730263848</v>
      </c>
      <c r="I22">
        <v>0.38</v>
      </c>
      <c r="J22" cm="1">
        <f t="array" ref="J22">numeng*InterpolateXY(J$3,I22,Tmil_h,Tmil_M,Tmil_table)</f>
        <v>3952</v>
      </c>
      <c r="K22" cm="1">
        <f t="array" ref="K22">1*J$4/(S*Linterp(J$3,atmos_h,atmos_qms)*I22^2)</f>
        <v>0.27499514777111655</v>
      </c>
      <c r="L22" cm="1">
        <f t="array" ref="L22">InterpolateXY(K22,I22,CD_CL,CD_M,CD_table)</f>
        <v>2.5127196735694784E-2</v>
      </c>
      <c r="M22" cm="1">
        <f t="array" ref="M22">L22*S*Linterp(J$3,atmos_h,atmos_qms)*I22^2</f>
        <v>913.73236725647996</v>
      </c>
      <c r="N22" cm="1">
        <f t="array" ref="N22">I22*Linterp(J$3,atmos_h,atmos_aspeed)</f>
        <v>424.25100000000003</v>
      </c>
      <c r="O22" s="162">
        <f t="shared" si="0"/>
        <v>7733.9284887544272</v>
      </c>
      <c r="Q22">
        <v>0.38</v>
      </c>
      <c r="R22" cm="1">
        <f t="array" ref="R22">numeng*InterpolateXY(R$3,Q22,Tmil_h,Tmil_M,Tmil_table)</f>
        <v>3536.28569140953</v>
      </c>
      <c r="S22" cm="1">
        <f t="array" ref="S22">1*R$4/(S*Linterp(R$3,atmos_h,atmos_qms)*Q22^2)</f>
        <v>0.33050431511088102</v>
      </c>
      <c r="T22" cm="1">
        <f t="array" ref="T22">InterpolateXY(S22,Q22,CD_CL,CD_M,CD_table)</f>
        <v>2.9168475602759081E-2</v>
      </c>
      <c r="U22" cm="1">
        <f t="array" ref="U22">T22*S*Linterp(R$3,atmos_h,atmos_qms)*Q22^2</f>
        <v>882.54447125670174</v>
      </c>
      <c r="V22" cm="1">
        <f t="array" ref="V22">Q22*Linterp(R$3,atmos_h,atmos_aspeed)</f>
        <v>416.89512202069437</v>
      </c>
      <c r="W22" s="162">
        <f t="shared" si="1"/>
        <v>6637.9906187217584</v>
      </c>
      <c r="Y22">
        <v>0.38</v>
      </c>
      <c r="Z22" cm="1">
        <f t="array" ref="Z22">numeng*InterpolateXY(Z$3,Y22,Tmil_h,Tmil_M,Tmil_table)</f>
        <v>3142.9499986344877</v>
      </c>
      <c r="AA22" cm="1">
        <f t="array" ref="AA22">1*Z$4/(S*Linterp(Z$3,atmos_h,atmos_qms)*Y22^2)</f>
        <v>0.39987488529027604</v>
      </c>
      <c r="AB22" cm="1">
        <f t="array" ref="AB22">InterpolateXY(AA22,Y22,CD_CL,CD_M,CD_table)</f>
        <v>3.7822264989896624E-2</v>
      </c>
      <c r="AC22" cm="1">
        <f t="array" ref="AC22">AB22*S*Linterp(Z$3,atmos_h,atmos_qms)*Y22^2</f>
        <v>945.85247489201004</v>
      </c>
      <c r="AD22" cm="1">
        <f t="array" ref="AD22">Y22*Linterp(Z$3,atmos_h,atmos_aspeed)</f>
        <v>409.40710121870063</v>
      </c>
      <c r="AE22" s="162">
        <f t="shared" si="2"/>
        <v>5397.0439697411593</v>
      </c>
      <c r="AG22">
        <v>0.38</v>
      </c>
      <c r="AH22" cm="1">
        <f t="array" ref="AH22">numeng*InterpolateXY(AH$3,AG22,Tmil_h,Tmil_M,Tmil_table)</f>
        <v>2725.835554238241</v>
      </c>
      <c r="AI22" cm="1">
        <f t="array" ref="AI22">1*AH$4/(S*Linterp(AH$3,atmos_h,atmos_qms)*AG22^2)</f>
        <v>0.48728588718973331</v>
      </c>
      <c r="AJ22" cm="1">
        <f t="array" ref="AJ22">InterpolateXY(AI22,AG22,CD_CL,CD_M,CD_table)</f>
        <v>5.5384463325136399E-2</v>
      </c>
      <c r="AK22" cm="1">
        <f t="array" ref="AK22">AJ22*S*Linterp(AH$3,atmos_h,atmos_qms)*AG22^2</f>
        <v>1136.5907525980019</v>
      </c>
      <c r="AL22" cm="1">
        <f t="array" ref="AL22">AG22*Linterp(AH$3,atmos_h,atmos_aspeed)</f>
        <v>401.779549369986</v>
      </c>
      <c r="AM22" s="162">
        <f t="shared" si="3"/>
        <v>3831.1563614496486</v>
      </c>
      <c r="AO22">
        <v>0.38</v>
      </c>
      <c r="AP22" cm="1">
        <f t="array" ref="AP22">numeng*InterpolateXY(AP$3,AO22,Tmil_h,Tmil_M,Tmil_table)</f>
        <v>2348.6081595199739</v>
      </c>
      <c r="AQ22" cm="1">
        <f t="array" ref="AQ22">1*AP$4/(S*Linterp(AP$3,atmos_h,atmos_qms)*AO22^2)</f>
        <v>0.59841106674024802</v>
      </c>
      <c r="AR22" cm="1">
        <f t="array" ref="AR22">InterpolateXY(AQ22,AO22,CD_CL,CD_M,CD_table)</f>
        <v>8.8742663889697621E-2</v>
      </c>
      <c r="AS22" cm="1">
        <f t="array" ref="AS22">AR22*S*Linterp(AP$3,atmos_h,atmos_qms)*AO22^2</f>
        <v>1482.9716364222606</v>
      </c>
      <c r="AT22" cm="1">
        <f t="array" ref="AT22">AO22*Linterp(AP$3,atmos_h,atmos_aspeed)</f>
        <v>394.00436299056219</v>
      </c>
      <c r="AU22" s="162">
        <f t="shared" si="4"/>
        <v>2046.3874011868775</v>
      </c>
      <c r="AW22">
        <v>0.38</v>
      </c>
      <c r="AX22" cm="1">
        <f t="array" ref="AX22">numeng*InterpolateXY(AX$3,AW22,Tmil_h,Tmil_M,Tmil_table)</f>
        <v>2009.3410730447822</v>
      </c>
      <c r="AY22" cm="1">
        <f t="array" ref="AY22">1*AX$4/(S*Linterp(AX$3,atmos_h,atmos_qms)*AW22^2)</f>
        <v>0.74104495013860083</v>
      </c>
      <c r="AZ22" cm="1">
        <f t="array" ref="AZ22">InterpolateXY(AY22,AW22,CD_CL,CD_M,CD_table)</f>
        <v>0.15700785409553336</v>
      </c>
      <c r="BA22" cm="1">
        <f t="array" ref="BA22">AZ22*S*Linterp(AX$3,atmos_h,atmos_qms)*AW22^2</f>
        <v>2118.7359021361322</v>
      </c>
      <c r="BB22" cm="1">
        <f t="array" ref="BB22">AW22*Linterp(AX$3,atmos_h,atmos_aspeed)</f>
        <v>386.07262246790862</v>
      </c>
      <c r="BC22" s="162">
        <f t="shared" si="5"/>
        <v>-253.40609131035683</v>
      </c>
      <c r="BE22">
        <v>0.38</v>
      </c>
      <c r="BF22" cm="1">
        <f t="array" ref="BF22">numeng*InterpolateXY(BF$3,BE22,Tmil_h,Tmil_M,Tmil_table)</f>
        <v>1706.0196277891416</v>
      </c>
      <c r="BG22" cm="1">
        <f t="array" ref="BG22">1*BF$4/(S*Linterp(BF$3,atmos_h,atmos_qms)*BE22^2)</f>
        <v>0.92603299705013409</v>
      </c>
      <c r="BH22" t="e" cm="1">
        <f t="array" ref="BH22">InterpolateXY(BG22,BE22,CD_CL,CD_M,CD_table)</f>
        <v>#VALUE!</v>
      </c>
      <c r="BI22" t="e" cm="1">
        <f t="array" ref="BI22">BH22*S*Linterp(BF$3,atmos_h,atmos_qms)*BE22^2</f>
        <v>#VALUE!</v>
      </c>
      <c r="BJ22" cm="1">
        <f t="array" ref="BJ22">BE22*Linterp(BF$3,atmos_h,atmos_aspeed)</f>
        <v>377.97447213125116</v>
      </c>
      <c r="BK22" s="162" t="e">
        <f t="shared" si="6"/>
        <v>#VALUE!</v>
      </c>
      <c r="BM22">
        <v>0.38</v>
      </c>
      <c r="BN22" cm="1">
        <f t="array" ref="BN22">numeng*InterpolateXY(BN$3,BM22,Tmil_h,Tmil_M,Tmil_table)</f>
        <v>1436.5587596004182</v>
      </c>
      <c r="BO22" cm="1">
        <f t="array" ref="BO22">1*BN$4/(S*Linterp(BN$3,atmos_h,atmos_qms)*BM22^2)</f>
        <v>1.1686758595881517</v>
      </c>
      <c r="BP22" t="e" cm="1">
        <f t="array" ref="BP22">InterpolateXY(BO22,BM22,CD_CL,CD_M,CD_table)</f>
        <v>#VALUE!</v>
      </c>
      <c r="BQ22" t="e" cm="1">
        <f t="array" ref="BQ22">BP22*S*Linterp(BN$3,atmos_h,atmos_qms)*BM22^2</f>
        <v>#VALUE!</v>
      </c>
      <c r="BR22" cm="1">
        <f t="array" ref="BR22">BM22*Linterp(BN$3,atmos_h,atmos_aspeed)</f>
        <v>369.69897666418774</v>
      </c>
      <c r="BS22" s="162" t="e">
        <f t="shared" si="7"/>
        <v>#VALUE!</v>
      </c>
      <c r="BU22">
        <v>0.38</v>
      </c>
      <c r="BV22" cm="1">
        <f t="array" ref="BV22">numeng*InterpolateXY(BV$3,BU22,Tmil_h,Tmil_M,Tmil_table)</f>
        <v>1159.9506237426876</v>
      </c>
      <c r="BW22" cm="1">
        <f t="array" ref="BW22">1*BV$4/(S*Linterp(BV$3,atmos_h,atmos_qms)*BU22^2)</f>
        <v>1.4857677980488648</v>
      </c>
      <c r="BX22" t="e" cm="1">
        <f t="array" ref="BX22">InterpolateXY(BW22,BU22,CD_CL,CD_M,CD_table)</f>
        <v>#VALUE!</v>
      </c>
      <c r="BY22" t="e" cm="1">
        <f t="array" ref="BY22">BX22*S*Linterp(BV$3,atmos_h,atmos_qms)*BU22^2</f>
        <v>#VALUE!</v>
      </c>
      <c r="BZ22" cm="1">
        <f t="array" ref="BZ22">BU22*Linterp(BV$3,atmos_h,atmos_aspeed)</f>
        <v>367.87819396014487</v>
      </c>
      <c r="CA22" s="162" t="e">
        <f t="shared" si="8"/>
        <v>#VALUE!</v>
      </c>
    </row>
    <row r="23" spans="1:79">
      <c r="A23" s="120">
        <v>15000</v>
      </c>
      <c r="B23" s="11">
        <v>0.90969999999999995</v>
      </c>
      <c r="C23" s="11"/>
      <c r="D23" s="120">
        <v>15000</v>
      </c>
      <c r="E23" s="11">
        <v>0.79181057940014499</v>
      </c>
      <c r="I23">
        <v>0.39</v>
      </c>
      <c r="J23" cm="1">
        <f t="array" ref="J23">numeng*InterpolateXY(J$3,I23,Tmil_h,Tmil_M,Tmil_table)</f>
        <v>3956</v>
      </c>
      <c r="K23" cm="1">
        <f t="array" ref="K23">1*J$4/(S*Linterp(J$3,atmos_h,atmos_qms)*I23^2)</f>
        <v>0.26107363141452483</v>
      </c>
      <c r="L23" cm="1">
        <f t="array" ref="L23">InterpolateXY(K23,I23,CD_CL,CD_M,CD_table)</f>
        <v>2.4237101963407802E-2</v>
      </c>
      <c r="M23" cm="1">
        <f t="array" ref="M23">L23*S*Linterp(J$3,atmos_h,atmos_qms)*I23^2</f>
        <v>928.36269339376008</v>
      </c>
      <c r="N23" cm="1">
        <f t="array" ref="N23">I23*Linterp(J$3,atmos_h,atmos_aspeed)</f>
        <v>435.41550000000001</v>
      </c>
      <c r="O23" s="162">
        <f t="shared" si="0"/>
        <v>7909.6812700476557</v>
      </c>
      <c r="Q23">
        <v>0.39</v>
      </c>
      <c r="R23" cm="1">
        <f t="array" ref="R23">numeng*InterpolateXY(R$3,Q23,Tmil_h,Tmil_M,Tmil_table)</f>
        <v>3543.1790358372286</v>
      </c>
      <c r="S23" cm="1">
        <f t="array" ref="S23">1*R$4/(S*Linterp(R$3,atmos_h,atmos_qms)*Q23^2)</f>
        <v>0.31377266996720066</v>
      </c>
      <c r="T23" cm="1">
        <f t="array" ref="T23">InterpolateXY(S23,Q23,CD_CL,CD_M,CD_table)</f>
        <v>2.7789029434835053E-2</v>
      </c>
      <c r="U23" cm="1">
        <f t="array" ref="U23">T23*S*Linterp(R$3,atmos_h,atmos_qms)*Q23^2</f>
        <v>885.64212548339231</v>
      </c>
      <c r="V23" cm="1">
        <f t="array" ref="V23">Q23*Linterp(R$3,atmos_h,atmos_aspeed)</f>
        <v>427.86604628439687</v>
      </c>
      <c r="W23" s="162">
        <f t="shared" si="1"/>
        <v>6822.4188641276851</v>
      </c>
      <c r="Y23">
        <v>0.39</v>
      </c>
      <c r="Z23" cm="1">
        <f t="array" ref="Z23">numeng*InterpolateXY(Z$3,Y23,Tmil_h,Tmil_M,Tmil_table)</f>
        <v>3151.8116997584571</v>
      </c>
      <c r="AA23" cm="1">
        <f t="array" ref="AA23">1*Z$4/(S*Linterp(Z$3,atmos_h,atmos_qms)*Y23^2)</f>
        <v>0.37963138353659343</v>
      </c>
      <c r="AB23" cm="1">
        <f t="array" ref="AB23">InterpolateXY(AA23,Y23,CD_CL,CD_M,CD_table)</f>
        <v>3.4932748616312112E-2</v>
      </c>
      <c r="AC23" cm="1">
        <f t="array" ref="AC23">AB23*S*Linterp(Z$3,atmos_h,atmos_qms)*Y23^2</f>
        <v>920.17546839472197</v>
      </c>
      <c r="AD23" cm="1">
        <f t="array" ref="AD23">Y23*Linterp(Z$3,atmos_h,atmos_aspeed)</f>
        <v>420.18097230340328</v>
      </c>
      <c r="AE23" s="162">
        <f t="shared" si="2"/>
        <v>5626.1464891315009</v>
      </c>
      <c r="AG23">
        <v>0.39</v>
      </c>
      <c r="AH23" cm="1">
        <f t="array" ref="AH23">numeng*InterpolateXY(AH$3,AG23,Tmil_h,Tmil_M,Tmil_table)</f>
        <v>2734.6448104153728</v>
      </c>
      <c r="AI23" cm="1">
        <f t="array" ref="AI23">1*AH$4/(S*Linterp(AH$3,atmos_h,atmos_qms)*AG23^2)</f>
        <v>0.46261723938328392</v>
      </c>
      <c r="AJ23" cm="1">
        <f t="array" ref="AJ23">InterpolateXY(AI23,AG23,CD_CL,CD_M,CD_table)</f>
        <v>5.0406065116040066E-2</v>
      </c>
      <c r="AK23" cm="1">
        <f t="array" ref="AK23">AJ23*S*Linterp(AH$3,atmos_h,atmos_qms)*AG23^2</f>
        <v>1089.5846679478809</v>
      </c>
      <c r="AL23" cm="1">
        <f t="array" ref="AL23">AG23*Linterp(AH$3,atmos_h,atmos_aspeed)</f>
        <v>412.35269540603826</v>
      </c>
      <c r="AM23" s="162">
        <f t="shared" si="3"/>
        <v>4070.0699031090699</v>
      </c>
      <c r="AO23">
        <v>0.39</v>
      </c>
      <c r="AP23" cm="1">
        <f t="array" ref="AP23">numeng*InterpolateXY(AP$3,AO23,Tmil_h,Tmil_M,Tmil_table)</f>
        <v>2357.1330530209539</v>
      </c>
      <c r="AQ23" cm="1">
        <f t="array" ref="AQ23">1*AP$4/(S*Linterp(AP$3,atmos_h,atmos_qms)*AO23^2)</f>
        <v>0.5681167523819316</v>
      </c>
      <c r="AR23" cm="1">
        <f t="array" ref="AR23">InterpolateXY(AQ23,AO23,CD_CL,CD_M,CD_table)</f>
        <v>7.9240543495544588E-2</v>
      </c>
      <c r="AS23" cm="1">
        <f t="array" ref="AS23">AR23*S*Linterp(AP$3,atmos_h,atmos_qms)*AO23^2</f>
        <v>1394.7932914020639</v>
      </c>
      <c r="AT23" cm="1">
        <f t="array" ref="AT23">AO23*Linterp(AP$3,atmos_h,atmos_aspeed)</f>
        <v>404.37289885873491</v>
      </c>
      <c r="AU23" s="162">
        <f t="shared" si="4"/>
        <v>2334.8647145571267</v>
      </c>
      <c r="AW23">
        <v>0.39</v>
      </c>
      <c r="AX23" cm="1">
        <f t="array" ref="AX23">numeng*InterpolateXY(AX$3,AW23,Tmil_h,Tmil_M,Tmil_table)</f>
        <v>2017.407116602946</v>
      </c>
      <c r="AY23" cm="1">
        <f t="array" ref="AY23">1*AX$4/(S*Linterp(AX$3,atmos_h,atmos_qms)*AW23^2)</f>
        <v>0.70352985404348423</v>
      </c>
      <c r="AZ23" cm="1">
        <f t="array" ref="AZ23">InterpolateXY(AY23,AW23,CD_CL,CD_M,CD_table)</f>
        <v>0.13508122863853092</v>
      </c>
      <c r="BA23" cm="1">
        <f t="array" ref="BA23">AZ23*S*Linterp(AX$3,atmos_h,atmos_qms)*AW23^2</f>
        <v>1920.0497016887321</v>
      </c>
      <c r="BB23" cm="1">
        <f t="array" ref="BB23">AW23*Linterp(AX$3,atmos_h,atmos_aspeed)</f>
        <v>396.23242832232728</v>
      </c>
      <c r="BC23" s="162">
        <f t="shared" si="5"/>
        <v>231.45698955986001</v>
      </c>
      <c r="BE23">
        <v>0.39</v>
      </c>
      <c r="BF23" cm="1">
        <f t="array" ref="BF23">numeng*InterpolateXY(BF$3,BE23,Tmil_h,Tmil_M,Tmil_table)</f>
        <v>1713.502170016287</v>
      </c>
      <c r="BG23" cm="1">
        <f t="array" ref="BG23">1*BF$4/(S*Linterp(BF$3,atmos_h,atmos_qms)*BE23^2)</f>
        <v>0.87915295709427588</v>
      </c>
      <c r="BH23" t="e" cm="1">
        <f t="array" ref="BH23">InterpolateXY(BG23,BE23,CD_CL,CD_M,CD_table)</f>
        <v>#VALUE!</v>
      </c>
      <c r="BI23" t="e" cm="1">
        <f t="array" ref="BI23">BH23*S*Linterp(BF$3,atmos_h,atmos_qms)*BE23^2</f>
        <v>#VALUE!</v>
      </c>
      <c r="BJ23" cm="1">
        <f t="array" ref="BJ23">BE23*Linterp(BF$3,atmos_h,atmos_aspeed)</f>
        <v>387.9211687662841</v>
      </c>
      <c r="BK23" s="162" t="e">
        <f t="shared" si="6"/>
        <v>#VALUE!</v>
      </c>
      <c r="BM23">
        <v>0.39</v>
      </c>
      <c r="BN23" cm="1">
        <f t="array" ref="BN23">numeng*InterpolateXY(BN$3,BM23,Tmil_h,Tmil_M,Tmil_table)</f>
        <v>1443.3759064319991</v>
      </c>
      <c r="BO23" cm="1">
        <f t="array" ref="BO23">1*BN$4/(S*Linterp(BN$3,atmos_h,atmos_qms)*BM23^2)</f>
        <v>1.1095121244216244</v>
      </c>
      <c r="BP23" t="e" cm="1">
        <f t="array" ref="BP23">InterpolateXY(BO23,BM23,CD_CL,CD_M,CD_table)</f>
        <v>#VALUE!</v>
      </c>
      <c r="BQ23" t="e" cm="1">
        <f t="array" ref="BQ23">BP23*S*Linterp(BN$3,atmos_h,atmos_qms)*BM23^2</f>
        <v>#VALUE!</v>
      </c>
      <c r="BR23" cm="1">
        <f t="array" ref="BR23">BM23*Linterp(BN$3,atmos_h,atmos_aspeed)</f>
        <v>379.42789710271899</v>
      </c>
      <c r="BS23" s="162" t="e">
        <f t="shared" si="7"/>
        <v>#VALUE!</v>
      </c>
      <c r="BU23">
        <v>0.39</v>
      </c>
      <c r="BV23" cm="1">
        <f t="array" ref="BV23">numeng*InterpolateXY(BV$3,BU23,Tmil_h,Tmil_M,Tmil_table)</f>
        <v>1165.8586914357743</v>
      </c>
      <c r="BW23" cm="1">
        <f t="array" ref="BW23">1*BV$4/(S*Linterp(BV$3,atmos_h,atmos_qms)*BU23^2)</f>
        <v>1.4105514137952404</v>
      </c>
      <c r="BX23" t="e" cm="1">
        <f t="array" ref="BX23">InterpolateXY(BW23,BU23,CD_CL,CD_M,CD_table)</f>
        <v>#VALUE!</v>
      </c>
      <c r="BY23" t="e" cm="1">
        <f t="array" ref="BY23">BX23*S*Linterp(BV$3,atmos_h,atmos_qms)*BU23^2</f>
        <v>#VALUE!</v>
      </c>
      <c r="BZ23" cm="1">
        <f t="array" ref="BZ23">BU23*Linterp(BV$3,atmos_h,atmos_aspeed)</f>
        <v>377.55919906435918</v>
      </c>
      <c r="CA23" s="162" t="e">
        <f t="shared" si="8"/>
        <v>#VALUE!</v>
      </c>
    </row>
    <row r="24" spans="1:79">
      <c r="A24" s="120">
        <v>16000</v>
      </c>
      <c r="B24" s="11">
        <v>0.91065999999999991</v>
      </c>
      <c r="C24" s="11"/>
      <c r="D24" s="120">
        <v>16000</v>
      </c>
      <c r="E24" s="11">
        <v>0.79486309120476828</v>
      </c>
      <c r="I24">
        <v>0.4</v>
      </c>
      <c r="J24" cm="1">
        <f t="array" ref="J24">numeng*InterpolateXY(J$3,I24,Tmil_h,Tmil_M,Tmil_table)</f>
        <v>3960</v>
      </c>
      <c r="K24" cm="1">
        <f t="array" ref="K24">1*J$4/(S*Linterp(J$3,atmos_h,atmos_qms)*I24^2)</f>
        <v>0.24818312086343258</v>
      </c>
      <c r="L24" cm="1">
        <f t="array" ref="L24">InterpolateXY(K24,I24,CD_CL,CD_M,CD_table)</f>
        <v>2.3411445053964537E-2</v>
      </c>
      <c r="M24" cm="1">
        <f t="array" ref="M24">L24*S*Linterp(J$3,atmos_h,atmos_qms)*I24^2</f>
        <v>943.31334751999998</v>
      </c>
      <c r="N24" cm="1">
        <f t="array" ref="N24">I24*Linterp(J$3,atmos_h,atmos_aspeed)</f>
        <v>446.58000000000004</v>
      </c>
      <c r="O24" s="162">
        <f t="shared" si="0"/>
        <v>8083.1515515871106</v>
      </c>
      <c r="Q24">
        <v>0.4</v>
      </c>
      <c r="R24" cm="1">
        <f t="array" ref="R24">numeng*InterpolateXY(R$3,Q24,Tmil_h,Tmil_M,Tmil_table)</f>
        <v>3550.0723802649277</v>
      </c>
      <c r="S24" cm="1">
        <f t="array" ref="S24">1*R$4/(S*Linterp(R$3,atmos_h,atmos_qms)*Q24^2)</f>
        <v>0.29828014438757006</v>
      </c>
      <c r="T24" cm="1">
        <f t="array" ref="T24">InterpolateXY(S24,Q24,CD_CL,CD_M,CD_table)</f>
        <v>2.6542509024223129E-2</v>
      </c>
      <c r="U24" cm="1">
        <f t="array" ref="U24">T24*S*Linterp(R$3,atmos_h,atmos_qms)*Q24^2</f>
        <v>889.85168887859811</v>
      </c>
      <c r="V24" cm="1">
        <f t="array" ref="V24">Q24*Linterp(R$3,atmos_h,atmos_aspeed)</f>
        <v>438.83697054809937</v>
      </c>
      <c r="W24" s="162">
        <f t="shared" si="1"/>
        <v>7004.4191351840836</v>
      </c>
      <c r="Y24">
        <v>0.4</v>
      </c>
      <c r="Z24" cm="1">
        <f t="array" ref="Z24">numeng*InterpolateXY(Z$3,Y24,Tmil_h,Tmil_M,Tmil_table)</f>
        <v>3160.6734008824264</v>
      </c>
      <c r="AA24" cm="1">
        <f t="array" ref="AA24">1*Z$4/(S*Linterp(Z$3,atmos_h,atmos_qms)*Y24^2)</f>
        <v>0.36088708397447405</v>
      </c>
      <c r="AB24" cm="1">
        <f t="array" ref="AB24">InterpolateXY(AA24,Y24,CD_CL,CD_M,CD_table)</f>
        <v>3.2255744153381699E-2</v>
      </c>
      <c r="AC24" cm="1">
        <f t="array" ref="AC24">AB24*S*Linterp(Z$3,atmos_h,atmos_qms)*Y24^2</f>
        <v>893.7904842186922</v>
      </c>
      <c r="AD24" cm="1">
        <f t="array" ref="AD24">Y24*Linterp(Z$3,atmos_h,atmos_aspeed)</f>
        <v>430.95484338810593</v>
      </c>
      <c r="AE24" s="162">
        <f t="shared" si="2"/>
        <v>5861.5450339799545</v>
      </c>
      <c r="AG24">
        <v>0.4</v>
      </c>
      <c r="AH24" cm="1">
        <f t="array" ref="AH24">numeng*InterpolateXY(AH$3,AG24,Tmil_h,Tmil_M,Tmil_table)</f>
        <v>2743.4540665925047</v>
      </c>
      <c r="AI24" cm="1">
        <f t="array" ref="AI24">1*AH$4/(S*Linterp(AH$3,atmos_h,atmos_qms)*AG24^2)</f>
        <v>0.43977551318873426</v>
      </c>
      <c r="AJ24" cm="1">
        <f t="array" ref="AJ24">InterpolateXY(AI24,AG24,CD_CL,CD_M,CD_table)</f>
        <v>4.5794878150935588E-2</v>
      </c>
      <c r="AK24" cm="1">
        <f t="array" ref="AK24">AJ24*S*Linterp(AH$3,atmos_h,atmos_qms)*AG24^2</f>
        <v>1041.3239659226374</v>
      </c>
      <c r="AL24" cm="1">
        <f t="array" ref="AL24">AG24*Linterp(AH$3,atmos_h,atmos_aspeed)</f>
        <v>422.92584144209053</v>
      </c>
      <c r="AM24" s="162">
        <f t="shared" si="3"/>
        <v>4319.2488304182825</v>
      </c>
      <c r="AO24">
        <v>0.4</v>
      </c>
      <c r="AP24" cm="1">
        <f t="array" ref="AP24">numeng*InterpolateXY(AP$3,AO24,Tmil_h,Tmil_M,Tmil_table)</f>
        <v>2365.6579465219338</v>
      </c>
      <c r="AQ24" cm="1">
        <f t="array" ref="AQ24">1*AP$4/(S*Linterp(AP$3,atmos_h,atmos_qms)*AO24^2)</f>
        <v>0.54006598773307379</v>
      </c>
      <c r="AR24" cm="1">
        <f t="array" ref="AR24">InterpolateXY(AQ24,AO24,CD_CL,CD_M,CD_table)</f>
        <v>7.0440654160452101E-2</v>
      </c>
      <c r="AS24" cm="1">
        <f t="array" ref="AS24">AR24*S*Linterp(AP$3,atmos_h,atmos_qms)*AO24^2</f>
        <v>1304.2971740569456</v>
      </c>
      <c r="AT24" cm="1">
        <f t="array" ref="AT24">AO24*Linterp(AP$3,atmos_h,atmos_aspeed)</f>
        <v>414.74143472690758</v>
      </c>
      <c r="AU24" s="162">
        <f t="shared" si="4"/>
        <v>2641.1417372099286</v>
      </c>
      <c r="AW24">
        <v>0.4</v>
      </c>
      <c r="AX24" cm="1">
        <f t="array" ref="AX24">numeng*InterpolateXY(AX$3,AW24,Tmil_h,Tmil_M,Tmil_table)</f>
        <v>2025.4731601611097</v>
      </c>
      <c r="AY24" cm="1">
        <f t="array" ref="AY24">1*AX$4/(S*Linterp(AX$3,atmos_h,atmos_qms)*AW24^2)</f>
        <v>0.66879306750008716</v>
      </c>
      <c r="AZ24" cm="1">
        <f t="array" ref="AZ24">InterpolateXY(AY24,AW24,CD_CL,CD_M,CD_table)</f>
        <v>0.11933136356503816</v>
      </c>
      <c r="BA24" cm="1">
        <f t="array" ref="BA24">AZ24*S*Linterp(AX$3,atmos_h,atmos_qms)*AW24^2</f>
        <v>1784.2793139452303</v>
      </c>
      <c r="BB24" cm="1">
        <f t="array" ref="BB24">AW24*Linterp(AX$3,atmos_h,atmos_aspeed)</f>
        <v>406.39223417674594</v>
      </c>
      <c r="BC24" s="162">
        <f t="shared" si="5"/>
        <v>588.1158362001222</v>
      </c>
      <c r="BE24">
        <v>0.4</v>
      </c>
      <c r="BF24" cm="1">
        <f t="array" ref="BF24">numeng*InterpolateXY(BF$3,BE24,Tmil_h,Tmil_M,Tmil_table)</f>
        <v>1720.9847122434323</v>
      </c>
      <c r="BG24" cm="1">
        <f t="array" ref="BG24">1*BF$4/(S*Linterp(BF$3,atmos_h,atmos_qms)*BE24^2)</f>
        <v>0.83574477983774575</v>
      </c>
      <c r="BH24" t="e" cm="1">
        <f t="array" ref="BH24">InterpolateXY(BG24,BE24,CD_CL,CD_M,CD_table)</f>
        <v>#VALUE!</v>
      </c>
      <c r="BI24" t="e" cm="1">
        <f t="array" ref="BI24">BH24*S*Linterp(BF$3,atmos_h,atmos_qms)*BE24^2</f>
        <v>#VALUE!</v>
      </c>
      <c r="BJ24" cm="1">
        <f t="array" ref="BJ24">BE24*Linterp(BF$3,atmos_h,atmos_aspeed)</f>
        <v>397.86786540131703</v>
      </c>
      <c r="BK24" s="162" t="e">
        <f t="shared" si="6"/>
        <v>#VALUE!</v>
      </c>
      <c r="BM24">
        <v>0.4</v>
      </c>
      <c r="BN24" cm="1">
        <f t="array" ref="BN24">numeng*InterpolateXY(BN$3,BM24,Tmil_h,Tmil_M,Tmil_table)</f>
        <v>1450.1930532635799</v>
      </c>
      <c r="BO24" cm="1">
        <f t="array" ref="BO24">1*BN$4/(S*Linterp(BN$3,atmos_h,atmos_qms)*BM24^2)</f>
        <v>1.0547299632783067</v>
      </c>
      <c r="BP24" t="e" cm="1">
        <f t="array" ref="BP24">InterpolateXY(BO24,BM24,CD_CL,CD_M,CD_table)</f>
        <v>#VALUE!</v>
      </c>
      <c r="BQ24" t="e" cm="1">
        <f t="array" ref="BQ24">BP24*S*Linterp(BN$3,atmos_h,atmos_qms)*BM24^2</f>
        <v>#VALUE!</v>
      </c>
      <c r="BR24" cm="1">
        <f t="array" ref="BR24">BM24*Linterp(BN$3,atmos_h,atmos_aspeed)</f>
        <v>389.15681754125029</v>
      </c>
      <c r="BS24" s="162" t="e">
        <f t="shared" si="7"/>
        <v>#VALUE!</v>
      </c>
      <c r="BU24">
        <v>0.4</v>
      </c>
      <c r="BV24" cm="1">
        <f t="array" ref="BV24">numeng*InterpolateXY(BV$3,BU24,Tmil_h,Tmil_M,Tmil_table)</f>
        <v>1171.7667591288609</v>
      </c>
      <c r="BW24" cm="1">
        <f t="array" ref="BW24">1*BV$4/(S*Linterp(BV$3,atmos_h,atmos_qms)*BU24^2)</f>
        <v>1.3409054377391003</v>
      </c>
      <c r="BX24" t="e" cm="1">
        <f t="array" ref="BX24">InterpolateXY(BW24,BU24,CD_CL,CD_M,CD_table)</f>
        <v>#VALUE!</v>
      </c>
      <c r="BY24" t="e" cm="1">
        <f t="array" ref="BY24">BX24*S*Linterp(BV$3,atmos_h,atmos_qms)*BU24^2</f>
        <v>#VALUE!</v>
      </c>
      <c r="BZ24" cm="1">
        <f t="array" ref="BZ24">BU24*Linterp(BV$3,atmos_h,atmos_aspeed)</f>
        <v>387.24020416857354</v>
      </c>
      <c r="CA24" s="162" t="e">
        <f t="shared" si="8"/>
        <v>#VALUE!</v>
      </c>
    </row>
    <row r="25" spans="1:79">
      <c r="A25" s="120">
        <v>17000</v>
      </c>
      <c r="B25" s="11">
        <v>0.91161999999999987</v>
      </c>
      <c r="C25" s="11"/>
      <c r="D25" s="120">
        <v>17000</v>
      </c>
      <c r="E25" s="11">
        <v>0.79795118065685133</v>
      </c>
      <c r="I25">
        <v>0.41</v>
      </c>
      <c r="J25" cm="1">
        <f t="array" ref="J25">numeng*InterpolateXY(J$3,I25,Tmil_h,Tmil_M,Tmil_table)</f>
        <v>3964</v>
      </c>
      <c r="K25" cm="1">
        <f t="array" ref="K25">1*J$4/(S*Linterp(J$3,atmos_h,atmos_qms)*I25^2)</f>
        <v>0.2362242673298586</v>
      </c>
      <c r="L25" cm="1">
        <f t="array" ref="L25">InterpolateXY(K25,I25,CD_CL,CD_M,CD_table)</f>
        <v>2.2644016708116162E-2</v>
      </c>
      <c r="M25" cm="1">
        <f t="array" ref="M25">L25*S*Linterp(J$3,atmos_h,atmos_qms)*I25^2</f>
        <v>958.58130767303987</v>
      </c>
      <c r="N25" cm="1">
        <f t="array" ref="N25">I25*Linterp(J$3,atmos_h,atmos_aspeed)</f>
        <v>457.74450000000002</v>
      </c>
      <c r="O25" s="162">
        <f t="shared" si="0"/>
        <v>8254.2832596591488</v>
      </c>
      <c r="Q25">
        <v>0.41</v>
      </c>
      <c r="R25" cm="1">
        <f t="array" ref="R25">numeng*InterpolateXY(R$3,Q25,Tmil_h,Tmil_M,Tmil_table)</f>
        <v>3556.9657246926267</v>
      </c>
      <c r="S25" cm="1">
        <f t="array" ref="S25">1*R$4/(S*Linterp(R$3,atmos_h,atmos_qms)*Q25^2)</f>
        <v>0.28390733552653913</v>
      </c>
      <c r="T25" cm="1">
        <f t="array" ref="T25">InterpolateXY(S25,Q25,CD_CL,CD_M,CD_table)</f>
        <v>2.5624208470408697E-2</v>
      </c>
      <c r="U25" cm="1">
        <f t="array" ref="U25">T25*S*Linterp(R$3,atmos_h,atmos_qms)*Q25^2</f>
        <v>902.55535042395525</v>
      </c>
      <c r="V25" cm="1">
        <f t="array" ref="V25">Q25*Linterp(R$3,atmos_h,atmos_aspeed)</f>
        <v>449.80789481180182</v>
      </c>
      <c r="W25" s="162">
        <f t="shared" si="1"/>
        <v>7163.8484544983894</v>
      </c>
      <c r="Y25">
        <v>0.41</v>
      </c>
      <c r="Z25" cm="1">
        <f t="array" ref="Z25">numeng*InterpolateXY(Z$3,Y25,Tmil_h,Tmil_M,Tmil_table)</f>
        <v>3169.5351020063958</v>
      </c>
      <c r="AA25" cm="1">
        <f t="array" ref="AA25">1*Z$4/(S*Linterp(Z$3,atmos_h,atmos_qms)*Y25^2)</f>
        <v>0.34349752192692368</v>
      </c>
      <c r="AB25" cm="1">
        <f t="array" ref="AB25">InterpolateXY(AA25,Y25,CD_CL,CD_M,CD_table)</f>
        <v>3.016417365656255E-2</v>
      </c>
      <c r="AC25" cm="1">
        <f t="array" ref="AC25">AB25*S*Linterp(Z$3,atmos_h,atmos_qms)*Y25^2</f>
        <v>878.14821741216917</v>
      </c>
      <c r="AD25" cm="1">
        <f t="array" ref="AD25">Y25*Linterp(Z$3,atmos_h,atmos_aspeed)</f>
        <v>441.72871447280858</v>
      </c>
      <c r="AE25" s="162">
        <f t="shared" si="2"/>
        <v>6073.0282973499689</v>
      </c>
      <c r="AG25">
        <v>0.41</v>
      </c>
      <c r="AH25" cm="1">
        <f t="array" ref="AH25">numeng*InterpolateXY(AH$3,AG25,Tmil_h,Tmil_M,Tmil_table)</f>
        <v>2752.2633227696365</v>
      </c>
      <c r="AI25" cm="1">
        <f t="array" ref="AI25">1*AH$4/(S*Linterp(AH$3,atmos_h,atmos_qms)*AG25^2)</f>
        <v>0.41858466454608867</v>
      </c>
      <c r="AJ25" cm="1">
        <f t="array" ref="AJ25">InterpolateXY(AI25,AG25,CD_CL,CD_M,CD_table)</f>
        <v>4.1515517573763823E-2</v>
      </c>
      <c r="AK25" cm="1">
        <f t="array" ref="AK25">AJ25*S*Linterp(AH$3,atmos_h,atmos_qms)*AG25^2</f>
        <v>991.80694110671891</v>
      </c>
      <c r="AL25" cm="1">
        <f t="array" ref="AL25">AG25*Linterp(AH$3,atmos_h,atmos_aspeed)</f>
        <v>433.49898747814274</v>
      </c>
      <c r="AM25" s="162">
        <f t="shared" si="3"/>
        <v>4578.9363537018571</v>
      </c>
      <c r="AO25">
        <v>0.41</v>
      </c>
      <c r="AP25" cm="1">
        <f t="array" ref="AP25">numeng*InterpolateXY(AP$3,AO25,Tmil_h,Tmil_M,Tmil_table)</f>
        <v>2374.1828400229138</v>
      </c>
      <c r="AQ25" cm="1">
        <f t="array" ref="AQ25">1*AP$4/(S*Linterp(AP$3,atmos_h,atmos_qms)*AO25^2)</f>
        <v>0.51404258201839281</v>
      </c>
      <c r="AR25" cm="1">
        <f t="array" ref="AR25">InterpolateXY(AQ25,AO25,CD_CL,CD_M,CD_table)</f>
        <v>6.2275328171756954E-2</v>
      </c>
      <c r="AS25" cm="1">
        <f t="array" ref="AS25">AR25*S*Linterp(AP$3,atmos_h,atmos_qms)*AO25^2</f>
        <v>1211.4818956677152</v>
      </c>
      <c r="AT25" cm="1">
        <f t="array" ref="AT25">AO25*Linterp(AP$3,atmos_h,atmos_aspeed)</f>
        <v>425.10997059508026</v>
      </c>
      <c r="AU25" s="162">
        <f t="shared" si="4"/>
        <v>2965.6545855942632</v>
      </c>
      <c r="AW25">
        <v>0.41</v>
      </c>
      <c r="AX25" cm="1">
        <f t="array" ref="AX25">numeng*InterpolateXY(AX$3,AW25,Tmil_h,Tmil_M,Tmil_table)</f>
        <v>2033.5392037192735</v>
      </c>
      <c r="AY25" cm="1">
        <f t="array" ref="AY25">1*AX$4/(S*Linterp(AX$3,atmos_h,atmos_qms)*AW25^2)</f>
        <v>0.6365668697204877</v>
      </c>
      <c r="AZ25" cm="1">
        <f t="array" ref="AZ25">InterpolateXY(AY25,AW25,CD_CL,CD_M,CD_table)</f>
        <v>0.10519628893757361</v>
      </c>
      <c r="BA25" cm="1">
        <f t="array" ref="BA25">AZ25*S*Linterp(AX$3,atmos_h,atmos_qms)*AW25^2</f>
        <v>1652.55676883977</v>
      </c>
      <c r="BB25" cm="1">
        <f t="array" ref="BB25">AW25*Linterp(AX$3,atmos_h,atmos_aspeed)</f>
        <v>416.55204003116455</v>
      </c>
      <c r="BC25" s="162">
        <f t="shared" si="5"/>
        <v>952.19406279058478</v>
      </c>
      <c r="BE25">
        <v>0.41</v>
      </c>
      <c r="BF25" cm="1">
        <f t="array" ref="BF25">numeng*InterpolateXY(BF$3,BE25,Tmil_h,Tmil_M,Tmil_table)</f>
        <v>1728.4672544705777</v>
      </c>
      <c r="BG25" cm="1">
        <f t="array" ref="BG25">1*BF$4/(S*Linterp(BF$3,atmos_h,atmos_qms)*BE25^2)</f>
        <v>0.79547391299250081</v>
      </c>
      <c r="BH25" cm="1">
        <f t="array" ref="BH25">InterpolateXY(BG25,BE25,CD_CL,CD_M,CD_table)</f>
        <v>0.18873119006861366</v>
      </c>
      <c r="BI25" cm="1">
        <f t="array" ref="BI25">BH25*S*Linterp(BF$3,atmos_h,atmos_qms)*BE25^2</f>
        <v>2372.5629085512564</v>
      </c>
      <c r="BJ25" cm="1">
        <f t="array" ref="BJ25">BE25*Linterp(BF$3,atmos_h,atmos_aspeed)</f>
        <v>407.81456203634991</v>
      </c>
      <c r="BK25" s="162">
        <f t="shared" si="6"/>
        <v>-1576.0295224705701</v>
      </c>
      <c r="BM25">
        <v>0.41</v>
      </c>
      <c r="BN25" cm="1">
        <f t="array" ref="BN25">numeng*InterpolateXY(BN$3,BM25,Tmil_h,Tmil_M,Tmil_table)</f>
        <v>1457.0102000951608</v>
      </c>
      <c r="BO25" cm="1">
        <f t="array" ref="BO25">1*BN$4/(S*Linterp(BN$3,atmos_h,atmos_qms)*BM25^2)</f>
        <v>1.0039071631441352</v>
      </c>
      <c r="BP25" t="e" cm="1">
        <f t="array" ref="BP25">InterpolateXY(BO25,BM25,CD_CL,CD_M,CD_table)</f>
        <v>#VALUE!</v>
      </c>
      <c r="BQ25" t="e" cm="1">
        <f t="array" ref="BQ25">BP25*S*Linterp(BN$3,atmos_h,atmos_qms)*BM25^2</f>
        <v>#VALUE!</v>
      </c>
      <c r="BR25" cm="1">
        <f t="array" ref="BR25">BM25*Linterp(BN$3,atmos_h,atmos_aspeed)</f>
        <v>398.88573797978148</v>
      </c>
      <c r="BS25" s="162" t="e">
        <f t="shared" si="7"/>
        <v>#VALUE!</v>
      </c>
      <c r="BU25">
        <v>0.41</v>
      </c>
      <c r="BV25" cm="1">
        <f t="array" ref="BV25">numeng*InterpolateXY(BV$3,BU25,Tmil_h,Tmil_M,Tmil_table)</f>
        <v>1177.6748268219476</v>
      </c>
      <c r="BW25" cm="1">
        <f t="array" ref="BW25">1*BV$4/(S*Linterp(BV$3,atmos_h,atmos_qms)*BU25^2)</f>
        <v>1.2762930995732071</v>
      </c>
      <c r="BX25" t="e" cm="1">
        <f t="array" ref="BX25">InterpolateXY(BW25,BU25,CD_CL,CD_M,CD_table)</f>
        <v>#VALUE!</v>
      </c>
      <c r="BY25" t="e" cm="1">
        <f t="array" ref="BY25">BX25*S*Linterp(BV$3,atmos_h,atmos_qms)*BU25^2</f>
        <v>#VALUE!</v>
      </c>
      <c r="BZ25" cm="1">
        <f t="array" ref="BZ25">BU25*Linterp(BV$3,atmos_h,atmos_aspeed)</f>
        <v>396.92120927278785</v>
      </c>
      <c r="CA25" s="162" t="e">
        <f t="shared" si="8"/>
        <v>#VALUE!</v>
      </c>
    </row>
    <row r="26" spans="1:79">
      <c r="A26" s="120">
        <v>18000</v>
      </c>
      <c r="B26" s="11">
        <v>0.91257999999999984</v>
      </c>
      <c r="C26" s="11"/>
      <c r="D26" s="120">
        <v>18000</v>
      </c>
      <c r="E26" s="11">
        <v>0.80107554427812055</v>
      </c>
      <c r="I26">
        <v>0.42</v>
      </c>
      <c r="J26" cm="1">
        <f t="array" ref="J26">numeng*InterpolateXY(J$3,I26,Tmil_h,Tmil_M,Tmil_table)</f>
        <v>3968</v>
      </c>
      <c r="K26" cm="1">
        <f t="array" ref="K26">1*J$4/(S*Linterp(J$3,atmos_h,atmos_qms)*I26^2)</f>
        <v>0.22510940667885052</v>
      </c>
      <c r="L26" cm="1">
        <f t="array" ref="L26">InterpolateXY(K26,I26,CD_CL,CD_M,CD_table)</f>
        <v>2.1929337917428158E-2</v>
      </c>
      <c r="M26" cm="1">
        <f t="array" ref="M26">L26*S*Linterp(J$3,atmos_h,atmos_qms)*I26^2</f>
        <v>974.16355189071999</v>
      </c>
      <c r="N26" cm="1">
        <f t="array" ref="N26">I26*Linterp(J$3,atmos_h,atmos_aspeed)</f>
        <v>468.90899999999999</v>
      </c>
      <c r="O26" s="162">
        <f t="shared" si="0"/>
        <v>8423.0211302788466</v>
      </c>
      <c r="Q26">
        <v>0.42</v>
      </c>
      <c r="R26" cm="1">
        <f t="array" ref="R26">numeng*InterpolateXY(R$3,Q26,Tmil_h,Tmil_M,Tmil_table)</f>
        <v>3563.8590691203253</v>
      </c>
      <c r="S26" cm="1">
        <f t="array" ref="S26">1*R$4/(S*Linterp(R$3,atmos_h,atmos_qms)*Q26^2)</f>
        <v>0.2705488837982496</v>
      </c>
      <c r="T26" cm="1">
        <f t="array" ref="T26">InterpolateXY(S26,Q26,CD_CL,CD_M,CD_table)</f>
        <v>2.4769305237390602E-2</v>
      </c>
      <c r="U26" cm="1">
        <f t="array" ref="U26">T26*S*Linterp(R$3,atmos_h,atmos_qms)*Q26^2</f>
        <v>915.52051110516754</v>
      </c>
      <c r="V26" cm="1">
        <f t="array" ref="V26">Q26*Linterp(R$3,atmos_h,atmos_aspeed)</f>
        <v>460.77881907550432</v>
      </c>
      <c r="W26" s="162">
        <f t="shared" si="1"/>
        <v>7321.7898796460895</v>
      </c>
      <c r="Y26">
        <v>0.42</v>
      </c>
      <c r="Z26" cm="1">
        <f t="array" ref="Z26">numeng*InterpolateXY(Z$3,Y26,Tmil_h,Tmil_M,Tmil_table)</f>
        <v>3178.3968031303652</v>
      </c>
      <c r="AA26" cm="1">
        <f t="array" ref="AA26">1*Z$4/(S*Linterp(Z$3,atmos_h,atmos_qms)*Y26^2)</f>
        <v>0.32733522355961381</v>
      </c>
      <c r="AB26" cm="1">
        <f t="array" ref="AB26">InterpolateXY(AA26,Y26,CD_CL,CD_M,CD_table)</f>
        <v>2.8830986914218624E-2</v>
      </c>
      <c r="AC26" cm="1">
        <f t="array" ref="AC26">AB26*S*Linterp(Z$3,atmos_h,atmos_qms)*Y26^2</f>
        <v>880.77862811998818</v>
      </c>
      <c r="AD26" cm="1">
        <f t="array" ref="AD26">Y26*Linterp(Z$3,atmos_h,atmos_aspeed)</f>
        <v>452.50258555751122</v>
      </c>
      <c r="AE26" s="162">
        <f t="shared" si="2"/>
        <v>6238.0689888967554</v>
      </c>
      <c r="AG26">
        <v>0.42</v>
      </c>
      <c r="AH26" cm="1">
        <f t="array" ref="AH26">numeng*InterpolateXY(AH$3,AG26,Tmil_h,Tmil_M,Tmil_table)</f>
        <v>2761.0725789467683</v>
      </c>
      <c r="AI26" cm="1">
        <f t="array" ref="AI26">1*AH$4/(S*Linterp(AH$3,atmos_h,atmos_qms)*AG26^2)</f>
        <v>0.39888935436619899</v>
      </c>
      <c r="AJ26" cm="1">
        <f t="array" ref="AJ26">InterpolateXY(AI26,AG26,CD_CL,CD_M,CD_table)</f>
        <v>3.7602565981408709E-2</v>
      </c>
      <c r="AK26" cm="1">
        <f t="array" ref="AK26">AJ26*S*Linterp(AH$3,atmos_h,atmos_qms)*AG26^2</f>
        <v>942.68161257790314</v>
      </c>
      <c r="AL26" cm="1">
        <f t="array" ref="AL26">AG26*Linterp(AH$3,atmos_h,atmos_aspeed)</f>
        <v>444.072133514195</v>
      </c>
      <c r="AM26" s="162">
        <f t="shared" si="3"/>
        <v>4844.9805359901648</v>
      </c>
      <c r="AO26">
        <v>0.42</v>
      </c>
      <c r="AP26" cm="1">
        <f t="array" ref="AP26">numeng*InterpolateXY(AP$3,AO26,Tmil_h,Tmil_M,Tmil_table)</f>
        <v>2382.7077335238937</v>
      </c>
      <c r="AQ26" cm="1">
        <f t="array" ref="AQ26">1*AP$4/(S*Linterp(AP$3,atmos_h,atmos_qms)*AO26^2)</f>
        <v>0.48985577118646162</v>
      </c>
      <c r="AR26" cm="1">
        <f t="array" ref="AR26">InterpolateXY(AQ26,AO26,CD_CL,CD_M,CD_table)</f>
        <v>5.5821010008478791E-2</v>
      </c>
      <c r="AS26" cm="1">
        <f t="array" ref="AS26">AR26*S*Linterp(AP$3,atmos_h,atmos_qms)*AO26^2</f>
        <v>1139.5397031513335</v>
      </c>
      <c r="AT26" cm="1">
        <f t="array" ref="AT26">AO26*Linterp(AP$3,atmos_h,atmos_aspeed)</f>
        <v>435.47850646325293</v>
      </c>
      <c r="AU26" s="162">
        <f t="shared" si="4"/>
        <v>3248.2377428970385</v>
      </c>
      <c r="AW26">
        <v>0.42</v>
      </c>
      <c r="AX26" cm="1">
        <f t="array" ref="AX26">numeng*InterpolateXY(AX$3,AW26,Tmil_h,Tmil_M,Tmil_table)</f>
        <v>2041.605247277437</v>
      </c>
      <c r="AY26" cm="1">
        <f t="array" ref="AY26">1*AX$4/(S*Linterp(AX$3,atmos_h,atmos_qms)*AW26^2)</f>
        <v>0.60661502721096361</v>
      </c>
      <c r="AZ26" cm="1">
        <f t="array" ref="AZ26">InterpolateXY(AY26,AW26,CD_CL,CD_M,CD_table)</f>
        <v>9.2057381918402056E-2</v>
      </c>
      <c r="BA26" cm="1">
        <f t="array" ref="BA26">AZ26*S*Linterp(AX$3,atmos_h,atmos_qms)*AW26^2</f>
        <v>1517.5585468374343</v>
      </c>
      <c r="BB26" cm="1">
        <f t="array" ref="BB26">AW26*Linterp(AX$3,atmos_h,atmos_aspeed)</f>
        <v>426.71184588558322</v>
      </c>
      <c r="BC26" s="162">
        <f t="shared" si="5"/>
        <v>1341.7016092500169</v>
      </c>
      <c r="BE26">
        <v>0.42</v>
      </c>
      <c r="BF26" cm="1">
        <f t="array" ref="BF26">numeng*InterpolateXY(BF$3,BE26,Tmil_h,Tmil_M,Tmil_table)</f>
        <v>1735.9497966977231</v>
      </c>
      <c r="BG26" cm="1">
        <f t="array" ref="BG26">1*BF$4/(S*Linterp(BF$3,atmos_h,atmos_qms)*BE26^2)</f>
        <v>0.75804515178026854</v>
      </c>
      <c r="BH26" cm="1">
        <f t="array" ref="BH26">InterpolateXY(BG26,BE26,CD_CL,CD_M,CD_table)</f>
        <v>0.16685497914176267</v>
      </c>
      <c r="BI26" cm="1">
        <f t="array" ref="BI26">BH26*S*Linterp(BF$3,atmos_h,atmos_qms)*BE26^2</f>
        <v>2201.121908766303</v>
      </c>
      <c r="BJ26" cm="1">
        <f t="array" ref="BJ26">BE26*Linterp(BF$3,atmos_h,atmos_aspeed)</f>
        <v>417.76125867138285</v>
      </c>
      <c r="BK26" s="162">
        <f t="shared" si="6"/>
        <v>-1165.9853222195732</v>
      </c>
      <c r="BM26">
        <v>0.42</v>
      </c>
      <c r="BN26" cm="1">
        <f t="array" ref="BN26">numeng*InterpolateXY(BN$3,BM26,Tmil_h,Tmil_M,Tmil_table)</f>
        <v>1463.8273469267417</v>
      </c>
      <c r="BO26" cm="1">
        <f t="array" ref="BO26">1*BN$4/(S*Linterp(BN$3,atmos_h,atmos_qms)*BM26^2)</f>
        <v>0.95667116850640099</v>
      </c>
      <c r="BP26" t="e" cm="1">
        <f t="array" ref="BP26">InterpolateXY(BO26,BM26,CD_CL,CD_M,CD_table)</f>
        <v>#VALUE!</v>
      </c>
      <c r="BQ26" t="e" cm="1">
        <f t="array" ref="BQ26">BP26*S*Linterp(BN$3,atmos_h,atmos_qms)*BM26^2</f>
        <v>#VALUE!</v>
      </c>
      <c r="BR26" cm="1">
        <f t="array" ref="BR26">BM26*Linterp(BN$3,atmos_h,atmos_aspeed)</f>
        <v>408.61465841831273</v>
      </c>
      <c r="BS26" s="162" t="e">
        <f t="shared" si="7"/>
        <v>#VALUE!</v>
      </c>
      <c r="BU26">
        <v>0.42</v>
      </c>
      <c r="BV26" cm="1">
        <f t="array" ref="BV26">numeng*InterpolateXY(BV$3,BU26,Tmil_h,Tmil_M,Tmil_table)</f>
        <v>1183.5828945150342</v>
      </c>
      <c r="BW26" cm="1">
        <f t="array" ref="BW26">1*BV$4/(S*Linterp(BV$3,atmos_h,atmos_qms)*BU26^2)</f>
        <v>1.2162407598540597</v>
      </c>
      <c r="BX26" t="e" cm="1">
        <f t="array" ref="BX26">InterpolateXY(BW26,BU26,CD_CL,CD_M,CD_table)</f>
        <v>#VALUE!</v>
      </c>
      <c r="BY26" t="e" cm="1">
        <f t="array" ref="BY26">BX26*S*Linterp(BV$3,atmos_h,atmos_qms)*BU26^2</f>
        <v>#VALUE!</v>
      </c>
      <c r="BZ26" cm="1">
        <f t="array" ref="BZ26">BU26*Linterp(BV$3,atmos_h,atmos_aspeed)</f>
        <v>406.60221437700216</v>
      </c>
      <c r="CA26" s="162" t="e">
        <f t="shared" si="8"/>
        <v>#VALUE!</v>
      </c>
    </row>
    <row r="27" spans="1:79">
      <c r="A27" s="120">
        <v>19000</v>
      </c>
      <c r="B27" s="11">
        <v>0.9135399999999998</v>
      </c>
      <c r="C27" s="11"/>
      <c r="D27" s="120">
        <v>19000</v>
      </c>
      <c r="E27" s="11">
        <v>0.80423689783165564</v>
      </c>
      <c r="I27">
        <v>0.43</v>
      </c>
      <c r="J27" cm="1">
        <f t="array" ref="J27">numeng*InterpolateXY(J$3,I27,Tmil_h,Tmil_M,Tmil_table)</f>
        <v>3972</v>
      </c>
      <c r="K27" cm="1">
        <f t="array" ref="K27">1*J$4/(S*Linterp(J$3,atmos_h,atmos_qms)*I27^2)</f>
        <v>0.21476094828636683</v>
      </c>
      <c r="L27" cm="1">
        <f t="array" ref="L27">InterpolateXY(K27,I27,CD_CL,CD_M,CD_table)</f>
        <v>2.1262559267897926E-2</v>
      </c>
      <c r="M27" cm="1">
        <f t="array" ref="M27">L27*S*Linterp(J$3,atmos_h,atmos_qms)*I27^2</f>
        <v>990.05705821087997</v>
      </c>
      <c r="N27" cm="1">
        <f t="array" ref="N27">I27*Linterp(J$3,atmos_h,atmos_aspeed)</f>
        <v>480.07350000000002</v>
      </c>
      <c r="O27" s="162">
        <f t="shared" si="0"/>
        <v>8589.3107091899965</v>
      </c>
      <c r="Q27">
        <v>0.43</v>
      </c>
      <c r="R27" cm="1">
        <f t="array" ref="R27">numeng*InterpolateXY(R$3,Q27,Tmil_h,Tmil_M,Tmil_table)</f>
        <v>3570.7524135480244</v>
      </c>
      <c r="S27" cm="1">
        <f t="array" ref="S27">1*R$4/(S*Linterp(R$3,atmos_h,atmos_qms)*Q27^2)</f>
        <v>0.25811153651709695</v>
      </c>
      <c r="T27" cm="1">
        <f t="array" ref="T27">InterpolateXY(S27,Q27,CD_CL,CD_M,CD_table)</f>
        <v>2.3971971032318559E-2</v>
      </c>
      <c r="U27" cm="1">
        <f t="array" ref="U27">T27*S*Linterp(R$3,atmos_h,atmos_qms)*Q27^2</f>
        <v>928.74465650746652</v>
      </c>
      <c r="V27" cm="1">
        <f t="array" ref="V27">Q27*Linterp(R$3,atmos_h,atmos_aspeed)</f>
        <v>471.74974333920682</v>
      </c>
      <c r="W27" s="162">
        <f t="shared" si="1"/>
        <v>7478.1988877044587</v>
      </c>
      <c r="Y27">
        <v>0.43</v>
      </c>
      <c r="Z27" cm="1">
        <f t="array" ref="Z27">numeng*InterpolateXY(Z$3,Y27,Tmil_h,Tmil_M,Tmil_table)</f>
        <v>3187.2585042543346</v>
      </c>
      <c r="AA27" cm="1">
        <f t="array" ref="AA27">1*Z$4/(S*Linterp(Z$3,atmos_h,atmos_qms)*Y27^2)</f>
        <v>0.31228736309310906</v>
      </c>
      <c r="AB27" cm="1">
        <f t="array" ref="AB27">InterpolateXY(AA27,Y27,CD_CL,CD_M,CD_table)</f>
        <v>2.758834825131511E-2</v>
      </c>
      <c r="AC27" cm="1">
        <f t="array" ref="AC27">AB27*S*Linterp(Z$3,atmos_h,atmos_qms)*Y27^2</f>
        <v>883.42826229217587</v>
      </c>
      <c r="AD27" cm="1">
        <f t="array" ref="AD27">Y27*Linterp(Z$3,atmos_h,atmos_aspeed)</f>
        <v>463.27645664221387</v>
      </c>
      <c r="AE27" s="162">
        <f t="shared" si="2"/>
        <v>6403.8618672084194</v>
      </c>
      <c r="AG27">
        <v>0.43</v>
      </c>
      <c r="AH27" cm="1">
        <f t="array" ref="AH27">numeng*InterpolateXY(AH$3,AG27,Tmil_h,Tmil_M,Tmil_table)</f>
        <v>2769.8818351239006</v>
      </c>
      <c r="AI27" cm="1">
        <f t="array" ref="AI27">1*AH$4/(S*Linterp(AH$3,atmos_h,atmos_qms)*AG27^2)</f>
        <v>0.38055209361924014</v>
      </c>
      <c r="AJ27" cm="1">
        <f t="array" ref="AJ27">InterpolateXY(AI27,AG27,CD_CL,CD_M,CD_table)</f>
        <v>3.4983259270527291E-2</v>
      </c>
      <c r="AK27" cm="1">
        <f t="array" ref="AK27">AJ27*S*Linterp(AH$3,atmos_h,atmos_qms)*AG27^2</f>
        <v>919.2764895291748</v>
      </c>
      <c r="AL27" cm="1">
        <f t="array" ref="AL27">AG27*Linterp(AH$3,atmos_h,atmos_aspeed)</f>
        <v>454.64527955024727</v>
      </c>
      <c r="AM27" s="162">
        <f t="shared" si="3"/>
        <v>5048.2139081105761</v>
      </c>
      <c r="AO27">
        <v>0.43</v>
      </c>
      <c r="AP27" cm="1">
        <f t="array" ref="AP27">numeng*InterpolateXY(AP$3,AO27,Tmil_h,Tmil_M,Tmil_table)</f>
        <v>2391.2326270248736</v>
      </c>
      <c r="AQ27" cm="1">
        <f t="array" ref="AQ27">1*AP$4/(S*Linterp(AP$3,atmos_h,atmos_qms)*AO27^2)</f>
        <v>0.46733671193776</v>
      </c>
      <c r="AR27" cm="1">
        <f t="array" ref="AR27">InterpolateXY(AQ27,AO27,CD_CL,CD_M,CD_table)</f>
        <v>5.127467909948976E-2</v>
      </c>
      <c r="AS27" cm="1">
        <f t="array" ref="AS27">AR27*S*Linterp(AP$3,atmos_h,atmos_qms)*AO27^2</f>
        <v>1097.1677976439082</v>
      </c>
      <c r="AT27" cm="1">
        <f t="array" ref="AT27">AO27*Linterp(AP$3,atmos_h,atmos_aspeed)</f>
        <v>445.84704233142565</v>
      </c>
      <c r="AU27" s="162">
        <f t="shared" si="4"/>
        <v>3461.7298605877459</v>
      </c>
      <c r="AW27">
        <v>0.43</v>
      </c>
      <c r="AX27" cm="1">
        <f t="array" ref="AX27">numeng*InterpolateXY(AX$3,AW27,Tmil_h,Tmil_M,Tmil_table)</f>
        <v>2049.6712908356008</v>
      </c>
      <c r="AY27" cm="1">
        <f t="array" ref="AY27">1*AX$4/(S*Linterp(AX$3,atmos_h,atmos_qms)*AW27^2)</f>
        <v>0.57872845213636548</v>
      </c>
      <c r="AZ27" cm="1">
        <f t="array" ref="AZ27">InterpolateXY(AY27,AW27,CD_CL,CD_M,CD_table)</f>
        <v>8.24820055186824E-2</v>
      </c>
      <c r="BA27" cm="1">
        <f t="array" ref="BA27">AZ27*S*Linterp(AX$3,atmos_h,atmos_qms)*AW27^2</f>
        <v>1425.2281050672659</v>
      </c>
      <c r="BB27" cm="1">
        <f t="array" ref="BB27">AW27*Linterp(AX$3,atmos_h,atmos_aspeed)</f>
        <v>436.87165174000188</v>
      </c>
      <c r="BC27" s="162">
        <f t="shared" si="5"/>
        <v>1636.8091559064078</v>
      </c>
      <c r="BE27">
        <v>0.43</v>
      </c>
      <c r="BF27" cm="1">
        <f t="array" ref="BF27">numeng*InterpolateXY(BF$3,BE27,Tmil_h,Tmil_M,Tmil_table)</f>
        <v>1743.4323389248684</v>
      </c>
      <c r="BG27" cm="1">
        <f t="array" ref="BG27">1*BF$4/(S*Linterp(BF$3,atmos_h,atmos_qms)*BE27^2)</f>
        <v>0.72319721348858501</v>
      </c>
      <c r="BH27" cm="1">
        <f t="array" ref="BH27">InterpolateXY(BG27,BE27,CD_CL,CD_M,CD_table)</f>
        <v>0.14648581809552411</v>
      </c>
      <c r="BI27" cm="1">
        <f t="array" ref="BI27">BH27*S*Linterp(BF$3,atmos_h,atmos_qms)*BE27^2</f>
        <v>2025.5307316368171</v>
      </c>
      <c r="BJ27" cm="1">
        <f t="array" ref="BJ27">BE27*Linterp(BF$3,atmos_h,atmos_aspeed)</f>
        <v>427.70795530641578</v>
      </c>
      <c r="BK27" s="162">
        <f t="shared" si="6"/>
        <v>-723.93436045232329</v>
      </c>
      <c r="BM27">
        <v>0.43</v>
      </c>
      <c r="BN27" cm="1">
        <f t="array" ref="BN27">numeng*InterpolateXY(BN$3,BM27,Tmil_h,Tmil_M,Tmil_table)</f>
        <v>1470.6444937583228</v>
      </c>
      <c r="BO27" cm="1">
        <f t="array" ref="BO27">1*BN$4/(S*Linterp(BN$3,atmos_h,atmos_qms)*BM27^2)</f>
        <v>0.91269223431329971</v>
      </c>
      <c r="BP27" t="e" cm="1">
        <f t="array" ref="BP27">InterpolateXY(BO27,BM27,CD_CL,CD_M,CD_table)</f>
        <v>#VALUE!</v>
      </c>
      <c r="BQ27" t="e" cm="1">
        <f t="array" ref="BQ27">BP27*S*Linterp(BN$3,atmos_h,atmos_qms)*BM27^2</f>
        <v>#VALUE!</v>
      </c>
      <c r="BR27" cm="1">
        <f t="array" ref="BR27">BM27*Linterp(BN$3,atmos_h,atmos_aspeed)</f>
        <v>418.34357885684403</v>
      </c>
      <c r="BS27" s="162" t="e">
        <f t="shared" si="7"/>
        <v>#VALUE!</v>
      </c>
      <c r="BU27">
        <v>0.43</v>
      </c>
      <c r="BV27" cm="1">
        <f t="array" ref="BV27">numeng*InterpolateXY(BV$3,BU27,Tmil_h,Tmil_M,Tmil_table)</f>
        <v>1189.4909622081211</v>
      </c>
      <c r="BW27" cm="1">
        <f t="array" ref="BW27">1*BV$4/(S*Linterp(BV$3,atmos_h,atmos_qms)*BU27^2)</f>
        <v>1.160329205182564</v>
      </c>
      <c r="BX27" t="e" cm="1">
        <f t="array" ref="BX27">InterpolateXY(BW27,BU27,CD_CL,CD_M,CD_table)</f>
        <v>#VALUE!</v>
      </c>
      <c r="BY27" t="e" cm="1">
        <f t="array" ref="BY27">BX27*S*Linterp(BV$3,atmos_h,atmos_qms)*BU27^2</f>
        <v>#VALUE!</v>
      </c>
      <c r="BZ27" cm="1">
        <f t="array" ref="BZ27">BU27*Linterp(BV$3,atmos_h,atmos_aspeed)</f>
        <v>416.28321948121652</v>
      </c>
      <c r="CA27" s="162" t="e">
        <f t="shared" si="8"/>
        <v>#VALUE!</v>
      </c>
    </row>
    <row r="28" spans="1:79">
      <c r="A28" s="120">
        <v>20000</v>
      </c>
      <c r="B28" s="11">
        <v>0.91449999999999998</v>
      </c>
      <c r="C28" s="11"/>
      <c r="D28" s="120">
        <v>20000</v>
      </c>
      <c r="E28" s="11">
        <v>0.80743597701073733</v>
      </c>
      <c r="I28">
        <v>0.44</v>
      </c>
      <c r="J28" cm="1">
        <f t="array" ref="J28">numeng*InterpolateXY(J$3,I28,Tmil_h,Tmil_M,Tmil_table)</f>
        <v>3976</v>
      </c>
      <c r="K28" cm="1">
        <f t="array" ref="K28">1*J$4/(S*Linterp(J$3,atmos_h,atmos_qms)*I28^2)</f>
        <v>0.20511001724250633</v>
      </c>
      <c r="L28" cm="1">
        <f t="array" ref="L28">InterpolateXY(K28,I28,CD_CL,CD_M,CD_table)</f>
        <v>2.0639376077656646E-2</v>
      </c>
      <c r="M28" cm="1">
        <f t="array" ref="M28">L28*S*Linterp(J$3,atmos_h,atmos_qms)*I28^2</f>
        <v>1006.2588046713599</v>
      </c>
      <c r="N28" cm="1">
        <f t="array" ref="N28">I28*Linterp(J$3,atmos_h,atmos_aspeed)</f>
        <v>491.238</v>
      </c>
      <c r="O28" s="162">
        <f t="shared" si="0"/>
        <v>8753.0983518651028</v>
      </c>
      <c r="Q28">
        <v>0.44</v>
      </c>
      <c r="R28" cm="1">
        <f t="array" ref="R28">numeng*InterpolateXY(R$3,Q28,Tmil_h,Tmil_M,Tmil_table)</f>
        <v>3577.645757975723</v>
      </c>
      <c r="S28" cm="1">
        <f t="array" ref="S28">1*R$4/(S*Linterp(R$3,atmos_h,atmos_qms)*Q28^2)</f>
        <v>0.24651251602278523</v>
      </c>
      <c r="T28" cm="1">
        <f t="array" ref="T28">InterpolateXY(S28,Q28,CD_CL,CD_M,CD_table)</f>
        <v>2.3227032251424078E-2</v>
      </c>
      <c r="U28" cm="1">
        <f t="array" ref="U28">T28*S*Linterp(R$3,atmos_h,atmos_qms)*Q28^2</f>
        <v>942.2252722160847</v>
      </c>
      <c r="V28" cm="1">
        <f t="array" ref="V28">Q28*Linterp(R$3,atmos_h,atmos_aspeed)</f>
        <v>482.72066760290932</v>
      </c>
      <c r="W28" s="162">
        <f t="shared" si="1"/>
        <v>7633.0316178016556</v>
      </c>
      <c r="Y28">
        <v>0.44</v>
      </c>
      <c r="Z28" cm="1">
        <f t="array" ref="Z28">numeng*InterpolateXY(Z$3,Y28,Tmil_h,Tmil_M,Tmil_table)</f>
        <v>3196.120205378304</v>
      </c>
      <c r="AA28" cm="1">
        <f t="array" ref="AA28">1*Z$4/(S*Linterp(Z$3,atmos_h,atmos_qms)*Y28^2)</f>
        <v>0.29825378840865635</v>
      </c>
      <c r="AB28" cm="1">
        <f t="array" ref="AB28">InterpolateXY(AA28,Y28,CD_CL,CD_M,CD_table)</f>
        <v>2.6460861775541022E-2</v>
      </c>
      <c r="AC28" cm="1">
        <f t="array" ref="AC28">AB28*S*Linterp(Z$3,atmos_h,atmos_qms)*Y28^2</f>
        <v>887.19281376856577</v>
      </c>
      <c r="AD28" cm="1">
        <f t="array" ref="AD28">Y28*Linterp(Z$3,atmos_h,atmos_aspeed)</f>
        <v>474.05032772691652</v>
      </c>
      <c r="AE28" s="162">
        <f t="shared" si="2"/>
        <v>6567.2867201415065</v>
      </c>
      <c r="AG28">
        <v>0.44</v>
      </c>
      <c r="AH28" cm="1">
        <f t="array" ref="AH28">numeng*InterpolateXY(AH$3,AG28,Tmil_h,Tmil_M,Tmil_table)</f>
        <v>2778.6910913010324</v>
      </c>
      <c r="AI28" cm="1">
        <f t="array" ref="AI28">1*AH$4/(S*Linterp(AH$3,atmos_h,atmos_qms)*AG28^2)</f>
        <v>0.36345083734606143</v>
      </c>
      <c r="AJ28" cm="1">
        <f t="array" ref="AJ28">InterpolateXY(AI28,AG28,CD_CL,CD_M,CD_table)</f>
        <v>3.2539156193804208E-2</v>
      </c>
      <c r="AK28" cm="1">
        <f t="array" ref="AK28">AJ28*S*Linterp(AH$3,atmos_h,atmos_qms)*AG28^2</f>
        <v>895.28356658652842</v>
      </c>
      <c r="AL28" cm="1">
        <f t="array" ref="AL28">AG28*Linterp(AH$3,atmos_h,atmos_aspeed)</f>
        <v>465.21842558629953</v>
      </c>
      <c r="AM28" s="162">
        <f t="shared" si="3"/>
        <v>5257.1753003104259</v>
      </c>
      <c r="AO28">
        <v>0.44</v>
      </c>
      <c r="AP28" cm="1">
        <f t="array" ref="AP28">numeng*InterpolateXY(AP$3,AO28,Tmil_h,Tmil_M,Tmil_table)</f>
        <v>2399.7575205258536</v>
      </c>
      <c r="AQ28" cm="1">
        <f t="array" ref="AQ28">1*AP$4/(S*Linterp(AP$3,atmos_h,atmos_qms)*AO28^2)</f>
        <v>0.44633552705212715</v>
      </c>
      <c r="AR28" cm="1">
        <f t="array" ref="AR28">InterpolateXY(AQ28,AO28,CD_CL,CD_M,CD_table)</f>
        <v>4.7033440937477557E-2</v>
      </c>
      <c r="AS28" cm="1">
        <f t="array" ref="AS28">AR28*S*Linterp(AP$3,atmos_h,atmos_qms)*AO28^2</f>
        <v>1053.7687028436919</v>
      </c>
      <c r="AT28" cm="1">
        <f t="array" ref="AT28">AO28*Linterp(AP$3,atmos_h,atmos_aspeed)</f>
        <v>456.21557819959833</v>
      </c>
      <c r="AU28" s="162">
        <f t="shared" si="4"/>
        <v>3684.3664002543674</v>
      </c>
      <c r="AW28">
        <v>0.44</v>
      </c>
      <c r="AX28" cm="1">
        <f t="array" ref="AX28">numeng*InterpolateXY(AX$3,AW28,Tmil_h,Tmil_M,Tmil_table)</f>
        <v>2057.7373343937647</v>
      </c>
      <c r="AY28" cm="1">
        <f t="array" ref="AY28">1*AX$4/(S*Linterp(AX$3,atmos_h,atmos_qms)*AW28^2)</f>
        <v>0.55272154338850188</v>
      </c>
      <c r="AZ28" cm="1">
        <f t="array" ref="AZ28">InterpolateXY(AY28,AW28,CD_CL,CD_M,CD_table)</f>
        <v>7.4321843080601094E-2</v>
      </c>
      <c r="BA28" cm="1">
        <f t="array" ref="BA28">AZ28*S*Linterp(AX$3,atmos_h,atmos_qms)*AW28^2</f>
        <v>1344.6525464696983</v>
      </c>
      <c r="BB28" cm="1">
        <f t="array" ref="BB28">AW28*Linterp(AX$3,atmos_h,atmos_aspeed)</f>
        <v>447.03145759442054</v>
      </c>
      <c r="BC28" s="162">
        <f t="shared" si="5"/>
        <v>1912.627992804622</v>
      </c>
      <c r="BE28">
        <v>0.44</v>
      </c>
      <c r="BF28" cm="1">
        <f t="array" ref="BF28">numeng*InterpolateXY(BF$3,BE28,Tmil_h,Tmil_M,Tmil_table)</f>
        <v>1750.9148811520138</v>
      </c>
      <c r="BG28" cm="1">
        <f t="array" ref="BG28">1*BF$4/(S*Linterp(BF$3,atmos_h,atmos_qms)*BE28^2)</f>
        <v>0.69069816515516202</v>
      </c>
      <c r="BH28" cm="1">
        <f t="array" ref="BH28">InterpolateXY(BG28,BE28,CD_CL,CD_M,CD_table)</f>
        <v>0.12884579633796098</v>
      </c>
      <c r="BI28" cm="1">
        <f t="array" ref="BI28">BH28*S*Linterp(BF$3,atmos_h,atmos_qms)*BE28^2</f>
        <v>1865.4428640188498</v>
      </c>
      <c r="BJ28" cm="1">
        <f t="array" ref="BJ28">BE28*Linterp(BF$3,atmos_h,atmos_aspeed)</f>
        <v>437.65465194144872</v>
      </c>
      <c r="BK28" s="162">
        <f t="shared" si="6"/>
        <v>-300.74222687484797</v>
      </c>
      <c r="BM28">
        <v>0.44</v>
      </c>
      <c r="BN28" cm="1">
        <f t="array" ref="BN28">numeng*InterpolateXY(BN$3,BM28,Tmil_h,Tmil_M,Tmil_table)</f>
        <v>1477.4616405899037</v>
      </c>
      <c r="BO28" cm="1">
        <f t="array" ref="BO28">1*BN$4/(S*Linterp(BN$3,atmos_h,atmos_qms)*BM28^2)</f>
        <v>0.87167765560190658</v>
      </c>
      <c r="BP28" t="e" cm="1">
        <f t="array" ref="BP28">InterpolateXY(BO28,BM28,CD_CL,CD_M,CD_table)</f>
        <v>#VALUE!</v>
      </c>
      <c r="BQ28" t="e" cm="1">
        <f t="array" ref="BQ28">BP28*S*Linterp(BN$3,atmos_h,atmos_qms)*BM28^2</f>
        <v>#VALUE!</v>
      </c>
      <c r="BR28" cm="1">
        <f t="array" ref="BR28">BM28*Linterp(BN$3,atmos_h,atmos_aspeed)</f>
        <v>428.07249929537528</v>
      </c>
      <c r="BS28" s="162" t="e">
        <f t="shared" si="7"/>
        <v>#VALUE!</v>
      </c>
      <c r="BU28">
        <v>0.44</v>
      </c>
      <c r="BV28" cm="1">
        <f t="array" ref="BV28">numeng*InterpolateXY(BV$3,BU28,Tmil_h,Tmil_M,Tmil_table)</f>
        <v>1195.3990299012078</v>
      </c>
      <c r="BW28" cm="1">
        <f t="array" ref="BW28">1*BV$4/(S*Linterp(BV$3,atmos_h,atmos_qms)*BU28^2)</f>
        <v>1.1081863121810747</v>
      </c>
      <c r="BX28" t="e" cm="1">
        <f t="array" ref="BX28">InterpolateXY(BW28,BU28,CD_CL,CD_M,CD_table)</f>
        <v>#VALUE!</v>
      </c>
      <c r="BY28" t="e" cm="1">
        <f t="array" ref="BY28">BX28*S*Linterp(BV$3,atmos_h,atmos_qms)*BU28^2</f>
        <v>#VALUE!</v>
      </c>
      <c r="BZ28" cm="1">
        <f t="array" ref="BZ28">BU28*Linterp(BV$3,atmos_h,atmos_aspeed)</f>
        <v>425.96422458543088</v>
      </c>
      <c r="CA28" s="162" t="e">
        <f t="shared" si="8"/>
        <v>#VALUE!</v>
      </c>
    </row>
    <row r="29" spans="1:79">
      <c r="A29" s="120">
        <v>21000</v>
      </c>
      <c r="B29" s="11">
        <v>0.91539999999999999</v>
      </c>
      <c r="C29" s="11"/>
      <c r="D29" s="120">
        <v>21000</v>
      </c>
      <c r="E29" s="11">
        <v>0.81067353815808096</v>
      </c>
      <c r="I29">
        <v>0.45</v>
      </c>
      <c r="J29" cm="1">
        <f t="array" ref="J29">numeng*InterpolateXY(J$3,I29,Tmil_h,Tmil_M,Tmil_table)</f>
        <v>3980</v>
      </c>
      <c r="K29" cm="1">
        <f t="array" ref="K29">1*J$4/(S*Linterp(J$3,atmos_h,atmos_qms)*I29^2)</f>
        <v>0.19609530537357639</v>
      </c>
      <c r="L29" cm="1">
        <f t="array" ref="L29">InterpolateXY(K29,I29,CD_CL,CD_M,CD_table)</f>
        <v>2.0153573951509116E-2</v>
      </c>
      <c r="M29" cm="1">
        <f t="array" ref="M29">L29*S*Linterp(J$3,atmos_h,atmos_qms)*I29^2</f>
        <v>1027.7438265600001</v>
      </c>
      <c r="N29" cm="1">
        <f t="array" ref="N29">I29*Linterp(J$3,atmos_h,atmos_aspeed)</f>
        <v>502.40250000000003</v>
      </c>
      <c r="O29" s="162">
        <f t="shared" si="0"/>
        <v>8899.3252930601375</v>
      </c>
      <c r="Q29">
        <v>0.45</v>
      </c>
      <c r="R29" cm="1">
        <f t="array" ref="R29">numeng*InterpolateXY(R$3,Q29,Tmil_h,Tmil_M,Tmil_table)</f>
        <v>3584.539102403422</v>
      </c>
      <c r="S29" cm="1">
        <f t="array" ref="S29">1*R$4/(S*Linterp(R$3,atmos_h,atmos_qms)*Q29^2)</f>
        <v>0.23567813877536403</v>
      </c>
      <c r="T29" cm="1">
        <f t="array" ref="T29">InterpolateXY(S29,Q29,CD_CL,CD_M,CD_table)</f>
        <v>2.2529883673460253E-2</v>
      </c>
      <c r="U29" cm="1">
        <f t="array" ref="U29">T29*S*Linterp(R$3,atmos_h,atmos_qms)*Q29^2</f>
        <v>955.95984381625442</v>
      </c>
      <c r="V29" cm="1">
        <f t="array" ref="V29">Q29*Linterp(R$3,atmos_h,atmos_aspeed)</f>
        <v>493.69159186661182</v>
      </c>
      <c r="W29" s="162">
        <f t="shared" si="1"/>
        <v>7786.2448711167426</v>
      </c>
      <c r="Y29">
        <v>0.45</v>
      </c>
      <c r="Z29" cm="1">
        <f t="array" ref="Z29">numeng*InterpolateXY(Z$3,Y29,Tmil_h,Tmil_M,Tmil_table)</f>
        <v>3204.9819065022739</v>
      </c>
      <c r="AA29" cm="1">
        <f t="array" ref="AA29">1*Z$4/(S*Linterp(Z$3,atmos_h,atmos_qms)*Y29^2)</f>
        <v>0.28514535030081906</v>
      </c>
      <c r="AB29" cm="1">
        <f t="array" ref="AB29">InterpolateXY(AA29,Y29,CD_CL,CD_M,CD_table)</f>
        <v>2.5621584393801192E-2</v>
      </c>
      <c r="AC29" cm="1">
        <f t="array" ref="AC29">AB29*S*Linterp(Z$3,atmos_h,atmos_qms)*Y29^2</f>
        <v>898.54470243934395</v>
      </c>
      <c r="AD29" cm="1">
        <f t="array" ref="AD29">Y29*Linterp(Z$3,atmos_h,atmos_aspeed)</f>
        <v>484.82419881161917</v>
      </c>
      <c r="AE29" s="162">
        <f t="shared" si="2"/>
        <v>6709.2994174147261</v>
      </c>
      <c r="AG29">
        <v>0.45</v>
      </c>
      <c r="AH29" cm="1">
        <f t="array" ref="AH29">numeng*InterpolateXY(AH$3,AG29,Tmil_h,Tmil_M,Tmil_table)</f>
        <v>2787.5003474781643</v>
      </c>
      <c r="AI29" cm="1">
        <f t="array" ref="AI29">1*AH$4/(S*Linterp(AH$3,atmos_h,atmos_qms)*AG29^2)</f>
        <v>0.34747694869233325</v>
      </c>
      <c r="AJ29" cm="1">
        <f t="array" ref="AJ29">InterpolateXY(AI29,AG29,CD_CL,CD_M,CD_table)</f>
        <v>3.0407502081252077E-2</v>
      </c>
      <c r="AK29" cm="1">
        <f t="array" ref="AK29">AJ29*S*Linterp(AH$3,atmos_h,atmos_qms)*AG29^2</f>
        <v>875.09408021698198</v>
      </c>
      <c r="AL29" cm="1">
        <f t="array" ref="AL29">AG29*Linterp(AH$3,atmos_h,atmos_aspeed)</f>
        <v>475.7915716223518</v>
      </c>
      <c r="AM29" s="162">
        <f t="shared" si="3"/>
        <v>5459.4407008837989</v>
      </c>
      <c r="AO29">
        <v>0.45</v>
      </c>
      <c r="AP29" cm="1">
        <f t="array" ref="AP29">numeng*InterpolateXY(AP$3,AO29,Tmil_h,Tmil_M,Tmil_table)</f>
        <v>2408.2824140268335</v>
      </c>
      <c r="AQ29" cm="1">
        <f t="array" ref="AQ29">1*AP$4/(S*Linterp(AP$3,atmos_h,atmos_qms)*AO29^2)</f>
        <v>0.42671880512242871</v>
      </c>
      <c r="AR29" cm="1">
        <f t="array" ref="AR29">InterpolateXY(AQ29,AO29,CD_CL,CD_M,CD_table)</f>
        <v>4.3070479829608169E-2</v>
      </c>
      <c r="AS29" cm="1">
        <f t="array" ref="AS29">AR29*S*Linterp(AP$3,atmos_h,atmos_qms)*AO29^2</f>
        <v>1009.3410300314968</v>
      </c>
      <c r="AT29" cm="1">
        <f t="array" ref="AT29">AO29*Linterp(AP$3,atmos_h,atmos_aspeed)</f>
        <v>466.58411406777105</v>
      </c>
      <c r="AU29" s="162">
        <f t="shared" si="4"/>
        <v>3916.3429577052348</v>
      </c>
      <c r="AW29">
        <v>0.45</v>
      </c>
      <c r="AX29" cm="1">
        <f t="array" ref="AX29">numeng*InterpolateXY(AX$3,AW29,Tmil_h,Tmil_M,Tmil_table)</f>
        <v>2065.8033779519283</v>
      </c>
      <c r="AY29" cm="1">
        <f t="array" ref="AY29">1*AX$4/(S*Linterp(AX$3,atmos_h,atmos_qms)*AW29^2)</f>
        <v>0.52842909037043939</v>
      </c>
      <c r="AZ29" cm="1">
        <f t="array" ref="AZ29">InterpolateXY(AY29,AW29,CD_CL,CD_M,CD_table)</f>
        <v>6.6698305285947529E-2</v>
      </c>
      <c r="BA29" cm="1">
        <f t="array" ref="BA29">AZ29*S*Linterp(AX$3,atmos_h,atmos_qms)*AW29^2</f>
        <v>1262.1997255902527</v>
      </c>
      <c r="BB29" cm="1">
        <f t="array" ref="BB29">AW29*Linterp(AX$3,atmos_h,atmos_aspeed)</f>
        <v>457.19126344883921</v>
      </c>
      <c r="BC29" s="162">
        <f t="shared" si="5"/>
        <v>2204.4034148120172</v>
      </c>
      <c r="BE29">
        <v>0.45</v>
      </c>
      <c r="BF29" cm="1">
        <f t="array" ref="BF29">numeng*InterpolateXY(BF$3,BE29,Tmil_h,Tmil_M,Tmil_table)</f>
        <v>1758.3974233791591</v>
      </c>
      <c r="BG29" cm="1">
        <f t="array" ref="BG29">1*BF$4/(S*Linterp(BF$3,atmos_h,atmos_qms)*BE29^2)</f>
        <v>0.66034155443970055</v>
      </c>
      <c r="BH29" cm="1">
        <f t="array" ref="BH29">InterpolateXY(BG29,BE29,CD_CL,CD_M,CD_table)</f>
        <v>0.11552960084458884</v>
      </c>
      <c r="BI29" cm="1">
        <f t="array" ref="BI29">BH29*S*Linterp(BF$3,atmos_h,atmos_qms)*BE29^2</f>
        <v>1749.5430973235611</v>
      </c>
      <c r="BJ29" cm="1">
        <f t="array" ref="BJ29">BE29*Linterp(BF$3,atmos_h,atmos_aspeed)</f>
        <v>447.60134857648166</v>
      </c>
      <c r="BK29" s="162">
        <f t="shared" si="6"/>
        <v>23.779249699329249</v>
      </c>
      <c r="BM29">
        <v>0.45</v>
      </c>
      <c r="BN29" cm="1">
        <f t="array" ref="BN29">numeng*InterpolateXY(BN$3,BM29,Tmil_h,Tmil_M,Tmil_table)</f>
        <v>1484.2787874214846</v>
      </c>
      <c r="BO29" cm="1">
        <f t="array" ref="BO29">1*BN$4/(S*Linterp(BN$3,atmos_h,atmos_qms)*BM29^2)</f>
        <v>0.83336688456557573</v>
      </c>
      <c r="BP29" t="e" cm="1">
        <f t="array" ref="BP29">InterpolateXY(BO29,BM29,CD_CL,CD_M,CD_table)</f>
        <v>#VALUE!</v>
      </c>
      <c r="BQ29" t="e" cm="1">
        <f t="array" ref="BQ29">BP29*S*Linterp(BN$3,atmos_h,atmos_qms)*BM29^2</f>
        <v>#VALUE!</v>
      </c>
      <c r="BR29" cm="1">
        <f t="array" ref="BR29">BM29*Linterp(BN$3,atmos_h,atmos_aspeed)</f>
        <v>437.80141973390653</v>
      </c>
      <c r="BS29" s="162" t="e">
        <f t="shared" si="7"/>
        <v>#VALUE!</v>
      </c>
      <c r="BU29">
        <v>0.45</v>
      </c>
      <c r="BV29" cm="1">
        <f t="array" ref="BV29">numeng*InterpolateXY(BV$3,BU29,Tmil_h,Tmil_M,Tmil_table)</f>
        <v>1201.3070975942944</v>
      </c>
      <c r="BW29" cm="1">
        <f t="array" ref="BW29">1*BV$4/(S*Linterp(BV$3,atmos_h,atmos_qms)*BU29^2)</f>
        <v>1.0594808396950917</v>
      </c>
      <c r="BX29" t="e" cm="1">
        <f t="array" ref="BX29">InterpolateXY(BW29,BU29,CD_CL,CD_M,CD_table)</f>
        <v>#VALUE!</v>
      </c>
      <c r="BY29" t="e" cm="1">
        <f t="array" ref="BY29">BX29*S*Linterp(BV$3,atmos_h,atmos_qms)*BU29^2</f>
        <v>#VALUE!</v>
      </c>
      <c r="BZ29" cm="1">
        <f t="array" ref="BZ29">BU29*Linterp(BV$3,atmos_h,atmos_aspeed)</f>
        <v>435.64522968964519</v>
      </c>
      <c r="CA29" s="162" t="e">
        <f t="shared" si="8"/>
        <v>#VALUE!</v>
      </c>
    </row>
    <row r="30" spans="1:79">
      <c r="A30" s="120">
        <v>22000</v>
      </c>
      <c r="B30" s="11">
        <v>0.9163</v>
      </c>
      <c r="C30" s="11"/>
      <c r="D30" s="120">
        <v>22000</v>
      </c>
      <c r="E30" s="11">
        <v>0.81395035901704571</v>
      </c>
      <c r="I30">
        <v>0.46</v>
      </c>
      <c r="J30" cm="1">
        <f t="array" ref="J30">numeng*InterpolateXY(J$3,I30,Tmil_h,Tmil_M,Tmil_table)</f>
        <v>3984</v>
      </c>
      <c r="K30" cm="1">
        <f t="array" ref="K30">1*J$4/(S*Linterp(J$3,atmos_h,atmos_qms)*I30^2)</f>
        <v>0.18766209517083754</v>
      </c>
      <c r="L30" cm="1">
        <f t="array" ref="L30">InterpolateXY(K30,I30,CD_CL,CD_M,CD_table)</f>
        <v>1.981732856890641E-2</v>
      </c>
      <c r="M30" cm="1">
        <f t="array" ref="M30">L30*S*Linterp(J$3,atmos_h,atmos_qms)*I30^2</f>
        <v>1056.0112606046403</v>
      </c>
      <c r="N30" cm="1">
        <f t="array" ref="N30">I30*Linterp(J$3,atmos_h,atmos_aspeed)</f>
        <v>513.56700000000001</v>
      </c>
      <c r="O30" s="162">
        <f t="shared" si="0"/>
        <v>9022.3103575503392</v>
      </c>
      <c r="Q30">
        <v>0.46</v>
      </c>
      <c r="R30" cm="1">
        <f t="array" ref="R30">numeng*InterpolateXY(R$3,Q30,Tmil_h,Tmil_M,Tmil_table)</f>
        <v>3591.4324468311211</v>
      </c>
      <c r="S30" cm="1">
        <f t="array" ref="S30">1*R$4/(S*Linterp(R$3,atmos_h,atmos_qms)*Q30^2)</f>
        <v>0.2255426422590322</v>
      </c>
      <c r="T30" cm="1">
        <f t="array" ref="T30">InterpolateXY(S30,Q30,CD_CL,CD_M,CD_table)</f>
        <v>2.1876415141189515E-2</v>
      </c>
      <c r="U30" cm="1">
        <f t="array" ref="U30">T30*S*Linterp(R$3,atmos_h,atmos_qms)*Q30^2</f>
        <v>969.94585689320741</v>
      </c>
      <c r="V30" cm="1">
        <f t="array" ref="V30">Q30*Linterp(R$3,atmos_h,atmos_aspeed)</f>
        <v>504.66251613031432</v>
      </c>
      <c r="W30" s="162">
        <f t="shared" si="1"/>
        <v>7937.7961108796717</v>
      </c>
      <c r="Y30">
        <v>0.46</v>
      </c>
      <c r="Z30" cm="1">
        <f t="array" ref="Z30">numeng*InterpolateXY(Z$3,Y30,Tmil_h,Tmil_M,Tmil_table)</f>
        <v>3213.8436076262433</v>
      </c>
      <c r="AA30" cm="1">
        <f t="array" ref="AA30">1*Z$4/(S*Linterp(Z$3,atmos_h,atmos_qms)*Y30^2)</f>
        <v>0.27288248315650215</v>
      </c>
      <c r="AB30" cm="1">
        <f t="array" ref="AB30">InterpolateXY(AA30,Y30,CD_CL,CD_M,CD_table)</f>
        <v>2.4835155197281387E-2</v>
      </c>
      <c r="AC30" cm="1">
        <f t="array" ref="AC30">AB30*S*Linterp(Z$3,atmos_h,atmos_qms)*Y30^2</f>
        <v>910.1044123465432</v>
      </c>
      <c r="AD30" cm="1">
        <f t="array" ref="AD30">Y30*Linterp(Z$3,atmos_h,atmos_aspeed)</f>
        <v>495.59806989632182</v>
      </c>
      <c r="AE30" s="162">
        <f t="shared" si="2"/>
        <v>6850.3721923507501</v>
      </c>
      <c r="AG30">
        <v>0.46</v>
      </c>
      <c r="AH30" cm="1">
        <f t="array" ref="AH30">numeng*InterpolateXY(AH$3,AG30,Tmil_h,Tmil_M,Tmil_table)</f>
        <v>2796.3096036552961</v>
      </c>
      <c r="AI30" cm="1">
        <f t="array" ref="AI30">1*AH$4/(S*Linterp(AH$3,atmos_h,atmos_qms)*AG30^2)</f>
        <v>0.33253346932985578</v>
      </c>
      <c r="AJ30" cm="1">
        <f t="array" ref="AJ30">InterpolateXY(AI30,AG30,CD_CL,CD_M,CD_table)</f>
        <v>2.9173344383050782E-2</v>
      </c>
      <c r="AK30" cm="1">
        <f t="array" ref="AK30">AJ30*S*Linterp(AH$3,atmos_h,atmos_qms)*AG30^2</f>
        <v>877.30550677629242</v>
      </c>
      <c r="AL30" cm="1">
        <f t="array" ref="AL30">AG30*Linterp(AH$3,atmos_h,atmos_aspeed)</f>
        <v>486.36471765840412</v>
      </c>
      <c r="AM30" s="162">
        <f t="shared" si="3"/>
        <v>5600.0153145832637</v>
      </c>
      <c r="AO30">
        <v>0.46</v>
      </c>
      <c r="AP30" cm="1">
        <f t="array" ref="AP30">numeng*InterpolateXY(AP$3,AO30,Tmil_h,Tmil_M,Tmil_table)</f>
        <v>2416.8073075278135</v>
      </c>
      <c r="AQ30" cm="1">
        <f t="array" ref="AQ30">1*AP$4/(S*Linterp(AP$3,atmos_h,atmos_qms)*AO30^2)</f>
        <v>0.40836747654674771</v>
      </c>
      <c r="AR30" cm="1">
        <f t="array" ref="AR30">InterpolateXY(AQ30,AO30,CD_CL,CD_M,CD_table)</f>
        <v>3.9361862785896283E-2</v>
      </c>
      <c r="AS30" cm="1">
        <f t="array" ref="AS30">AR30*S*Linterp(AP$3,atmos_h,atmos_qms)*AO30^2</f>
        <v>963.8833904881343</v>
      </c>
      <c r="AT30" cm="1">
        <f t="array" ref="AT30">AO30*Linterp(AP$3,atmos_h,atmos_aspeed)</f>
        <v>476.95264993594373</v>
      </c>
      <c r="AU30" s="162">
        <f t="shared" si="4"/>
        <v>4157.8554743243176</v>
      </c>
      <c r="AW30">
        <v>0.46</v>
      </c>
      <c r="AX30" cm="1">
        <f t="array" ref="AX30">numeng*InterpolateXY(AX$3,AW30,Tmil_h,Tmil_M,Tmil_table)</f>
        <v>2073.8694215100918</v>
      </c>
      <c r="AY30" cm="1">
        <f t="array" ref="AY30">1*AX$4/(S*Linterp(AX$3,atmos_h,atmos_qms)*AW30^2)</f>
        <v>0.50570364272218327</v>
      </c>
      <c r="AZ30" cm="1">
        <f t="array" ref="AZ30">InterpolateXY(AY30,AW30,CD_CL,CD_M,CD_table)</f>
        <v>5.9565240172043364E-2</v>
      </c>
      <c r="BA30" cm="1">
        <f t="array" ref="BA30">AZ30*S*Linterp(AX$3,atmos_h,atmos_qms)*AW30^2</f>
        <v>1177.8685210058204</v>
      </c>
      <c r="BB30" cm="1">
        <f t="array" ref="BB30">AW30*Linterp(AX$3,atmos_h,atmos_aspeed)</f>
        <v>467.35106930325782</v>
      </c>
      <c r="BC30" s="162">
        <f t="shared" si="5"/>
        <v>2512.4818736841189</v>
      </c>
      <c r="BE30">
        <v>0.46</v>
      </c>
      <c r="BF30" cm="1">
        <f t="array" ref="BF30">numeng*InterpolateXY(BF$3,BE30,Tmil_h,Tmil_M,Tmil_table)</f>
        <v>1765.8799656063045</v>
      </c>
      <c r="BG30" cm="1">
        <f t="array" ref="BG30">1*BF$4/(S*Linterp(BF$3,atmos_h,atmos_qms)*BE30^2)</f>
        <v>0.63194312275065867</v>
      </c>
      <c r="BH30" cm="1">
        <f t="array" ref="BH30">InterpolateXY(BG30,BE30,CD_CL,CD_M,CD_table)</f>
        <v>0.10307108776478849</v>
      </c>
      <c r="BI30" cm="1">
        <f t="array" ref="BI30">BH30*S*Linterp(BF$3,atmos_h,atmos_qms)*BE30^2</f>
        <v>1631.0184264076013</v>
      </c>
      <c r="BJ30" cm="1">
        <f t="array" ref="BJ30">BE30*Linterp(BF$3,atmos_h,atmos_aspeed)</f>
        <v>457.54804521151459</v>
      </c>
      <c r="BK30" s="162">
        <f t="shared" si="6"/>
        <v>370.23380180749621</v>
      </c>
      <c r="BM30">
        <v>0.46</v>
      </c>
      <c r="BN30" cm="1">
        <f t="array" ref="BN30">numeng*InterpolateXY(BN$3,BM30,Tmil_h,Tmil_M,Tmil_table)</f>
        <v>1491.0959342530655</v>
      </c>
      <c r="BO30" cm="1">
        <f t="array" ref="BO30">1*BN$4/(S*Linterp(BN$3,atmos_h,atmos_qms)*BM30^2)</f>
        <v>0.7975273824410638</v>
      </c>
      <c r="BP30" cm="1">
        <f t="array" ref="BP30">InterpolateXY(BO30,BM30,CD_CL,CD_M,CD_table)</f>
        <v>0.18983029631594969</v>
      </c>
      <c r="BQ30" cm="1">
        <f t="array" ref="BQ30">BP30*S*Linterp(BN$3,atmos_h,atmos_qms)*BM30^2</f>
        <v>2380.2354689680878</v>
      </c>
      <c r="BR30" cm="1">
        <f t="array" ref="BR30">BM30*Linterp(BN$3,atmos_h,atmos_aspeed)</f>
        <v>447.53034017243783</v>
      </c>
      <c r="BS30" s="162">
        <f t="shared" si="7"/>
        <v>-2387.5015105906618</v>
      </c>
      <c r="BU30">
        <v>0.46</v>
      </c>
      <c r="BV30" cm="1">
        <f t="array" ref="BV30">numeng*InterpolateXY(BV$3,BU30,Tmil_h,Tmil_M,Tmil_table)</f>
        <v>1207.2151652873811</v>
      </c>
      <c r="BW30" cm="1">
        <f t="array" ref="BW30">1*BV$4/(S*Linterp(BV$3,atmos_h,atmos_qms)*BU30^2)</f>
        <v>1.0139171551902462</v>
      </c>
      <c r="BX30" t="e" cm="1">
        <f t="array" ref="BX30">InterpolateXY(BW30,BU30,CD_CL,CD_M,CD_table)</f>
        <v>#VALUE!</v>
      </c>
      <c r="BY30" t="e" cm="1">
        <f t="array" ref="BY30">BX30*S*Linterp(BV$3,atmos_h,atmos_qms)*BU30^2</f>
        <v>#VALUE!</v>
      </c>
      <c r="BZ30" cm="1">
        <f t="array" ref="BZ30">BU30*Linterp(BV$3,atmos_h,atmos_aspeed)</f>
        <v>445.32623479385956</v>
      </c>
      <c r="CA30" s="162" t="e">
        <f t="shared" si="8"/>
        <v>#VALUE!</v>
      </c>
    </row>
    <row r="31" spans="1:79">
      <c r="A31" s="120">
        <v>23000</v>
      </c>
      <c r="B31" s="11">
        <v>0.91720000000000002</v>
      </c>
      <c r="C31" s="11"/>
      <c r="D31" s="120">
        <v>23000</v>
      </c>
      <c r="E31" s="11">
        <v>0.81726723951651925</v>
      </c>
      <c r="I31">
        <v>0.47</v>
      </c>
      <c r="J31" cm="1">
        <f t="array" ref="J31">numeng*InterpolateXY(J$3,I31,Tmil_h,Tmil_M,Tmil_table)</f>
        <v>3988</v>
      </c>
      <c r="K31" cm="1">
        <f t="array" ref="K31">1*J$4/(S*Linterp(J$3,atmos_h,atmos_qms)*I31^2)</f>
        <v>0.17976142751538807</v>
      </c>
      <c r="L31" cm="1">
        <f t="array" ref="L31">InterpolateXY(K31,I31,CD_CL,CD_M,CD_table)</f>
        <v>1.9501053531827055E-2</v>
      </c>
      <c r="M31" cm="1">
        <f t="array" ref="M31">L31*S*Linterp(J$3,atmos_h,atmos_qms)*I31^2</f>
        <v>1084.8296990831202</v>
      </c>
      <c r="N31" cm="1">
        <f t="array" ref="N31">I31*Linterp(J$3,atmos_h,atmos_aspeed)</f>
        <v>524.73149999999998</v>
      </c>
      <c r="O31" s="162">
        <f t="shared" si="0"/>
        <v>9140.3094405333923</v>
      </c>
      <c r="Q31">
        <v>0.47</v>
      </c>
      <c r="R31" cm="1">
        <f t="array" ref="R31">numeng*InterpolateXY(R$3,Q31,Tmil_h,Tmil_M,Tmil_table)</f>
        <v>3598.3257912588197</v>
      </c>
      <c r="S31" cm="1">
        <f t="array" ref="S31">1*R$4/(S*Linterp(R$3,atmos_h,atmos_qms)*Q31^2)</f>
        <v>0.21604718470806347</v>
      </c>
      <c r="T31" cm="1">
        <f t="array" ref="T31">InterpolateXY(S31,Q31,CD_CL,CD_M,CD_table)</f>
        <v>2.1262949044253968E-2</v>
      </c>
      <c r="U31" cm="1">
        <f t="array" ref="U31">T31*S*Linterp(R$3,atmos_h,atmos_qms)*Q31^2</f>
        <v>984.18079703217609</v>
      </c>
      <c r="V31" cm="1">
        <f t="array" ref="V31">Q31*Linterp(R$3,atmos_h,atmos_aspeed)</f>
        <v>515.6334403940167</v>
      </c>
      <c r="W31" s="162">
        <f t="shared" si="1"/>
        <v>8087.6434623712867</v>
      </c>
      <c r="Y31">
        <v>0.47</v>
      </c>
      <c r="Z31" cm="1">
        <f t="array" ref="Z31">numeng*InterpolateXY(Z$3,Y31,Tmil_h,Tmil_M,Tmil_table)</f>
        <v>3222.7053087502127</v>
      </c>
      <c r="AA31" cm="1">
        <f t="array" ref="AA31">1*Z$4/(S*Linterp(Z$3,atmos_h,atmos_qms)*Y31^2)</f>
        <v>0.26139399473026648</v>
      </c>
      <c r="AB31" cm="1">
        <f t="array" ref="AB31">InterpolateXY(AA31,Y31,CD_CL,CD_M,CD_table)</f>
        <v>2.4097124670641658E-2</v>
      </c>
      <c r="AC31" cm="1">
        <f t="array" ref="AC31">AB31*S*Linterp(Z$3,atmos_h,atmos_qms)*Y31^2</f>
        <v>921.86986527779948</v>
      </c>
      <c r="AD31" cm="1">
        <f t="array" ref="AD31">Y31*Linterp(Z$3,atmos_h,atmos_aspeed)</f>
        <v>506.37194098102441</v>
      </c>
      <c r="AE31" s="162">
        <f t="shared" si="2"/>
        <v>6990.4710563343715</v>
      </c>
      <c r="AG31">
        <v>0.47</v>
      </c>
      <c r="AH31" cm="1">
        <f t="array" ref="AH31">numeng*InterpolateXY(AH$3,AG31,Tmil_h,Tmil_M,Tmil_table)</f>
        <v>2805.1188598324279</v>
      </c>
      <c r="AI31" cm="1">
        <f t="array" ref="AI31">1*AH$4/(S*Linterp(AH$3,atmos_h,atmos_qms)*AG31^2)</f>
        <v>0.31853364468174511</v>
      </c>
      <c r="AJ31" cm="1">
        <f t="array" ref="AJ31">InterpolateXY(AI31,AG31,CD_CL,CD_M,CD_table)</f>
        <v>2.8015858630391792E-2</v>
      </c>
      <c r="AK31" cm="1">
        <f t="array" ref="AK31">AJ31*S*Linterp(AH$3,atmos_h,atmos_qms)*AG31^2</f>
        <v>879.525886767256</v>
      </c>
      <c r="AL31" cm="1">
        <f t="array" ref="AL31">AG31*Linterp(AH$3,atmos_h,atmos_aspeed)</f>
        <v>496.93786369445633</v>
      </c>
      <c r="AM31" s="162">
        <f t="shared" si="3"/>
        <v>5741.4003502803798</v>
      </c>
      <c r="AO31">
        <v>0.47</v>
      </c>
      <c r="AP31" cm="1">
        <f t="array" ref="AP31">numeng*InterpolateXY(AP$3,AO31,Tmil_h,Tmil_M,Tmil_table)</f>
        <v>2425.3322010287934</v>
      </c>
      <c r="AQ31" cm="1">
        <f t="array" ref="AQ31">1*AP$4/(S*Linterp(AP$3,atmos_h,atmos_qms)*AO31^2)</f>
        <v>0.39117500243228526</v>
      </c>
      <c r="AR31" cm="1">
        <f t="array" ref="AR31">InterpolateXY(AQ31,AO31,CD_CL,CD_M,CD_table)</f>
        <v>3.6409056594776432E-2</v>
      </c>
      <c r="AS31" cm="1">
        <f t="array" ref="AS31">AR31*S*Linterp(AP$3,atmos_h,atmos_qms)*AO31^2</f>
        <v>930.76133107659564</v>
      </c>
      <c r="AT31" cm="1">
        <f t="array" ref="AT31">AO31*Linterp(AP$3,atmos_h,atmos_aspeed)</f>
        <v>487.3211858041164</v>
      </c>
      <c r="AU31" s="162">
        <f t="shared" si="4"/>
        <v>4370.0162916803692</v>
      </c>
      <c r="AW31">
        <v>0.47</v>
      </c>
      <c r="AX31" cm="1">
        <f t="array" ref="AX31">numeng*InterpolateXY(AX$3,AW31,Tmil_h,Tmil_M,Tmil_table)</f>
        <v>2081.9354650682558</v>
      </c>
      <c r="AY31" cm="1">
        <f t="array" ref="AY31">1*AX$4/(S*Linterp(AX$3,atmos_h,atmos_qms)*AW31^2)</f>
        <v>0.48441326754193742</v>
      </c>
      <c r="AZ31" cm="1">
        <f t="array" ref="AZ31">InterpolateXY(AY31,AW31,CD_CL,CD_M,CD_table)</f>
        <v>5.4627066775929427E-2</v>
      </c>
      <c r="BA31" cm="1">
        <f t="array" ref="BA31">AZ31*S*Linterp(AX$3,atmos_h,atmos_qms)*AW31^2</f>
        <v>1127.6955119979277</v>
      </c>
      <c r="BB31" cm="1">
        <f t="array" ref="BB31">AW31*Linterp(AX$3,atmos_h,atmos_aspeed)</f>
        <v>477.51087515767642</v>
      </c>
      <c r="BC31" s="162">
        <f t="shared" si="5"/>
        <v>2733.9597306061946</v>
      </c>
      <c r="BE31">
        <v>0.47</v>
      </c>
      <c r="BF31" cm="1">
        <f t="array" ref="BF31">numeng*InterpolateXY(BF$3,BE31,Tmil_h,Tmil_M,Tmil_table)</f>
        <v>1773.3625078334499</v>
      </c>
      <c r="BG31" cm="1">
        <f t="array" ref="BG31">1*BF$4/(S*Linterp(BF$3,atmos_h,atmos_qms)*BE31^2)</f>
        <v>0.60533800259863912</v>
      </c>
      <c r="BH31" cm="1">
        <f t="array" ref="BH31">InterpolateXY(BG31,BE31,CD_CL,CD_M,CD_table)</f>
        <v>9.1398045138203945E-2</v>
      </c>
      <c r="BI31" cm="1">
        <f t="array" ref="BI31">BH31*S*Linterp(BF$3,atmos_h,atmos_qms)*BE31^2</f>
        <v>1509.8679538678186</v>
      </c>
      <c r="BJ31" cm="1">
        <f t="array" ref="BJ31">BE31*Linterp(BF$3,atmos_h,atmos_aspeed)</f>
        <v>467.49474184654747</v>
      </c>
      <c r="BK31" s="162">
        <f t="shared" si="6"/>
        <v>739.09391090480358</v>
      </c>
      <c r="BM31">
        <v>0.47</v>
      </c>
      <c r="BN31" cm="1">
        <f t="array" ref="BN31">numeng*InterpolateXY(BN$3,BM31,Tmil_h,Tmil_M,Tmil_table)</f>
        <v>1497.9130810846464</v>
      </c>
      <c r="BO31" cm="1">
        <f t="array" ref="BO31">1*BN$4/(S*Linterp(BN$3,atmos_h,atmos_qms)*BM31^2)</f>
        <v>0.76395108250126353</v>
      </c>
      <c r="BP31" cm="1">
        <f t="array" ref="BP31">InterpolateXY(BO31,BM31,CD_CL,CD_M,CD_table)</f>
        <v>0.17020369781095684</v>
      </c>
      <c r="BQ31" cm="1">
        <f t="array" ref="BQ31">BP31*S*Linterp(BN$3,atmos_h,atmos_qms)*BM31^2</f>
        <v>2227.9397426035498</v>
      </c>
      <c r="BR31" cm="1">
        <f t="array" ref="BR31">BM31*Linterp(BN$3,atmos_h,atmos_aspeed)</f>
        <v>457.25926061096902</v>
      </c>
      <c r="BS31" s="162">
        <f t="shared" si="7"/>
        <v>-2002.8687088345678</v>
      </c>
      <c r="BU31">
        <v>0.47</v>
      </c>
      <c r="BV31" cm="1">
        <f t="array" ref="BV31">numeng*InterpolateXY(BV$3,BU31,Tmil_h,Tmil_M,Tmil_table)</f>
        <v>1213.1232329804677</v>
      </c>
      <c r="BW31" cm="1">
        <f t="array" ref="BW31">1*BV$4/(S*Linterp(BV$3,atmos_h,atmos_qms)*BU31^2)</f>
        <v>0.97123073806363103</v>
      </c>
      <c r="BX31" t="e" cm="1">
        <f t="array" ref="BX31">InterpolateXY(BW31,BU31,CD_CL,CD_M,CD_table)</f>
        <v>#VALUE!</v>
      </c>
      <c r="BY31" t="e" cm="1">
        <f t="array" ref="BY31">BX31*S*Linterp(BV$3,atmos_h,atmos_qms)*BU31^2</f>
        <v>#VALUE!</v>
      </c>
      <c r="BZ31" cm="1">
        <f t="array" ref="BZ31">BU31*Linterp(BV$3,atmos_h,atmos_aspeed)</f>
        <v>455.00723989807386</v>
      </c>
      <c r="CA31" s="162" t="e">
        <f t="shared" si="8"/>
        <v>#VALUE!</v>
      </c>
    </row>
    <row r="32" spans="1:79">
      <c r="A32" s="120">
        <v>24000</v>
      </c>
      <c r="B32" s="11">
        <v>0.91810000000000003</v>
      </c>
      <c r="C32" s="11"/>
      <c r="D32" s="120">
        <v>24000</v>
      </c>
      <c r="E32" s="11">
        <v>0.82062500259127613</v>
      </c>
      <c r="I32">
        <v>0.48</v>
      </c>
      <c r="J32" cm="1">
        <f t="array" ref="J32">numeng*InterpolateXY(J$3,I32,Tmil_h,Tmil_M,Tmil_table)</f>
        <v>3992</v>
      </c>
      <c r="K32" cm="1">
        <f t="array" ref="K32">1*J$4/(S*Linterp(J$3,atmos_h,atmos_qms)*I32^2)</f>
        <v>0.1723493894884949</v>
      </c>
      <c r="L32" cm="1">
        <f t="array" ref="L32">InterpolateXY(K32,I32,CD_CL,CD_M,CD_table)</f>
        <v>1.9203102105818558E-2</v>
      </c>
      <c r="M32" cm="1">
        <f t="array" ref="M32">L32*S*Linterp(J$3,atmos_h,atmos_qms)*I32^2</f>
        <v>1114.1961200332801</v>
      </c>
      <c r="N32" cm="1">
        <f t="array" ref="N32">I32*Linterp(J$3,atmos_h,atmos_aspeed)</f>
        <v>535.89599999999996</v>
      </c>
      <c r="O32" s="162">
        <f t="shared" si="0"/>
        <v>9253.2215283518708</v>
      </c>
      <c r="Q32">
        <v>0.48</v>
      </c>
      <c r="R32" cm="1">
        <f t="array" ref="R32">numeng*InterpolateXY(R$3,Q32,Tmil_h,Tmil_M,Tmil_table)</f>
        <v>3605.2191356865187</v>
      </c>
      <c r="S32" cm="1">
        <f t="array" ref="S32">1*R$4/(S*Linterp(R$3,atmos_h,atmos_qms)*Q32^2)</f>
        <v>0.20713898915803483</v>
      </c>
      <c r="T32" cm="1">
        <f t="array" ref="T32">InterpolateXY(S32,Q32,CD_CL,CD_M,CD_table)</f>
        <v>2.0686186822377176E-2</v>
      </c>
      <c r="U32" cm="1">
        <f t="array" ref="U32">T32*S*Linterp(R$3,atmos_h,atmos_qms)*Q32^2</f>
        <v>998.66214981839255</v>
      </c>
      <c r="V32" cm="1">
        <f t="array" ref="V32">Q32*Linterp(R$3,atmos_h,atmos_aspeed)</f>
        <v>526.6043646577192</v>
      </c>
      <c r="W32" s="162">
        <f t="shared" si="1"/>
        <v>8235.7457129233444</v>
      </c>
      <c r="Y32">
        <v>0.48</v>
      </c>
      <c r="Z32" cm="1">
        <f t="array" ref="Z32">numeng*InterpolateXY(Z$3,Y32,Tmil_h,Tmil_M,Tmil_table)</f>
        <v>3231.5670098741821</v>
      </c>
      <c r="AA32" cm="1">
        <f t="array" ref="AA32">1*Z$4/(S*Linterp(Z$3,atmos_h,atmos_qms)*Y32^2)</f>
        <v>0.25061603053782927</v>
      </c>
      <c r="AB32" cm="1">
        <f t="array" ref="AB32">InterpolateXY(AA32,Y32,CD_CL,CD_M,CD_table)</f>
        <v>2.340350190861433E-2</v>
      </c>
      <c r="AC32" cm="1">
        <f t="array" ref="AC32">AB32*S*Linterp(Z$3,atmos_h,atmos_qms)*Y32^2</f>
        <v>933.8389830207484</v>
      </c>
      <c r="AD32" cm="1">
        <f t="array" ref="AD32">Y32*Linterp(Z$3,atmos_h,atmos_aspeed)</f>
        <v>517.14581206572711</v>
      </c>
      <c r="AE32" s="162">
        <f t="shared" si="2"/>
        <v>7129.5625581197992</v>
      </c>
      <c r="AG32">
        <v>0.48</v>
      </c>
      <c r="AH32" cm="1">
        <f t="array" ref="AH32">numeng*InterpolateXY(AH$3,AG32,Tmil_h,Tmil_M,Tmil_table)</f>
        <v>2813.9281160095602</v>
      </c>
      <c r="AI32" cm="1">
        <f t="array" ref="AI32">1*AH$4/(S*Linterp(AH$3,atmos_h,atmos_qms)*AG32^2)</f>
        <v>0.30539966193662105</v>
      </c>
      <c r="AJ32" cm="1">
        <f t="array" ref="AJ32">InterpolateXY(AI32,AG32,CD_CL,CD_M,CD_table)</f>
        <v>2.6928722532350461E-2</v>
      </c>
      <c r="AK32" cm="1">
        <f t="array" ref="AK32">AJ32*S*Linterp(AH$3,atmos_h,atmos_qms)*AG32^2</f>
        <v>881.75351477431957</v>
      </c>
      <c r="AL32" cm="1">
        <f t="array" ref="AL32">AG32*Linterp(AH$3,atmos_h,atmos_aspeed)</f>
        <v>507.51100973050859</v>
      </c>
      <c r="AM32" s="162">
        <f t="shared" si="3"/>
        <v>5883.5992970912384</v>
      </c>
      <c r="AO32">
        <v>0.48</v>
      </c>
      <c r="AP32" cm="1">
        <f t="array" ref="AP32">numeng*InterpolateXY(AP$3,AO32,Tmil_h,Tmil_M,Tmil_table)</f>
        <v>2433.8570945297733</v>
      </c>
      <c r="AQ32" cm="1">
        <f t="array" ref="AQ32">1*AP$4/(S*Linterp(AP$3,atmos_h,atmos_qms)*AO32^2)</f>
        <v>0.37504582481463461</v>
      </c>
      <c r="AR32" cm="1">
        <f t="array" ref="AR32">InterpolateXY(AQ32,AO32,CD_CL,CD_M,CD_table)</f>
        <v>3.4102745667474454E-2</v>
      </c>
      <c r="AS32" cm="1">
        <f t="array" ref="AS32">AR32*S*Linterp(AP$3,atmos_h,atmos_qms)*AO32^2</f>
        <v>909.29543567988378</v>
      </c>
      <c r="AT32" cm="1">
        <f t="array" ref="AT32">AO32*Linterp(AP$3,atmos_h,atmos_aspeed)</f>
        <v>497.68972167228907</v>
      </c>
      <c r="AU32" s="162">
        <f t="shared" si="4"/>
        <v>4552.5520059914697</v>
      </c>
      <c r="AW32">
        <v>0.48</v>
      </c>
      <c r="AX32" cm="1">
        <f t="array" ref="AX32">numeng*InterpolateXY(AX$3,AW32,Tmil_h,Tmil_M,Tmil_table)</f>
        <v>2090.0015086264193</v>
      </c>
      <c r="AY32" cm="1">
        <f t="array" ref="AY32">1*AX$4/(S*Linterp(AX$3,atmos_h,atmos_qms)*AW32^2)</f>
        <v>0.46443963020839402</v>
      </c>
      <c r="AZ32" cm="1">
        <f t="array" ref="AZ32">InterpolateXY(AY32,AW32,CD_CL,CD_M,CD_table)</f>
        <v>5.0592365671887192E-2</v>
      </c>
      <c r="BA32" cm="1">
        <f t="array" ref="BA32">AZ32*S*Linterp(AX$3,atmos_h,atmos_qms)*AW32^2</f>
        <v>1089.3206001646845</v>
      </c>
      <c r="BB32" cm="1">
        <f t="array" ref="BB32">AW32*Linterp(AX$3,atmos_h,atmos_aspeed)</f>
        <v>487.67068101209509</v>
      </c>
      <c r="BC32" s="162">
        <f t="shared" si="5"/>
        <v>2928.0164406320168</v>
      </c>
      <c r="BE32">
        <v>0.48</v>
      </c>
      <c r="BF32" cm="1">
        <f t="array" ref="BF32">numeng*InterpolateXY(BF$3,BE32,Tmil_h,Tmil_M,Tmil_table)</f>
        <v>1780.8450500605952</v>
      </c>
      <c r="BG32" cm="1">
        <f t="array" ref="BG32">1*BF$4/(S*Linterp(BF$3,atmos_h,atmos_qms)*BE32^2)</f>
        <v>0.58037831933176809</v>
      </c>
      <c r="BH32" cm="1">
        <f t="array" ref="BH32">InterpolateXY(BG32,BE32,CD_CL,CD_M,CD_table)</f>
        <v>8.2898413950843408E-2</v>
      </c>
      <c r="BI32" cm="1">
        <f t="array" ref="BI32">BH32*S*Linterp(BF$3,atmos_h,atmos_qms)*BE32^2</f>
        <v>1428.3513217084055</v>
      </c>
      <c r="BJ32" cm="1">
        <f t="array" ref="BJ32">BE32*Linterp(BF$3,atmos_h,atmos_aspeed)</f>
        <v>477.44143848158041</v>
      </c>
      <c r="BK32" s="162">
        <f t="shared" si="6"/>
        <v>1009.7706763212293</v>
      </c>
      <c r="BM32">
        <v>0.48</v>
      </c>
      <c r="BN32" cm="1">
        <f t="array" ref="BN32">numeng*InterpolateXY(BN$3,BM32,Tmil_h,Tmil_M,Tmil_table)</f>
        <v>1504.7302279162275</v>
      </c>
      <c r="BO32" cm="1">
        <f t="array" ref="BO32">1*BN$4/(S*Linterp(BN$3,atmos_h,atmos_qms)*BM32^2)</f>
        <v>0.73245136338771322</v>
      </c>
      <c r="BP32" cm="1">
        <f t="array" ref="BP32">InterpolateXY(BO32,BM32,CD_CL,CD_M,CD_table)</f>
        <v>0.15178970124829971</v>
      </c>
      <c r="BQ32" cm="1">
        <f t="array" ref="BQ32">BP32*S*Linterp(BN$3,atmos_h,atmos_qms)*BM32^2</f>
        <v>2072.3519517561726</v>
      </c>
      <c r="BR32" cm="1">
        <f t="array" ref="BR32">BM32*Linterp(BN$3,atmos_h,atmos_aspeed)</f>
        <v>466.98818104950027</v>
      </c>
      <c r="BS32" s="162">
        <f t="shared" si="7"/>
        <v>-1590.4358180411866</v>
      </c>
      <c r="BU32">
        <v>0.48</v>
      </c>
      <c r="BV32" cm="1">
        <f t="array" ref="BV32">numeng*InterpolateXY(BV$3,BU32,Tmil_h,Tmil_M,Tmil_table)</f>
        <v>1219.0313006735546</v>
      </c>
      <c r="BW32" cm="1">
        <f t="array" ref="BW32">1*BV$4/(S*Linterp(BV$3,atmos_h,atmos_qms)*BU32^2)</f>
        <v>0.93118433176326421</v>
      </c>
      <c r="BX32" t="e" cm="1">
        <f t="array" ref="BX32">InterpolateXY(BW32,BU32,CD_CL,CD_M,CD_table)</f>
        <v>#VALUE!</v>
      </c>
      <c r="BY32" t="e" cm="1">
        <f t="array" ref="BY32">BX32*S*Linterp(BV$3,atmos_h,atmos_qms)*BU32^2</f>
        <v>#VALUE!</v>
      </c>
      <c r="BZ32" cm="1">
        <f t="array" ref="BZ32">BU32*Linterp(BV$3,atmos_h,atmos_aspeed)</f>
        <v>464.68824500228823</v>
      </c>
      <c r="CA32" s="162" t="e">
        <f t="shared" si="8"/>
        <v>#VALUE!</v>
      </c>
    </row>
    <row r="33" spans="1:79">
      <c r="A33" s="120">
        <v>25000</v>
      </c>
      <c r="B33" s="11">
        <v>0.91900000000000004</v>
      </c>
      <c r="C33" s="11"/>
      <c r="D33" s="120">
        <v>25000</v>
      </c>
      <c r="E33" s="11">
        <v>0.82402449503971698</v>
      </c>
      <c r="I33">
        <v>0.49</v>
      </c>
      <c r="J33" cm="1">
        <f t="array" ref="J33">numeng*InterpolateXY(J$3,I33,Tmil_h,Tmil_M,Tmil_table)</f>
        <v>3996</v>
      </c>
      <c r="K33" cm="1">
        <f t="array" ref="K33">1*J$4/(S*Linterp(J$3,atmos_h,atmos_qms)*I33^2)</f>
        <v>0.16538650286609424</v>
      </c>
      <c r="L33" cm="1">
        <f t="array" ref="L33">InterpolateXY(K33,I33,CD_CL,CD_M,CD_table)</f>
        <v>1.8921993857478534E-2</v>
      </c>
      <c r="M33" cm="1">
        <f t="array" ref="M33">L33*S*Linterp(J$3,atmos_h,atmos_qms)*I33^2</f>
        <v>1144.10750149296</v>
      </c>
      <c r="N33" cm="1">
        <f t="array" ref="N33">I33*Linterp(J$3,atmos_h,atmos_aspeed)</f>
        <v>547.06050000000005</v>
      </c>
      <c r="O33" s="162">
        <f t="shared" si="0"/>
        <v>9360.9464170770625</v>
      </c>
      <c r="Q33">
        <v>0.49</v>
      </c>
      <c r="R33" cm="1">
        <f t="array" ref="R33">numeng*InterpolateXY(R$3,Q33,Tmil_h,Tmil_M,Tmil_table)</f>
        <v>3612.1124801142173</v>
      </c>
      <c r="S33" cm="1">
        <f t="array" ref="S33">1*R$4/(S*Linterp(R$3,atmos_h,atmos_qms)*Q33^2)</f>
        <v>0.19877060850483641</v>
      </c>
      <c r="T33" cm="1">
        <f t="array" ref="T33">InterpolateXY(S33,Q33,CD_CL,CD_M,CD_table)</f>
        <v>2.0173897818931367E-2</v>
      </c>
      <c r="U33" cm="1">
        <f t="array" ref="U33">T33*S*Linterp(R$3,atmos_h,atmos_qms)*Q33^2</f>
        <v>1014.9336449025612</v>
      </c>
      <c r="V33" cm="1">
        <f t="array" ref="V33">Q33*Linterp(R$3,atmos_h,atmos_aspeed)</f>
        <v>537.5752889214217</v>
      </c>
      <c r="W33" s="162">
        <f t="shared" si="1"/>
        <v>8377.0749763170443</v>
      </c>
      <c r="Y33">
        <v>0.49</v>
      </c>
      <c r="Z33" cm="1">
        <f t="array" ref="Z33">numeng*InterpolateXY(Z$3,Y33,Tmil_h,Tmil_M,Tmil_table)</f>
        <v>3240.4287109981515</v>
      </c>
      <c r="AA33" cm="1">
        <f t="array" ref="AA33">1*Z$4/(S*Linterp(Z$3,atmos_h,atmos_qms)*Y33^2)</f>
        <v>0.24049118465604274</v>
      </c>
      <c r="AB33" cm="1">
        <f t="array" ref="AB33">InterpolateXY(AA33,Y33,CD_CL,CD_M,CD_table)</f>
        <v>2.2750699041002673E-2</v>
      </c>
      <c r="AC33" cm="1">
        <f t="array" ref="AC33">AB33*S*Linterp(Z$3,atmos_h,atmos_qms)*Y33^2</f>
        <v>946.00968736302593</v>
      </c>
      <c r="AD33" cm="1">
        <f t="array" ref="AD33">Y33*Linterp(Z$3,atmos_h,atmos_aspeed)</f>
        <v>527.91968315042971</v>
      </c>
      <c r="AE33" s="162">
        <f t="shared" si="2"/>
        <v>7267.6137838306431</v>
      </c>
      <c r="AG33">
        <v>0.49</v>
      </c>
      <c r="AH33" cm="1">
        <f t="array" ref="AH33">numeng*InterpolateXY(AH$3,AG33,Tmil_h,Tmil_M,Tmil_table)</f>
        <v>2822.737372186692</v>
      </c>
      <c r="AI33" cm="1">
        <f t="array" ref="AI33">1*AH$4/(S*Linterp(AH$3,atmos_h,atmos_qms)*AG33^2)</f>
        <v>0.29306156647312576</v>
      </c>
      <c r="AJ33" cm="1">
        <f t="array" ref="AJ33">InterpolateXY(AI33,AG33,CD_CL,CD_M,CD_table)</f>
        <v>2.6036347904570361E-2</v>
      </c>
      <c r="AK33" cm="1">
        <f t="array" ref="AK33">AJ33*S*Linterp(AH$3,atmos_h,atmos_qms)*AG33^2</f>
        <v>888.42587644319906</v>
      </c>
      <c r="AL33" cm="1">
        <f t="array" ref="AL33">AG33*Linterp(AH$3,atmos_h,atmos_aspeed)</f>
        <v>518.0841557665608</v>
      </c>
      <c r="AM33" s="162">
        <f t="shared" si="3"/>
        <v>6012.8168295709256</v>
      </c>
      <c r="AO33">
        <v>0.49</v>
      </c>
      <c r="AP33" cm="1">
        <f t="array" ref="AP33">numeng*InterpolateXY(AP$3,AO33,Tmil_h,Tmil_M,Tmil_table)</f>
        <v>2442.3819880307533</v>
      </c>
      <c r="AQ33" cm="1">
        <f t="array" ref="AQ33">1*AP$4/(S*Linterp(AP$3,atmos_h,atmos_qms)*AO33^2)</f>
        <v>0.35989403597372688</v>
      </c>
      <c r="AR33" cm="1">
        <f t="array" ref="AR33">InterpolateXY(AQ33,AO33,CD_CL,CD_M,CD_table)</f>
        <v>3.1934979599275784E-2</v>
      </c>
      <c r="AS33" cm="1">
        <f t="array" ref="AS33">AR33*S*Linterp(AP$3,atmos_h,atmos_qms)*AO33^2</f>
        <v>887.34395147373652</v>
      </c>
      <c r="AT33" cm="1">
        <f t="array" ref="AT33">AO33*Linterp(AP$3,atmos_h,atmos_aspeed)</f>
        <v>508.0582575404618</v>
      </c>
      <c r="AU33" s="162">
        <f t="shared" si="4"/>
        <v>4740.2994915737936</v>
      </c>
      <c r="AW33">
        <v>0.49</v>
      </c>
      <c r="AX33" cm="1">
        <f t="array" ref="AX33">numeng*InterpolateXY(AX$3,AW33,Tmil_h,Tmil_M,Tmil_table)</f>
        <v>2098.0675521845833</v>
      </c>
      <c r="AY33" cm="1">
        <f t="array" ref="AY33">1*AX$4/(S*Linterp(AX$3,atmos_h,atmos_qms)*AW33^2)</f>
        <v>0.44567634652234062</v>
      </c>
      <c r="AZ33" cm="1">
        <f t="array" ref="AZ33">InterpolateXY(AY33,AW33,CD_CL,CD_M,CD_table)</f>
        <v>4.680094565099046E-2</v>
      </c>
      <c r="BA33" cm="1">
        <f t="array" ref="BA33">AZ33*S*Linterp(AX$3,atmos_h,atmos_qms)*AW33^2</f>
        <v>1050.1106019240906</v>
      </c>
      <c r="BB33" cm="1">
        <f t="array" ref="BB33">AW33*Linterp(AX$3,atmos_h,atmos_aspeed)</f>
        <v>497.83048686651375</v>
      </c>
      <c r="BC33" s="162">
        <f t="shared" si="5"/>
        <v>3130.2295125799678</v>
      </c>
      <c r="BE33">
        <v>0.49</v>
      </c>
      <c r="BF33" cm="1">
        <f t="array" ref="BF33">numeng*InterpolateXY(BF$3,BE33,Tmil_h,Tmil_M,Tmil_table)</f>
        <v>1788.3275922877406</v>
      </c>
      <c r="BG33" cm="1">
        <f t="array" ref="BG33">1*BF$4/(S*Linterp(BF$3,atmos_h,atmos_qms)*BE33^2)</f>
        <v>0.55693113192019728</v>
      </c>
      <c r="BH33" cm="1">
        <f t="array" ref="BH33">InterpolateXY(BG33,BE33,CD_CL,CD_M,CD_table)</f>
        <v>7.553944429102176E-2</v>
      </c>
      <c r="BI33" cm="1">
        <f t="array" ref="BI33">BH33*S*Linterp(BF$3,atmos_h,atmos_qms)*BE33^2</f>
        <v>1356.3516198237203</v>
      </c>
      <c r="BJ33" cm="1">
        <f t="array" ref="BJ33">BE33*Linterp(BF$3,atmos_h,atmos_aspeed)</f>
        <v>487.38813511661334</v>
      </c>
      <c r="BK33" s="162">
        <f t="shared" si="6"/>
        <v>1263.2397818065463</v>
      </c>
      <c r="BM33">
        <v>0.49</v>
      </c>
      <c r="BN33" cm="1">
        <f t="array" ref="BN33">numeng*InterpolateXY(BN$3,BM33,Tmil_h,Tmil_M,Tmil_table)</f>
        <v>1511.5473747478084</v>
      </c>
      <c r="BO33" cm="1">
        <f t="array" ref="BO33">1*BN$4/(S*Linterp(BN$3,atmos_h,atmos_qms)*BM33^2)</f>
        <v>0.70286045033123323</v>
      </c>
      <c r="BP33" cm="1">
        <f t="array" ref="BP33">InterpolateXY(BO33,BM33,CD_CL,CD_M,CD_table)</f>
        <v>0.13449033595984422</v>
      </c>
      <c r="BQ33" cm="1">
        <f t="array" ref="BQ33">BP33*S*Linterp(BN$3,atmos_h,atmos_qms)*BM33^2</f>
        <v>1913.4713853434728</v>
      </c>
      <c r="BR33" cm="1">
        <f t="array" ref="BR33">BM33*Linterp(BN$3,atmos_h,atmos_aspeed)</f>
        <v>476.71710148803157</v>
      </c>
      <c r="BS33" s="162">
        <f t="shared" si="7"/>
        <v>-1149.6242960976601</v>
      </c>
      <c r="BU33">
        <v>0.49</v>
      </c>
      <c r="BV33" cm="1">
        <f t="array" ref="BV33">numeng*InterpolateXY(BV$3,BU33,Tmil_h,Tmil_M,Tmil_table)</f>
        <v>1224.9393683666412</v>
      </c>
      <c r="BW33" cm="1">
        <f t="array" ref="BW33">1*BV$4/(S*Linterp(BV$3,atmos_h,atmos_qms)*BU33^2)</f>
        <v>0.89356463989277846</v>
      </c>
      <c r="BX33" t="e" cm="1">
        <f t="array" ref="BX33">InterpolateXY(BW33,BU33,CD_CL,CD_M,CD_table)</f>
        <v>#VALUE!</v>
      </c>
      <c r="BY33" t="e" cm="1">
        <f t="array" ref="BY33">BX33*S*Linterp(BV$3,atmos_h,atmos_qms)*BU33^2</f>
        <v>#VALUE!</v>
      </c>
      <c r="BZ33" cm="1">
        <f t="array" ref="BZ33">BU33*Linterp(BV$3,atmos_h,atmos_aspeed)</f>
        <v>474.36925010650253</v>
      </c>
      <c r="CA33" s="162" t="e">
        <f t="shared" si="8"/>
        <v>#VALUE!</v>
      </c>
    </row>
    <row r="34" spans="1:79">
      <c r="A34" s="120">
        <v>26000</v>
      </c>
      <c r="B34" s="11">
        <v>0.92018</v>
      </c>
      <c r="C34" s="11"/>
      <c r="D34" s="120">
        <v>26000</v>
      </c>
      <c r="E34" s="11">
        <v>0.82746658842102272</v>
      </c>
      <c r="I34">
        <v>0.5</v>
      </c>
      <c r="J34" cm="1">
        <f t="array" ref="J34">numeng*InterpolateXY(J$3,I34,Tmil_h,Tmil_M,Tmil_table)</f>
        <v>4000</v>
      </c>
      <c r="K34" cm="1">
        <f t="array" ref="K34">1*J$4/(S*Linterp(J$3,atmos_h,atmos_qms)*I34^2)</f>
        <v>0.15883719735259691</v>
      </c>
      <c r="L34" cm="1">
        <f t="array" ref="L34">InterpolateXY(K34,I34,CD_CL,CD_M,CD_table)</f>
        <v>1.8656394900722385E-2</v>
      </c>
      <c r="M34" cm="1">
        <f t="array" ref="M34">L34*S*Linterp(J$3,atmos_h,atmos_qms)*I34^2</f>
        <v>1174.5608215000002</v>
      </c>
      <c r="N34" cm="1">
        <f t="array" ref="N34">I34*Linterp(J$3,atmos_h,atmos_aspeed)</f>
        <v>558.22500000000002</v>
      </c>
      <c r="O34" s="162">
        <f t="shared" si="0"/>
        <v>9463.3847125089742</v>
      </c>
      <c r="Q34">
        <v>0.5</v>
      </c>
      <c r="R34" cm="1">
        <f t="array" ref="R34">numeng*InterpolateXY(R$3,Q34,Tmil_h,Tmil_M,Tmil_table)</f>
        <v>3619.0058245419164</v>
      </c>
      <c r="S34" cm="1">
        <f t="array" ref="S34">1*R$4/(S*Linterp(R$3,atmos_h,atmos_qms)*Q34^2)</f>
        <v>0.19089929240804487</v>
      </c>
      <c r="T34" cm="1">
        <f t="array" ref="T34">InterpolateXY(S34,Q34,CD_CL,CD_M,CD_table)</f>
        <v>1.9858723465301684E-2</v>
      </c>
      <c r="U34" cm="1">
        <f t="array" ref="U34">T34*S*Linterp(R$3,atmos_h,atmos_qms)*Q34^2</f>
        <v>1040.2722406562884</v>
      </c>
      <c r="V34" cm="1">
        <f t="array" ref="V34">Q34*Linterp(R$3,atmos_h,atmos_aspeed)</f>
        <v>548.5462131851242</v>
      </c>
      <c r="W34" s="162">
        <f t="shared" si="1"/>
        <v>8487.3272535225897</v>
      </c>
      <c r="Y34">
        <v>0.5</v>
      </c>
      <c r="Z34" cm="1">
        <f t="array" ref="Z34">numeng*InterpolateXY(Z$3,Y34,Tmil_h,Tmil_M,Tmil_table)</f>
        <v>3249.2904121221209</v>
      </c>
      <c r="AA34" cm="1">
        <f t="array" ref="AA34">1*Z$4/(S*Linterp(Z$3,atmos_h,atmos_qms)*Y34^2)</f>
        <v>0.23096773374366344</v>
      </c>
      <c r="AB34" cm="1">
        <f t="array" ref="AB34">InterpolateXY(AA34,Y34,CD_CL,CD_M,CD_table)</f>
        <v>2.2135483358978966E-2</v>
      </c>
      <c r="AC34" cm="1">
        <f t="array" ref="AC34">AB34*S*Linterp(Z$3,atmos_h,atmos_qms)*Y34^2</f>
        <v>958.37990009226769</v>
      </c>
      <c r="AD34" cm="1">
        <f t="array" ref="AD34">Y34*Linterp(Z$3,atmos_h,atmos_aspeed)</f>
        <v>538.69355423513241</v>
      </c>
      <c r="AE34" s="162">
        <f t="shared" si="2"/>
        <v>7404.5923569599317</v>
      </c>
      <c r="AG34">
        <v>0.5</v>
      </c>
      <c r="AH34" cm="1">
        <f t="array" ref="AH34">numeng*InterpolateXY(AH$3,AG34,Tmil_h,Tmil_M,Tmil_table)</f>
        <v>2831.5466283638239</v>
      </c>
      <c r="AI34" cm="1">
        <f t="array" ref="AI34">1*AH$4/(S*Linterp(AH$3,atmos_h,atmos_qms)*AG34^2)</f>
        <v>0.28145632844078999</v>
      </c>
      <c r="AJ34" cm="1">
        <f t="array" ref="AJ34">InterpolateXY(AI34,AG34,CD_CL,CD_M,CD_table)</f>
        <v>2.5291020527549377E-2</v>
      </c>
      <c r="AK34" cm="1">
        <f t="array" ref="AK34">AJ34*S*Linterp(AH$3,atmos_h,atmos_qms)*AG34^2</f>
        <v>898.57707828622711</v>
      </c>
      <c r="AL34" cm="1">
        <f t="array" ref="AL34">AG34*Linterp(AH$3,atmos_h,atmos_aspeed)</f>
        <v>528.65730180261312</v>
      </c>
      <c r="AM34" s="162">
        <f t="shared" si="3"/>
        <v>6131.2708008638001</v>
      </c>
      <c r="AO34">
        <v>0.5</v>
      </c>
      <c r="AP34" cm="1">
        <f t="array" ref="AP34">numeng*InterpolateXY(AP$3,AO34,Tmil_h,Tmil_M,Tmil_table)</f>
        <v>2450.9068815317332</v>
      </c>
      <c r="AQ34" cm="1">
        <f t="array" ref="AQ34">1*AP$4/(S*Linterp(AP$3,atmos_h,atmos_qms)*AO34^2)</f>
        <v>0.34564223214916728</v>
      </c>
      <c r="AR34" cm="1">
        <f t="array" ref="AR34">InterpolateXY(AQ34,AO34,CD_CL,CD_M,CD_table)</f>
        <v>3.015843136211984E-2</v>
      </c>
      <c r="AS34" cm="1">
        <f t="array" ref="AS34">AR34*S*Linterp(AP$3,atmos_h,atmos_qms)*AO34^2</f>
        <v>872.5331732351649</v>
      </c>
      <c r="AT34" cm="1">
        <f t="array" ref="AT34">AO34*Linterp(AP$3,atmos_h,atmos_aspeed)</f>
        <v>518.42679340863447</v>
      </c>
      <c r="AU34" s="162">
        <f t="shared" si="4"/>
        <v>4909.6273223561111</v>
      </c>
      <c r="AW34">
        <v>0.5</v>
      </c>
      <c r="AX34" cm="1">
        <f t="array" ref="AX34">numeng*InterpolateXY(AX$3,AW34,Tmil_h,Tmil_M,Tmil_table)</f>
        <v>2106.1335957427468</v>
      </c>
      <c r="AY34" cm="1">
        <f t="array" ref="AY34">1*AX$4/(S*Linterp(AX$3,atmos_h,atmos_qms)*AW34^2)</f>
        <v>0.42802756320005586</v>
      </c>
      <c r="AZ34" cm="1">
        <f t="array" ref="AZ34">InterpolateXY(AY34,AW34,CD_CL,CD_M,CD_table)</f>
        <v>4.3233540203211226E-2</v>
      </c>
      <c r="BA34" cm="1">
        <f t="array" ref="BA34">AZ34*S*Linterp(AX$3,atmos_h,atmos_qms)*AW34^2</f>
        <v>1010.0643958530376</v>
      </c>
      <c r="BB34" cm="1">
        <f t="array" ref="BB34">AW34*Linterp(AX$3,atmos_h,atmos_aspeed)</f>
        <v>507.99029272093242</v>
      </c>
      <c r="BC34" s="162">
        <f t="shared" si="5"/>
        <v>3340.7550821662294</v>
      </c>
      <c r="BE34">
        <v>0.5</v>
      </c>
      <c r="BF34" cm="1">
        <f t="array" ref="BF34">numeng*InterpolateXY(BF$3,BE34,Tmil_h,Tmil_M,Tmil_table)</f>
        <v>1795.8101345148859</v>
      </c>
      <c r="BG34" cm="1">
        <f t="array" ref="BG34">1*BF$4/(S*Linterp(BF$3,atmos_h,atmos_qms)*BE34^2)</f>
        <v>0.53487665909615745</v>
      </c>
      <c r="BH34" cm="1">
        <f t="array" ref="BH34">InterpolateXY(BG34,BE34,CD_CL,CD_M,CD_table)</f>
        <v>6.8616394297097288E-2</v>
      </c>
      <c r="BI34" cm="1">
        <f t="array" ref="BI34">BH34*S*Linterp(BF$3,atmos_h,atmos_qms)*BE34^2</f>
        <v>1282.8451780462115</v>
      </c>
      <c r="BJ34" cm="1">
        <f t="array" ref="BJ34">BE34*Linterp(BF$3,atmos_h,atmos_aspeed)</f>
        <v>497.33483175164628</v>
      </c>
      <c r="BK34" s="162">
        <f t="shared" si="6"/>
        <v>1530.6920419190326</v>
      </c>
      <c r="BM34">
        <v>0.5</v>
      </c>
      <c r="BN34" cm="1">
        <f t="array" ref="BN34">numeng*InterpolateXY(BN$3,BM34,Tmil_h,Tmil_M,Tmil_table)</f>
        <v>1518.3645215793892</v>
      </c>
      <c r="BO34" cm="1">
        <f t="array" ref="BO34">1*BN$4/(S*Linterp(BN$3,atmos_h,atmos_qms)*BM34^2)</f>
        <v>0.67502717649811639</v>
      </c>
      <c r="BP34" cm="1">
        <f t="array" ref="BP34">InterpolateXY(BO34,BM34,CD_CL,CD_M,CD_table)</f>
        <v>0.12186190330617498</v>
      </c>
      <c r="BQ34" cm="1">
        <f t="array" ref="BQ34">BP34*S*Linterp(BN$3,atmos_h,atmos_qms)*BM34^2</f>
        <v>1805.2888468634126</v>
      </c>
      <c r="BR34" cm="1">
        <f t="array" ref="BR34">BM34*Linterp(BN$3,atmos_h,atmos_aspeed)</f>
        <v>486.44602192656282</v>
      </c>
      <c r="BS34" s="162">
        <f t="shared" si="7"/>
        <v>-837.43917977025751</v>
      </c>
      <c r="BU34">
        <v>0.5</v>
      </c>
      <c r="BV34" cm="1">
        <f t="array" ref="BV34">numeng*InterpolateXY(BV$3,BU34,Tmil_h,Tmil_M,Tmil_table)</f>
        <v>1230.8474360597279</v>
      </c>
      <c r="BW34" cm="1">
        <f t="array" ref="BW34">1*BV$4/(S*Linterp(BV$3,atmos_h,atmos_qms)*BU34^2)</f>
        <v>0.85817948015302437</v>
      </c>
      <c r="BX34" t="e" cm="1">
        <f t="array" ref="BX34">InterpolateXY(BW34,BU34,CD_CL,CD_M,CD_table)</f>
        <v>#VALUE!</v>
      </c>
      <c r="BY34" t="e" cm="1">
        <f t="array" ref="BY34">BX34*S*Linterp(BV$3,atmos_h,atmos_qms)*BU34^2</f>
        <v>#VALUE!</v>
      </c>
      <c r="BZ34" cm="1">
        <f t="array" ref="BZ34">BU34*Linterp(BV$3,atmos_h,atmos_aspeed)</f>
        <v>484.0502552107169</v>
      </c>
      <c r="CA34" s="162" t="e">
        <f t="shared" si="8"/>
        <v>#VALUE!</v>
      </c>
    </row>
    <row r="35" spans="1:79">
      <c r="A35" s="120">
        <v>27000</v>
      </c>
      <c r="B35" s="11">
        <v>0.92135999999999996</v>
      </c>
      <c r="C35" s="11"/>
      <c r="D35" s="120">
        <v>27000</v>
      </c>
      <c r="E35" s="11">
        <v>0.83095217999387561</v>
      </c>
      <c r="I35">
        <v>0.51</v>
      </c>
      <c r="J35" cm="1">
        <f t="array" ref="J35">numeng*InterpolateXY(J$3,I35,Tmil_h,Tmil_M,Tmil_table)</f>
        <v>4004</v>
      </c>
      <c r="K35" cm="1">
        <f t="array" ref="K35">1*J$4/(S*Linterp(J$3,atmos_h,atmos_qms)*I35^2)</f>
        <v>0.15266935539465293</v>
      </c>
      <c r="L35" cm="1">
        <f t="array" ref="L35">InterpolateXY(K35,I35,CD_CL,CD_M,CD_table)</f>
        <v>1.8405100827299486E-2</v>
      </c>
      <c r="M35" cm="1">
        <f t="array" ref="M35">L35*S*Linterp(J$3,atmos_h,atmos_qms)*I35^2</f>
        <v>1205.55305809224</v>
      </c>
      <c r="N35" cm="1">
        <f t="array" ref="N35">I35*Linterp(J$3,atmos_h,atmos_aspeed)</f>
        <v>569.3895</v>
      </c>
      <c r="O35" s="162">
        <f t="shared" si="0"/>
        <v>9560.4378301763318</v>
      </c>
      <c r="Q35">
        <v>0.51</v>
      </c>
      <c r="R35" cm="1">
        <f t="array" ref="R35">numeng*InterpolateXY(R$3,Q35,Tmil_h,Tmil_M,Tmil_table)</f>
        <v>3625.8991689696154</v>
      </c>
      <c r="S35" cm="1">
        <f t="array" ref="S35">1*R$4/(S*Linterp(R$3,atmos_h,atmos_qms)*Q35^2)</f>
        <v>0.18348644022303429</v>
      </c>
      <c r="T35" cm="1">
        <f t="array" ref="T35">InterpolateXY(S35,Q35,CD_CL,CD_M,CD_table)</f>
        <v>1.9560741508363788E-2</v>
      </c>
      <c r="U35" cm="1">
        <f t="array" ref="U35">T35*S*Linterp(R$3,atmos_h,atmos_qms)*Q35^2</f>
        <v>1066.0592403769463</v>
      </c>
      <c r="V35" cm="1">
        <f t="array" ref="V35">Q35*Linterp(R$3,atmos_h,atmos_aspeed)</f>
        <v>559.5171374488267</v>
      </c>
      <c r="W35" s="162">
        <f t="shared" si="1"/>
        <v>8593.6458550402749</v>
      </c>
      <c r="Y35">
        <v>0.51</v>
      </c>
      <c r="Z35" cm="1">
        <f t="array" ref="Z35">numeng*InterpolateXY(Z$3,Y35,Tmil_h,Tmil_M,Tmil_table)</f>
        <v>3258.1521132460903</v>
      </c>
      <c r="AA35" cm="1">
        <f t="array" ref="AA35">1*Z$4/(S*Linterp(Z$3,atmos_h,atmos_qms)*Y35^2)</f>
        <v>0.22199897514769651</v>
      </c>
      <c r="AB35" cm="1">
        <f t="array" ref="AB35">InterpolateXY(AA35,Y35,CD_CL,CD_M,CD_table)</f>
        <v>2.1554935946731035E-2</v>
      </c>
      <c r="AC35" cm="1">
        <f t="array" ref="AC35">AB35*S*Linterp(Z$3,atmos_h,atmos_qms)*Y35^2</f>
        <v>970.94754299610975</v>
      </c>
      <c r="AD35" cm="1">
        <f t="array" ref="AD35">Y35*Linterp(Z$3,atmos_h,atmos_aspeed)</f>
        <v>549.46742531983512</v>
      </c>
      <c r="AE35" s="162">
        <f t="shared" si="2"/>
        <v>7540.4664383700992</v>
      </c>
      <c r="AG35">
        <v>0.51</v>
      </c>
      <c r="AH35" cm="1">
        <f t="array" ref="AH35">numeng*InterpolateXY(AH$3,AG35,Tmil_h,Tmil_M,Tmil_table)</f>
        <v>2840.3558845409557</v>
      </c>
      <c r="AI35" cm="1">
        <f t="array" ref="AI35">1*AH$4/(S*Linterp(AH$3,atmos_h,atmos_qms)*AG35^2)</f>
        <v>0.27052703617915225</v>
      </c>
      <c r="AJ35" cm="1">
        <f t="array" ref="AJ35">InterpolateXY(AI35,AG35,CD_CL,CD_M,CD_table)</f>
        <v>2.4587939761197018E-2</v>
      </c>
      <c r="AK35" cm="1">
        <f t="array" ref="AK35">AJ35*S*Linterp(AH$3,atmos_h,atmos_qms)*AG35^2</f>
        <v>908.89029460678546</v>
      </c>
      <c r="AL35" cm="1">
        <f t="array" ref="AL35">AG35*Linterp(AH$3,atmos_h,atmos_aspeed)</f>
        <v>539.23044783866544</v>
      </c>
      <c r="AM35" s="162">
        <f t="shared" si="3"/>
        <v>6249.0303302710481</v>
      </c>
      <c r="AO35">
        <v>0.51</v>
      </c>
      <c r="AP35" cm="1">
        <f t="array" ref="AP35">numeng*InterpolateXY(AP$3,AO35,Tmil_h,Tmil_M,Tmil_table)</f>
        <v>2459.4317750327132</v>
      </c>
      <c r="AQ35" cm="1">
        <f t="array" ref="AQ35">1*AP$4/(S*Linterp(AP$3,atmos_h,atmos_qms)*AO35^2)</f>
        <v>0.33222052301919192</v>
      </c>
      <c r="AR35" cm="1">
        <f t="array" ref="AR35">InterpolateXY(AQ35,AO35,CD_CL,CD_M,CD_table)</f>
        <v>2.9047917495309345E-2</v>
      </c>
      <c r="AS35" cm="1">
        <f t="array" ref="AS35">AR35*S*Linterp(AP$3,atmos_h,atmos_qms)*AO35^2</f>
        <v>874.35650366582831</v>
      </c>
      <c r="AT35" cm="1">
        <f t="array" ref="AT35">AO35*Linterp(AP$3,atmos_h,atmos_aspeed)</f>
        <v>528.79532927680714</v>
      </c>
      <c r="AU35" s="162">
        <f t="shared" si="4"/>
        <v>5029.0824003058578</v>
      </c>
      <c r="AW35">
        <v>0.51</v>
      </c>
      <c r="AX35" cm="1">
        <f t="array" ref="AX35">numeng*InterpolateXY(AX$3,AW35,Tmil_h,Tmil_M,Tmil_table)</f>
        <v>2114.1996393009103</v>
      </c>
      <c r="AY35" cm="1">
        <f t="array" ref="AY35">1*AX$4/(S*Linterp(AX$3,atmos_h,atmos_qms)*AW35^2)</f>
        <v>0.41140673125726246</v>
      </c>
      <c r="AZ35" cm="1">
        <f t="array" ref="AZ35">InterpolateXY(AY35,AW35,CD_CL,CD_M,CD_table)</f>
        <v>3.9872752982709751E-2</v>
      </c>
      <c r="BA35" cm="1">
        <f t="array" ref="BA35">AZ35*S*Linterp(AX$3,atmos_h,atmos_qms)*AW35^2</f>
        <v>969.18086052841863</v>
      </c>
      <c r="BB35" cm="1">
        <f t="array" ref="BB35">AW35*Linterp(AX$3,atmos_h,atmos_aspeed)</f>
        <v>518.15009857535108</v>
      </c>
      <c r="BC35" s="162">
        <f t="shared" si="5"/>
        <v>3559.7495585495681</v>
      </c>
      <c r="BE35">
        <v>0.51</v>
      </c>
      <c r="BF35" cm="1">
        <f t="array" ref="BF35">numeng*InterpolateXY(BF$3,BE35,Tmil_h,Tmil_M,Tmil_table)</f>
        <v>1803.2926767420313</v>
      </c>
      <c r="BG35" cm="1">
        <f t="array" ref="BG35">1*BF$4/(S*Linterp(BF$3,atmos_h,atmos_qms)*BE35^2)</f>
        <v>0.514106746536099</v>
      </c>
      <c r="BH35" cm="1">
        <f t="array" ref="BH35">InterpolateXY(BG35,BE35,CD_CL,CD_M,CD_table)</f>
        <v>6.2095411665798989E-2</v>
      </c>
      <c r="BI35" cm="1">
        <f t="array" ref="BI35">BH35*S*Linterp(BF$3,atmos_h,atmos_qms)*BE35^2</f>
        <v>1207.8310989727274</v>
      </c>
      <c r="BJ35" cm="1">
        <f t="array" ref="BJ35">BE35*Linterp(BF$3,atmos_h,atmos_aspeed)</f>
        <v>507.28152838667921</v>
      </c>
      <c r="BK35" s="162">
        <f t="shared" si="6"/>
        <v>1812.3999555981352</v>
      </c>
      <c r="BM35">
        <v>0.51</v>
      </c>
      <c r="BN35" cm="1">
        <f t="array" ref="BN35">numeng*InterpolateXY(BN$3,BM35,Tmil_h,Tmil_M,Tmil_table)</f>
        <v>1525.1816684109701</v>
      </c>
      <c r="BO35" cm="1">
        <f t="array" ref="BO35">1*BN$4/(S*Linterp(BN$3,atmos_h,atmos_qms)*BM35^2)</f>
        <v>0.64881504853721306</v>
      </c>
      <c r="BP35" cm="1">
        <f t="array" ref="BP35">InterpolateXY(BO35,BM35,CD_CL,CD_M,CD_table)</f>
        <v>0.11036099125929931</v>
      </c>
      <c r="BQ35" cm="1">
        <f t="array" ref="BQ35">BP35*S*Linterp(BN$3,atmos_h,atmos_qms)*BM35^2</f>
        <v>1700.9622620207999</v>
      </c>
      <c r="BR35" cm="1">
        <f t="array" ref="BR35">BM35*Linterp(BN$3,atmos_h,atmos_aspeed)</f>
        <v>496.17494236509407</v>
      </c>
      <c r="BS35" s="162">
        <f t="shared" si="7"/>
        <v>-523.30755541955591</v>
      </c>
      <c r="BU35">
        <v>0.51</v>
      </c>
      <c r="BV35" cm="1">
        <f t="array" ref="BV35">numeng*InterpolateXY(BV$3,BU35,Tmil_h,Tmil_M,Tmil_table)</f>
        <v>1236.7555037528145</v>
      </c>
      <c r="BW35" cm="1">
        <f t="array" ref="BW35">1*BV$4/(S*Linterp(BV$3,atmos_h,atmos_qms)*BU35^2)</f>
        <v>0.82485532502213033</v>
      </c>
      <c r="BX35" t="e" cm="1">
        <f t="array" ref="BX35">InterpolateXY(BW35,BU35,CD_CL,CD_M,CD_table)</f>
        <v>#VALUE!</v>
      </c>
      <c r="BY35" t="e" cm="1">
        <f t="array" ref="BY35">BX35*S*Linterp(BV$3,atmos_h,atmos_qms)*BU35^2</f>
        <v>#VALUE!</v>
      </c>
      <c r="BZ35" cm="1">
        <f t="array" ref="BZ35">BU35*Linterp(BV$3,atmos_h,atmos_aspeed)</f>
        <v>493.73126031493126</v>
      </c>
      <c r="CA35" s="162" t="e">
        <f t="shared" si="8"/>
        <v>#VALUE!</v>
      </c>
    </row>
    <row r="36" spans="1:79">
      <c r="A36" s="120">
        <v>28000</v>
      </c>
      <c r="B36" s="11">
        <v>0.92253999999999992</v>
      </c>
      <c r="C36" s="11"/>
      <c r="D36" s="120">
        <v>28000</v>
      </c>
      <c r="E36" s="11">
        <v>0.83448219369905352</v>
      </c>
      <c r="I36">
        <v>0.52</v>
      </c>
      <c r="J36" cm="1">
        <f t="array" ref="J36">numeng*InterpolateXY(J$3,I36,Tmil_h,Tmil_M,Tmil_table)</f>
        <v>4008</v>
      </c>
      <c r="K36" cm="1">
        <f t="array" ref="K36">1*J$4/(S*Linterp(J$3,atmos_h,atmos_qms)*I36^2)</f>
        <v>0.14685391767067021</v>
      </c>
      <c r="L36" cm="1">
        <f t="array" ref="L36">InterpolateXY(K36,I36,CD_CL,CD_M,CD_table)</f>
        <v>1.8167021912650134E-2</v>
      </c>
      <c r="M36" cm="1">
        <f t="array" ref="M36">L36*S*Linterp(J$3,atmos_h,atmos_qms)*I36^2</f>
        <v>1237.0811893075204</v>
      </c>
      <c r="N36" cm="1">
        <f t="array" ref="N36">I36*Linterp(J$3,atmos_h,atmos_aspeed)</f>
        <v>580.55400000000009</v>
      </c>
      <c r="O36" s="162">
        <f t="shared" si="0"/>
        <v>9652.0079953365712</v>
      </c>
      <c r="Q36">
        <v>0.52</v>
      </c>
      <c r="R36" cm="1">
        <f t="array" ref="R36">numeng*InterpolateXY(R$3,Q36,Tmil_h,Tmil_M,Tmil_table)</f>
        <v>3632.792513397314</v>
      </c>
      <c r="S36" cm="1">
        <f t="array" ref="S36">1*R$4/(S*Linterp(R$3,atmos_h,atmos_qms)*Q36^2)</f>
        <v>0.17649712685655036</v>
      </c>
      <c r="T36" cm="1">
        <f t="array" ref="T36">InterpolateXY(S36,Q36,CD_CL,CD_M,CD_table)</f>
        <v>1.9278642257120639E-2</v>
      </c>
      <c r="U36" cm="1">
        <f t="array" ref="U36">T36*S*Linterp(R$3,atmos_h,atmos_qms)*Q36^2</f>
        <v>1092.2921296497666</v>
      </c>
      <c r="V36" cm="1">
        <f t="array" ref="V36">Q36*Linterp(R$3,atmos_h,atmos_aspeed)</f>
        <v>570.4880617125292</v>
      </c>
      <c r="W36" s="162">
        <f t="shared" si="1"/>
        <v>8695.9508382244494</v>
      </c>
      <c r="Y36">
        <v>0.52</v>
      </c>
      <c r="Z36" cm="1">
        <f t="array" ref="Z36">numeng*InterpolateXY(Z$3,Y36,Tmil_h,Tmil_M,Tmil_table)</f>
        <v>3267.0138143700597</v>
      </c>
      <c r="AA36" cm="1">
        <f t="array" ref="AA36">1*Z$4/(S*Linterp(Z$3,atmos_h,atmos_qms)*Y36^2)</f>
        <v>0.21354265323933377</v>
      </c>
      <c r="AB36" cm="1">
        <f t="array" ref="AB36">InterpolateXY(AA36,Y36,CD_CL,CD_M,CD_table)</f>
        <v>2.1006415827458359E-2</v>
      </c>
      <c r="AC36" cm="1">
        <f t="array" ref="AC36">AB36*S*Linterp(Z$3,atmos_h,atmos_qms)*Y36^2</f>
        <v>983.71053786218727</v>
      </c>
      <c r="AD36" cm="1">
        <f t="array" ref="AD36">Y36*Linterp(Z$3,atmos_h,atmos_aspeed)</f>
        <v>560.24129640453771</v>
      </c>
      <c r="AE36" s="162">
        <f t="shared" si="2"/>
        <v>7675.2047262929946</v>
      </c>
      <c r="AG36">
        <v>0.52</v>
      </c>
      <c r="AH36" cm="1">
        <f t="array" ref="AH36">numeng*InterpolateXY(AH$3,AG36,Tmil_h,Tmil_M,Tmil_table)</f>
        <v>2849.1651407180875</v>
      </c>
      <c r="AI36" cm="1">
        <f t="array" ref="AI36">1*AH$4/(S*Linterp(AH$3,atmos_h,atmos_qms)*AG36^2)</f>
        <v>0.26022219715309719</v>
      </c>
      <c r="AJ36" cm="1">
        <f t="array" ref="AJ36">InterpolateXY(AI36,AG36,CD_CL,CD_M,CD_table)</f>
        <v>2.3923887322068575E-2</v>
      </c>
      <c r="AK36" cm="1">
        <f t="array" ref="AK36">AJ36*S*Linterp(AH$3,atmos_h,atmos_qms)*AG36^2</f>
        <v>919.36381998932131</v>
      </c>
      <c r="AL36" cm="1">
        <f t="array" ref="AL36">AG36*Linterp(AH$3,atmos_h,atmos_aspeed)</f>
        <v>549.80359387471765</v>
      </c>
      <c r="AM36" s="162">
        <f t="shared" si="3"/>
        <v>6366.0702096051145</v>
      </c>
      <c r="AO36">
        <v>0.52</v>
      </c>
      <c r="AP36" cm="1">
        <f t="array" ref="AP36">numeng*InterpolateXY(AP$3,AO36,Tmil_h,Tmil_M,Tmil_table)</f>
        <v>2467.9566685336931</v>
      </c>
      <c r="AQ36" cm="1">
        <f t="array" ref="AQ36">1*AP$4/(S*Linterp(AP$3,atmos_h,atmos_qms)*AO36^2)</f>
        <v>0.31956567321483659</v>
      </c>
      <c r="AR36" cm="1">
        <f t="array" ref="AR36">InterpolateXY(AQ36,AO36,CD_CL,CD_M,CD_table)</f>
        <v>2.7999710948705472E-2</v>
      </c>
      <c r="AS36" cm="1">
        <f t="array" ref="AS36">AR36*S*Linterp(AP$3,atmos_h,atmos_qms)*AO36^2</f>
        <v>876.18018127628864</v>
      </c>
      <c r="AT36" cm="1">
        <f t="array" ref="AT36">AO36*Linterp(AP$3,atmos_h,atmos_aspeed)</f>
        <v>539.16386514497981</v>
      </c>
      <c r="AU36" s="162">
        <f t="shared" si="4"/>
        <v>5149.3701798996044</v>
      </c>
      <c r="AW36">
        <v>0.52</v>
      </c>
      <c r="AX36" cm="1">
        <f t="array" ref="AX36">numeng*InterpolateXY(AX$3,AW36,Tmil_h,Tmil_M,Tmil_table)</f>
        <v>2122.2656828590743</v>
      </c>
      <c r="AY36" cm="1">
        <f t="array" ref="AY36">1*AX$4/(S*Linterp(AX$3,atmos_h,atmos_qms)*AW36^2)</f>
        <v>0.39573554289945989</v>
      </c>
      <c r="AZ36" cm="1">
        <f t="array" ref="AZ36">InterpolateXY(AY36,AW36,CD_CL,CD_M,CD_table)</f>
        <v>3.6955513205998443E-2</v>
      </c>
      <c r="BA36" cm="1">
        <f t="array" ref="BA36">AZ36*S*Linterp(AX$3,atmos_h,atmos_qms)*AW36^2</f>
        <v>933.8436708321475</v>
      </c>
      <c r="BB36" cm="1">
        <f t="array" ref="BB36">AW36*Linterp(AX$3,atmos_h,atmos_aspeed)</f>
        <v>528.30990442976974</v>
      </c>
      <c r="BC36" s="162">
        <f t="shared" si="5"/>
        <v>3767.1307175770826</v>
      </c>
      <c r="BE36">
        <v>0.52</v>
      </c>
      <c r="BF36" cm="1">
        <f t="array" ref="BF36">numeng*InterpolateXY(BF$3,BE36,Tmil_h,Tmil_M,Tmil_table)</f>
        <v>1810.7752189691766</v>
      </c>
      <c r="BG36" cm="1">
        <f t="array" ref="BG36">1*BF$4/(S*Linterp(BF$3,atmos_h,atmos_qms)*BE36^2)</f>
        <v>0.49452353836553015</v>
      </c>
      <c r="BH36" cm="1">
        <f t="array" ref="BH36">InterpolateXY(BG36,BE36,CD_CL,CD_M,CD_table)</f>
        <v>5.6559231211471564E-2</v>
      </c>
      <c r="BI36" cm="1">
        <f t="array" ref="BI36">BH36*S*Linterp(BF$3,atmos_h,atmos_qms)*BE36^2</f>
        <v>1143.7116097326284</v>
      </c>
      <c r="BJ36" cm="1">
        <f t="array" ref="BJ36">BE36*Linterp(BF$3,atmos_h,atmos_aspeed)</f>
        <v>517.22822502171209</v>
      </c>
      <c r="BK36" s="162">
        <f t="shared" si="6"/>
        <v>2070.1447594919809</v>
      </c>
      <c r="BM36">
        <v>0.52</v>
      </c>
      <c r="BN36" cm="1">
        <f t="array" ref="BN36">numeng*InterpolateXY(BN$3,BM36,Tmil_h,Tmil_M,Tmil_table)</f>
        <v>1531.998815242551</v>
      </c>
      <c r="BO36" cm="1">
        <f t="array" ref="BO36">1*BN$4/(S*Linterp(BN$3,atmos_h,atmos_qms)*BM36^2)</f>
        <v>0.62410056998716379</v>
      </c>
      <c r="BP36" cm="1">
        <f t="array" ref="BP36">InterpolateXY(BO36,BM36,CD_CL,CD_M,CD_table)</f>
        <v>9.9516049654377742E-2</v>
      </c>
      <c r="BQ36" cm="1">
        <f t="array" ref="BQ36">BP36*S*Linterp(BN$3,atmos_h,atmos_qms)*BM36^2</f>
        <v>1594.5514944237998</v>
      </c>
      <c r="BR36" cm="1">
        <f t="array" ref="BR36">BM36*Linterp(BN$3,atmos_h,atmos_aspeed)</f>
        <v>505.90386280362537</v>
      </c>
      <c r="BS36" s="162">
        <f t="shared" si="7"/>
        <v>-189.87385215905806</v>
      </c>
      <c r="BU36">
        <v>0.52</v>
      </c>
      <c r="BV36" cm="1">
        <f t="array" ref="BV36">numeng*InterpolateXY(BV$3,BU36,Tmil_h,Tmil_M,Tmil_table)</f>
        <v>1242.6635714459012</v>
      </c>
      <c r="BW36" cm="1">
        <f t="array" ref="BW36">1*BV$4/(S*Linterp(BV$3,atmos_h,atmos_qms)*BU36^2)</f>
        <v>0.79343517025982269</v>
      </c>
      <c r="BX36" cm="1">
        <f t="array" ref="BX36">InterpolateXY(BW36,BU36,CD_CL,CD_M,CD_table)</f>
        <v>0.18732068336340016</v>
      </c>
      <c r="BY36" cm="1">
        <f t="array" ref="BY36">BX36*S*Linterp(BV$3,atmos_h,atmos_qms)*BU36^2</f>
        <v>2360.8820277283535</v>
      </c>
      <c r="BZ36" cm="1">
        <f t="array" ref="BZ36">BU36*Linterp(BV$3,atmos_h,atmos_aspeed)</f>
        <v>503.41226541914557</v>
      </c>
      <c r="CA36" s="162">
        <f t="shared" si="8"/>
        <v>-3377.5493178638949</v>
      </c>
    </row>
    <row r="37" spans="1:79">
      <c r="A37" s="120">
        <v>29000</v>
      </c>
      <c r="B37" s="11">
        <v>0.92371999999999987</v>
      </c>
      <c r="C37" s="11"/>
      <c r="D37" s="120">
        <v>29000</v>
      </c>
      <c r="E37" s="11">
        <v>0.83805758118832807</v>
      </c>
      <c r="I37">
        <v>0.53</v>
      </c>
      <c r="J37" cm="1">
        <f t="array" ref="J37">numeng*InterpolateXY(J$3,I37,Tmil_h,Tmil_M,Tmil_table)</f>
        <v>4012</v>
      </c>
      <c r="K37" cm="1">
        <f t="array" ref="K37">1*J$4/(S*Linterp(J$3,atmos_h,atmos_qms)*I37^2)</f>
        <v>0.14136454018565048</v>
      </c>
      <c r="L37" cm="1">
        <f t="array" ref="L37">InterpolateXY(K37,I37,CD_CL,CD_M,CD_table)</f>
        <v>1.7941170256961892E-2</v>
      </c>
      <c r="M37" cm="1">
        <f t="array" ref="M37">L37*S*Linterp(J$3,atmos_h,atmos_qms)*I37^2</f>
        <v>1269.1421931836799</v>
      </c>
      <c r="N37" cm="1">
        <f t="array" ref="N37">I37*Linterp(J$3,atmos_h,atmos_aspeed)</f>
        <v>591.71850000000006</v>
      </c>
      <c r="O37" s="162">
        <f t="shared" si="0"/>
        <v>9737.9982429758584</v>
      </c>
      <c r="Q37">
        <v>0.53</v>
      </c>
      <c r="R37" cm="1">
        <f t="array" ref="R37">numeng*InterpolateXY(R$3,Q37,Tmil_h,Tmil_M,Tmil_table)</f>
        <v>3639.685857825013</v>
      </c>
      <c r="S37" cm="1">
        <f t="array" ref="S37">1*R$4/(S*Linterp(R$3,atmos_h,atmos_qms)*Q37^2)</f>
        <v>0.16989969064439736</v>
      </c>
      <c r="T37" cm="1">
        <f t="array" ref="T37">InterpolateXY(S37,Q37,CD_CL,CD_M,CD_table)</f>
        <v>1.9011238399164902E-2</v>
      </c>
      <c r="U37" cm="1">
        <f t="array" ref="U37">T37*S*Linterp(R$3,atmos_h,atmos_qms)*Q37^2</f>
        <v>1118.9683940599818</v>
      </c>
      <c r="V37" cm="1">
        <f t="array" ref="V37">Q37*Linterp(R$3,atmos_h,atmos_aspeed)</f>
        <v>581.4589859762317</v>
      </c>
      <c r="W37" s="162">
        <f t="shared" si="1"/>
        <v>8794.1629224803619</v>
      </c>
      <c r="Y37">
        <v>0.53</v>
      </c>
      <c r="Z37" cm="1">
        <f t="array" ref="Z37">numeng*InterpolateXY(Z$3,Y37,Tmil_h,Tmil_M,Tmil_table)</f>
        <v>3275.8755154940291</v>
      </c>
      <c r="AA37" cm="1">
        <f t="array" ref="AA37">1*Z$4/(S*Linterp(Z$3,atmos_h,atmos_qms)*Y37^2)</f>
        <v>0.2055604607900173</v>
      </c>
      <c r="AB37" cm="1">
        <f t="array" ref="AB37">InterpolateXY(AA37,Y37,CD_CL,CD_M,CD_table)</f>
        <v>2.0487528799376084E-2</v>
      </c>
      <c r="AC37" cm="1">
        <f t="array" ref="AC37">AB37*S*Linterp(Z$3,atmos_h,atmos_qms)*Y37^2</f>
        <v>996.66680647813712</v>
      </c>
      <c r="AD37" cm="1">
        <f t="array" ref="AD37">Y37*Linterp(Z$3,atmos_h,atmos_aspeed)</f>
        <v>571.01516748924041</v>
      </c>
      <c r="AE37" s="162">
        <f t="shared" si="2"/>
        <v>7808.7764563298706</v>
      </c>
      <c r="AG37">
        <v>0.53</v>
      </c>
      <c r="AH37" cm="1">
        <f t="array" ref="AH37">numeng*InterpolateXY(AH$3,AG37,Tmil_h,Tmil_M,Tmil_table)</f>
        <v>2857.9743968952193</v>
      </c>
      <c r="AI37" cm="1">
        <f t="array" ref="AI37">1*AH$4/(S*Linterp(AH$3,atmos_h,atmos_qms)*AG37^2)</f>
        <v>0.25049513033178172</v>
      </c>
      <c r="AJ37" cm="1">
        <f t="array" ref="AJ37">InterpolateXY(AI37,AG37,CD_CL,CD_M,CD_table)</f>
        <v>2.3295945645736359E-2</v>
      </c>
      <c r="AK37" cm="1">
        <f t="array" ref="AK37">AJ37*S*Linterp(AH$3,atmos_h,atmos_qms)*AG37^2</f>
        <v>929.99594901828209</v>
      </c>
      <c r="AL37" cm="1">
        <f t="array" ref="AL37">AG37*Linterp(AH$3,atmos_h,atmos_aspeed)</f>
        <v>560.37673991076997</v>
      </c>
      <c r="AM37" s="162">
        <f t="shared" si="3"/>
        <v>6482.3656634370263</v>
      </c>
      <c r="AO37">
        <v>0.53</v>
      </c>
      <c r="AP37" cm="1">
        <f t="array" ref="AP37">numeng*InterpolateXY(AP$3,AO37,Tmil_h,Tmil_M,Tmil_table)</f>
        <v>2476.4815620346731</v>
      </c>
      <c r="AQ37" cm="1">
        <f t="array" ref="AQ37">1*AP$4/(S*Linterp(AP$3,atmos_h,atmos_qms)*AO37^2)</f>
        <v>0.30762035613133426</v>
      </c>
      <c r="AR37" cm="1">
        <f t="array" ref="AR37">InterpolateXY(AQ37,AO37,CD_CL,CD_M,CD_table)</f>
        <v>2.700915393567091E-2</v>
      </c>
      <c r="AS37" cm="1">
        <f t="array" ref="AS37">AR37*S*Linterp(AP$3,atmos_h,atmos_qms)*AO37^2</f>
        <v>878.00281734735802</v>
      </c>
      <c r="AT37" cm="1">
        <f t="array" ref="AT37">AO37*Linterp(AP$3,atmos_h,atmos_aspeed)</f>
        <v>549.53240101315259</v>
      </c>
      <c r="AU37" s="162">
        <f t="shared" si="4"/>
        <v>5270.4951752190627</v>
      </c>
      <c r="AW37">
        <v>0.53</v>
      </c>
      <c r="AX37" cm="1">
        <f t="array" ref="AX37">numeng*InterpolateXY(AX$3,AW37,Tmil_h,Tmil_M,Tmil_table)</f>
        <v>2130.3317264172379</v>
      </c>
      <c r="AY37" cm="1">
        <f t="array" ref="AY37">1*AX$4/(S*Linterp(AX$3,atmos_h,atmos_qms)*AW37^2)</f>
        <v>0.38094300747601972</v>
      </c>
      <c r="AZ37" cm="1">
        <f t="array" ref="AZ37">InterpolateXY(AY37,AW37,CD_CL,CD_M,CD_table)</f>
        <v>3.4838671309725795E-2</v>
      </c>
      <c r="BA37" cm="1">
        <f t="array" ref="BA37">AZ37*S*Linterp(AX$3,atmos_h,atmos_qms)*AW37^2</f>
        <v>914.53762442191237</v>
      </c>
      <c r="BB37" cm="1">
        <f t="array" ref="BB37">AW37*Linterp(AX$3,atmos_h,atmos_aspeed)</f>
        <v>538.46971028418841</v>
      </c>
      <c r="BC37" s="162">
        <f t="shared" si="5"/>
        <v>3928.0097871998878</v>
      </c>
      <c r="BE37">
        <v>0.53</v>
      </c>
      <c r="BF37" cm="1">
        <f t="array" ref="BF37">numeng*InterpolateXY(BF$3,BE37,Tmil_h,Tmil_M,Tmil_table)</f>
        <v>1818.257761196322</v>
      </c>
      <c r="BG37" cm="1">
        <f t="array" ref="BG37">1*BF$4/(S*Linterp(BF$3,atmos_h,atmos_qms)*BE37^2)</f>
        <v>0.47603832244229033</v>
      </c>
      <c r="BH37" cm="1">
        <f t="array" ref="BH37">InterpolateXY(BG37,BE37,CD_CL,CD_M,CD_table)</f>
        <v>5.2823702810900361E-2</v>
      </c>
      <c r="BI37" cm="1">
        <f t="array" ref="BI37">BH37*S*Linterp(BF$3,atmos_h,atmos_qms)*BE37^2</f>
        <v>1109.6523183236816</v>
      </c>
      <c r="BJ37" cm="1">
        <f t="array" ref="BJ37">BE37*Linterp(BF$3,atmos_h,atmos_aspeed)</f>
        <v>527.17492165674503</v>
      </c>
      <c r="BK37" s="162">
        <f t="shared" si="6"/>
        <v>2241.3541129915639</v>
      </c>
      <c r="BM37">
        <v>0.53</v>
      </c>
      <c r="BN37" cm="1">
        <f t="array" ref="BN37">numeng*InterpolateXY(BN$3,BM37,Tmil_h,Tmil_M,Tmil_table)</f>
        <v>1538.8159620741321</v>
      </c>
      <c r="BO37" cm="1">
        <f t="array" ref="BO37">1*BN$4/(S*Linterp(BN$3,atmos_h,atmos_qms)*BM37^2)</f>
        <v>0.60077178399618747</v>
      </c>
      <c r="BP37" cm="1">
        <f t="array" ref="BP37">InterpolateXY(BO37,BM37,CD_CL,CD_M,CD_table)</f>
        <v>8.9278041390330118E-2</v>
      </c>
      <c r="BQ37" cm="1">
        <f t="array" ref="BQ37">BP37*S*Linterp(BN$3,atmos_h,atmos_qms)*BM37^2</f>
        <v>1486.0558329899309</v>
      </c>
      <c r="BR37" cm="1">
        <f t="array" ref="BR37">BM37*Linterp(BN$3,atmos_h,atmos_aspeed)</f>
        <v>515.63278324215662</v>
      </c>
      <c r="BS37" s="162">
        <f t="shared" si="7"/>
        <v>163.2291132234129</v>
      </c>
      <c r="BU37">
        <v>0.53</v>
      </c>
      <c r="BV37" cm="1">
        <f t="array" ref="BV37">numeng*InterpolateXY(BV$3,BU37,Tmil_h,Tmil_M,Tmil_table)</f>
        <v>1248.5716391389881</v>
      </c>
      <c r="BW37" cm="1">
        <f t="array" ref="BW37">1*BV$4/(S*Linterp(BV$3,atmos_h,atmos_qms)*BU37^2)</f>
        <v>0.76377668222946271</v>
      </c>
      <c r="BX37" cm="1">
        <f t="array" ref="BX37">InterpolateXY(BW37,BU37,CD_CL,CD_M,CD_table)</f>
        <v>0.16998185823618261</v>
      </c>
      <c r="BY37" cm="1">
        <f t="array" ref="BY37">BX37*S*Linterp(BV$3,atmos_h,atmos_qms)*BU37^2</f>
        <v>2225.5439605724268</v>
      </c>
      <c r="BZ37" cm="1">
        <f t="array" ref="BZ37">BU37*Linterp(BV$3,atmos_h,atmos_aspeed)</f>
        <v>513.09327052335993</v>
      </c>
      <c r="CA37" s="162">
        <f t="shared" si="8"/>
        <v>-3007.6675416904941</v>
      </c>
    </row>
    <row r="38" spans="1:79">
      <c r="A38" s="120">
        <v>30000</v>
      </c>
      <c r="B38" s="11">
        <v>0.92490000000000006</v>
      </c>
      <c r="C38" s="11"/>
      <c r="D38" s="120">
        <v>30000</v>
      </c>
      <c r="E38" s="11">
        <v>0.84167932290227865</v>
      </c>
      <c r="I38">
        <v>0.54</v>
      </c>
      <c r="J38" cm="1">
        <f t="array" ref="J38">numeng*InterpolateXY(J$3,I38,Tmil_h,Tmil_M,Tmil_table)</f>
        <v>4016</v>
      </c>
      <c r="K38" cm="1">
        <f t="array" ref="K38">1*J$4/(S*Linterp(J$3,atmos_h,atmos_qms)*I38^2)</f>
        <v>0.13617729539831697</v>
      </c>
      <c r="L38" cm="1">
        <f t="array" ref="L38">InterpolateXY(K38,I38,CD_CL,CD_M,CD_table)</f>
        <v>1.7726648577436888E-2</v>
      </c>
      <c r="M38" cm="1">
        <f t="array" ref="M38">L38*S*Linterp(J$3,atmos_h,atmos_qms)*I38^2</f>
        <v>1301.7330477585601</v>
      </c>
      <c r="N38" cm="1">
        <f t="array" ref="N38">I38*Linterp(J$3,atmos_h,atmos_aspeed)</f>
        <v>602.88300000000004</v>
      </c>
      <c r="O38" s="162">
        <f t="shared" si="0"/>
        <v>9818.3124178090566</v>
      </c>
      <c r="Q38">
        <v>0.54</v>
      </c>
      <c r="R38" cm="1">
        <f t="array" ref="R38">numeng*InterpolateXY(R$3,Q38,Tmil_h,Tmil_M,Tmil_table)</f>
        <v>3646.5792022527121</v>
      </c>
      <c r="S38" cm="1">
        <f t="array" ref="S38">1*R$4/(S*Linterp(R$3,atmos_h,atmos_qms)*Q38^2)</f>
        <v>0.16366537414955837</v>
      </c>
      <c r="T38" cm="1">
        <f t="array" ref="T38">InterpolateXY(S38,Q38,CD_CL,CD_M,CD_table)</f>
        <v>1.8757451530608441E-2</v>
      </c>
      <c r="U38" cm="1">
        <f t="array" ref="U38">T38*S*Linterp(R$3,atmos_h,atmos_qms)*Q38^2</f>
        <v>1146.0855191928242</v>
      </c>
      <c r="V38" cm="1">
        <f t="array" ref="V38">Q38*Linterp(R$3,atmos_h,atmos_aspeed)</f>
        <v>592.4299102399342</v>
      </c>
      <c r="W38" s="162">
        <f t="shared" si="1"/>
        <v>8888.2034892641532</v>
      </c>
      <c r="Y38">
        <v>0.54</v>
      </c>
      <c r="Z38" cm="1">
        <f t="array" ref="Z38">numeng*InterpolateXY(Z$3,Y38,Tmil_h,Tmil_M,Tmil_table)</f>
        <v>3284.7372166179985</v>
      </c>
      <c r="AA38" cm="1">
        <f t="array" ref="AA38">1*Z$4/(S*Linterp(Z$3,atmos_h,atmos_qms)*Y38^2)</f>
        <v>0.19801760437556878</v>
      </c>
      <c r="AB38" cm="1">
        <f t="array" ref="AB38">InterpolateXY(AA38,Y38,CD_CL,CD_M,CD_table)</f>
        <v>2.0045660164083833E-2</v>
      </c>
      <c r="AC38" cm="1">
        <f t="array" ref="AC38">AB38*S*Linterp(Z$3,atmos_h,atmos_qms)*Y38^2</f>
        <v>1012.317072883296</v>
      </c>
      <c r="AD38" cm="1">
        <f t="array" ref="AD38">Y38*Linterp(Z$3,atmos_h,atmos_aspeed)</f>
        <v>581.789038573943</v>
      </c>
      <c r="AE38" s="162">
        <f t="shared" si="2"/>
        <v>7932.4147839568432</v>
      </c>
      <c r="AG38">
        <v>0.54</v>
      </c>
      <c r="AH38" cm="1">
        <f t="array" ref="AH38">numeng*InterpolateXY(AH$3,AG38,Tmil_h,Tmil_M,Tmil_table)</f>
        <v>2866.7836530723512</v>
      </c>
      <c r="AI38" cm="1">
        <f t="array" ref="AI38">1*AH$4/(S*Linterp(AH$3,atmos_h,atmos_qms)*AG38^2)</f>
        <v>0.2413034365918981</v>
      </c>
      <c r="AJ38" cm="1">
        <f t="array" ref="AJ38">InterpolateXY(AI38,AG38,CD_CL,CD_M,CD_table)</f>
        <v>2.2701464786993635E-2</v>
      </c>
      <c r="AK38" cm="1">
        <f t="array" ref="AK38">AJ38*S*Linterp(AH$3,atmos_h,atmos_qms)*AG38^2</f>
        <v>940.78497627811441</v>
      </c>
      <c r="AL38" cm="1">
        <f t="array" ref="AL38">AG38*Linterp(AH$3,atmos_h,atmos_aspeed)</f>
        <v>570.94988594682218</v>
      </c>
      <c r="AM38" s="162">
        <f t="shared" si="3"/>
        <v>6597.8923490963998</v>
      </c>
      <c r="AO38">
        <v>0.54</v>
      </c>
      <c r="AP38" cm="1">
        <f t="array" ref="AP38">numeng*InterpolateXY(AP$3,AO38,Tmil_h,Tmil_M,Tmil_table)</f>
        <v>2485.006455535653</v>
      </c>
      <c r="AQ38" cm="1">
        <f t="array" ref="AQ38">1*AP$4/(S*Linterp(AP$3,atmos_h,atmos_qms)*AO38^2)</f>
        <v>0.29633250355724217</v>
      </c>
      <c r="AR38" cm="1">
        <f t="array" ref="AR38">InterpolateXY(AQ38,AO38,CD_CL,CD_M,CD_table)</f>
        <v>2.6140781472327637E-2</v>
      </c>
      <c r="AS38" cm="1">
        <f t="array" ref="AS38">AR38*S*Linterp(AP$3,atmos_h,atmos_qms)*AO38^2</f>
        <v>882.14357718197653</v>
      </c>
      <c r="AT38" cm="1">
        <f t="array" ref="AT38">AO38*Linterp(AP$3,atmos_h,atmos_aspeed)</f>
        <v>559.90093688132526</v>
      </c>
      <c r="AU38" s="162">
        <f t="shared" si="4"/>
        <v>5384.6665636951266</v>
      </c>
      <c r="AW38">
        <v>0.54</v>
      </c>
      <c r="AX38" cm="1">
        <f t="array" ref="AX38">numeng*InterpolateXY(AX$3,AW38,Tmil_h,Tmil_M,Tmil_table)</f>
        <v>2138.3977699754018</v>
      </c>
      <c r="AY38" cm="1">
        <f t="array" ref="AY38">1*AX$4/(S*Linterp(AX$3,atmos_h,atmos_qms)*AW38^2)</f>
        <v>0.36696464609058288</v>
      </c>
      <c r="AZ38" cm="1">
        <f t="array" ref="AZ38">InterpolateXY(AY38,AW38,CD_CL,CD_M,CD_table)</f>
        <v>3.2837238583340124E-2</v>
      </c>
      <c r="BA38" cm="1">
        <f t="array" ref="BA38">AZ38*S*Linterp(AX$3,atmos_h,atmos_qms)*AW38^2</f>
        <v>894.83384661623415</v>
      </c>
      <c r="BB38" cm="1">
        <f t="array" ref="BB38">AW38*Linterp(AX$3,atmos_h,atmos_aspeed)</f>
        <v>548.62951613860707</v>
      </c>
      <c r="BC38" s="162">
        <f t="shared" si="5"/>
        <v>4093.5352413598084</v>
      </c>
      <c r="BE38">
        <v>0.54</v>
      </c>
      <c r="BF38" cm="1">
        <f t="array" ref="BF38">numeng*InterpolateXY(BF$3,BE38,Tmil_h,Tmil_M,Tmil_table)</f>
        <v>1825.7403034234674</v>
      </c>
      <c r="BG38" cm="1">
        <f t="array" ref="BG38">1*BF$4/(S*Linterp(BF$3,atmos_h,atmos_qms)*BE38^2)</f>
        <v>0.45857052391645869</v>
      </c>
      <c r="BH38" cm="1">
        <f t="array" ref="BH38">InterpolateXY(BG38,BE38,CD_CL,CD_M,CD_table)</f>
        <v>4.9292675307208197E-2</v>
      </c>
      <c r="BI38" cm="1">
        <f t="array" ref="BI38">BH38*S*Linterp(BF$3,atmos_h,atmos_qms)*BE38^2</f>
        <v>1074.920273684844</v>
      </c>
      <c r="BJ38" cm="1">
        <f t="array" ref="BJ38">BE38*Linterp(BF$3,atmos_h,atmos_aspeed)</f>
        <v>537.12161829177796</v>
      </c>
      <c r="BK38" s="162">
        <f t="shared" si="6"/>
        <v>2419.6900165145416</v>
      </c>
      <c r="BM38">
        <v>0.54</v>
      </c>
      <c r="BN38" cm="1">
        <f t="array" ref="BN38">numeng*InterpolateXY(BN$3,BM38,Tmil_h,Tmil_M,Tmil_table)</f>
        <v>1545.633108905713</v>
      </c>
      <c r="BO38" cm="1">
        <f t="array" ref="BO38">1*BN$4/(S*Linterp(BN$3,atmos_h,atmos_qms)*BM38^2)</f>
        <v>0.57872700317053871</v>
      </c>
      <c r="BP38" cm="1">
        <f t="array" ref="BP38">InterpolateXY(BO38,BM38,CD_CL,CD_M,CD_table)</f>
        <v>8.2261551992378626E-2</v>
      </c>
      <c r="BQ38" cm="1">
        <f t="array" ref="BQ38">BP38*S*Linterp(BN$3,atmos_h,atmos_qms)*BM38^2</f>
        <v>1421.4223898610426</v>
      </c>
      <c r="BR38" cm="1">
        <f t="array" ref="BR38">BM38*Linterp(BN$3,atmos_h,atmos_aspeed)</f>
        <v>525.36170368068792</v>
      </c>
      <c r="BS38" s="162">
        <f t="shared" si="7"/>
        <v>391.53332983626797</v>
      </c>
      <c r="BU38">
        <v>0.54</v>
      </c>
      <c r="BV38" cm="1">
        <f t="array" ref="BV38">numeng*InterpolateXY(BV$3,BU38,Tmil_h,Tmil_M,Tmil_table)</f>
        <v>1254.4797068320747</v>
      </c>
      <c r="BW38" cm="1">
        <f t="array" ref="BW38">1*BV$4/(S*Linterp(BV$3,atmos_h,atmos_qms)*BU38^2)</f>
        <v>0.73575058312159147</v>
      </c>
      <c r="BX38" cm="1">
        <f t="array" ref="BX38">InterpolateXY(BW38,BU38,CD_CL,CD_M,CD_table)</f>
        <v>0.15359625291771767</v>
      </c>
      <c r="BY38" cm="1">
        <f t="array" ref="BY38">BX38*S*Linterp(BV$3,atmos_h,atmos_qms)*BU38^2</f>
        <v>2087.6130640094116</v>
      </c>
      <c r="BZ38" cm="1">
        <f t="array" ref="BZ38">BU38*Linterp(BV$3,atmos_h,atmos_aspeed)</f>
        <v>522.7742756275743</v>
      </c>
      <c r="CA38" s="162">
        <f t="shared" si="8"/>
        <v>-2613.2441237973085</v>
      </c>
    </row>
    <row r="39" spans="1:79">
      <c r="A39" s="120">
        <v>31000</v>
      </c>
      <c r="B39" s="11">
        <v>0.92617500000000008</v>
      </c>
      <c r="D39" s="120">
        <v>31000</v>
      </c>
      <c r="E39" s="11">
        <v>0.84534842919979214</v>
      </c>
      <c r="I39">
        <v>0.55000000000000004</v>
      </c>
      <c r="J39" cm="1">
        <f t="array" ref="J39">numeng*InterpolateXY(J$3,I39,Tmil_h,Tmil_M,Tmil_table)</f>
        <v>4020</v>
      </c>
      <c r="K39" cm="1">
        <f t="array" ref="K39">1*J$4/(S*Linterp(J$3,atmos_h,atmos_qms)*I39^2)</f>
        <v>0.13127041103520404</v>
      </c>
      <c r="L39" cm="1">
        <f t="array" ref="L39">InterpolateXY(K39,I39,CD_CL,CD_M,CD_table)</f>
        <v>1.7522640413820151E-2</v>
      </c>
      <c r="M39" cm="1">
        <f t="array" ref="M39">L39*S*Linterp(J$3,atmos_h,atmos_qms)*I39^2</f>
        <v>1334.8507310700002</v>
      </c>
      <c r="N39" cm="1">
        <f t="array" ref="N39">I39*Linterp(J$3,atmos_h,atmos_aspeed)</f>
        <v>614.04750000000013</v>
      </c>
      <c r="O39" s="162">
        <f t="shared" si="0"/>
        <v>9892.8551742797681</v>
      </c>
      <c r="Q39">
        <v>0.55000000000000004</v>
      </c>
      <c r="R39" cm="1">
        <f t="array" ref="R39">numeng*InterpolateXY(R$3,Q39,Tmil_h,Tmil_M,Tmil_table)</f>
        <v>3653.4725466804111</v>
      </c>
      <c r="S39" cm="1">
        <f t="array" ref="S39">1*R$4/(S*Linterp(R$3,atmos_h,atmos_qms)*Q39^2)</f>
        <v>0.15776801025458251</v>
      </c>
      <c r="T39" cm="1">
        <f t="array" ref="T39">InterpolateXY(S39,Q39,CD_CL,CD_M,CD_table)</f>
        <v>1.8516300384546845E-2</v>
      </c>
      <c r="U39" cm="1">
        <f t="array" ref="U39">T39*S*Linterp(R$3,atmos_h,atmos_qms)*Q39^2</f>
        <v>1173.6409906335257</v>
      </c>
      <c r="V39" cm="1">
        <f t="array" ref="V39">Q39*Linterp(R$3,atmos_h,atmos_aspeed)</f>
        <v>603.4008345036367</v>
      </c>
      <c r="W39" s="162">
        <f t="shared" si="1"/>
        <v>8977.9945820828561</v>
      </c>
      <c r="Y39">
        <v>0.55000000000000004</v>
      </c>
      <c r="Z39" cm="1">
        <f t="array" ref="Z39">numeng*InterpolateXY(Z$3,Y39,Tmil_h,Tmil_M,Tmil_table)</f>
        <v>3293.5989177419679</v>
      </c>
      <c r="AA39" cm="1">
        <f t="array" ref="AA39">1*Z$4/(S*Linterp(Z$3,atmos_h,atmos_qms)*Y39^2)</f>
        <v>0.19088242458154001</v>
      </c>
      <c r="AB39" cm="1">
        <f t="array" ref="AB39">InterpolateXY(AA39,Y39,CD_CL,CD_M,CD_table)</f>
        <v>1.9758090921807751E-2</v>
      </c>
      <c r="AC39" cm="1">
        <f t="array" ref="AC39">AB39*S*Linterp(Z$3,atmos_h,atmos_qms)*Y39^2</f>
        <v>1035.09220218269</v>
      </c>
      <c r="AD39" cm="1">
        <f t="array" ref="AD39">Y39*Linterp(Z$3,atmos_h,atmos_aspeed)</f>
        <v>592.56290965864571</v>
      </c>
      <c r="AE39" s="162">
        <f t="shared" si="2"/>
        <v>8029.8438651323822</v>
      </c>
      <c r="AG39">
        <v>0.55000000000000004</v>
      </c>
      <c r="AH39" cm="1">
        <f t="array" ref="AH39">numeng*InterpolateXY(AH$3,AG39,Tmil_h,Tmil_M,Tmil_table)</f>
        <v>2875.5929092494835</v>
      </c>
      <c r="AI39" cm="1">
        <f t="array" ref="AI39">1*AH$4/(S*Linterp(AH$3,atmos_h,atmos_qms)*AG39^2)</f>
        <v>0.23260853590147926</v>
      </c>
      <c r="AJ39" cm="1">
        <f t="array" ref="AJ39">InterpolateXY(AI39,AG39,CD_CL,CD_M,CD_table)</f>
        <v>2.2138033493842451E-2</v>
      </c>
      <c r="AK39" cm="1">
        <f t="array" ref="AK39">AJ39*S*Linterp(AH$3,atmos_h,atmos_qms)*AG39^2</f>
        <v>951.72919635326525</v>
      </c>
      <c r="AL39" cm="1">
        <f t="array" ref="AL39">AG39*Linterp(AH$3,atmos_h,atmos_aspeed)</f>
        <v>581.5230319828745</v>
      </c>
      <c r="AM39" s="162">
        <f t="shared" si="3"/>
        <v>6712.6263566714342</v>
      </c>
      <c r="AO39">
        <v>0.55000000000000004</v>
      </c>
      <c r="AP39" cm="1">
        <f t="array" ref="AP39">numeng*InterpolateXY(AP$3,AO39,Tmil_h,Tmil_M,Tmil_table)</f>
        <v>2493.5313490366329</v>
      </c>
      <c r="AQ39" cm="1">
        <f t="array" ref="AQ39">1*AP$4/(S*Linterp(AP$3,atmos_h,atmos_qms)*AO39^2)</f>
        <v>0.28565473731336133</v>
      </c>
      <c r="AR39" cm="1">
        <f t="array" ref="AR39">InterpolateXY(AQ39,AO39,CD_CL,CD_M,CD_table)</f>
        <v>2.5453421082085082E-2</v>
      </c>
      <c r="AS39" cm="1">
        <f t="array" ref="AS39">AR39*S*Linterp(AP$3,atmos_h,atmos_qms)*AO39^2</f>
        <v>891.05545111834965</v>
      </c>
      <c r="AT39" cm="1">
        <f t="array" ref="AT39">AO39*Linterp(AP$3,atmos_h,atmos_aspeed)</f>
        <v>570.26947274949794</v>
      </c>
      <c r="AU39" s="162">
        <f t="shared" si="4"/>
        <v>5483.0585123978271</v>
      </c>
      <c r="AW39">
        <v>0.55000000000000004</v>
      </c>
      <c r="AX39" cm="1">
        <f t="array" ref="AX39">numeng*InterpolateXY(AX$3,AW39,Tmil_h,Tmil_M,Tmil_table)</f>
        <v>2146.4638135335654</v>
      </c>
      <c r="AY39" cm="1">
        <f t="array" ref="AY39">1*AX$4/(S*Linterp(AX$3,atmos_h,atmos_qms)*AW39^2)</f>
        <v>0.35374178776864118</v>
      </c>
      <c r="AZ39" cm="1">
        <f t="array" ref="AZ39">InterpolateXY(AY39,AW39,CD_CL,CD_M,CD_table)</f>
        <v>3.094289841620489E-2</v>
      </c>
      <c r="BA39" cm="1">
        <f t="array" ref="BA39">AZ39*S*Linterp(AX$3,atmos_h,atmos_qms)*AW39^2</f>
        <v>874.73121599200408</v>
      </c>
      <c r="BB39" cm="1">
        <f t="array" ref="BB39">AW39*Linterp(AX$3,atmos_h,atmos_aspeed)</f>
        <v>558.78932199302574</v>
      </c>
      <c r="BC39" s="162">
        <f t="shared" si="5"/>
        <v>4263.7835756200711</v>
      </c>
      <c r="BE39">
        <v>0.55000000000000004</v>
      </c>
      <c r="BF39" cm="1">
        <f t="array" ref="BF39">numeng*InterpolateXY(BF$3,BE39,Tmil_h,Tmil_M,Tmil_table)</f>
        <v>1833.2228456506127</v>
      </c>
      <c r="BG39" cm="1">
        <f t="array" ref="BG39">1*BF$4/(S*Linterp(BF$3,atmos_h,atmos_qms)*BE39^2)</f>
        <v>0.44204682569930365</v>
      </c>
      <c r="BH39" cm="1">
        <f t="array" ref="BH39">InterpolateXY(BG39,BE39,CD_CL,CD_M,CD_table)</f>
        <v>4.5951411965560032E-2</v>
      </c>
      <c r="BI39" cm="1">
        <f t="array" ref="BI39">BH39*S*Linterp(BF$3,atmos_h,atmos_qms)*BE39^2</f>
        <v>1039.5145784129634</v>
      </c>
      <c r="BJ39" cm="1">
        <f t="array" ref="BJ39">BE39*Linterp(BF$3,atmos_h,atmos_aspeed)</f>
        <v>547.0683149268109</v>
      </c>
      <c r="BK39" s="162">
        <f t="shared" si="6"/>
        <v>2605.2758658070784</v>
      </c>
      <c r="BM39">
        <v>0.55000000000000004</v>
      </c>
      <c r="BN39" cm="1">
        <f t="array" ref="BN39">numeng*InterpolateXY(BN$3,BM39,Tmil_h,Tmil_M,Tmil_table)</f>
        <v>1552.4502557372939</v>
      </c>
      <c r="BO39" cm="1">
        <f t="array" ref="BO39">1*BN$4/(S*Linterp(BN$3,atmos_h,atmos_qms)*BM39^2)</f>
        <v>0.55787369958522004</v>
      </c>
      <c r="BP39" cm="1">
        <f t="array" ref="BP39">InterpolateXY(BO39,BM39,CD_CL,CD_M,CD_table)</f>
        <v>7.5714467970173865E-2</v>
      </c>
      <c r="BQ39" cm="1">
        <f t="array" ref="BQ39">BP39*S*Linterp(BN$3,atmos_h,atmos_qms)*BM39^2</f>
        <v>1357.1973015839908</v>
      </c>
      <c r="BR39" cm="1">
        <f t="array" ref="BR39">BM39*Linterp(BN$3,atmos_h,atmos_aspeed)</f>
        <v>535.09062411921911</v>
      </c>
      <c r="BS39" s="162">
        <f t="shared" si="7"/>
        <v>626.86815059407331</v>
      </c>
      <c r="BU39">
        <v>0.55000000000000004</v>
      </c>
      <c r="BV39" cm="1">
        <f t="array" ref="BV39">numeng*InterpolateXY(BV$3,BU39,Tmil_h,Tmil_M,Tmil_table)</f>
        <v>1260.3877745251614</v>
      </c>
      <c r="BW39" cm="1">
        <f t="array" ref="BW39">1*BV$4/(S*Linterp(BV$3,atmos_h,atmos_qms)*BU39^2)</f>
        <v>0.70923923979588777</v>
      </c>
      <c r="BX39" cm="1">
        <f t="array" ref="BX39">InterpolateXY(BW39,BU39,CD_CL,CD_M,CD_table)</f>
        <v>0.13809517652314615</v>
      </c>
      <c r="BY39" cm="1">
        <f t="array" ref="BY39">BX39*S*Linterp(BV$3,atmos_h,atmos_qms)*BU39^2</f>
        <v>1947.0887787157494</v>
      </c>
      <c r="BZ39" cm="1">
        <f t="array" ref="BZ39">BU39*Linterp(BV$3,atmos_h,atmos_aspeed)</f>
        <v>532.45528073178866</v>
      </c>
      <c r="CA39" s="162">
        <f t="shared" si="8"/>
        <v>-2193.8254557906043</v>
      </c>
    </row>
    <row r="40" spans="1:79">
      <c r="A40" s="120">
        <v>32000</v>
      </c>
      <c r="B40" s="11">
        <v>0.92745000000000011</v>
      </c>
      <c r="D40" s="120">
        <v>32000</v>
      </c>
      <c r="E40" s="11">
        <v>0.84906594154219472</v>
      </c>
      <c r="I40">
        <v>0.56000000000000005</v>
      </c>
      <c r="J40" cm="1">
        <f t="array" ref="J40">numeng*InterpolateXY(J$3,I40,Tmil_h,Tmil_M,Tmil_table)</f>
        <v>4024</v>
      </c>
      <c r="K40" cm="1">
        <f t="array" ref="K40">1*J$4/(S*Linterp(J$3,atmos_h,atmos_qms)*I40^2)</f>
        <v>0.12662404125685339</v>
      </c>
      <c r="L40" cm="1">
        <f t="array" ref="L40">InterpolateXY(K40,I40,CD_CL,CD_M,CD_table)</f>
        <v>1.7328401547132003E-2</v>
      </c>
      <c r="M40" cm="1">
        <f t="array" ref="M40">L40*S*Linterp(J$3,atmos_h,atmos_qms)*I40^2</f>
        <v>1368.4922211558403</v>
      </c>
      <c r="N40" cm="1">
        <f t="array" ref="N40">I40*Linterp(J$3,atmos_h,atmos_aspeed)</f>
        <v>625.2120000000001</v>
      </c>
      <c r="O40" s="162">
        <f t="shared" si="0"/>
        <v>9961.5319765602908</v>
      </c>
      <c r="Q40">
        <v>0.56000000000000005</v>
      </c>
      <c r="R40" cm="1">
        <f t="array" ref="R40">numeng*InterpolateXY(R$3,Q40,Tmil_h,Tmil_M,Tmil_table)</f>
        <v>3660.3658911081097</v>
      </c>
      <c r="S40" cm="1">
        <f t="array" ref="S40">1*R$4/(S*Linterp(R$3,atmos_h,atmos_qms)*Q40^2)</f>
        <v>0.15218374713651533</v>
      </c>
      <c r="T40" cm="1">
        <f t="array" ref="T40">InterpolateXY(S40,Q40,CD_CL,CD_M,CD_table)</f>
        <v>1.8286890517619326E-2</v>
      </c>
      <c r="U40" cm="1">
        <f t="array" ref="U40">T40*S*Linterp(R$3,atmos_h,atmos_qms)*Q40^2</f>
        <v>1201.6322939673184</v>
      </c>
      <c r="V40" cm="1">
        <f t="array" ref="V40">Q40*Linterp(R$3,atmos_h,atmos_aspeed)</f>
        <v>614.3717587673392</v>
      </c>
      <c r="W40" s="162">
        <f t="shared" si="1"/>
        <v>9063.4589064944066</v>
      </c>
      <c r="Y40">
        <v>0.56000000000000005</v>
      </c>
      <c r="Z40" cm="1">
        <f t="array" ref="Z40">numeng*InterpolateXY(Z$3,Y40,Tmil_h,Tmil_M,Tmil_table)</f>
        <v>3302.4606188659372</v>
      </c>
      <c r="AA40" cm="1">
        <f t="array" ref="AA40">1*Z$4/(S*Linterp(Z$3,atmos_h,atmos_qms)*Y40^2)</f>
        <v>0.1841260632522827</v>
      </c>
      <c r="AB40" cm="1">
        <f t="array" ref="AB40">InterpolateXY(AA40,Y40,CD_CL,CD_M,CD_table)</f>
        <v>1.9484727371960602E-2</v>
      </c>
      <c r="AC40" cm="1">
        <f t="array" ref="AC40">AB40*S*Linterp(Z$3,atmos_h,atmos_qms)*Y40^2</f>
        <v>1058.2275549585477</v>
      </c>
      <c r="AD40" cm="1">
        <f t="array" ref="AD40">Y40*Linterp(Z$3,atmos_h,atmos_aspeed)</f>
        <v>603.33678074334841</v>
      </c>
      <c r="AE40" s="162">
        <f t="shared" si="2"/>
        <v>8124.1701120939952</v>
      </c>
      <c r="AG40">
        <v>0.56000000000000005</v>
      </c>
      <c r="AH40" cm="1">
        <f t="array" ref="AH40">numeng*InterpolateXY(AH$3,AG40,Tmil_h,Tmil_M,Tmil_table)</f>
        <v>2884.4021654266153</v>
      </c>
      <c r="AI40" cm="1">
        <f t="array" ref="AI40">1*AH$4/(S*Linterp(AH$3,atmos_h,atmos_qms)*AG40^2)</f>
        <v>0.22437526183098688</v>
      </c>
      <c r="AJ40" cm="1">
        <f t="array" ref="AJ40">InterpolateXY(AI40,AG40,CD_CL,CD_M,CD_table)</f>
        <v>2.160345386443668E-2</v>
      </c>
      <c r="AK40" cm="1">
        <f t="array" ref="AK40">AJ40*S*Linterp(AH$3,atmos_h,atmos_qms)*AG40^2</f>
        <v>962.82690382818225</v>
      </c>
      <c r="AL40" cm="1">
        <f t="array" ref="AL40">AG40*Linterp(AH$3,atmos_h,atmos_aspeed)</f>
        <v>592.09617801892671</v>
      </c>
      <c r="AM40" s="162">
        <f t="shared" si="3"/>
        <v>6826.5442090089082</v>
      </c>
      <c r="AO40">
        <v>0.56000000000000005</v>
      </c>
      <c r="AP40" cm="1">
        <f t="array" ref="AP40">numeng*InterpolateXY(AP$3,AO40,Tmil_h,Tmil_M,Tmil_table)</f>
        <v>2502.0562425376129</v>
      </c>
      <c r="AQ40" cm="1">
        <f t="array" ref="AQ40">1*AP$4/(S*Linterp(AP$3,atmos_h,atmos_qms)*AO40^2)</f>
        <v>0.27554387129238461</v>
      </c>
      <c r="AR40" cm="1">
        <f t="array" ref="AR40">InterpolateXY(AQ40,AO40,CD_CL,CD_M,CD_table)</f>
        <v>2.4801491955774038E-2</v>
      </c>
      <c r="AS40" cm="1">
        <f t="array" ref="AS40">AR40*S*Linterp(AP$3,atmos_h,atmos_qms)*AO40^2</f>
        <v>900.0923097816509</v>
      </c>
      <c r="AT40" cm="1">
        <f t="array" ref="AT40">AO40*Linterp(AP$3,atmos_h,atmos_aspeed)</f>
        <v>580.63800861767061</v>
      </c>
      <c r="AU40" s="162">
        <f t="shared" si="4"/>
        <v>5580.9668867565233</v>
      </c>
      <c r="AW40">
        <v>0.56000000000000005</v>
      </c>
      <c r="AX40" cm="1">
        <f t="array" ref="AX40">numeng*InterpolateXY(AX$3,AW40,Tmil_h,Tmil_M,Tmil_table)</f>
        <v>2154.5298570917294</v>
      </c>
      <c r="AY40" cm="1">
        <f t="array" ref="AY40">1*AX$4/(S*Linterp(AX$3,atmos_h,atmos_qms)*AW40^2)</f>
        <v>0.34122095280616693</v>
      </c>
      <c r="AZ40" cm="1">
        <f t="array" ref="AZ40">InterpolateXY(AY40,AW40,CD_CL,CD_M,CD_table)</f>
        <v>2.9679202415501066E-2</v>
      </c>
      <c r="BA40" cm="1">
        <f t="array" ref="BA40">AZ40*S*Linterp(AX$3,atmos_h,atmos_qms)*AW40^2</f>
        <v>869.79425417525738</v>
      </c>
      <c r="BB40" cm="1">
        <f t="array" ref="BB40">AW40*Linterp(AX$3,atmos_h,atmos_aspeed)</f>
        <v>568.9491278474444</v>
      </c>
      <c r="BC40" s="162">
        <f t="shared" si="5"/>
        <v>4385.6952047633249</v>
      </c>
      <c r="BE40">
        <v>0.56000000000000005</v>
      </c>
      <c r="BF40" cm="1">
        <f t="array" ref="BF40">numeng*InterpolateXY(BF$3,BE40,Tmil_h,Tmil_M,Tmil_table)</f>
        <v>1840.7053878777581</v>
      </c>
      <c r="BG40" cm="1">
        <f t="array" ref="BG40">1*BF$4/(S*Linterp(BF$3,atmos_h,atmos_qms)*BE40^2)</f>
        <v>0.42640039787640099</v>
      </c>
      <c r="BH40" cm="1">
        <f t="array" ref="BH40">InterpolateXY(BG40,BE40,CD_CL,CD_M,CD_table)</f>
        <v>4.2786479973156599E-2</v>
      </c>
      <c r="BI40" cm="1">
        <f t="array" ref="BI40">BH40*S*Linterp(BF$3,atmos_h,atmos_qms)*BE40^2</f>
        <v>1003.4343351048877</v>
      </c>
      <c r="BJ40" cm="1">
        <f t="array" ref="BJ40">BE40*Linterp(BF$3,atmos_h,atmos_aspeed)</f>
        <v>557.01501156184383</v>
      </c>
      <c r="BK40" s="162">
        <f t="shared" si="6"/>
        <v>2798.2352708440653</v>
      </c>
      <c r="BM40">
        <v>0.56000000000000005</v>
      </c>
      <c r="BN40" cm="1">
        <f t="array" ref="BN40">numeng*InterpolateXY(BN$3,BM40,Tmil_h,Tmil_M,Tmil_table)</f>
        <v>1559.2674025688748</v>
      </c>
      <c r="BO40" cm="1">
        <f t="array" ref="BO40">1*BN$4/(S*Linterp(BN$3,atmos_h,atmos_qms)*BM40^2)</f>
        <v>0.53812753228485044</v>
      </c>
      <c r="BP40" cm="1">
        <f t="array" ref="BP40">InterpolateXY(BO40,BM40,CD_CL,CD_M,CD_table)</f>
        <v>6.9513917605158182E-2</v>
      </c>
      <c r="BQ40" cm="1">
        <f t="array" ref="BQ40">BP40*S*Linterp(BN$3,atmos_h,atmos_qms)*BM40^2</f>
        <v>1291.7740393249744</v>
      </c>
      <c r="BR40" cm="1">
        <f t="array" ref="BR40">BM40*Linterp(BN$3,atmos_h,atmos_aspeed)</f>
        <v>544.81954455775042</v>
      </c>
      <c r="BS40" s="162">
        <f t="shared" si="7"/>
        <v>874.41367400857621</v>
      </c>
      <c r="BU40">
        <v>0.56000000000000005</v>
      </c>
      <c r="BV40" cm="1">
        <f t="array" ref="BV40">numeng*InterpolateXY(BV$3,BU40,Tmil_h,Tmil_M,Tmil_table)</f>
        <v>1266.295842218248</v>
      </c>
      <c r="BW40" cm="1">
        <f t="array" ref="BW40">1*BV$4/(S*Linterp(BV$3,atmos_h,atmos_qms)*BU40^2)</f>
        <v>0.68413542741790834</v>
      </c>
      <c r="BX40" cm="1">
        <f t="array" ref="BX40">InterpolateXY(BW40,BU40,CD_CL,CD_M,CD_table)</f>
        <v>0.12573131720904387</v>
      </c>
      <c r="BY40" cm="1">
        <f t="array" ref="BY40">BX40*S*Linterp(BV$3,atmos_h,atmos_qms)*BU40^2</f>
        <v>1837.8132774615128</v>
      </c>
      <c r="BZ40" cm="1">
        <f t="array" ref="BZ40">BU40*Linterp(BV$3,atmos_h,atmos_aspeed)</f>
        <v>542.13628583600303</v>
      </c>
      <c r="CA40" s="162">
        <f t="shared" si="8"/>
        <v>-1859.0420377998116</v>
      </c>
    </row>
    <row r="41" spans="1:79">
      <c r="A41" s="120">
        <v>33000</v>
      </c>
      <c r="B41" s="11">
        <v>0.92872500000000013</v>
      </c>
      <c r="D41" s="120">
        <v>33000</v>
      </c>
      <c r="E41" s="11">
        <v>0.85283293373518276</v>
      </c>
      <c r="I41">
        <v>0.56999999999999995</v>
      </c>
      <c r="J41" cm="1">
        <f t="array" ref="J41">numeng*InterpolateXY(J$3,I41,Tmil_h,Tmil_M,Tmil_table)</f>
        <v>4028</v>
      </c>
      <c r="K41" cm="1">
        <f t="array" ref="K41">1*J$4/(S*Linterp(J$3,atmos_h,atmos_qms)*I41^2)</f>
        <v>0.1222200656760518</v>
      </c>
      <c r="L41" cm="1">
        <f t="array" ref="L41">InterpolateXY(K41,I41,CD_CL,CD_M,CD_table)</f>
        <v>1.7143252462851945E-2</v>
      </c>
      <c r="M41" cm="1">
        <f t="array" ref="M41">L41*S*Linterp(J$3,atmos_h,atmos_qms)*I41^2</f>
        <v>1402.6544960539204</v>
      </c>
      <c r="N41" cm="1">
        <f t="array" ref="N41">I41*Linterp(J$3,atmos_h,atmos_aspeed)</f>
        <v>636.37649999999996</v>
      </c>
      <c r="O41" s="162">
        <f t="shared" si="0"/>
        <v>10024.249098551652</v>
      </c>
      <c r="Q41">
        <v>0.56999999999999995</v>
      </c>
      <c r="R41" cm="1">
        <f t="array" ref="R41">numeng*InterpolateXY(R$3,Q41,Tmil_h,Tmil_M,Tmil_table)</f>
        <v>3667.2592355358088</v>
      </c>
      <c r="S41" cm="1">
        <f t="array" ref="S41">1*R$4/(S*Linterp(R$3,atmos_h,atmos_qms)*Q41^2)</f>
        <v>0.14689080671594715</v>
      </c>
      <c r="T41" cm="1">
        <f t="array" ref="T41">InterpolateXY(S41,Q41,CD_CL,CD_M,CD_table)</f>
        <v>1.8068405251848021E-2</v>
      </c>
      <c r="U41" cm="1">
        <f t="array" ref="U41">T41*S*Linterp(R$3,atmos_h,atmos_qms)*Q41^2</f>
        <v>1230.0569147794347</v>
      </c>
      <c r="V41" cm="1">
        <f t="array" ref="V41">Q41*Linterp(R$3,atmos_h,atmos_aspeed)</f>
        <v>625.34268303104159</v>
      </c>
      <c r="W41" s="162">
        <f t="shared" si="1"/>
        <v>9144.5198301076343</v>
      </c>
      <c r="Y41">
        <v>0.56999999999999995</v>
      </c>
      <c r="Z41" cm="1">
        <f t="array" ref="Z41">numeng*InterpolateXY(Z$3,Y41,Tmil_h,Tmil_M,Tmil_table)</f>
        <v>3311.3223199899066</v>
      </c>
      <c r="AA41" cm="1">
        <f t="array" ref="AA41">1*Z$4/(S*Linterp(Z$3,atmos_h,atmos_qms)*Y41^2)</f>
        <v>0.17772217124012271</v>
      </c>
      <c r="AB41" cm="1">
        <f t="array" ref="AB41">InterpolateXY(AA41,Y41,CD_CL,CD_M,CD_table)</f>
        <v>1.9224581421504603E-2</v>
      </c>
      <c r="AC41" cm="1">
        <f t="array" ref="AC41">AB41*S*Linterp(Z$3,atmos_h,atmos_qms)*Y41^2</f>
        <v>1081.7210529985043</v>
      </c>
      <c r="AD41" cm="1">
        <f t="array" ref="AD41">Y41*Linterp(Z$3,atmos_h,atmos_aspeed)</f>
        <v>614.11065182805089</v>
      </c>
      <c r="AE41" s="162">
        <f t="shared" si="2"/>
        <v>8215.3313243324301</v>
      </c>
      <c r="AG41">
        <v>0.56999999999999995</v>
      </c>
      <c r="AH41" cm="1">
        <f t="array" ref="AH41">numeng*InterpolateXY(AH$3,AG41,Tmil_h,Tmil_M,Tmil_table)</f>
        <v>2893.2114216037471</v>
      </c>
      <c r="AI41" cm="1">
        <f t="array" ref="AI41">1*AH$4/(S*Linterp(AH$3,atmos_h,atmos_qms)*AG41^2)</f>
        <v>0.21657150541765929</v>
      </c>
      <c r="AJ41" cm="1">
        <f t="array" ref="AJ41">InterpolateXY(AI41,AG41,CD_CL,CD_M,CD_table)</f>
        <v>2.1095719088603707E-2</v>
      </c>
      <c r="AK41" cm="1">
        <f t="array" ref="AK41">AJ41*S*Linterp(AH$3,atmos_h,atmos_qms)*AG41^2</f>
        <v>974.07639328731193</v>
      </c>
      <c r="AL41" cm="1">
        <f t="array" ref="AL41">AG41*Linterp(AH$3,atmos_h,atmos_aspeed)</f>
        <v>602.66932405497892</v>
      </c>
      <c r="AM41" s="162">
        <f t="shared" si="3"/>
        <v>6939.6228617141933</v>
      </c>
      <c r="AO41">
        <v>0.56999999999999995</v>
      </c>
      <c r="AP41" cm="1">
        <f t="array" ref="AP41">numeng*InterpolateXY(AP$3,AO41,Tmil_h,Tmil_M,Tmil_table)</f>
        <v>2510.5811360385928</v>
      </c>
      <c r="AQ41" cm="1">
        <f t="array" ref="AQ41">1*AP$4/(S*Linterp(AP$3,atmos_h,atmos_qms)*AO41^2)</f>
        <v>0.26596047410677692</v>
      </c>
      <c r="AR41" cm="1">
        <f t="array" ref="AR41">InterpolateXY(AQ41,AO41,CD_CL,CD_M,CD_table)</f>
        <v>2.4182529631673558E-2</v>
      </c>
      <c r="AS41" cm="1">
        <f t="array" ref="AS41">AR41*S*Linterp(AP$3,atmos_h,atmos_qms)*AO41^2</f>
        <v>909.25276445269219</v>
      </c>
      <c r="AT41" cm="1">
        <f t="array" ref="AT41">AO41*Linterp(AP$3,atmos_h,atmos_aspeed)</f>
        <v>591.00654448584328</v>
      </c>
      <c r="AU41" s="162">
        <f t="shared" si="4"/>
        <v>5678.3732848687532</v>
      </c>
      <c r="AW41">
        <v>0.56999999999999995</v>
      </c>
      <c r="AX41" cm="1">
        <f t="array" ref="AX41">numeng*InterpolateXY(AX$3,AW41,Tmil_h,Tmil_M,Tmil_table)</f>
        <v>2162.5959006498929</v>
      </c>
      <c r="AY41" cm="1">
        <f t="array" ref="AY41">1*AX$4/(S*Linterp(AX$3,atmos_h,atmos_qms)*AW41^2)</f>
        <v>0.32935331117271155</v>
      </c>
      <c r="AZ41" cm="1">
        <f t="array" ref="AZ41">InterpolateXY(AY41,AW41,CD_CL,CD_M,CD_table)</f>
        <v>2.8694956532782815E-2</v>
      </c>
      <c r="BA41" cm="1">
        <f t="array" ref="BA41">AZ41*S*Linterp(AX$3,atmos_h,atmos_qms)*AW41^2</f>
        <v>871.25149677743184</v>
      </c>
      <c r="BB41" cm="1">
        <f t="array" ref="BB41">AW41*Linterp(AX$3,atmos_h,atmos_aspeed)</f>
        <v>579.10893370186295</v>
      </c>
      <c r="BC41" s="162">
        <f t="shared" si="5"/>
        <v>4486.9744846106923</v>
      </c>
      <c r="BE41">
        <v>0.56999999999999995</v>
      </c>
      <c r="BF41" cm="1">
        <f t="array" ref="BF41">numeng*InterpolateXY(BF$3,BE41,Tmil_h,Tmil_M,Tmil_table)</f>
        <v>1848.1879301049034</v>
      </c>
      <c r="BG41" cm="1">
        <f t="array" ref="BG41">1*BF$4/(S*Linterp(BF$3,atmos_h,atmos_qms)*BE41^2)</f>
        <v>0.41157022091117074</v>
      </c>
      <c r="BH41" cm="1">
        <f t="array" ref="BH41">InterpolateXY(BG41,BE41,CD_CL,CD_M,CD_table)</f>
        <v>3.9785614403145313E-2</v>
      </c>
      <c r="BI41" cm="1">
        <f t="array" ref="BI41">BH41*S*Linterp(BF$3,atmos_h,atmos_qms)*BE41^2</f>
        <v>966.67864635746434</v>
      </c>
      <c r="BJ41" cm="1">
        <f t="array" ref="BJ41">BE41*Linterp(BF$3,atmos_h,atmos_aspeed)</f>
        <v>566.96170819687666</v>
      </c>
      <c r="BK41" s="162">
        <f t="shared" si="6"/>
        <v>2998.6920558291199</v>
      </c>
      <c r="BM41">
        <v>0.56999999999999995</v>
      </c>
      <c r="BN41" cm="1">
        <f t="array" ref="BN41">numeng*InterpolateXY(BN$3,BM41,Tmil_h,Tmil_M,Tmil_table)</f>
        <v>1566.0845494004557</v>
      </c>
      <c r="BO41" cm="1">
        <f t="array" ref="BO41">1*BN$4/(S*Linterp(BN$3,atmos_h,atmos_qms)*BM41^2)</f>
        <v>0.51941149315028967</v>
      </c>
      <c r="BP41" cm="1">
        <f t="array" ref="BP41">InterpolateXY(BO41,BM41,CD_CL,CD_M,CD_table)</f>
        <v>6.3635797356040677E-2</v>
      </c>
      <c r="BQ41" cm="1">
        <f t="array" ref="BQ41">BP41*S*Linterp(BN$3,atmos_h,atmos_qms)*BM41^2</f>
        <v>1225.1518920015099</v>
      </c>
      <c r="BR41" cm="1">
        <f t="array" ref="BR41">BM41*Linterp(BN$3,atmos_h,atmos_aspeed)</f>
        <v>554.54846499628161</v>
      </c>
      <c r="BS41" s="162">
        <f t="shared" si="7"/>
        <v>1134.3820909661315</v>
      </c>
      <c r="BU41">
        <v>0.56999999999999995</v>
      </c>
      <c r="BV41" cm="1">
        <f t="array" ref="BV41">numeng*InterpolateXY(BV$3,BU41,Tmil_h,Tmil_M,Tmil_table)</f>
        <v>1272.2039099113347</v>
      </c>
      <c r="BW41" cm="1">
        <f t="array" ref="BW41">1*BV$4/(S*Linterp(BV$3,atmos_h,atmos_qms)*BU41^2)</f>
        <v>0.66034124357727331</v>
      </c>
      <c r="BX41" cm="1">
        <f t="array" ref="BX41">InterpolateXY(BW41,BU41,CD_CL,CD_M,CD_table)</f>
        <v>0.11528946468684571</v>
      </c>
      <c r="BY41" cm="1">
        <f t="array" ref="BY41">BX41*S*Linterp(BV$3,atmos_h,atmos_qms)*BU41^2</f>
        <v>1745.9073745308856</v>
      </c>
      <c r="BZ41" cm="1">
        <f t="array" ref="BZ41">BU41*Linterp(BV$3,atmos_h,atmos_aspeed)</f>
        <v>551.81729094021716</v>
      </c>
      <c r="CA41" s="162">
        <f t="shared" si="8"/>
        <v>-1568.3865753321334</v>
      </c>
    </row>
    <row r="42" spans="1:79">
      <c r="A42" s="120">
        <v>34000</v>
      </c>
      <c r="B42" s="11">
        <v>0.93</v>
      </c>
      <c r="D42" s="120">
        <v>34000</v>
      </c>
      <c r="E42" s="11">
        <v>0.85665051323189823</v>
      </c>
      <c r="I42">
        <v>0.57999999999999996</v>
      </c>
      <c r="J42" cm="1">
        <f t="array" ref="J42">numeng*InterpolateXY(J$3,I42,Tmil_h,Tmil_M,Tmil_table)</f>
        <v>4032</v>
      </c>
      <c r="K42" cm="1">
        <f t="array" ref="K42">1*J$4/(S*Linterp(J$3,atmos_h,atmos_qms)*I42^2)</f>
        <v>0.11804191242018201</v>
      </c>
      <c r="L42" cm="1">
        <f t="array" ref="L42">InterpolateXY(K42,I42,CD_CL,CD_M,CD_table)</f>
        <v>1.6966571715756825E-2</v>
      </c>
      <c r="M42" cm="1">
        <f t="array" ref="M42">L42*S*Linterp(J$3,atmos_h,atmos_qms)*I42^2</f>
        <v>1437.3345338020802</v>
      </c>
      <c r="N42" cm="1">
        <f t="array" ref="N42">I42*Linterp(J$3,atmos_h,atmos_aspeed)</f>
        <v>647.54099999999994</v>
      </c>
      <c r="O42" s="162">
        <f t="shared" si="0"/>
        <v>10080.913623883602</v>
      </c>
      <c r="Q42">
        <v>0.57999999999999996</v>
      </c>
      <c r="R42" cm="1">
        <f t="array" ref="R42">numeng*InterpolateXY(R$3,Q42,Tmil_h,Tmil_M,Tmil_table)</f>
        <v>3674.1525799635078</v>
      </c>
      <c r="S42" cm="1">
        <f t="array" ref="S42">1*R$4/(S*Linterp(R$3,atmos_h,atmos_qms)*Q42^2)</f>
        <v>0.14186927200360056</v>
      </c>
      <c r="T42" cm="1">
        <f t="array" ref="T42">InterpolateXY(S42,Q42,CD_CL,CD_M,CD_table)</f>
        <v>1.7860097700135021E-2</v>
      </c>
      <c r="U42" cm="1">
        <f t="array" ref="U42">T42*S*Linterp(R$3,atmos_h,atmos_qms)*Q42^2</f>
        <v>1258.9123386551066</v>
      </c>
      <c r="V42" cm="1">
        <f t="array" ref="V42">Q42*Linterp(R$3,atmos_h,atmos_aspeed)</f>
        <v>636.31360729474397</v>
      </c>
      <c r="W42" s="162">
        <f t="shared" si="1"/>
        <v>9221.1013825822592</v>
      </c>
      <c r="Y42">
        <v>0.57999999999999996</v>
      </c>
      <c r="Z42" cm="1">
        <f t="array" ref="Z42">numeng*InterpolateXY(Z$3,Y42,Tmil_h,Tmil_M,Tmil_table)</f>
        <v>3320.184021113876</v>
      </c>
      <c r="AA42" cm="1">
        <f t="array" ref="AA42">1*Z$4/(S*Linterp(Z$3,atmos_h,atmos_qms)*Y42^2)</f>
        <v>0.17164665111746691</v>
      </c>
      <c r="AB42" cm="1">
        <f t="array" ref="AB42">InterpolateXY(AA42,Y42,CD_CL,CD_M,CD_table)</f>
        <v>1.8976749416905012E-2</v>
      </c>
      <c r="AC42" cm="1">
        <f t="array" ref="AC42">AB42*S*Linterp(Z$3,atmos_h,atmos_qms)*Y42^2</f>
        <v>1105.5706180901959</v>
      </c>
      <c r="AD42" cm="1">
        <f t="array" ref="AD42">Y42*Linterp(Z$3,atmos_h,atmos_aspeed)</f>
        <v>624.8845229127536</v>
      </c>
      <c r="AE42" s="162">
        <f t="shared" si="2"/>
        <v>8303.26583870785</v>
      </c>
      <c r="AG42">
        <v>0.57999999999999996</v>
      </c>
      <c r="AH42" cm="1">
        <f t="array" ref="AH42">numeng*InterpolateXY(AH$3,AG42,Tmil_h,Tmil_M,Tmil_table)</f>
        <v>2902.0206777808789</v>
      </c>
      <c r="AI42" cm="1">
        <f t="array" ref="AI42">1*AH$4/(S*Linterp(AH$3,atmos_h,atmos_qms)*AG42^2)</f>
        <v>0.20916790163554547</v>
      </c>
      <c r="AJ42" cm="1">
        <f t="array" ref="AJ42">InterpolateXY(AI42,AG42,CD_CL,CD_M,CD_table)</f>
        <v>2.0612993852221592E-2</v>
      </c>
      <c r="AK42" cm="1">
        <f t="array" ref="AK42">AJ42*S*Linterp(AH$3,atmos_h,atmos_qms)*AG42^2</f>
        <v>985.47595931510136</v>
      </c>
      <c r="AL42" cm="1">
        <f t="array" ref="AL42">AG42*Linterp(AH$3,atmos_h,atmos_aspeed)</f>
        <v>613.24247009103112</v>
      </c>
      <c r="AM42" s="162">
        <f t="shared" si="3"/>
        <v>7051.8397031512395</v>
      </c>
      <c r="AO42">
        <v>0.57999999999999996</v>
      </c>
      <c r="AP42" cm="1">
        <f t="array" ref="AP42">numeng*InterpolateXY(AP$3,AO42,Tmil_h,Tmil_M,Tmil_table)</f>
        <v>2519.1060295395728</v>
      </c>
      <c r="AQ42" cm="1">
        <f t="array" ref="AQ42">1*AP$4/(S*Linterp(AP$3,atmos_h,atmos_qms)*AO42^2)</f>
        <v>0.25686848405853691</v>
      </c>
      <c r="AR42" cm="1">
        <f t="array" ref="AR42">InterpolateXY(AQ42,AO42,CD_CL,CD_M,CD_table)</f>
        <v>2.3594280253658558E-2</v>
      </c>
      <c r="AS42" cm="1">
        <f t="array" ref="AS42">AR42*S*Linterp(AP$3,atmos_h,atmos_qms)*AO42^2</f>
        <v>918.53542641228557</v>
      </c>
      <c r="AT42" cm="1">
        <f t="array" ref="AT42">AO42*Linterp(AP$3,atmos_h,atmos_aspeed)</f>
        <v>601.37508035401595</v>
      </c>
      <c r="AU42" s="162">
        <f t="shared" si="4"/>
        <v>5775.2596504076882</v>
      </c>
      <c r="AW42">
        <v>0.57999999999999996</v>
      </c>
      <c r="AX42" cm="1">
        <f t="array" ref="AX42">numeng*InterpolateXY(AX$3,AW42,Tmil_h,Tmil_M,Tmil_table)</f>
        <v>2170.6619442080564</v>
      </c>
      <c r="AY42" cm="1">
        <f t="array" ref="AY42">1*AX$4/(S*Linterp(AX$3,atmos_h,atmos_qms)*AW42^2)</f>
        <v>0.31809420570753261</v>
      </c>
      <c r="AZ42" cm="1">
        <f t="array" ref="AZ42">InterpolateXY(AY42,AW42,CD_CL,CD_M,CD_table)</f>
        <v>2.7760154213737027E-2</v>
      </c>
      <c r="BA42" cm="1">
        <f t="array" ref="BA42">AZ42*S*Linterp(AX$3,atmos_h,atmos_qms)*AW42^2</f>
        <v>872.7022911967382</v>
      </c>
      <c r="BB42" cm="1">
        <f t="array" ref="BB42">AW42*Linterp(AX$3,atmos_h,atmos_aspeed)</f>
        <v>589.26873955628162</v>
      </c>
      <c r="BC42" s="162">
        <f t="shared" si="5"/>
        <v>4589.0822923493279</v>
      </c>
      <c r="BE42">
        <v>0.57999999999999996</v>
      </c>
      <c r="BF42" cm="1">
        <f t="array" ref="BF42">numeng*InterpolateXY(BF$3,BE42,Tmil_h,Tmil_M,Tmil_table)</f>
        <v>1855.6704723320488</v>
      </c>
      <c r="BG42" cm="1">
        <f t="array" ref="BG42">1*BF$4/(S*Linterp(BF$3,atmos_h,atmos_qms)*BE42^2)</f>
        <v>0.39750048981581265</v>
      </c>
      <c r="BH42" cm="1">
        <f t="array" ref="BH42">InterpolateXY(BG42,BE42,CD_CL,CD_M,CD_table)</f>
        <v>3.7085694431391439E-2</v>
      </c>
      <c r="BI42" cm="1">
        <f t="array" ref="BI42">BH42*S*Linterp(BF$3,atmos_h,atmos_qms)*BE42^2</f>
        <v>932.97229516812956</v>
      </c>
      <c r="BJ42" cm="1">
        <f t="array" ref="BJ42">BE42*Linterp(BF$3,atmos_h,atmos_aspeed)</f>
        <v>576.90840483190959</v>
      </c>
      <c r="BK42" s="162">
        <f t="shared" si="6"/>
        <v>3193.8740011736841</v>
      </c>
      <c r="BM42">
        <v>0.57999999999999996</v>
      </c>
      <c r="BN42" cm="1">
        <f t="array" ref="BN42">numeng*InterpolateXY(BN$3,BM42,Tmil_h,Tmil_M,Tmil_table)</f>
        <v>1572.9016962320368</v>
      </c>
      <c r="BO42" cm="1">
        <f t="array" ref="BO42">1*BN$4/(S*Linterp(BN$3,atmos_h,atmos_qms)*BM42^2)</f>
        <v>0.50165515494806512</v>
      </c>
      <c r="BP42" cm="1">
        <f t="array" ref="BP42">InterpolateXY(BO42,BM42,CD_CL,CD_M,CD_table)</f>
        <v>5.8058063498744386E-2</v>
      </c>
      <c r="BQ42" cm="1">
        <f t="array" ref="BQ42">BP42*S*Linterp(BN$3,atmos_h,atmos_qms)*BM42^2</f>
        <v>1157.3301485311154</v>
      </c>
      <c r="BR42" cm="1">
        <f t="array" ref="BR42">BM42*Linterp(BN$3,atmos_h,atmos_aspeed)</f>
        <v>564.2773854348128</v>
      </c>
      <c r="BS42" s="162">
        <f t="shared" si="7"/>
        <v>1406.9857583866471</v>
      </c>
      <c r="BU42">
        <v>0.57999999999999996</v>
      </c>
      <c r="BV42" cm="1">
        <f t="array" ref="BV42">numeng*InterpolateXY(BV$3,BU42,Tmil_h,Tmil_M,Tmil_table)</f>
        <v>1278.1119776044216</v>
      </c>
      <c r="BW42" cm="1">
        <f t="array" ref="BW42">1*BV$4/(S*Linterp(BV$3,atmos_h,atmos_qms)*BU42^2)</f>
        <v>0.63776715231348424</v>
      </c>
      <c r="BX42" cm="1">
        <f t="array" ref="BX42">InterpolateXY(BW42,BU42,CD_CL,CD_M,CD_table)</f>
        <v>0.10538201271330611</v>
      </c>
      <c r="BY42" cm="1">
        <f t="array" ref="BY42">BX42*S*Linterp(BV$3,atmos_h,atmos_qms)*BU42^2</f>
        <v>1652.3587383112394</v>
      </c>
      <c r="BZ42" cm="1">
        <f t="array" ref="BZ42">BU42*Linterp(BV$3,atmos_h,atmos_aspeed)</f>
        <v>561.49829604443153</v>
      </c>
      <c r="CA42" s="162">
        <f t="shared" si="8"/>
        <v>-1260.8335106221582</v>
      </c>
    </row>
    <row r="43" spans="1:79">
      <c r="A43" s="120">
        <v>35000</v>
      </c>
      <c r="B43" s="11">
        <v>0.93</v>
      </c>
      <c r="D43" s="120">
        <v>35000</v>
      </c>
      <c r="E43" s="11">
        <v>0.86051982250075543</v>
      </c>
      <c r="I43">
        <v>0.59</v>
      </c>
      <c r="J43" cm="1">
        <f t="array" ref="J43">numeng*InterpolateXY(J$3,I43,Tmil_h,Tmil_M,Tmil_table)</f>
        <v>4036</v>
      </c>
      <c r="K43" cm="1">
        <f t="array" ref="K43">1*J$4/(S*Linterp(J$3,atmos_h,atmos_qms)*I43^2)</f>
        <v>0.11407440200559964</v>
      </c>
      <c r="L43" cm="1">
        <f t="array" ref="L43">InterpolateXY(K43,I43,CD_CL,CD_M,CD_table)</f>
        <v>1.6797790075209987E-2</v>
      </c>
      <c r="M43" cm="1">
        <f t="array" ref="M43">L43*S*Linterp(J$3,atmos_h,atmos_qms)*I43^2</f>
        <v>1472.5293124381601</v>
      </c>
      <c r="N43" cm="1">
        <f t="array" ref="N43">I43*Linterp(J$3,atmos_h,atmos_aspeed)</f>
        <v>658.70550000000003</v>
      </c>
      <c r="O43" s="162">
        <f t="shared" si="0"/>
        <v>10131.433445914594</v>
      </c>
      <c r="Q43">
        <v>0.59</v>
      </c>
      <c r="R43" cm="1">
        <f t="array" ref="R43">numeng*InterpolateXY(R$3,Q43,Tmil_h,Tmil_M,Tmil_table)</f>
        <v>3681.0459243912064</v>
      </c>
      <c r="S43" cm="1">
        <f t="array" ref="S43">1*R$4/(S*Linterp(R$3,atmos_h,atmos_qms)*Q43^2)</f>
        <v>0.13710089945995754</v>
      </c>
      <c r="T43" cm="1">
        <f t="array" ref="T43">InterpolateXY(S43,Q43,CD_CL,CD_M,CD_table)</f>
        <v>1.7661283729748407E-2</v>
      </c>
      <c r="U43" cm="1">
        <f t="array" ref="U43">T43*S*Linterp(R$3,atmos_h,atmos_qms)*Q43^2</f>
        <v>1288.1960511795664</v>
      </c>
      <c r="V43" cm="1">
        <f t="array" ref="V43">Q43*Linterp(R$3,atmos_h,atmos_aspeed)</f>
        <v>647.28453155844647</v>
      </c>
      <c r="W43" s="162">
        <f t="shared" si="1"/>
        <v>9293.1282556289079</v>
      </c>
      <c r="Y43">
        <v>0.59</v>
      </c>
      <c r="Z43" cm="1">
        <f t="array" ref="Z43">numeng*InterpolateXY(Z$3,Y43,Tmil_h,Tmil_M,Tmil_table)</f>
        <v>3329.0457222378454</v>
      </c>
      <c r="AA43" cm="1">
        <f t="array" ref="AA43">1*Z$4/(S*Linterp(Z$3,atmos_h,atmos_qms)*Y43^2)</f>
        <v>0.16587743015201342</v>
      </c>
      <c r="AB43" cm="1">
        <f t="array" ref="AB43">InterpolateXY(AA43,Y43,CD_CL,CD_M,CD_table)</f>
        <v>1.8740403630700501E-2</v>
      </c>
      <c r="AC43" cm="1">
        <f t="array" ref="AC43">AB43*S*Linterp(Z$3,atmos_h,atmos_qms)*Y43^2</f>
        <v>1129.7741720212582</v>
      </c>
      <c r="AD43" cm="1">
        <f t="array" ref="AD43">Y43*Linterp(Z$3,atmos_h,atmos_aspeed)</f>
        <v>635.65839399745619</v>
      </c>
      <c r="AE43" s="162">
        <f t="shared" si="2"/>
        <v>8387.9125294498317</v>
      </c>
      <c r="AG43">
        <v>0.59</v>
      </c>
      <c r="AH43" cm="1">
        <f t="array" ref="AH43">numeng*InterpolateXY(AH$3,AG43,Tmil_h,Tmil_M,Tmil_table)</f>
        <v>2910.8299339580108</v>
      </c>
      <c r="AI43" cm="1">
        <f t="array" ref="AI43">1*AH$4/(S*Linterp(AH$3,atmos_h,atmos_qms)*AG43^2)</f>
        <v>0.20213755274403189</v>
      </c>
      <c r="AJ43" cm="1">
        <f t="array" ref="AJ43">InterpolateXY(AI43,AG43,CD_CL,CD_M,CD_table)</f>
        <v>2.0153597046501992E-2</v>
      </c>
      <c r="AK43" cm="1">
        <f t="array" ref="AK43">AJ43*S*Linterp(AH$3,atmos_h,atmos_qms)*AG43^2</f>
        <v>997.02389649599775</v>
      </c>
      <c r="AL43" cm="1">
        <f t="array" ref="AL43">AG43*Linterp(AH$3,atmos_h,atmos_aspeed)</f>
        <v>623.81561612708344</v>
      </c>
      <c r="AM43" s="162">
        <f t="shared" si="3"/>
        <v>7163.1725544425872</v>
      </c>
      <c r="AO43">
        <v>0.59</v>
      </c>
      <c r="AP43" cm="1">
        <f t="array" ref="AP43">numeng*InterpolateXY(AP$3,AO43,Tmil_h,Tmil_M,Tmil_table)</f>
        <v>2527.6309230405527</v>
      </c>
      <c r="AQ43" cm="1">
        <f t="array" ref="AQ43">1*AP$4/(S*Linterp(AP$3,atmos_h,atmos_qms)*AO43^2)</f>
        <v>0.24823486939756342</v>
      </c>
      <c r="AR43" cm="1">
        <f t="array" ref="AR43">InterpolateXY(AQ43,AO43,CD_CL,CD_M,CD_table)</f>
        <v>2.3034679337347715E-2</v>
      </c>
      <c r="AS43" cm="1">
        <f t="array" ref="AS43">AR43*S*Linterp(AP$3,atmos_h,atmos_qms)*AO43^2</f>
        <v>927.93890694124275</v>
      </c>
      <c r="AT43" cm="1">
        <f t="array" ref="AT43">AO43*Linterp(AP$3,atmos_h,atmos_aspeed)</f>
        <v>611.74361622218862</v>
      </c>
      <c r="AU43" s="162">
        <f t="shared" si="4"/>
        <v>5871.608272622133</v>
      </c>
      <c r="AW43">
        <v>0.59</v>
      </c>
      <c r="AX43" cm="1">
        <f t="array" ref="AX43">numeng*InterpolateXY(AX$3,AW43,Tmil_h,Tmil_M,Tmil_table)</f>
        <v>2178.7279877662204</v>
      </c>
      <c r="AY43" cm="1">
        <f t="array" ref="AY43">1*AX$4/(S*Linterp(AX$3,atmos_h,atmos_qms)*AW43^2)</f>
        <v>0.30740273139906343</v>
      </c>
      <c r="AZ43" cm="1">
        <f t="array" ref="AZ43">InterpolateXY(AY43,AW43,CD_CL,CD_M,CD_table)</f>
        <v>2.6871471926173902E-2</v>
      </c>
      <c r="BA43" cm="1">
        <f t="array" ref="BA43">AZ43*S*Linterp(AX$3,atmos_h,atmos_qms)*AW43^2</f>
        <v>874.1455160100694</v>
      </c>
      <c r="BB43" cm="1">
        <f t="array" ref="BB43">AW43*Linterp(AX$3,atmos_h,atmos_aspeed)</f>
        <v>599.42854541070017</v>
      </c>
      <c r="BC43" s="162">
        <f t="shared" si="5"/>
        <v>4692.0238404785123</v>
      </c>
      <c r="BE43">
        <v>0.59</v>
      </c>
      <c r="BF43" cm="1">
        <f t="array" ref="BF43">numeng*InterpolateXY(BF$3,BE43,Tmil_h,Tmil_M,Tmil_table)</f>
        <v>1863.1530145591942</v>
      </c>
      <c r="BG43" cm="1">
        <f t="array" ref="BG43">1*BF$4/(S*Linterp(BF$3,atmos_h,atmos_qms)*BE43^2)</f>
        <v>0.38414008840574365</v>
      </c>
      <c r="BH43" cm="1">
        <f t="array" ref="BH43">InterpolateXY(BG43,BE43,CD_CL,CD_M,CD_table)</f>
        <v>3.517185753151416E-2</v>
      </c>
      <c r="BI43" cm="1">
        <f t="array" ref="BI43">BH43*S*Linterp(BF$3,atmos_h,atmos_qms)*BE43^2</f>
        <v>915.59976667585602</v>
      </c>
      <c r="BJ43" cm="1">
        <f t="array" ref="BJ43">BE43*Linterp(BF$3,atmos_h,atmos_aspeed)</f>
        <v>586.85510146694253</v>
      </c>
      <c r="BK43" s="162">
        <f t="shared" si="6"/>
        <v>3336.458744591444</v>
      </c>
      <c r="BM43">
        <v>0.59</v>
      </c>
      <c r="BN43" cm="1">
        <f t="array" ref="BN43">numeng*InterpolateXY(BN$3,BM43,Tmil_h,Tmil_M,Tmil_table)</f>
        <v>1579.7188430636177</v>
      </c>
      <c r="BO43" cm="1">
        <f t="array" ref="BO43">1*BN$4/(S*Linterp(BN$3,atmos_h,atmos_qms)*BM43^2)</f>
        <v>0.48479400782685755</v>
      </c>
      <c r="BP43" cm="1">
        <f t="array" ref="BP43">InterpolateXY(BO43,BM43,CD_CL,CD_M,CD_table)</f>
        <v>5.4463595573198367E-2</v>
      </c>
      <c r="BQ43" cm="1">
        <f t="array" ref="BQ43">BP43*S*Linterp(BN$3,atmos_h,atmos_qms)*BM43^2</f>
        <v>1123.4378868942176</v>
      </c>
      <c r="BR43" cm="1">
        <f t="array" ref="BR43">BM43*Linterp(BN$3,atmos_h,atmos_aspeed)</f>
        <v>574.0063058733441</v>
      </c>
      <c r="BS43" s="162">
        <f t="shared" si="7"/>
        <v>1571.4488765469271</v>
      </c>
      <c r="BU43">
        <v>0.59</v>
      </c>
      <c r="BV43" cm="1">
        <f t="array" ref="BV43">numeng*InterpolateXY(BV$3,BU43,Tmil_h,Tmil_M,Tmil_table)</f>
        <v>1284.0200452975082</v>
      </c>
      <c r="BW43" cm="1">
        <f t="array" ref="BW43">1*BV$4/(S*Linterp(BV$3,atmos_h,atmos_qms)*BU43^2)</f>
        <v>0.61633114058677418</v>
      </c>
      <c r="BX43" cm="1">
        <f t="array" ref="BX43">InterpolateXY(BW43,BU43,CD_CL,CD_M,CD_table)</f>
        <v>9.5973039577007105E-2</v>
      </c>
      <c r="BY43" cm="1">
        <f t="array" ref="BY43">BX43*S*Linterp(BV$3,atmos_h,atmos_qms)*BU43^2</f>
        <v>1557.1668094790175</v>
      </c>
      <c r="BZ43" cm="1">
        <f t="array" ref="BZ43">BU43*Linterp(BV$3,atmos_h,atmos_aspeed)</f>
        <v>571.17930114864589</v>
      </c>
      <c r="CA43" s="162">
        <f t="shared" si="8"/>
        <v>-936.09466725725065</v>
      </c>
    </row>
    <row r="44" spans="1:79">
      <c r="A44" s="120">
        <v>36000</v>
      </c>
      <c r="B44" s="11">
        <v>0.93</v>
      </c>
      <c r="D44" s="120">
        <v>36000</v>
      </c>
      <c r="E44" s="11">
        <v>0.86444204046184447</v>
      </c>
      <c r="I44">
        <v>0.6</v>
      </c>
      <c r="J44" cm="1">
        <f t="array" ref="J44">numeng*InterpolateXY(J$3,I44,Tmil_h,Tmil_M,Tmil_table)</f>
        <v>4040</v>
      </c>
      <c r="K44" cm="1">
        <f t="array" ref="K44">1*J$4/(S*Linterp(J$3,atmos_h,atmos_qms)*I44^2)</f>
        <v>0.11030360927263674</v>
      </c>
      <c r="L44" cm="1">
        <f t="array" ref="L44">InterpolateXY(K44,I44,CD_CL,CD_M,CD_table)</f>
        <v>1.6636385347723878E-2</v>
      </c>
      <c r="M44" cm="1">
        <f t="array" ref="M44">L44*S*Linterp(J$3,atmos_h,atmos_qms)*I44^2</f>
        <v>1508.2358099999999</v>
      </c>
      <c r="N44" cm="1">
        <f t="array" ref="N44">I44*Linterp(J$3,atmos_h,atmos_aspeed)</f>
        <v>669.87</v>
      </c>
      <c r="O44" s="162">
        <f t="shared" si="0"/>
        <v>10175.717267731801</v>
      </c>
      <c r="Q44">
        <v>0.6</v>
      </c>
      <c r="R44" cm="1">
        <f t="array" ref="R44">numeng*InterpolateXY(R$3,Q44,Tmil_h,Tmil_M,Tmil_table)</f>
        <v>3687.9392688189055</v>
      </c>
      <c r="S44" cm="1">
        <f t="array" ref="S44">1*R$4/(S*Linterp(R$3,atmos_h,atmos_qms)*Q44^2)</f>
        <v>0.13256895306114228</v>
      </c>
      <c r="T44" cm="1">
        <f t="array" ref="T44">InterpolateXY(S44,Q44,CD_CL,CD_M,CD_table)</f>
        <v>1.7471335739792836E-2</v>
      </c>
      <c r="U44" cm="1">
        <f t="array" ref="U44">T44*S*Linterp(R$3,atmos_h,atmos_qms)*Q44^2</f>
        <v>1317.9055379380466</v>
      </c>
      <c r="V44" cm="1">
        <f t="array" ref="V44">Q44*Linterp(R$3,atmos_h,atmos_aspeed)</f>
        <v>658.25545582214897</v>
      </c>
      <c r="W44" s="162">
        <f t="shared" si="1"/>
        <v>9360.5258030090899</v>
      </c>
      <c r="Y44">
        <v>0.6</v>
      </c>
      <c r="Z44" cm="1">
        <f t="array" ref="Z44">numeng*InterpolateXY(Z$3,Y44,Tmil_h,Tmil_M,Tmil_table)</f>
        <v>3337.9074233618148</v>
      </c>
      <c r="AA44" cm="1">
        <f t="array" ref="AA44">1*Z$4/(S*Linterp(Z$3,atmos_h,atmos_qms)*Y44^2)</f>
        <v>0.16039425954421074</v>
      </c>
      <c r="AB44" cm="1">
        <f t="array" ref="AB44">InterpolateXY(AA44,Y44,CD_CL,CD_M,CD_table)</f>
        <v>1.8514784732907904E-2</v>
      </c>
      <c r="AC44" cm="1">
        <f t="array" ref="AC44">AB44*S*Linterp(Z$3,atmos_h,atmos_qms)*Y44^2</f>
        <v>1154.3296365793271</v>
      </c>
      <c r="AD44" cm="1">
        <f t="array" ref="AD44">Y44*Linterp(Z$3,atmos_h,atmos_aspeed)</f>
        <v>646.43226508215889</v>
      </c>
      <c r="AE44" s="162">
        <f t="shared" si="2"/>
        <v>8469.2108081573442</v>
      </c>
      <c r="AG44">
        <v>0.6</v>
      </c>
      <c r="AH44" cm="1">
        <f t="array" ref="AH44">numeng*InterpolateXY(AH$3,AG44,Tmil_h,Tmil_M,Tmil_table)</f>
        <v>2919.6391901351426</v>
      </c>
      <c r="AI44" cm="1">
        <f t="array" ref="AI44">1*AH$4/(S*Linterp(AH$3,atmos_h,atmos_qms)*AG44^2)</f>
        <v>0.1954557836394375</v>
      </c>
      <c r="AJ44" cm="1">
        <f t="array" ref="AJ44">InterpolateXY(AI44,AG44,CD_CL,CD_M,CD_table)</f>
        <v>1.9829591886478905E-2</v>
      </c>
      <c r="AK44" cm="1">
        <f t="array" ref="AK44">AJ44*S*Linterp(AH$3,atmos_h,atmos_qms)*AG44^2</f>
        <v>1014.5308323574136</v>
      </c>
      <c r="AL44" cm="1">
        <f t="array" ref="AL44">AG44*Linterp(AH$3,atmos_h,atmos_aspeed)</f>
        <v>634.38876216313577</v>
      </c>
      <c r="AM44" s="162">
        <f t="shared" si="3"/>
        <v>7251.4759972635475</v>
      </c>
      <c r="AO44">
        <v>0.6</v>
      </c>
      <c r="AP44" cm="1">
        <f t="array" ref="AP44">numeng*InterpolateXY(AP$3,AO44,Tmil_h,Tmil_M,Tmil_table)</f>
        <v>2536.1558165415327</v>
      </c>
      <c r="AQ44" cm="1">
        <f t="array" ref="AQ44">1*AP$4/(S*Linterp(AP$3,atmos_h,atmos_qms)*AO44^2)</f>
        <v>0.24002932788136613</v>
      </c>
      <c r="AR44" cm="1">
        <f t="array" ref="AR44">InterpolateXY(AQ44,AO44,CD_CL,CD_M,CD_table)</f>
        <v>2.2501832992585385E-2</v>
      </c>
      <c r="AS44" cm="1">
        <f t="array" ref="AS44">AR44*S*Linterp(AP$3,atmos_h,atmos_qms)*AO44^2</f>
        <v>937.46181732037576</v>
      </c>
      <c r="AT44" cm="1">
        <f t="array" ref="AT44">AO44*Linterp(AP$3,atmos_h,atmos_aspeed)</f>
        <v>622.11215209036129</v>
      </c>
      <c r="AU44" s="162">
        <f t="shared" si="4"/>
        <v>5967.4017863365216</v>
      </c>
      <c r="AW44">
        <v>0.6</v>
      </c>
      <c r="AX44" cm="1">
        <f t="array" ref="AX44">numeng*InterpolateXY(AX$3,AW44,Tmil_h,Tmil_M,Tmil_table)</f>
        <v>2186.7940313243839</v>
      </c>
      <c r="AY44" cm="1">
        <f t="array" ref="AY44">1*AX$4/(S*Linterp(AX$3,atmos_h,atmos_qms)*AW44^2)</f>
        <v>0.29724136333337214</v>
      </c>
      <c r="AZ44" cm="1">
        <f t="array" ref="AZ44">InterpolateXY(AY44,AW44,CD_CL,CD_M,CD_table)</f>
        <v>2.6077585208335759E-2</v>
      </c>
      <c r="BA44" cm="1">
        <f t="array" ref="BA44">AZ44*S*Linterp(AX$3,atmos_h,atmos_qms)*AW44^2</f>
        <v>877.32019917727075</v>
      </c>
      <c r="BB44" cm="1">
        <f t="array" ref="BB44">AW44*Linterp(AX$3,atmos_h,atmos_aspeed)</f>
        <v>609.58835126511883</v>
      </c>
      <c r="BC44" s="162">
        <f t="shared" si="5"/>
        <v>4789.4399661802545</v>
      </c>
      <c r="BE44">
        <v>0.6</v>
      </c>
      <c r="BF44" cm="1">
        <f t="array" ref="BF44">numeng*InterpolateXY(BF$3,BE44,Tmil_h,Tmil_M,Tmil_table)</f>
        <v>1870.6355567863395</v>
      </c>
      <c r="BG44" cm="1">
        <f t="array" ref="BG44">1*BF$4/(S*Linterp(BF$3,atmos_h,atmos_qms)*BE44^2)</f>
        <v>0.37144212437233159</v>
      </c>
      <c r="BH44" cm="1">
        <f t="array" ref="BH44">InterpolateXY(BG44,BE44,CD_CL,CD_M,CD_table)</f>
        <v>3.3351921129778007E-2</v>
      </c>
      <c r="BI44" cm="1">
        <f t="array" ref="BI44">BH44*S*Linterp(BF$3,atmos_h,atmos_qms)*BE44^2</f>
        <v>897.90357477996281</v>
      </c>
      <c r="BJ44" cm="1">
        <f t="array" ref="BJ44">BE44*Linterp(BF$3,atmos_h,atmos_aspeed)</f>
        <v>596.80179810197546</v>
      </c>
      <c r="BK44" s="162">
        <f t="shared" si="6"/>
        <v>3483.1691755962238</v>
      </c>
      <c r="BM44">
        <v>0.6</v>
      </c>
      <c r="BN44" cm="1">
        <f t="array" ref="BN44">numeng*InterpolateXY(BN$3,BM44,Tmil_h,Tmil_M,Tmil_table)</f>
        <v>1586.5359898951986</v>
      </c>
      <c r="BO44" cm="1">
        <f t="array" ref="BO44">1*BN$4/(S*Linterp(BN$3,atmos_h,atmos_qms)*BM44^2)</f>
        <v>0.46876887256813643</v>
      </c>
      <c r="BP44" cm="1">
        <f t="array" ref="BP44">InterpolateXY(BO44,BM44,CD_CL,CD_M,CD_table)</f>
        <v>5.1222543386195425E-2</v>
      </c>
      <c r="BQ44" cm="1">
        <f t="array" ref="BQ44">BP44*S*Linterp(BN$3,atmos_h,atmos_qms)*BM44^2</f>
        <v>1092.7035983761941</v>
      </c>
      <c r="BR44" cm="1">
        <f t="array" ref="BR44">BM44*Linterp(BN$3,atmos_h,atmos_aspeed)</f>
        <v>583.73522631187541</v>
      </c>
      <c r="BS44" s="162">
        <f t="shared" si="7"/>
        <v>1729.6041769408844</v>
      </c>
      <c r="BU44">
        <v>0.6</v>
      </c>
      <c r="BV44" cm="1">
        <f t="array" ref="BV44">numeng*InterpolateXY(BV$3,BU44,Tmil_h,Tmil_M,Tmil_table)</f>
        <v>1289.9281129905949</v>
      </c>
      <c r="BW44" cm="1">
        <f t="array" ref="BW44">1*BV$4/(S*Linterp(BV$3,atmos_h,atmos_qms)*BU44^2)</f>
        <v>0.59595797232848924</v>
      </c>
      <c r="BX44" cm="1">
        <f t="array" ref="BX44">InterpolateXY(BW44,BU44,CD_CL,CD_M,CD_table)</f>
        <v>8.7534845338817127E-2</v>
      </c>
      <c r="BY44" cm="1">
        <f t="array" ref="BY44">BX44*S*Linterp(BV$3,atmos_h,atmos_qms)*BU44^2</f>
        <v>1468.8090335767561</v>
      </c>
      <c r="BZ44" cm="1">
        <f t="array" ref="BZ44">BU44*Linterp(BV$3,atmos_h,atmos_aspeed)</f>
        <v>580.86030625286025</v>
      </c>
      <c r="CA44" s="162">
        <f t="shared" si="8"/>
        <v>-623.42895788682711</v>
      </c>
    </row>
    <row r="45" spans="1:79">
      <c r="A45" s="120">
        <v>37000</v>
      </c>
      <c r="B45" s="11">
        <v>0.93</v>
      </c>
      <c r="D45" s="120">
        <v>37000</v>
      </c>
      <c r="E45" s="11">
        <v>0.86477889421258736</v>
      </c>
      <c r="I45">
        <v>0.61</v>
      </c>
      <c r="J45" cm="1">
        <f t="array" ref="J45">numeng*InterpolateXY(J$3,I45,Tmil_h,Tmil_M,Tmil_table)</f>
        <v>4044</v>
      </c>
      <c r="K45" cm="1">
        <f t="array" ref="K45">1*J$4/(S*Linterp(J$3,atmos_h,atmos_qms)*I45^2)</f>
        <v>0.1067167410323817</v>
      </c>
      <c r="L45" cm="1">
        <f t="array" ref="L45">InterpolateXY(K45,I45,CD_CL,CD_M,CD_table)</f>
        <v>1.6481877788714315E-2</v>
      </c>
      <c r="M45" cm="1">
        <f t="array" ref="M45">L45*S*Linterp(J$3,atmos_h,atmos_qms)*I45^2</f>
        <v>1544.4510045254401</v>
      </c>
      <c r="N45" cm="1">
        <f t="array" ref="N45">I45*Linterp(J$3,atmos_h,atmos_aspeed)</f>
        <v>681.03449999999998</v>
      </c>
      <c r="O45" s="162">
        <f t="shared" si="0"/>
        <v>10213.674602151114</v>
      </c>
      <c r="Q45">
        <v>0.61</v>
      </c>
      <c r="R45" cm="1">
        <f t="array" ref="R45">numeng*InterpolateXY(R$3,Q45,Tmil_h,Tmil_M,Tmil_table)</f>
        <v>3694.8326132466045</v>
      </c>
      <c r="S45" cm="1">
        <f t="array" ref="S45">1*R$4/(S*Linterp(R$3,atmos_h,atmos_qms)*Q45^2)</f>
        <v>0.12825805724808176</v>
      </c>
      <c r="T45" cm="1">
        <f t="array" ref="T45">InterpolateXY(S45,Q45,CD_CL,CD_M,CD_table)</f>
        <v>1.7289677146803066E-2</v>
      </c>
      <c r="U45" cm="1">
        <f t="array" ref="U45">T45*S*Linterp(R$3,atmos_h,atmos_qms)*Q45^2</f>
        <v>1348.0382845157787</v>
      </c>
      <c r="V45" cm="1">
        <f t="array" ref="V45">Q45*Linterp(R$3,atmos_h,atmos_aspeed)</f>
        <v>669.22638008585147</v>
      </c>
      <c r="W45" s="162">
        <f t="shared" si="1"/>
        <v>9423.2200405352178</v>
      </c>
      <c r="Y45">
        <v>0.61</v>
      </c>
      <c r="Z45" cm="1">
        <f t="array" ref="Z45">numeng*InterpolateXY(Z$3,Y45,Tmil_h,Tmil_M,Tmil_table)</f>
        <v>3346.7691244857842</v>
      </c>
      <c r="AA45" cm="1">
        <f t="array" ref="AA45">1*Z$4/(S*Linterp(Z$3,atmos_h,atmos_qms)*Y45^2)</f>
        <v>0.15517853651146429</v>
      </c>
      <c r="AB45" cm="1">
        <f t="array" ref="AB45">InterpolateXY(AA45,Y45,CD_CL,CD_M,CD_table)</f>
        <v>1.8299195119179913E-2</v>
      </c>
      <c r="AC45" cm="1">
        <f t="array" ref="AC45">AB45*S*Linterp(Z$3,atmos_h,atmos_qms)*Y45^2</f>
        <v>1179.2349335520385</v>
      </c>
      <c r="AD45" cm="1">
        <f t="array" ref="AD45">Y45*Linterp(Z$3,atmos_h,atmos_aspeed)</f>
        <v>657.20613616686148</v>
      </c>
      <c r="AE45" s="162">
        <f t="shared" si="2"/>
        <v>8547.1006237987876</v>
      </c>
      <c r="AG45">
        <v>0.61</v>
      </c>
      <c r="AH45" cm="1">
        <f t="array" ref="AH45">numeng*InterpolateXY(AH$3,AG45,Tmil_h,Tmil_M,Tmil_table)</f>
        <v>2928.4484463122744</v>
      </c>
      <c r="AI45" cm="1">
        <f t="array" ref="AI45">1*AH$4/(S*Linterp(AH$3,atmos_h,atmos_qms)*AG45^2)</f>
        <v>0.18909992504756112</v>
      </c>
      <c r="AJ45" cm="1">
        <f t="array" ref="AJ45">InterpolateXY(AI45,AG45,CD_CL,CD_M,CD_table)</f>
        <v>1.9571247189283544E-2</v>
      </c>
      <c r="AK45" cm="1">
        <f t="array" ref="AK45">AJ45*S*Linterp(AH$3,atmos_h,atmos_qms)*AG45^2</f>
        <v>1034.9685323440037</v>
      </c>
      <c r="AL45" cm="1">
        <f t="array" ref="AL45">AG45*Linterp(AH$3,atmos_h,atmos_aspeed)</f>
        <v>644.96190819918797</v>
      </c>
      <c r="AM45" s="162">
        <f t="shared" si="3"/>
        <v>7327.3345106988609</v>
      </c>
      <c r="AO45">
        <v>0.61</v>
      </c>
      <c r="AP45" cm="1">
        <f t="array" ref="AP45">numeng*InterpolateXY(AP$3,AO45,Tmil_h,Tmil_M,Tmil_table)</f>
        <v>2544.6807100425126</v>
      </c>
      <c r="AQ45" cm="1">
        <f t="array" ref="AQ45">1*AP$4/(S*Linterp(AP$3,atmos_h,atmos_qms)*AO45^2)</f>
        <v>0.2322240205248369</v>
      </c>
      <c r="AR45" cm="1">
        <f t="array" ref="AR45">InterpolateXY(AQ45,AO45,CD_CL,CD_M,CD_table)</f>
        <v>2.1994001282802305E-2</v>
      </c>
      <c r="AS45" cm="1">
        <f t="array" ref="AS45">AR45*S*Linterp(AP$3,atmos_h,atmos_qms)*AO45^2</f>
        <v>947.1027688304963</v>
      </c>
      <c r="AT45" cm="1">
        <f t="array" ref="AT45">AO45*Linterp(AP$3,atmos_h,atmos_aspeed)</f>
        <v>632.48068795853408</v>
      </c>
      <c r="AU45" s="162">
        <f t="shared" si="4"/>
        <v>6062.6231719509278</v>
      </c>
      <c r="AW45">
        <v>0.61</v>
      </c>
      <c r="AX45" cm="1">
        <f t="array" ref="AX45">numeng*InterpolateXY(AX$3,AW45,Tmil_h,Tmil_M,Tmil_table)</f>
        <v>2194.8600748825475</v>
      </c>
      <c r="AY45" cm="1">
        <f t="array" ref="AY45">1*AX$4/(S*Linterp(AX$3,atmos_h,atmos_qms)*AW45^2)</f>
        <v>0.28757562698203165</v>
      </c>
      <c r="AZ45" cm="1">
        <f t="array" ref="AZ45">InterpolateXY(AY45,AW45,CD_CL,CD_M,CD_table)</f>
        <v>2.5453476686376979E-2</v>
      </c>
      <c r="BA45" cm="1">
        <f t="array" ref="BA45">AZ45*S*Linterp(AX$3,atmos_h,atmos_qms)*AW45^2</f>
        <v>885.10549219692268</v>
      </c>
      <c r="BB45" cm="1">
        <f t="array" ref="BB45">AW45*Linterp(AX$3,atmos_h,atmos_aspeed)</f>
        <v>619.7481571195375</v>
      </c>
      <c r="BC45" s="162">
        <f t="shared" si="5"/>
        <v>4870.3079333897103</v>
      </c>
      <c r="BE45">
        <v>0.61</v>
      </c>
      <c r="BF45" cm="1">
        <f t="array" ref="BF45">numeng*InterpolateXY(BF$3,BE45,Tmil_h,Tmil_M,Tmil_table)</f>
        <v>1878.1180990134849</v>
      </c>
      <c r="BG45" cm="1">
        <f t="array" ref="BG45">1*BF$4/(S*Linterp(BF$3,atmos_h,atmos_qms)*BE45^2)</f>
        <v>0.35936351726428206</v>
      </c>
      <c r="BH45" cm="1">
        <f t="array" ref="BH45">InterpolateXY(BG45,BE45,CD_CL,CD_M,CD_table)</f>
        <v>3.1619778572211987E-2</v>
      </c>
      <c r="BI45" cm="1">
        <f t="array" ref="BI45">BH45*S*Linterp(BF$3,atmos_h,atmos_qms)*BE45^2</f>
        <v>879.88282207729674</v>
      </c>
      <c r="BJ45" cm="1">
        <f t="array" ref="BJ45">BE45*Linterp(BF$3,atmos_h,atmos_aspeed)</f>
        <v>606.7484947370084</v>
      </c>
      <c r="BK45" s="162">
        <f t="shared" si="6"/>
        <v>3634.0665100464767</v>
      </c>
      <c r="BM45">
        <v>0.61</v>
      </c>
      <c r="BN45" cm="1">
        <f t="array" ref="BN45">numeng*InterpolateXY(BN$3,BM45,Tmil_h,Tmil_M,Tmil_table)</f>
        <v>1593.3531367267794</v>
      </c>
      <c r="BO45" cm="1">
        <f t="array" ref="BO45">1*BN$4/(S*Linterp(BN$3,atmos_h,atmos_qms)*BM45^2)</f>
        <v>0.45352538060878561</v>
      </c>
      <c r="BP45" cm="1">
        <f t="array" ref="BP45">InterpolateXY(BO45,BM45,CD_CL,CD_M,CD_table)</f>
        <v>4.8138601502365909E-2</v>
      </c>
      <c r="BQ45" cm="1">
        <f t="array" ref="BQ45">BP45*S*Linterp(BN$3,atmos_h,atmos_qms)*BM45^2</f>
        <v>1061.4312574468822</v>
      </c>
      <c r="BR45" cm="1">
        <f t="array" ref="BR45">BM45*Linterp(BN$3,atmos_h,atmos_aspeed)</f>
        <v>593.4641467504066</v>
      </c>
      <c r="BS45" s="162">
        <f t="shared" si="7"/>
        <v>1894.0593853483017</v>
      </c>
      <c r="BU45">
        <v>0.61</v>
      </c>
      <c r="BV45" cm="1">
        <f t="array" ref="BV45">numeng*InterpolateXY(BV$3,BU45,Tmil_h,Tmil_M,Tmil_table)</f>
        <v>1295.8361806836815</v>
      </c>
      <c r="BW45" cm="1">
        <f t="array" ref="BW45">1*BV$4/(S*Linterp(BV$3,atmos_h,atmos_qms)*BU45^2)</f>
        <v>0.57657852738042481</v>
      </c>
      <c r="BX45" cm="1">
        <f t="array" ref="BX45">InterpolateXY(BW45,BU45,CD_CL,CD_M,CD_table)</f>
        <v>8.1449079070072955E-2</v>
      </c>
      <c r="BY45" cm="1">
        <f t="array" ref="BY45">BX45*S*Linterp(BV$3,atmos_h,atmos_qms)*BU45^2</f>
        <v>1412.6276856011511</v>
      </c>
      <c r="BZ45" cm="1">
        <f t="array" ref="BZ45">BU45*Linterp(BV$3,atmos_h,atmos_aspeed)</f>
        <v>590.54131135707462</v>
      </c>
      <c r="CA45" s="162">
        <f t="shared" si="8"/>
        <v>-413.82125081597252</v>
      </c>
    </row>
    <row r="46" spans="1:79">
      <c r="A46" s="120">
        <v>38000</v>
      </c>
      <c r="B46" s="11">
        <v>0.93</v>
      </c>
      <c r="D46" s="120">
        <v>38000</v>
      </c>
      <c r="E46" s="11">
        <v>0.86477889421258736</v>
      </c>
      <c r="I46">
        <v>0.62</v>
      </c>
      <c r="J46" cm="1">
        <f t="array" ref="J46">numeng*InterpolateXY(J$3,I46,Tmil_h,Tmil_M,Tmil_table)</f>
        <v>4048</v>
      </c>
      <c r="K46" cm="1">
        <f t="array" ref="K46">1*J$4/(S*Linterp(J$3,atmos_h,atmos_qms)*I46^2)</f>
        <v>0.10330202741454013</v>
      </c>
      <c r="L46" cm="1">
        <f t="array" ref="L46">InterpolateXY(K46,I46,CD_CL,CD_M,CD_table)</f>
        <v>1.6333826028045256E-2</v>
      </c>
      <c r="M46" cm="1">
        <f t="array" ref="M46">L46*S*Linterp(J$3,atmos_h,atmos_qms)*I46^2</f>
        <v>1581.1718740523202</v>
      </c>
      <c r="N46" cm="1">
        <f t="array" ref="N46">I46*Linterp(J$3,atmos_h,atmos_aspeed)</f>
        <v>692.19900000000007</v>
      </c>
      <c r="O46" s="162">
        <f t="shared" si="0"/>
        <v>10245.215771717149</v>
      </c>
      <c r="Q46">
        <v>0.62</v>
      </c>
      <c r="R46" cm="1">
        <f t="array" ref="R46">numeng*InterpolateXY(R$3,Q46,Tmil_h,Tmil_M,Tmil_table)</f>
        <v>3701.7259576743031</v>
      </c>
      <c r="S46" cm="1">
        <f t="array" ref="S46">1*R$4/(S*Linterp(R$3,atmos_h,atmos_qms)*Q46^2)</f>
        <v>0.12415406634238089</v>
      </c>
      <c r="T46" cm="1">
        <f t="array" ref="T46">InterpolateXY(S46,Q46,CD_CL,CD_M,CD_table)</f>
        <v>1.7115777487839285E-2</v>
      </c>
      <c r="U46" cm="1">
        <f t="array" ref="U46">T46*S*Linterp(R$3,atmos_h,atmos_qms)*Q46^2</f>
        <v>1378.5917764979954</v>
      </c>
      <c r="V46" cm="1">
        <f t="array" ref="V46">Q46*Linterp(R$3,atmos_h,atmos_aspeed)</f>
        <v>680.19730434955397</v>
      </c>
      <c r="W46" s="162">
        <f t="shared" si="1"/>
        <v>9481.1376460705978</v>
      </c>
      <c r="Y46">
        <v>0.62</v>
      </c>
      <c r="Z46" cm="1">
        <f t="array" ref="Z46">numeng*InterpolateXY(Z$3,Y46,Tmil_h,Tmil_M,Tmil_table)</f>
        <v>3355.6308256097536</v>
      </c>
      <c r="AA46" cm="1">
        <f t="array" ref="AA46">1*Z$4/(S*Linterp(Z$3,atmos_h,atmos_qms)*Y46^2)</f>
        <v>0.1502131462953066</v>
      </c>
      <c r="AB46" cm="1">
        <f t="array" ref="AB46">InterpolateXY(AA46,Y46,CD_CL,CD_M,CD_table)</f>
        <v>1.8092992986073999E-2</v>
      </c>
      <c r="AC46" cm="1">
        <f t="array" ref="AC46">AB46*S*Linterp(Z$3,atmos_h,atmos_qms)*Y46^2</f>
        <v>1204.4879847270274</v>
      </c>
      <c r="AD46" cm="1">
        <f t="array" ref="AD46">Y46*Linterp(Z$3,atmos_h,atmos_aspeed)</f>
        <v>667.98000725156419</v>
      </c>
      <c r="AE46" s="162">
        <f t="shared" si="2"/>
        <v>8621.5224627119624</v>
      </c>
      <c r="AG46">
        <v>0.62</v>
      </c>
      <c r="AH46" cm="1">
        <f t="array" ref="AH46">numeng*InterpolateXY(AH$3,AG46,Tmil_h,Tmil_M,Tmil_table)</f>
        <v>2937.2577024894063</v>
      </c>
      <c r="AI46" cm="1">
        <f t="array" ref="AI46">1*AH$4/(S*Linterp(AH$3,atmos_h,atmos_qms)*AG46^2)</f>
        <v>0.18304912099427026</v>
      </c>
      <c r="AJ46" cm="1">
        <f t="array" ref="AJ46">InterpolateXY(AI46,AG46,CD_CL,CD_M,CD_table)</f>
        <v>1.9324342037285138E-2</v>
      </c>
      <c r="AK46" cm="1">
        <f t="array" ref="AK46">AJ46*S*Linterp(AH$3,atmos_h,atmos_qms)*AG46^2</f>
        <v>1055.6916051997882</v>
      </c>
      <c r="AL46" cm="1">
        <f t="array" ref="AL46">AG46*Linterp(AH$3,atmos_h,atmos_aspeed)</f>
        <v>655.5350542352403</v>
      </c>
      <c r="AM46" s="162">
        <f t="shared" si="3"/>
        <v>7400.5952018036351</v>
      </c>
      <c r="AO46">
        <v>0.62</v>
      </c>
      <c r="AP46" cm="1">
        <f t="array" ref="AP46">numeng*InterpolateXY(AP$3,AO46,Tmil_h,Tmil_M,Tmil_table)</f>
        <v>2553.2056035434925</v>
      </c>
      <c r="AQ46" cm="1">
        <f t="array" ref="AQ46">1*AP$4/(S*Linterp(AP$3,atmos_h,atmos_qms)*AO46^2)</f>
        <v>0.22479333516465091</v>
      </c>
      <c r="AR46" cm="1">
        <f t="array" ref="AR46">InterpolateXY(AQ46,AO46,CD_CL,CD_M,CD_table)</f>
        <v>2.1509583447790685E-2</v>
      </c>
      <c r="AS46" cm="1">
        <f t="array" ref="AS46">AR46*S*Linterp(AP$3,atmos_h,atmos_qms)*AO46^2</f>
        <v>956.86037275241688</v>
      </c>
      <c r="AT46" cm="1">
        <f t="array" ref="AT46">AO46*Linterp(AP$3,atmos_h,atmos_aspeed)</f>
        <v>642.84922382670675</v>
      </c>
      <c r="AU46" s="162">
        <f t="shared" si="4"/>
        <v>6157.2557554410478</v>
      </c>
      <c r="AW46">
        <v>0.62</v>
      </c>
      <c r="AX46" cm="1">
        <f t="array" ref="AX46">numeng*InterpolateXY(AX$3,AW46,Tmil_h,Tmil_M,Tmil_table)</f>
        <v>2202.9261184407114</v>
      </c>
      <c r="AY46" cm="1">
        <f t="array" ref="AY46">1*AX$4/(S*Linterp(AX$3,atmos_h,atmos_qms)*AW46^2)</f>
        <v>0.27837380541106649</v>
      </c>
      <c r="AZ46" cm="1">
        <f t="array" ref="AZ46">InterpolateXY(AY46,AW46,CD_CL,CD_M,CD_table)</f>
        <v>2.4858362838191657E-2</v>
      </c>
      <c r="BA46" cm="1">
        <f t="array" ref="BA46">AZ46*S*Linterp(AX$3,atmos_h,atmos_qms)*AW46^2</f>
        <v>892.98498475760107</v>
      </c>
      <c r="BB46" cm="1">
        <f t="array" ref="BB46">AW46*Linterp(AX$3,atmos_h,atmos_aspeed)</f>
        <v>629.90796297395616</v>
      </c>
      <c r="BC46" s="162">
        <f t="shared" si="5"/>
        <v>4950.8541068047371</v>
      </c>
      <c r="BE46">
        <v>0.62</v>
      </c>
      <c r="BF46" cm="1">
        <f t="array" ref="BF46">numeng*InterpolateXY(BF$3,BE46,Tmil_h,Tmil_M,Tmil_table)</f>
        <v>1885.6006412406302</v>
      </c>
      <c r="BG46" cm="1">
        <f t="array" ref="BG46">1*BF$4/(S*Linterp(BF$3,atmos_h,atmos_qms)*BE46^2)</f>
        <v>0.34786463260676209</v>
      </c>
      <c r="BH46" cm="1">
        <f t="array" ref="BH46">InterpolateXY(BG46,BE46,CD_CL,CD_M,CD_table)</f>
        <v>3.0099001399299424E-2</v>
      </c>
      <c r="BI46" cm="1">
        <f t="array" ref="BI46">BH46*S*Linterp(BF$3,atmos_h,atmos_qms)*BE46^2</f>
        <v>865.25040426643045</v>
      </c>
      <c r="BJ46" cm="1">
        <f t="array" ref="BJ46">BE46*Linterp(BF$3,atmos_h,atmos_aspeed)</f>
        <v>616.69519137204134</v>
      </c>
      <c r="BK46" s="162">
        <f t="shared" si="6"/>
        <v>3775.4705079438718</v>
      </c>
      <c r="BM46">
        <v>0.62</v>
      </c>
      <c r="BN46" cm="1">
        <f t="array" ref="BN46">numeng*InterpolateXY(BN$3,BM46,Tmil_h,Tmil_M,Tmil_table)</f>
        <v>1600.1702835583603</v>
      </c>
      <c r="BO46" cm="1">
        <f t="array" ref="BO46">1*BN$4/(S*Linterp(BN$3,atmos_h,atmos_qms)*BM46^2)</f>
        <v>0.43901351229065838</v>
      </c>
      <c r="BP46" cm="1">
        <f t="array" ref="BP46">InterpolateXY(BO46,BM46,CD_CL,CD_M,CD_table)</f>
        <v>4.5201715970422336E-2</v>
      </c>
      <c r="BQ46" cm="1">
        <f t="array" ref="BQ46">BP46*S*Linterp(BN$3,atmos_h,atmos_qms)*BM46^2</f>
        <v>1029.6201530237995</v>
      </c>
      <c r="BR46" cm="1">
        <f t="array" ref="BR46">BM46*Linterp(BN$3,atmos_h,atmos_aspeed)</f>
        <v>603.1930671889379</v>
      </c>
      <c r="BS46" s="162">
        <f t="shared" si="7"/>
        <v>2064.9112993331441</v>
      </c>
      <c r="BU46">
        <v>0.62</v>
      </c>
      <c r="BV46" cm="1">
        <f t="array" ref="BV46">numeng*InterpolateXY(BV$3,BU46,Tmil_h,Tmil_M,Tmil_table)</f>
        <v>1301.7442483767682</v>
      </c>
      <c r="BW46" cm="1">
        <f t="array" ref="BW46">1*BV$4/(S*Linterp(BV$3,atmos_h,atmos_qms)*BU46^2)</f>
        <v>0.55812921445956309</v>
      </c>
      <c r="BX46" cm="1">
        <f t="array" ref="BX46">InterpolateXY(BW46,BU46,CD_CL,CD_M,CD_table)</f>
        <v>7.5654444125843254E-2</v>
      </c>
      <c r="BY46" cm="1">
        <f t="array" ref="BY46">BX46*S*Linterp(BV$3,atmos_h,atmos_qms)*BU46^2</f>
        <v>1355.5005214894456</v>
      </c>
      <c r="BZ46" cm="1">
        <f t="array" ref="BZ46">BU46*Linterp(BV$3,atmos_h,atmos_aspeed)</f>
        <v>600.22231646128898</v>
      </c>
      <c r="CA46" s="162">
        <f t="shared" si="8"/>
        <v>-193.59428863210195</v>
      </c>
    </row>
    <row r="47" spans="1:79">
      <c r="A47" s="120">
        <v>39000</v>
      </c>
      <c r="B47" s="11">
        <v>0.93</v>
      </c>
      <c r="D47" s="120">
        <v>39000</v>
      </c>
      <c r="E47" s="11">
        <v>0.86477889421258736</v>
      </c>
      <c r="I47">
        <v>0.63</v>
      </c>
      <c r="J47" cm="1">
        <f t="array" ref="J47">numeng*InterpolateXY(J$3,I47,Tmil_h,Tmil_M,Tmil_table)</f>
        <v>4052</v>
      </c>
      <c r="K47" cm="1">
        <f t="array" ref="K47">1*J$4/(S*Linterp(J$3,atmos_h,atmos_qms)*I47^2)</f>
        <v>0.1000486251906002</v>
      </c>
      <c r="L47" cm="1">
        <f t="array" ref="L47">InterpolateXY(K47,I47,CD_CL,CD_M,CD_table)</f>
        <v>1.6191823444647507E-2</v>
      </c>
      <c r="M47" cm="1">
        <f t="array" ref="M47">L47*S*Linterp(J$3,atmos_h,atmos_qms)*I47^2</f>
        <v>1618.3953966184802</v>
      </c>
      <c r="N47" cm="1">
        <f t="array" ref="N47">I47*Linterp(J$3,atmos_h,atmos_aspeed)</f>
        <v>703.36350000000004</v>
      </c>
      <c r="O47" s="162">
        <f t="shared" si="0"/>
        <v>10270.251908703227</v>
      </c>
      <c r="Q47">
        <v>0.63</v>
      </c>
      <c r="R47" cm="1">
        <f t="array" ref="R47">numeng*InterpolateXY(R$3,Q47,Tmil_h,Tmil_M,Tmil_table)</f>
        <v>3708.6193021020022</v>
      </c>
      <c r="S47" cm="1">
        <f t="array" ref="S47">1*R$4/(S*Linterp(R$3,atmos_h,atmos_qms)*Q47^2)</f>
        <v>0.12024394835477756</v>
      </c>
      <c r="T47" cm="1">
        <f t="array" ref="T47">InterpolateXY(S47,Q47,CD_CL,CD_M,CD_table)</f>
        <v>1.6949148063304158E-2</v>
      </c>
      <c r="U47" cm="1">
        <f t="array" ref="U47">T47*S*Linterp(R$3,atmos_h,atmos_qms)*Q47^2</f>
        <v>1409.563499469928</v>
      </c>
      <c r="V47" cm="1">
        <f t="array" ref="V47">Q47*Linterp(R$3,atmos_h,atmos_aspeed)</f>
        <v>691.16822861325647</v>
      </c>
      <c r="W47" s="162">
        <f t="shared" si="1"/>
        <v>9534.2059595294359</v>
      </c>
      <c r="Y47">
        <v>0.63</v>
      </c>
      <c r="Z47" cm="1">
        <f t="array" ref="Z47">numeng*InterpolateXY(Z$3,Y47,Tmil_h,Tmil_M,Tmil_table)</f>
        <v>3364.492526733723</v>
      </c>
      <c r="AA47" cm="1">
        <f t="array" ref="AA47">1*Z$4/(S*Linterp(Z$3,atmos_h,atmos_qms)*Y47^2)</f>
        <v>0.14548232158205054</v>
      </c>
      <c r="AB47" cm="1">
        <f t="array" ref="AB47">InterpolateXY(AA47,Y47,CD_CL,CD_M,CD_table)</f>
        <v>1.7895587059326895E-2</v>
      </c>
      <c r="AC47" cm="1">
        <f t="array" ref="AC47">AB47*S*Linterp(Z$3,atmos_h,atmos_qms)*Y47^2</f>
        <v>1230.0867118919305</v>
      </c>
      <c r="AD47" cm="1">
        <f t="array" ref="AD47">Y47*Linterp(Z$3,atmos_h,atmos_aspeed)</f>
        <v>678.75387833626689</v>
      </c>
      <c r="AE47" s="162">
        <f t="shared" si="2"/>
        <v>8692.41734860408</v>
      </c>
      <c r="AG47">
        <v>0.63</v>
      </c>
      <c r="AH47" cm="1">
        <f t="array" ref="AH47">numeng*InterpolateXY(AH$3,AG47,Tmil_h,Tmil_M,Tmil_table)</f>
        <v>2946.0669586665381</v>
      </c>
      <c r="AI47" cm="1">
        <f t="array" ref="AI47">1*AH$4/(S*Linterp(AH$3,atmos_h,atmos_qms)*AG47^2)</f>
        <v>0.17728415749608839</v>
      </c>
      <c r="AJ47" cm="1">
        <f t="array" ref="AJ47">InterpolateXY(AI47,AG47,CD_CL,CD_M,CD_table)</f>
        <v>1.9088155906103313E-2</v>
      </c>
      <c r="AK47" cm="1">
        <f t="array" ref="AK47">AJ47*S*Linterp(AH$3,atmos_h,atmos_qms)*AG47^2</f>
        <v>1076.6983455092131</v>
      </c>
      <c r="AL47" cm="1">
        <f t="array" ref="AL47">AG47*Linterp(AH$3,atmos_h,atmos_aspeed)</f>
        <v>666.1082002712925</v>
      </c>
      <c r="AM47" s="162">
        <f t="shared" si="3"/>
        <v>7471.2105753232063</v>
      </c>
      <c r="AO47">
        <v>0.63</v>
      </c>
      <c r="AP47" cm="1">
        <f t="array" ref="AP47">numeng*InterpolateXY(AP$3,AO47,Tmil_h,Tmil_M,Tmil_table)</f>
        <v>2561.7304970444725</v>
      </c>
      <c r="AQ47" cm="1">
        <f t="array" ref="AQ47">1*AP$4/(S*Linterp(AP$3,atmos_h,atmos_qms)*AO47^2)</f>
        <v>0.21771367608287179</v>
      </c>
      <c r="AR47" cm="1">
        <f t="array" ref="AR47">InterpolateXY(AQ47,AO47,CD_CL,CD_M,CD_table)</f>
        <v>2.1047104755179485E-2</v>
      </c>
      <c r="AS47" cm="1">
        <f t="array" ref="AS47">AR47*S*Linterp(AP$3,atmos_h,atmos_qms)*AO47^2</f>
        <v>966.73324036694862</v>
      </c>
      <c r="AT47" cm="1">
        <f t="array" ref="AT47">AO47*Linterp(AP$3,atmos_h,atmos_aspeed)</f>
        <v>653.21775969487942</v>
      </c>
      <c r="AU47" s="162">
        <f t="shared" si="4"/>
        <v>6251.2832083582243</v>
      </c>
      <c r="AW47">
        <v>0.63</v>
      </c>
      <c r="AX47" cm="1">
        <f t="array" ref="AX47">numeng*InterpolateXY(AX$3,AW47,Tmil_h,Tmil_M,Tmil_table)</f>
        <v>2210.992161998875</v>
      </c>
      <c r="AY47" cm="1">
        <f t="array" ref="AY47">1*AX$4/(S*Linterp(AX$3,atmos_h,atmos_qms)*AW47^2)</f>
        <v>0.26960667876042821</v>
      </c>
      <c r="AZ47" cm="1">
        <f t="array" ref="AZ47">InterpolateXY(AY47,AW47,CD_CL,CD_M,CD_table)</f>
        <v>2.4290417422526762E-2</v>
      </c>
      <c r="BA47" cm="1">
        <f t="array" ref="BA47">AZ47*S*Linterp(AX$3,atmos_h,atmos_qms)*AW47^2</f>
        <v>900.95755543619748</v>
      </c>
      <c r="BB47" cm="1">
        <f t="array" ref="BB47">AW47*Linterp(AX$3,atmos_h,atmos_aspeed)</f>
        <v>640.06776882837482</v>
      </c>
      <c r="BC47" s="162">
        <f t="shared" si="5"/>
        <v>5031.0655662631843</v>
      </c>
      <c r="BE47">
        <v>0.63</v>
      </c>
      <c r="BF47" cm="1">
        <f t="array" ref="BF47">numeng*InterpolateXY(BF$3,BE47,Tmil_h,Tmil_M,Tmil_table)</f>
        <v>1893.0831834677756</v>
      </c>
      <c r="BG47" cm="1">
        <f t="array" ref="BG47">1*BF$4/(S*Linterp(BF$3,atmos_h,atmos_qms)*BE47^2)</f>
        <v>0.33690895634678597</v>
      </c>
      <c r="BH47" cm="1">
        <f t="array" ref="BH47">InterpolateXY(BG47,BE47,CD_CL,CD_M,CD_table)</f>
        <v>2.9188852703176359E-2</v>
      </c>
      <c r="BI47" cm="1">
        <f t="array" ref="BI47">BH47*S*Linterp(BF$3,atmos_h,atmos_qms)*BE47^2</f>
        <v>866.37212081509006</v>
      </c>
      <c r="BJ47" cm="1">
        <f t="array" ref="BJ47">BE47*Linterp(BF$3,atmos_h,atmos_aspeed)</f>
        <v>626.64188800707427</v>
      </c>
      <c r="BK47" s="162">
        <f t="shared" si="6"/>
        <v>3860.2809524305703</v>
      </c>
      <c r="BM47">
        <v>0.63</v>
      </c>
      <c r="BN47" cm="1">
        <f t="array" ref="BN47">numeng*InterpolateXY(BN$3,BM47,Tmil_h,Tmil_M,Tmil_table)</f>
        <v>1606.9874303899414</v>
      </c>
      <c r="BO47" cm="1">
        <f t="array" ref="BO47">1*BN$4/(S*Linterp(BN$3,atmos_h,atmos_qms)*BM47^2)</f>
        <v>0.42518718600284477</v>
      </c>
      <c r="BP47" cm="1">
        <f t="array" ref="BP47">InterpolateXY(BO47,BM47,CD_CL,CD_M,CD_table)</f>
        <v>4.2402624386571802E-2</v>
      </c>
      <c r="BQ47" cm="1">
        <f t="array" ref="BQ47">BP47*S*Linterp(BN$3,atmos_h,atmos_qms)*BM47^2</f>
        <v>997.26957402446521</v>
      </c>
      <c r="BR47" cm="1">
        <f t="array" ref="BR47">BM47*Linterp(BN$3,atmos_h,atmos_aspeed)</f>
        <v>612.92198762746921</v>
      </c>
      <c r="BS47" s="162">
        <f t="shared" si="7"/>
        <v>2242.2568824929249</v>
      </c>
      <c r="BU47">
        <v>0.63</v>
      </c>
      <c r="BV47" cm="1">
        <f t="array" ref="BV47">numeng*InterpolateXY(BV$3,BU47,Tmil_h,Tmil_M,Tmil_table)</f>
        <v>1307.652316069855</v>
      </c>
      <c r="BW47" cm="1">
        <f t="array" ref="BW47">1*BV$4/(S*Linterp(BV$3,atmos_h,atmos_qms)*BU47^2)</f>
        <v>0.54055144882402639</v>
      </c>
      <c r="BX47" cm="1">
        <f t="array" ref="BX47">InterpolateXY(BW47,BU47,CD_CL,CD_M,CD_table)</f>
        <v>7.0132603481920255E-2</v>
      </c>
      <c r="BY47" cm="1">
        <f t="array" ref="BY47">BX47*S*Linterp(BV$3,atmos_h,atmos_qms)*BU47^2</f>
        <v>1297.4269819180811</v>
      </c>
      <c r="BZ47" cm="1">
        <f t="array" ref="BZ47">BU47*Linterp(BV$3,atmos_h,atmos_aspeed)</f>
        <v>609.90332156550335</v>
      </c>
      <c r="CA47" s="162">
        <f t="shared" si="8"/>
        <v>37.41879157970466</v>
      </c>
    </row>
    <row r="48" spans="1:79">
      <c r="A48" s="120">
        <v>40000</v>
      </c>
      <c r="B48" s="11">
        <v>0.93</v>
      </c>
      <c r="D48" s="120">
        <v>40000</v>
      </c>
      <c r="E48" s="11">
        <v>0.86477889421258736</v>
      </c>
      <c r="I48">
        <v>0.64</v>
      </c>
      <c r="J48" cm="1">
        <f t="array" ref="J48">numeng*InterpolateXY(J$3,I48,Tmil_h,Tmil_M,Tmil_table)</f>
        <v>4056</v>
      </c>
      <c r="K48" cm="1">
        <f t="array" ref="K48">1*J$4/(S*Linterp(J$3,atmos_h,atmos_qms)*I48^2)</f>
        <v>9.6946531587278381E-2</v>
      </c>
      <c r="L48" cm="1">
        <f t="array" ref="L48">InterpolateXY(K48,I48,CD_CL,CD_M,CD_table)</f>
        <v>1.6131831644840978E-2</v>
      </c>
      <c r="M48" cm="1">
        <f t="array" ref="M48">L48*S*Linterp(J$3,atmos_h,atmos_qms)*I48^2</f>
        <v>1663.9926545817602</v>
      </c>
      <c r="N48" cm="1">
        <f t="array" ref="N48">I48*Linterp(J$3,atmos_h,atmos_aspeed)</f>
        <v>714.52800000000002</v>
      </c>
      <c r="O48" s="162">
        <f t="shared" si="0"/>
        <v>10254.937347042023</v>
      </c>
      <c r="Q48">
        <v>0.64</v>
      </c>
      <c r="R48" cm="1">
        <f t="array" ref="R48">numeng*InterpolateXY(R$3,Q48,Tmil_h,Tmil_M,Tmil_table)</f>
        <v>3715.5126465297008</v>
      </c>
      <c r="S48" cm="1">
        <f t="array" ref="S48">1*R$4/(S*Linterp(R$3,atmos_h,atmos_qms)*Q48^2)</f>
        <v>0.11651568140139458</v>
      </c>
      <c r="T48" cm="1">
        <f t="array" ref="T48">InterpolateXY(S48,Q48,CD_CL,CD_M,CD_table)</f>
        <v>1.6789338052552297E-2</v>
      </c>
      <c r="U48" cm="1">
        <f t="array" ref="U48">T48*S*Linterp(R$3,atmos_h,atmos_qms)*Q48^2</f>
        <v>1440.95093901681</v>
      </c>
      <c r="V48" cm="1">
        <f t="array" ref="V48">Q48*Linterp(R$3,atmos_h,atmos_aspeed)</f>
        <v>702.13915287695897</v>
      </c>
      <c r="W48" s="162">
        <f t="shared" si="1"/>
        <v>9582.3529828768242</v>
      </c>
      <c r="Y48">
        <v>0.64</v>
      </c>
      <c r="Z48" cm="1">
        <f t="array" ref="Z48">numeng*InterpolateXY(Z$3,Y48,Tmil_h,Tmil_M,Tmil_table)</f>
        <v>3373.3542278576924</v>
      </c>
      <c r="AA48" cm="1">
        <f t="array" ref="AA48">1*Z$4/(S*Linterp(Z$3,atmos_h,atmos_qms)*Y48^2)</f>
        <v>0.14097151717752895</v>
      </c>
      <c r="AB48" cm="1">
        <f t="array" ref="AB48">InterpolateXY(AA48,Y48,CD_CL,CD_M,CD_table)</f>
        <v>1.7706431894157337E-2</v>
      </c>
      <c r="AC48" cm="1">
        <f t="array" ref="AC48">AB48*S*Linterp(Z$3,atmos_h,atmos_qms)*Y48^2</f>
        <v>1256.0290368343831</v>
      </c>
      <c r="AD48" cm="1">
        <f t="array" ref="AD48">Y48*Linterp(Z$3,atmos_h,atmos_aspeed)</f>
        <v>689.52774942096949</v>
      </c>
      <c r="AE48" s="162">
        <f t="shared" si="2"/>
        <v>8759.7268425517595</v>
      </c>
      <c r="AG48">
        <v>0.64</v>
      </c>
      <c r="AH48" cm="1">
        <f t="array" ref="AH48">numeng*InterpolateXY(AH$3,AG48,Tmil_h,Tmil_M,Tmil_table)</f>
        <v>2954.8762148436699</v>
      </c>
      <c r="AI48" cm="1">
        <f t="array" ref="AI48">1*AH$4/(S*Linterp(AH$3,atmos_h,atmos_qms)*AG48^2)</f>
        <v>0.17178730983934934</v>
      </c>
      <c r="AJ48" cm="1">
        <f t="array" ref="AJ48">InterpolateXY(AI48,AG48,CD_CL,CD_M,CD_table)</f>
        <v>1.8862024118975602E-2</v>
      </c>
      <c r="AK48" cm="1">
        <f t="array" ref="AK48">AJ48*S*Linterp(AH$3,atmos_h,atmos_qms)*AG48^2</f>
        <v>1097.9870478567268</v>
      </c>
      <c r="AL48" cm="1">
        <f t="array" ref="AL48">AG48*Linterp(AH$3,atmos_h,atmos_aspeed)</f>
        <v>676.68134630734482</v>
      </c>
      <c r="AM48" s="162">
        <f t="shared" si="3"/>
        <v>7539.1335687614919</v>
      </c>
      <c r="AO48">
        <v>0.64</v>
      </c>
      <c r="AP48" cm="1">
        <f t="array" ref="AP48">numeng*InterpolateXY(AP$3,AO48,Tmil_h,Tmil_M,Tmil_table)</f>
        <v>2570.2553905454524</v>
      </c>
      <c r="AQ48" cm="1">
        <f t="array" ref="AQ48">1*AP$4/(S*Linterp(AP$3,atmos_h,atmos_qms)*AO48^2)</f>
        <v>0.21096327645823199</v>
      </c>
      <c r="AR48" cm="1">
        <f t="array" ref="AR48">InterpolateXY(AQ48,AO48,CD_CL,CD_M,CD_table)</f>
        <v>2.0605204778639499E-2</v>
      </c>
      <c r="AS48" cm="1">
        <f t="array" ref="AS48">AR48*S*Linterp(AP$3,atmos_h,atmos_qms)*AO48^2</f>
        <v>976.71998295490391</v>
      </c>
      <c r="AT48" cm="1">
        <f t="array" ref="AT48">AO48*Linterp(AP$3,atmos_h,atmos_aspeed)</f>
        <v>663.58629556305209</v>
      </c>
      <c r="AU48" s="162">
        <f t="shared" si="4"/>
        <v>6344.6895478294227</v>
      </c>
      <c r="AW48">
        <v>0.64</v>
      </c>
      <c r="AX48" cm="1">
        <f t="array" ref="AX48">numeng*InterpolateXY(AX$3,AW48,Tmil_h,Tmil_M,Tmil_table)</f>
        <v>2219.0582055570389</v>
      </c>
      <c r="AY48" cm="1">
        <f t="array" ref="AY48">1*AX$4/(S*Linterp(AX$3,atmos_h,atmos_qms)*AW48^2)</f>
        <v>0.26124729199222158</v>
      </c>
      <c r="AZ48" cm="1">
        <f t="array" ref="AZ48">InterpolateXY(AY48,AW48,CD_CL,CD_M,CD_table)</f>
        <v>2.3747955749513848E-2</v>
      </c>
      <c r="BA48" cm="1">
        <f t="array" ref="BA48">AZ48*S*Linterp(AX$3,atmos_h,atmos_qms)*AW48^2</f>
        <v>909.02208280960565</v>
      </c>
      <c r="BB48" cm="1">
        <f t="array" ref="BB48">AW48*Linterp(AX$3,atmos_h,atmos_aspeed)</f>
        <v>650.22757468279349</v>
      </c>
      <c r="BC48" s="162">
        <f t="shared" si="5"/>
        <v>5110.9296650454835</v>
      </c>
      <c r="BE48">
        <v>0.64</v>
      </c>
      <c r="BF48" cm="1">
        <f t="array" ref="BF48">numeng*InterpolateXY(BF$3,BE48,Tmil_h,Tmil_M,Tmil_table)</f>
        <v>1900.565725694921</v>
      </c>
      <c r="BG48" cm="1">
        <f t="array" ref="BG48">1*BF$4/(S*Linterp(BF$3,atmos_h,atmos_qms)*BE48^2)</f>
        <v>0.32646280462411953</v>
      </c>
      <c r="BH48" cm="1">
        <f t="array" ref="BH48">InterpolateXY(BG48,BE48,CD_CL,CD_M,CD_table)</f>
        <v>2.8320102875709713E-2</v>
      </c>
      <c r="BI48" cm="1">
        <f t="array" ref="BI48">BH48*S*Linterp(BF$3,atmos_h,atmos_qms)*BE48^2</f>
        <v>867.4832928767097</v>
      </c>
      <c r="BJ48" cm="1">
        <f t="array" ref="BJ48">BE48*Linterp(BF$3,atmos_h,atmos_aspeed)</f>
        <v>636.58858464210721</v>
      </c>
      <c r="BK48" s="162">
        <f t="shared" si="6"/>
        <v>3945.8909023582191</v>
      </c>
      <c r="BM48">
        <v>0.64</v>
      </c>
      <c r="BN48" cm="1">
        <f t="array" ref="BN48">numeng*InterpolateXY(BN$3,BM48,Tmil_h,Tmil_M,Tmil_table)</f>
        <v>1613.8045772215223</v>
      </c>
      <c r="BO48" cm="1">
        <f t="array" ref="BO48">1*BN$4/(S*Linterp(BN$3,atmos_h,atmos_qms)*BM48^2)</f>
        <v>0.41200389190558862</v>
      </c>
      <c r="BP48" cm="1">
        <f t="array" ref="BP48">InterpolateXY(BO48,BM48,CD_CL,CD_M,CD_table)</f>
        <v>3.9732782273023314E-2</v>
      </c>
      <c r="BQ48" cm="1">
        <f t="array" ref="BQ48">BP48*S*Linterp(BN$3,atmos_h,atmos_qms)*BM48^2</f>
        <v>964.37880936639669</v>
      </c>
      <c r="BR48" cm="1">
        <f t="array" ref="BR48">BM48*Linterp(BN$3,atmos_h,atmos_aspeed)</f>
        <v>622.6509080660004</v>
      </c>
      <c r="BS48" s="162">
        <f t="shared" si="7"/>
        <v>2426.1932644587209</v>
      </c>
      <c r="BU48">
        <v>0.64</v>
      </c>
      <c r="BV48" cm="1">
        <f t="array" ref="BV48">numeng*InterpolateXY(BV$3,BU48,Tmil_h,Tmil_M,Tmil_table)</f>
        <v>1313.5603837629417</v>
      </c>
      <c r="BW48" cm="1">
        <f t="array" ref="BW48">1*BV$4/(S*Linterp(BV$3,atmos_h,atmos_qms)*BU48^2)</f>
        <v>0.5237911866168361</v>
      </c>
      <c r="BX48" cm="1">
        <f t="array" ref="BX48">InterpolateXY(BW48,BU48,CD_CL,CD_M,CD_table)</f>
        <v>6.4866641411069709E-2</v>
      </c>
      <c r="BY48" cm="1">
        <f t="array" ref="BY48">BX48*S*Linterp(BV$3,atmos_h,atmos_qms)*BU48^2</f>
        <v>1238.4065075634992</v>
      </c>
      <c r="BZ48" cm="1">
        <f t="array" ref="BZ48">BU48*Linterp(BV$3,atmos_h,atmos_aspeed)</f>
        <v>619.5843266697176</v>
      </c>
      <c r="CA48" s="162">
        <f t="shared" si="8"/>
        <v>279.38498268990537</v>
      </c>
    </row>
    <row r="49" spans="1:79">
      <c r="A49" s="120">
        <v>41000</v>
      </c>
      <c r="B49" s="11">
        <v>0.93</v>
      </c>
      <c r="D49" s="120">
        <v>41000</v>
      </c>
      <c r="E49" s="11">
        <v>0.86477889421258736</v>
      </c>
      <c r="I49">
        <v>0.65</v>
      </c>
      <c r="J49" cm="1">
        <f t="array" ref="J49">numeng*InterpolateXY(J$3,I49,Tmil_h,Tmil_M,Tmil_table)</f>
        <v>4060</v>
      </c>
      <c r="K49" cm="1">
        <f t="array" ref="K49">1*J$4/(S*Linterp(J$3,atmos_h,atmos_qms)*I49^2)</f>
        <v>9.3986507309228931E-2</v>
      </c>
      <c r="L49" cm="1">
        <f t="array" ref="L49">InterpolateXY(K49,I49,CD_CL,CD_M,CD_table)</f>
        <v>1.6074831341365364E-2</v>
      </c>
      <c r="M49" cm="1">
        <f t="array" ref="M49">L49*S*Linterp(J$3,atmos_h,atmos_qms)*I49^2</f>
        <v>1710.3339406450004</v>
      </c>
      <c r="N49" cm="1">
        <f t="array" ref="N49">I49*Linterp(J$3,atmos_h,atmos_aspeed)</f>
        <v>725.69250000000011</v>
      </c>
      <c r="O49" s="162">
        <f t="shared" si="0"/>
        <v>10230.810220670868</v>
      </c>
      <c r="Q49">
        <v>0.65</v>
      </c>
      <c r="R49" cm="1">
        <f t="array" ref="R49">numeng*InterpolateXY(R$3,Q49,Tmil_h,Tmil_M,Tmil_table)</f>
        <v>3722.4059909573998</v>
      </c>
      <c r="S49" cm="1">
        <f t="array" ref="S49">1*R$4/(S*Linterp(R$3,atmos_h,atmos_qms)*Q49^2)</f>
        <v>0.11295816118819223</v>
      </c>
      <c r="T49" cm="1">
        <f t="array" ref="T49">InterpolateXY(S49,Q49,CD_CL,CD_M,CD_table)</f>
        <v>1.6635931044557208E-2</v>
      </c>
      <c r="U49" cm="1">
        <f t="array" ref="U49">T49*S*Linterp(R$3,atmos_h,atmos_qms)*Q49^2</f>
        <v>1472.7515807238724</v>
      </c>
      <c r="V49" cm="1">
        <f t="array" ref="V49">Q49*Linterp(R$3,atmos_h,atmos_aspeed)</f>
        <v>713.11007714066147</v>
      </c>
      <c r="W49" s="162">
        <f t="shared" si="1"/>
        <v>9625.5073801287599</v>
      </c>
      <c r="Y49">
        <v>0.65</v>
      </c>
      <c r="Z49" cm="1">
        <f t="array" ref="Z49">numeng*InterpolateXY(Z$3,Y49,Tmil_h,Tmil_M,Tmil_table)</f>
        <v>3382.2159289816623</v>
      </c>
      <c r="AA49" cm="1">
        <f t="array" ref="AA49">1*Z$4/(S*Linterp(Z$3,atmos_h,atmos_qms)*Y49^2)</f>
        <v>0.13666729807317363</v>
      </c>
      <c r="AB49" cm="1">
        <f t="array" ref="AB49">InterpolateXY(AA49,Y49,CD_CL,CD_M,CD_table)</f>
        <v>1.7525023677744011E-2</v>
      </c>
      <c r="AC49" cm="1">
        <f t="array" ref="AC49">AB49*S*Linterp(Z$3,atmos_h,atmos_qms)*Y49^2</f>
        <v>1282.3128813420212</v>
      </c>
      <c r="AD49" cm="1">
        <f t="array" ref="AD49">Y49*Linterp(Z$3,atmos_h,atmos_aspeed)</f>
        <v>700.30162050567219</v>
      </c>
      <c r="AE49" s="162">
        <f t="shared" si="2"/>
        <v>8823.3930430010423</v>
      </c>
      <c r="AG49">
        <v>0.65</v>
      </c>
      <c r="AH49" cm="1">
        <f t="array" ref="AH49">numeng*InterpolateXY(AH$3,AG49,Tmil_h,Tmil_M,Tmil_table)</f>
        <v>2963.6854710208022</v>
      </c>
      <c r="AI49" cm="1">
        <f t="array" ref="AI49">1*AH$4/(S*Linterp(AH$3,atmos_h,atmos_qms)*AG49^2)</f>
        <v>0.16654220617798221</v>
      </c>
      <c r="AJ49" cm="1">
        <f t="array" ref="AJ49">InterpolateXY(AI49,AG49,CD_CL,CD_M,CD_table)</f>
        <v>1.8645332731674333E-2</v>
      </c>
      <c r="AK49" cm="1">
        <f t="array" ref="AK49">AJ49*S*Linterp(AH$3,atmos_h,atmos_qms)*AG49^2</f>
        <v>1119.5560068267757</v>
      </c>
      <c r="AL49" cm="1">
        <f t="array" ref="AL49">AG49*Linterp(AH$3,atmos_h,atmos_aspeed)</f>
        <v>687.25449234339703</v>
      </c>
      <c r="AM49" s="162">
        <f t="shared" si="3"/>
        <v>7604.3175523809987</v>
      </c>
      <c r="AO49">
        <v>0.65</v>
      </c>
      <c r="AP49" cm="1">
        <f t="array" ref="AP49">numeng*InterpolateXY(AP$3,AO49,Tmil_h,Tmil_M,Tmil_table)</f>
        <v>2578.7802840464324</v>
      </c>
      <c r="AQ49" cm="1">
        <f t="array" ref="AQ49">1*AP$4/(S*Linterp(AP$3,atmos_h,atmos_qms)*AO49^2)</f>
        <v>0.2045220308574954</v>
      </c>
      <c r="AR49" cm="1">
        <f t="array" ref="AR49">InterpolateXY(AQ49,AO49,CD_CL,CD_M,CD_table)</f>
        <v>2.0182626928593461E-2</v>
      </c>
      <c r="AS49" cm="1">
        <f t="array" ref="AS49">AR49*S*Linterp(AP$3,atmos_h,atmos_qms)*AO49^2</f>
        <v>986.81921179709434</v>
      </c>
      <c r="AT49" cm="1">
        <f t="array" ref="AT49">AO49*Linterp(AP$3,atmos_h,atmos_aspeed)</f>
        <v>673.95483143122487</v>
      </c>
      <c r="AU49" s="162">
        <f t="shared" si="4"/>
        <v>6437.4591365572478</v>
      </c>
      <c r="AW49">
        <v>0.65</v>
      </c>
      <c r="AX49" cm="1">
        <f t="array" ref="AX49">numeng*InterpolateXY(AX$3,AW49,Tmil_h,Tmil_M,Tmil_table)</f>
        <v>2227.1242491152025</v>
      </c>
      <c r="AY49" cm="1">
        <f t="array" ref="AY49">1*AX$4/(S*Linterp(AX$3,atmos_h,atmos_qms)*AW49^2)</f>
        <v>0.25327074745565431</v>
      </c>
      <c r="AZ49" cm="1">
        <f t="array" ref="AZ49">InterpolateXY(AY49,AW49,CD_CL,CD_M,CD_table)</f>
        <v>2.3229421715978395E-2</v>
      </c>
      <c r="BA49" cm="1">
        <f t="array" ref="BA49">AZ49*S*Linterp(AX$3,atmos_h,atmos_qms)*AW49^2</f>
        <v>917.17744545471771</v>
      </c>
      <c r="BB49" cm="1">
        <f t="array" ref="BB49">AW49*Linterp(AX$3,atmos_h,atmos_aspeed)</f>
        <v>660.38738053721215</v>
      </c>
      <c r="BC49" s="162">
        <f t="shared" si="5"/>
        <v>5190.4340298746483</v>
      </c>
      <c r="BE49">
        <v>0.65</v>
      </c>
      <c r="BF49" cm="1">
        <f t="array" ref="BF49">numeng*InterpolateXY(BF$3,BE49,Tmil_h,Tmil_M,Tmil_table)</f>
        <v>1908.0482679220663</v>
      </c>
      <c r="BG49" cm="1">
        <f t="array" ref="BG49">1*BF$4/(S*Linterp(BF$3,atmos_h,atmos_qms)*BE49^2)</f>
        <v>0.31649506455393928</v>
      </c>
      <c r="BH49" cm="1">
        <f t="array" ref="BH49">InterpolateXY(BG49,BE49,CD_CL,CD_M,CD_table)</f>
        <v>2.7490223995007567E-2</v>
      </c>
      <c r="BI49" cm="1">
        <f t="array" ref="BI49">BH49*S*Linterp(BF$3,atmos_h,atmos_qms)*BE49^2</f>
        <v>868.58302304813651</v>
      </c>
      <c r="BJ49" cm="1">
        <f t="array" ref="BJ49">BE49*Linterp(BF$3,atmos_h,atmos_aspeed)</f>
        <v>646.53528127714014</v>
      </c>
      <c r="BK49" s="162">
        <f t="shared" si="6"/>
        <v>4032.305726834265</v>
      </c>
      <c r="BM49">
        <v>0.65</v>
      </c>
      <c r="BN49" cm="1">
        <f t="array" ref="BN49">numeng*InterpolateXY(BN$3,BM49,Tmil_h,Tmil_M,Tmil_table)</f>
        <v>1620.6217240531032</v>
      </c>
      <c r="BO49" cm="1">
        <f t="array" ref="BO49">1*BN$4/(S*Linterp(BN$3,atmos_h,atmos_qms)*BM49^2)</f>
        <v>0.39942436479178484</v>
      </c>
      <c r="BP49" cm="1">
        <f t="array" ref="BP49">InterpolateXY(BO49,BM49,CD_CL,CD_M,CD_table)</f>
        <v>3.7218403709235494E-2</v>
      </c>
      <c r="BQ49" cm="1">
        <f t="array" ref="BQ49">BP49*S*Linterp(BN$3,atmos_h,atmos_qms)*BM49^2</f>
        <v>931.80103643995278</v>
      </c>
      <c r="BR49" cm="1">
        <f t="array" ref="BR49">BM49*Linterp(BN$3,atmos_h,atmos_aspeed)</f>
        <v>632.3798285045317</v>
      </c>
      <c r="BS49" s="162">
        <f t="shared" si="7"/>
        <v>2613.5778498190662</v>
      </c>
      <c r="BU49">
        <v>0.65</v>
      </c>
      <c r="BV49" cm="1">
        <f t="array" ref="BV49">numeng*InterpolateXY(BV$3,BU49,Tmil_h,Tmil_M,Tmil_table)</f>
        <v>1319.4684514560283</v>
      </c>
      <c r="BW49" cm="1">
        <f t="array" ref="BW49">1*BV$4/(S*Linterp(BV$3,atmos_h,atmos_qms)*BU49^2)</f>
        <v>0.50779850896628653</v>
      </c>
      <c r="BX49" cm="1">
        <f t="array" ref="BX49">InterpolateXY(BW49,BU49,CD_CL,CD_M,CD_table)</f>
        <v>5.9840933306447686E-2</v>
      </c>
      <c r="BY49" cm="1">
        <f t="array" ref="BY49">BX49*S*Linterp(BV$3,atmos_h,atmos_qms)*BU49^2</f>
        <v>1178.4385391021426</v>
      </c>
      <c r="BZ49" cm="1">
        <f t="array" ref="BZ49">BU49*Linterp(BV$3,atmos_h,atmos_aspeed)</f>
        <v>629.26533177393196</v>
      </c>
      <c r="CA49" s="162">
        <f t="shared" si="8"/>
        <v>532.47140752449866</v>
      </c>
    </row>
    <row r="50" spans="1:79">
      <c r="A50" s="120">
        <v>42000</v>
      </c>
      <c r="B50" s="11">
        <v>0.93</v>
      </c>
      <c r="D50" s="120">
        <v>42000</v>
      </c>
      <c r="E50" s="11">
        <v>0.86477889421258736</v>
      </c>
      <c r="I50">
        <v>0.66</v>
      </c>
      <c r="J50" cm="1">
        <f t="array" ref="J50">numeng*InterpolateXY(J$3,I50,Tmil_h,Tmil_M,Tmil_table)</f>
        <v>4064</v>
      </c>
      <c r="K50" cm="1">
        <f t="array" ref="K50">1*J$4/(S*Linterp(J$3,atmos_h,atmos_qms)*I50^2)</f>
        <v>9.1160007663336137E-2</v>
      </c>
      <c r="L50" cm="1">
        <f t="array" ref="L50">InterpolateXY(K50,I50,CD_CL,CD_M,CD_table)</f>
        <v>1.6019500095791703E-2</v>
      </c>
      <c r="M50" cm="1">
        <f t="array" ref="M50">L50*S*Linterp(J$3,atmos_h,atmos_qms)*I50^2</f>
        <v>1757.2947289510405</v>
      </c>
      <c r="N50" cm="1">
        <f t="array" ref="N50">I50*Linterp(J$3,atmos_h,atmos_aspeed)</f>
        <v>736.85700000000008</v>
      </c>
      <c r="O50" s="162">
        <f t="shared" ref="O50:O84" si="9">(J50-M50)*N50*(60/1)/J$4</f>
        <v>10198.271555455942</v>
      </c>
      <c r="Q50">
        <v>0.66</v>
      </c>
      <c r="R50" cm="1">
        <f t="array" ref="R50">numeng*InterpolateXY(R$3,Q50,Tmil_h,Tmil_M,Tmil_table)</f>
        <v>3729.2993353850989</v>
      </c>
      <c r="S50" cm="1">
        <f t="array" ref="S50">1*R$4/(S*Linterp(R$3,atmos_h,atmos_qms)*Q50^2)</f>
        <v>0.10956111823234897</v>
      </c>
      <c r="T50" cm="1">
        <f t="array" ref="T50">InterpolateXY(S50,Q50,CD_CL,CD_M,CD_table)</f>
        <v>1.6488541933713088E-2</v>
      </c>
      <c r="U50" cm="1">
        <f t="array" ref="U50">T50*S*Linterp(R$3,atmos_h,atmos_qms)*Q50^2</f>
        <v>1504.9629101763483</v>
      </c>
      <c r="V50" cm="1">
        <f t="array" ref="V50">Q50*Linterp(R$3,atmos_h,atmos_aspeed)</f>
        <v>724.08100140436397</v>
      </c>
      <c r="W50" s="162">
        <f t="shared" ref="W50:W84" si="10">(R50-U50)*V50*(60/1)/R$4</f>
        <v>9663.5984773521304</v>
      </c>
      <c r="Y50">
        <v>0.66</v>
      </c>
      <c r="Z50" cm="1">
        <f t="array" ref="Z50">numeng*InterpolateXY(Z$3,Y50,Tmil_h,Tmil_M,Tmil_table)</f>
        <v>3391.0776301056317</v>
      </c>
      <c r="AA50" cm="1">
        <f t="array" ref="AA50">1*Z$4/(S*Linterp(Z$3,atmos_h,atmos_qms)*Y50^2)</f>
        <v>0.13255723929273613</v>
      </c>
      <c r="AB50" cm="1">
        <f t="array" ref="AB50">InterpolateXY(AA50,Y50,CD_CL,CD_M,CD_table)</f>
        <v>1.7350896473477605E-2</v>
      </c>
      <c r="AC50" cm="1">
        <f t="array" ref="AC50">AB50*S*Linterp(Z$3,atmos_h,atmos_qms)*Y50^2</f>
        <v>1308.9361672024806</v>
      </c>
      <c r="AD50" cm="1">
        <f t="array" ref="AD50">Y50*Linterp(Z$3,atmos_h,atmos_aspeed)</f>
        <v>711.07549159037478</v>
      </c>
      <c r="AE50" s="162">
        <f t="shared" ref="AE50:AE84" si="11">(Z50-AC50)*AD50*(60/1)/Z$4</f>
        <v>8883.3585857673606</v>
      </c>
      <c r="AG50">
        <v>0.66</v>
      </c>
      <c r="AH50" cm="1">
        <f t="array" ref="AH50">numeng*InterpolateXY(AH$3,AG50,Tmil_h,Tmil_M,Tmil_table)</f>
        <v>2972.494727197934</v>
      </c>
      <c r="AI50" cm="1">
        <f t="array" ref="AI50">1*AH$4/(S*Linterp(AH$3,atmos_h,atmos_qms)*AG50^2)</f>
        <v>0.16153370548713841</v>
      </c>
      <c r="AJ50" cm="1">
        <f t="array" ref="AJ50">InterpolateXY(AI50,AG50,CD_CL,CD_M,CD_table)</f>
        <v>1.8437513955767693E-2</v>
      </c>
      <c r="AK50" cm="1">
        <f t="array" ref="AK50">AJ50*S*Linterp(AH$3,atmos_h,atmos_qms)*AG50^2</f>
        <v>1141.4035170038071</v>
      </c>
      <c r="AL50" cm="1">
        <f t="array" ref="AL50">AG50*Linterp(AH$3,atmos_h,atmos_aspeed)</f>
        <v>697.82763837944935</v>
      </c>
      <c r="AM50" s="162">
        <f t="shared" ref="AM50:AM84" si="12">(AH50-AK50)*AL50*(60/1)/AH$4</f>
        <v>7666.7163292028126</v>
      </c>
      <c r="AO50">
        <v>0.66</v>
      </c>
      <c r="AP50" cm="1">
        <f t="array" ref="AP50">numeng*InterpolateXY(AP$3,AO50,Tmil_h,Tmil_M,Tmil_table)</f>
        <v>2587.3051775474123</v>
      </c>
      <c r="AQ50" cm="1">
        <f t="array" ref="AQ50">1*AP$4/(S*Linterp(AP$3,atmos_h,atmos_qms)*AO50^2)</f>
        <v>0.19837134535650092</v>
      </c>
      <c r="AR50" cm="1">
        <f t="array" ref="AR50">InterpolateXY(AQ50,AO50,CD_CL,CD_M,CD_table)</f>
        <v>1.9818925450868784E-2</v>
      </c>
      <c r="AS50" cm="1">
        <f t="array" ref="AS50">AR50*S*Linterp(AP$3,atmos_h,atmos_qms)*AO50^2</f>
        <v>999.08207081276873</v>
      </c>
      <c r="AT50" cm="1">
        <f t="array" ref="AT50">AO50*Linterp(AP$3,atmos_h,atmos_aspeed)</f>
        <v>684.32336729939755</v>
      </c>
      <c r="AU50" s="162">
        <f t="shared" ref="AU50:AU84" si="13">(AP50-AS50)*AT50*(60/1)/AP$4</f>
        <v>6521.1491065401706</v>
      </c>
      <c r="AW50">
        <v>0.66</v>
      </c>
      <c r="AX50" cm="1">
        <f t="array" ref="AX50">numeng*InterpolateXY(AX$3,AW50,Tmil_h,Tmil_M,Tmil_table)</f>
        <v>2235.1902926733665</v>
      </c>
      <c r="AY50" cm="1">
        <f t="array" ref="AY50">1*AX$4/(S*Linterp(AX$3,atmos_h,atmos_qms)*AW50^2)</f>
        <v>0.24565401928377859</v>
      </c>
      <c r="AZ50" cm="1">
        <f t="array" ref="AZ50">InterpolateXY(AY50,AW50,CD_CL,CD_M,CD_table)</f>
        <v>2.2733376205236164E-2</v>
      </c>
      <c r="BA50" cm="1">
        <f t="array" ref="BA50">AZ50*S*Linterp(AX$3,atmos_h,atmos_qms)*AW50^2</f>
        <v>925.42252194842592</v>
      </c>
      <c r="BB50" cm="1">
        <f t="array" ref="BB50">AW50*Linterp(AX$3,atmos_h,atmos_aspeed)</f>
        <v>670.54718639163082</v>
      </c>
      <c r="BC50" s="162">
        <f t="shared" ref="BC50:BC84" si="14">(AX50-BA50)*BB50*(60/1)/AX$4</f>
        <v>5269.5665609162834</v>
      </c>
      <c r="BE50">
        <v>0.66</v>
      </c>
      <c r="BF50" cm="1">
        <f t="array" ref="BF50">numeng*InterpolateXY(BF$3,BE50,Tmil_h,Tmil_M,Tmil_table)</f>
        <v>1915.5308101492117</v>
      </c>
      <c r="BG50" cm="1">
        <f t="array" ref="BG50">1*BF$4/(S*Linterp(BF$3,atmos_h,atmos_qms)*BE50^2)</f>
        <v>0.3069769622911831</v>
      </c>
      <c r="BH50" cm="1">
        <f t="array" ref="BH50">InterpolateXY(BG50,BE50,CD_CL,CD_M,CD_table)</f>
        <v>2.6696878186158627E-2</v>
      </c>
      <c r="BI50" cm="1">
        <f t="array" ref="BI50">BH50*S*Linterp(BF$3,atmos_h,atmos_qms)*BE50^2</f>
        <v>869.6704139262182</v>
      </c>
      <c r="BJ50" cm="1">
        <f t="array" ref="BJ50">BE50*Linterp(BF$3,atmos_h,atmos_aspeed)</f>
        <v>656.48197791217308</v>
      </c>
      <c r="BK50" s="162">
        <f t="shared" ref="BK50:BK84" si="15">(BF50-BI50)*BJ50*(60/1)/BF$4</f>
        <v>4119.5310091948795</v>
      </c>
      <c r="BM50">
        <v>0.66</v>
      </c>
      <c r="BN50" cm="1">
        <f t="array" ref="BN50">numeng*InterpolateXY(BN$3,BM50,Tmil_h,Tmil_M,Tmil_table)</f>
        <v>1627.4388708846841</v>
      </c>
      <c r="BO50" cm="1">
        <f t="array" ref="BO50">1*BN$4/(S*Linterp(BN$3,atmos_h,atmos_qms)*BM50^2)</f>
        <v>0.3874122913786251</v>
      </c>
      <c r="BP50" cm="1">
        <f t="array" ref="BP50">InterpolateXY(BO50,BM50,CD_CL,CD_M,CD_table)</f>
        <v>3.5495692302920108E-2</v>
      </c>
      <c r="BQ50" cm="1">
        <f t="array" ref="BQ50">BP50*S*Linterp(BN$3,atmos_h,atmos_qms)*BM50^2</f>
        <v>916.22524872938334</v>
      </c>
      <c r="BR50" cm="1">
        <f t="array" ref="BR50">BM50*Linterp(BN$3,atmos_h,atmos_aspeed)</f>
        <v>642.10874894306301</v>
      </c>
      <c r="BS50" s="162">
        <f t="shared" ref="BS50:BS84" si="16">(BN50-BQ50)*BR50*(60/1)/BN$4</f>
        <v>2740.058934920427</v>
      </c>
      <c r="BU50">
        <v>0.66</v>
      </c>
      <c r="BV50" cm="1">
        <f t="array" ref="BV50">numeng*InterpolateXY(BV$3,BU50,Tmil_h,Tmil_M,Tmil_table)</f>
        <v>1325.376519149115</v>
      </c>
      <c r="BW50" cm="1">
        <f t="array" ref="BW50">1*BV$4/(S*Linterp(BV$3,atmos_h,atmos_qms)*BU50^2)</f>
        <v>0.49252724985825536</v>
      </c>
      <c r="BX50" cm="1">
        <f t="array" ref="BX50">InterpolateXY(BW50,BU50,CD_CL,CD_M,CD_table)</f>
        <v>5.5877977221509327E-2</v>
      </c>
      <c r="BY50" cm="1">
        <f t="array" ref="BY50">BX50*S*Linterp(BV$3,atmos_h,atmos_qms)*BU50^2</f>
        <v>1134.5154453401403</v>
      </c>
      <c r="BZ50" cm="1">
        <f t="array" ref="BZ50">BU50*Linterp(BV$3,atmos_h,atmos_aspeed)</f>
        <v>638.94633687814633</v>
      </c>
      <c r="CA50" s="162">
        <f t="shared" ref="CA50:CA84" si="17">(BV50-BY50)*BZ50*(60/1)/BV$4</f>
        <v>731.69990377724321</v>
      </c>
    </row>
    <row r="51" spans="1:79">
      <c r="A51" s="120">
        <v>43000</v>
      </c>
      <c r="B51" s="11">
        <v>0.93</v>
      </c>
      <c r="D51" s="120">
        <v>43000</v>
      </c>
      <c r="E51" s="11">
        <v>0.86477889421258736</v>
      </c>
      <c r="I51">
        <v>0.67</v>
      </c>
      <c r="J51" cm="1">
        <f t="array" ref="J51">numeng*InterpolateXY(J$3,I51,Tmil_h,Tmil_M,Tmil_table)</f>
        <v>4068</v>
      </c>
      <c r="K51" cm="1">
        <f t="array" ref="K51">1*J$4/(S*Linterp(J$3,atmos_h,atmos_qms)*I51^2)</f>
        <v>8.8459120824569429E-2</v>
      </c>
      <c r="L51" cm="1">
        <f t="array" ref="L51">InterpolateXY(K51,I51,CD_CL,CD_M,CD_table)</f>
        <v>1.5965739010307119E-2</v>
      </c>
      <c r="M51" cm="1">
        <f t="array" ref="M51">L51*S*Linterp(J$3,atmos_h,atmos_qms)*I51^2</f>
        <v>1804.8719975377203</v>
      </c>
      <c r="N51" cm="1">
        <f t="array" ref="N51">I51*Linterp(J$3,atmos_h,atmos_aspeed)</f>
        <v>748.02150000000006</v>
      </c>
      <c r="O51" s="162">
        <f t="shared" si="9"/>
        <v>10157.210418563031</v>
      </c>
      <c r="Q51">
        <v>0.67</v>
      </c>
      <c r="R51" cm="1">
        <f t="array" ref="R51">numeng*InterpolateXY(R$3,Q51,Tmil_h,Tmil_M,Tmil_table)</f>
        <v>3736.1926798127975</v>
      </c>
      <c r="S51" cm="1">
        <f t="array" ref="S51">1*R$4/(S*Linterp(R$3,atmos_h,atmos_qms)*Q51^2)</f>
        <v>0.10631504366676589</v>
      </c>
      <c r="T51" cm="1">
        <f t="array" ref="T51">InterpolateXY(S51,Q51,CD_CL,CD_M,CD_table)</f>
        <v>1.6346814137503725E-2</v>
      </c>
      <c r="U51" cm="1">
        <f t="array" ref="U51">T51*S*Linterp(R$3,atmos_h,atmos_qms)*Q51^2</f>
        <v>1537.5824129594694</v>
      </c>
      <c r="V51" cm="1">
        <f t="array" ref="V51">Q51*Linterp(R$3,atmos_h,atmos_aspeed)</f>
        <v>735.05192566806647</v>
      </c>
      <c r="W51" s="162">
        <f t="shared" si="10"/>
        <v>9696.5562626647225</v>
      </c>
      <c r="Y51">
        <v>0.67</v>
      </c>
      <c r="Z51" cm="1">
        <f t="array" ref="Z51">numeng*InterpolateXY(Z$3,Y51,Tmil_h,Tmil_M,Tmil_table)</f>
        <v>3399.9393312296011</v>
      </c>
      <c r="AA51" cm="1">
        <f t="array" ref="AA51">1*Z$4/(S*Linterp(Z$3,atmos_h,atmos_qms)*Y51^2)</f>
        <v>0.12862983612367085</v>
      </c>
      <c r="AB51" cm="1">
        <f t="array" ref="AB51">InterpolateXY(AA51,Y51,CD_CL,CD_M,CD_table)</f>
        <v>1.718361885463766E-2</v>
      </c>
      <c r="AC51" cm="1">
        <f t="array" ref="AC51">AB51*S*Linterp(Z$3,atmos_h,atmos_qms)*Y51^2</f>
        <v>1335.8968162033971</v>
      </c>
      <c r="AD51" cm="1">
        <f t="array" ref="AD51">Y51*Linterp(Z$3,atmos_h,atmos_aspeed)</f>
        <v>721.84936267507749</v>
      </c>
      <c r="AE51" s="162">
        <f t="shared" si="11"/>
        <v>8939.5666440355762</v>
      </c>
      <c r="AG51">
        <v>0.67</v>
      </c>
      <c r="AH51" cm="1">
        <f t="array" ref="AH51">numeng*InterpolateXY(AH$3,AG51,Tmil_h,Tmil_M,Tmil_table)</f>
        <v>2981.3039833750659</v>
      </c>
      <c r="AI51" cm="1">
        <f t="array" ref="AI51">1*AH$4/(S*Linterp(AH$3,atmos_h,atmos_qms)*AG51^2)</f>
        <v>0.15674778817152479</v>
      </c>
      <c r="AJ51" cm="1">
        <f t="array" ref="AJ51">InterpolateXY(AI51,AG51,CD_CL,CD_M,CD_table)</f>
        <v>1.8238042056432181E-2</v>
      </c>
      <c r="AK51" cm="1">
        <f t="array" ref="AK51">AJ51*S*Linterp(AH$3,atmos_h,atmos_qms)*AG51^2</f>
        <v>1163.5278729722677</v>
      </c>
      <c r="AL51" cm="1">
        <f t="array" ref="AL51">AG51*Linterp(AH$3,atmos_h,atmos_aspeed)</f>
        <v>708.40078441550168</v>
      </c>
      <c r="AM51" s="162">
        <f t="shared" si="12"/>
        <v>7726.2841350066092</v>
      </c>
      <c r="AO51">
        <v>0.67</v>
      </c>
      <c r="AP51" cm="1">
        <f t="array" ref="AP51">numeng*InterpolateXY(AP$3,AO51,Tmil_h,Tmil_M,Tmil_table)</f>
        <v>2595.8300710483923</v>
      </c>
      <c r="AQ51" cm="1">
        <f t="array" ref="AQ51">1*AP$4/(S*Linterp(AP$3,atmos_h,atmos_qms)*AO51^2)</f>
        <v>0.19249400320180843</v>
      </c>
      <c r="AR51" cm="1">
        <f t="array" ref="AR51">InterpolateXY(AQ51,AO51,CD_CL,CD_M,CD_table)</f>
        <v>1.957852512006782E-2</v>
      </c>
      <c r="AS51" cm="1">
        <f t="array" ref="AS51">AR51*S*Linterp(AP$3,atmos_h,atmos_qms)*AO51^2</f>
        <v>1017.0979248398678</v>
      </c>
      <c r="AT51" cm="1">
        <f t="array" ref="AT51">AO51*Linterp(AP$3,atmos_h,atmos_aspeed)</f>
        <v>694.69190316757022</v>
      </c>
      <c r="AU51" s="162">
        <f t="shared" si="13"/>
        <v>6580.3946354485352</v>
      </c>
      <c r="AW51">
        <v>0.67</v>
      </c>
      <c r="AX51" cm="1">
        <f t="array" ref="AX51">numeng*InterpolateXY(AX$3,AW51,Tmil_h,Tmil_M,Tmil_table)</f>
        <v>2243.25633623153</v>
      </c>
      <c r="AY51" cm="1">
        <f t="array" ref="AY51">1*AX$4/(S*Linterp(AX$3,atmos_h,atmos_qms)*AW51^2)</f>
        <v>0.23837578703500545</v>
      </c>
      <c r="AZ51" cm="1">
        <f t="array" ref="AZ51">InterpolateXY(AY51,AW51,CD_CL,CD_M,CD_table)</f>
        <v>2.2258486689687842E-2</v>
      </c>
      <c r="BA51" cm="1">
        <f t="array" ref="BA51">AZ51*S*Linterp(AX$3,atmos_h,atmos_qms)*AW51^2</f>
        <v>933.75619086762322</v>
      </c>
      <c r="BB51" cm="1">
        <f t="array" ref="BB51">AW51*Linterp(AX$3,atmos_h,atmos_aspeed)</f>
        <v>680.70699224604948</v>
      </c>
      <c r="BC51" s="162">
        <f t="shared" si="14"/>
        <v>5348.3154317785766</v>
      </c>
      <c r="BE51">
        <v>0.67</v>
      </c>
      <c r="BF51" cm="1">
        <f t="array" ref="BF51">numeng*InterpolateXY(BF$3,BE51,Tmil_h,Tmil_M,Tmil_table)</f>
        <v>1923.013352376357</v>
      </c>
      <c r="BG51" cm="1">
        <f t="array" ref="BG51">1*BF$4/(S*Linterp(BF$3,atmos_h,atmos_qms)*BE51^2)</f>
        <v>0.29788185514377219</v>
      </c>
      <c r="BH51" cm="1">
        <f t="array" ref="BH51">InterpolateXY(BG51,BE51,CD_CL,CD_M,CD_table)</f>
        <v>2.5977615946485764E-2</v>
      </c>
      <c r="BI51" cm="1">
        <f t="array" ref="BI51">BH51*S*Linterp(BF$3,atmos_h,atmos_qms)*BE51^2</f>
        <v>872.07782205961178</v>
      </c>
      <c r="BJ51" cm="1">
        <f t="array" ref="BJ51">BE51*Linterp(BF$3,atmos_h,atmos_aspeed)</f>
        <v>666.42867454720601</v>
      </c>
      <c r="BK51" s="162">
        <f t="shared" si="15"/>
        <v>4202.2414350213221</v>
      </c>
      <c r="BM51">
        <v>0.67</v>
      </c>
      <c r="BN51" cm="1">
        <f t="array" ref="BN51">numeng*InterpolateXY(BN$3,BM51,Tmil_h,Tmil_M,Tmil_table)</f>
        <v>1634.2560177162652</v>
      </c>
      <c r="BO51" cm="1">
        <f t="array" ref="BO51">1*BN$4/(S*Linterp(BN$3,atmos_h,atmos_qms)*BM51^2)</f>
        <v>0.3759340479494967</v>
      </c>
      <c r="BP51" cm="1">
        <f t="array" ref="BP51">InterpolateXY(BO51,BM51,CD_CL,CD_M,CD_table)</f>
        <v>3.3848651296841156E-2</v>
      </c>
      <c r="BQ51" cm="1">
        <f t="array" ref="BQ51">BP51*S*Linterp(BN$3,atmos_h,atmos_qms)*BM51^2</f>
        <v>900.38801969297583</v>
      </c>
      <c r="BR51" cm="1">
        <f t="array" ref="BR51">BM51*Linterp(BN$3,atmos_h,atmos_aspeed)</f>
        <v>651.8376693815942</v>
      </c>
      <c r="BS51" s="162">
        <f t="shared" si="16"/>
        <v>2870.1768327914237</v>
      </c>
      <c r="BU51">
        <v>0.67</v>
      </c>
      <c r="BV51" cm="1">
        <f t="array" ref="BV51">numeng*InterpolateXY(BV$3,BU51,Tmil_h,Tmil_M,Tmil_table)</f>
        <v>1331.2845868422019</v>
      </c>
      <c r="BW51" cm="1">
        <f t="array" ref="BW51">1*BV$4/(S*Linterp(BV$3,atmos_h,atmos_qms)*BU51^2)</f>
        <v>0.47793466259357553</v>
      </c>
      <c r="BX51" cm="1">
        <f t="array" ref="BX51">InterpolateXY(BW51,BU51,CD_CL,CD_M,CD_table)</f>
        <v>5.2924867181308684E-2</v>
      </c>
      <c r="BY51" cm="1">
        <f t="array" ref="BY51">BX51*S*Linterp(BV$3,atmos_h,atmos_qms)*BU51^2</f>
        <v>1107.3661595102751</v>
      </c>
      <c r="BZ51" cm="1">
        <f t="array" ref="BZ51">BU51*Linterp(BV$3,atmos_h,atmos_aspeed)</f>
        <v>648.62734198236069</v>
      </c>
      <c r="CA51" s="162">
        <f t="shared" si="17"/>
        <v>871.43768604706827</v>
      </c>
    </row>
    <row r="52" spans="1:79">
      <c r="A52" s="120">
        <v>44000</v>
      </c>
      <c r="B52" s="11">
        <v>0.93</v>
      </c>
      <c r="D52" s="120">
        <v>44000</v>
      </c>
      <c r="E52" s="11">
        <v>0.86477889421258736</v>
      </c>
      <c r="I52">
        <v>0.68</v>
      </c>
      <c r="J52" cm="1">
        <f t="array" ref="J52">numeng*InterpolateXY(J$3,I52,Tmil_h,Tmil_M,Tmil_table)</f>
        <v>4072</v>
      </c>
      <c r="K52" cm="1">
        <f t="array" ref="K52">1*J$4/(S*Linterp(J$3,atmos_h,atmos_qms)*I52^2)</f>
        <v>8.5876512409492262E-2</v>
      </c>
      <c r="L52" cm="1">
        <f t="array" ref="L52">InterpolateXY(K52,I52,CD_CL,CD_M,CD_table)</f>
        <v>1.5913456405118653E-2</v>
      </c>
      <c r="M52" cm="1">
        <f t="array" ref="M52">L52*S*Linterp(J$3,atmos_h,atmos_qms)*I52^2</f>
        <v>1853.0627244428804</v>
      </c>
      <c r="N52" cm="1">
        <f t="array" ref="N52">I52*Linterp(J$3,atmos_h,atmos_aspeed)</f>
        <v>759.18600000000004</v>
      </c>
      <c r="O52" s="162">
        <f t="shared" si="9"/>
        <v>10107.516686886644</v>
      </c>
      <c r="Q52">
        <v>0.68</v>
      </c>
      <c r="R52" cm="1">
        <f t="array" ref="R52">numeng*InterpolateXY(R$3,Q52,Tmil_h,Tmil_M,Tmil_table)</f>
        <v>3743.0860242404965</v>
      </c>
      <c r="S52" cm="1">
        <f t="array" ref="S52">1*R$4/(S*Linterp(R$3,atmos_h,atmos_qms)*Q52^2)</f>
        <v>0.10321112262545677</v>
      </c>
      <c r="T52" cm="1">
        <f t="array" ref="T52">InterpolateXY(S52,Q52,CD_CL,CD_M,CD_table)</f>
        <v>1.6210417098454628E-2</v>
      </c>
      <c r="U52" cm="1">
        <f t="array" ref="U52">T52*S*Linterp(R$3,atmos_h,atmos_qms)*Q52^2</f>
        <v>1570.607574658467</v>
      </c>
      <c r="V52" cm="1">
        <f t="array" ref="V52">Q52*Linterp(R$3,atmos_h,atmos_aspeed)</f>
        <v>746.02284993176897</v>
      </c>
      <c r="W52" s="162">
        <f t="shared" si="10"/>
        <v>9724.3113862352184</v>
      </c>
      <c r="Y52">
        <v>0.68</v>
      </c>
      <c r="Z52" cm="1">
        <f t="array" ref="Z52">numeng*InterpolateXY(Z$3,Y52,Tmil_h,Tmil_M,Tmil_table)</f>
        <v>3408.8010323535705</v>
      </c>
      <c r="AA52" cm="1">
        <f t="array" ref="AA52">1*Z$4/(S*Linterp(Z$3,atmos_h,atmos_qms)*Y52^2)</f>
        <v>0.12487442352057926</v>
      </c>
      <c r="AB52" cm="1">
        <f t="array" ref="AB52">InterpolateXY(AA52,Y52,CD_CL,CD_M,CD_table)</f>
        <v>1.7022790882021722E-2</v>
      </c>
      <c r="AC52" cm="1">
        <f t="array" ref="AC52">AB52*S*Linterp(Z$3,atmos_h,atmos_qms)*Y52^2</f>
        <v>1363.192750132406</v>
      </c>
      <c r="AD52" cm="1">
        <f t="array" ref="AD52">Y52*Linterp(Z$3,atmos_h,atmos_aspeed)</f>
        <v>732.62323375978008</v>
      </c>
      <c r="AE52" s="162">
        <f t="shared" si="11"/>
        <v>8991.9609283599493</v>
      </c>
      <c r="AG52">
        <v>0.68</v>
      </c>
      <c r="AH52" cm="1">
        <f t="array" ref="AH52">numeng*InterpolateXY(AH$3,AG52,Tmil_h,Tmil_M,Tmil_table)</f>
        <v>2990.1132395521977</v>
      </c>
      <c r="AI52" cm="1">
        <f t="array" ref="AI52">1*AH$4/(S*Linterp(AH$3,atmos_h,atmos_qms)*AG52^2)</f>
        <v>0.1521714578507731</v>
      </c>
      <c r="AJ52" cm="1">
        <f t="array" ref="AJ52">InterpolateXY(AI52,AG52,CD_CL,CD_M,CD_table)</f>
        <v>1.804642966940399E-2</v>
      </c>
      <c r="AK52" cm="1">
        <f t="array" ref="AK52">AJ52*S*Linterp(AH$3,atmos_h,atmos_qms)*AG52^2</f>
        <v>1185.9273693166047</v>
      </c>
      <c r="AL52" cm="1">
        <f t="array" ref="AL52">AG52*Linterp(AH$3,atmos_h,atmos_aspeed)</f>
        <v>718.97393045155388</v>
      </c>
      <c r="AM52" s="162">
        <f t="shared" si="12"/>
        <v>7782.9756383306485</v>
      </c>
      <c r="AO52">
        <v>0.68</v>
      </c>
      <c r="AP52" cm="1">
        <f t="array" ref="AP52">numeng*InterpolateXY(AP$3,AO52,Tmil_h,Tmil_M,Tmil_table)</f>
        <v>2604.3549645493722</v>
      </c>
      <c r="AQ52" cm="1">
        <f t="array" ref="AQ52">1*AP$4/(S*Linterp(AP$3,atmos_h,atmos_qms)*AO52^2)</f>
        <v>0.18687404419829542</v>
      </c>
      <c r="AR52" cm="1">
        <f t="array" ref="AR52">InterpolateXY(AQ52,AO52,CD_CL,CD_M,CD_table)</f>
        <v>1.9347776657436078E-2</v>
      </c>
      <c r="AS52" cm="1">
        <f t="array" ref="AS52">AR52*S*Linterp(AP$3,atmos_h,atmos_qms)*AO52^2</f>
        <v>1035.3378255626451</v>
      </c>
      <c r="AT52" cm="1">
        <f t="array" ref="AT52">AO52*Linterp(AP$3,atmos_h,atmos_aspeed)</f>
        <v>705.06043903574289</v>
      </c>
      <c r="AU52" s="162">
        <f t="shared" si="13"/>
        <v>6637.5114772115221</v>
      </c>
      <c r="AW52">
        <v>0.68</v>
      </c>
      <c r="AX52" cm="1">
        <f t="array" ref="AX52">numeng*InterpolateXY(AX$3,AW52,Tmil_h,Tmil_M,Tmil_table)</f>
        <v>2251.3223797896935</v>
      </c>
      <c r="AY52" cm="1">
        <f t="array" ref="AY52">1*AX$4/(S*Linterp(AX$3,atmos_h,atmos_qms)*AW52^2)</f>
        <v>0.23141628633221009</v>
      </c>
      <c r="AZ52" cm="1">
        <f t="array" ref="AZ52">InterpolateXY(AY52,AW52,CD_CL,CD_M,CD_table)</f>
        <v>2.1803517895763128E-2</v>
      </c>
      <c r="BA52" cm="1">
        <f t="array" ref="BA52">AZ52*S*Linterp(AX$3,atmos_h,atmos_qms)*AW52^2</f>
        <v>942.17733078920151</v>
      </c>
      <c r="BB52" cm="1">
        <f t="array" ref="BB52">AW52*Linterp(AX$3,atmos_h,atmos_aspeed)</f>
        <v>690.86679810046815</v>
      </c>
      <c r="BC52" s="162">
        <f t="shared" si="14"/>
        <v>5426.669089512302</v>
      </c>
      <c r="BE52">
        <v>0.68</v>
      </c>
      <c r="BF52" cm="1">
        <f t="array" ref="BF52">numeng*InterpolateXY(BF$3,BE52,Tmil_h,Tmil_M,Tmil_table)</f>
        <v>1930.4958946035024</v>
      </c>
      <c r="BG52" cm="1">
        <f t="array" ref="BG52">1*BF$4/(S*Linterp(BF$3,atmos_h,atmos_qms)*BE52^2)</f>
        <v>0.28918504492655567</v>
      </c>
      <c r="BH52" cm="1">
        <f t="array" ref="BH52">InterpolateXY(BG52,BE52,CD_CL,CD_M,CD_table)</f>
        <v>2.5414065307909729E-2</v>
      </c>
      <c r="BI52" cm="1">
        <f t="array" ref="BI52">BH52*S*Linterp(BF$3,atmos_h,atmos_qms)*BE52^2</f>
        <v>878.81672146511369</v>
      </c>
      <c r="BJ52" cm="1">
        <f t="array" ref="BJ52">BE52*Linterp(BF$3,atmos_h,atmos_aspeed)</f>
        <v>676.37537118223895</v>
      </c>
      <c r="BK52" s="162">
        <f t="shared" si="15"/>
        <v>4267.979346576647</v>
      </c>
      <c r="BM52">
        <v>0.68</v>
      </c>
      <c r="BN52" cm="1">
        <f t="array" ref="BN52">numeng*InterpolateXY(BN$3,BM52,Tmil_h,Tmil_M,Tmil_table)</f>
        <v>1641.0731645478461</v>
      </c>
      <c r="BO52" cm="1">
        <f t="array" ref="BO52">1*BN$4/(S*Linterp(BN$3,atmos_h,atmos_qms)*BM52^2)</f>
        <v>0.36495846480218225</v>
      </c>
      <c r="BP52" cm="1">
        <f t="array" ref="BP52">InterpolateXY(BO52,BM52,CD_CL,CD_M,CD_table)</f>
        <v>3.2272862385709332E-2</v>
      </c>
      <c r="BQ52" cm="1">
        <f t="array" ref="BQ52">BP52*S*Linterp(BN$3,atmos_h,atmos_qms)*BM52^2</f>
        <v>884.28863824824907</v>
      </c>
      <c r="BR52" cm="1">
        <f t="array" ref="BR52">BM52*Linterp(BN$3,atmos_h,atmos_aspeed)</f>
        <v>661.5665898201255</v>
      </c>
      <c r="BS52" s="162">
        <f t="shared" si="16"/>
        <v>3003.9801497559806</v>
      </c>
      <c r="BU52">
        <v>0.68</v>
      </c>
      <c r="BV52" cm="1">
        <f t="array" ref="BV52">numeng*InterpolateXY(BV$3,BU52,Tmil_h,Tmil_M,Tmil_table)</f>
        <v>1337.1926545352885</v>
      </c>
      <c r="BW52" cm="1">
        <f t="array" ref="BW52">1*BV$4/(S*Linterp(BV$3,atmos_h,atmos_qms)*BU52^2)</f>
        <v>0.4639811203249482</v>
      </c>
      <c r="BX52" cm="1">
        <f t="array" ref="BX52">InterpolateXY(BW52,BU52,CD_CL,CD_M,CD_table)</f>
        <v>5.0100205185314592E-2</v>
      </c>
      <c r="BY52" cm="1">
        <f t="array" ref="BY52">BX52*S*Linterp(BV$3,atmos_h,atmos_qms)*BU52^2</f>
        <v>1079.7897369234984</v>
      </c>
      <c r="BZ52" cm="1">
        <f t="array" ref="BZ52">BU52*Linterp(BV$3,atmos_h,atmos_aspeed)</f>
        <v>658.30834708657505</v>
      </c>
      <c r="CA52" s="162">
        <f t="shared" si="17"/>
        <v>1016.7029353696765</v>
      </c>
    </row>
    <row r="53" spans="1:79">
      <c r="A53" s="120">
        <v>45000</v>
      </c>
      <c r="B53" s="11">
        <v>0.93</v>
      </c>
      <c r="D53" s="120">
        <v>45000</v>
      </c>
      <c r="E53" s="11">
        <v>0.86477889421258736</v>
      </c>
      <c r="I53">
        <v>0.69</v>
      </c>
      <c r="J53" cm="1">
        <f t="array" ref="J53">numeng*InterpolateXY(J$3,I53,Tmil_h,Tmil_M,Tmil_table)</f>
        <v>4076</v>
      </c>
      <c r="K53" cm="1">
        <f t="array" ref="K53">1*J$4/(S*Linterp(J$3,atmos_h,atmos_qms)*I53^2)</f>
        <v>8.3405375631483369E-2</v>
      </c>
      <c r="L53" cm="1">
        <f t="array" ref="L53">InterpolateXY(K53,I53,CD_CL,CD_M,CD_table)</f>
        <v>1.5862567195393543E-2</v>
      </c>
      <c r="M53" cm="1">
        <f t="array" ref="M53">L53*S*Linterp(J$3,atmos_h,atmos_qms)*I53^2</f>
        <v>1901.8638877043597</v>
      </c>
      <c r="N53" cm="1">
        <f t="array" ref="N53">I53*Linterp(J$3,atmos_h,atmos_aspeed)</f>
        <v>770.35050000000001</v>
      </c>
      <c r="O53" s="162">
        <f t="shared" si="9"/>
        <v>10049.081047050016</v>
      </c>
      <c r="Q53">
        <v>0.69</v>
      </c>
      <c r="R53" cm="1">
        <f t="array" ref="R53">numeng*InterpolateXY(R$3,Q53,Tmil_h,Tmil_M,Tmil_table)</f>
        <v>3749.9793686681951</v>
      </c>
      <c r="S53" cm="1">
        <f t="array" ref="S53">1*R$4/(S*Linterp(R$3,atmos_h,atmos_qms)*Q53^2)</f>
        <v>0.10024117433734768</v>
      </c>
      <c r="T53" cm="1">
        <f t="array" ref="T53">InterpolateXY(S53,Q53,CD_CL,CD_M,CD_table)</f>
        <v>1.607904403765054E-2</v>
      </c>
      <c r="U53" cm="1">
        <f t="array" ref="U53">T53*S*Linterp(R$3,atmos_h,atmos_qms)*Q53^2</f>
        <v>1604.0358808585743</v>
      </c>
      <c r="V53" cm="1">
        <f t="array" ref="V53">Q53*Linterp(R$3,atmos_h,atmos_aspeed)</f>
        <v>756.99377419547136</v>
      </c>
      <c r="W53" s="162">
        <f t="shared" si="10"/>
        <v>9746.7951602831909</v>
      </c>
      <c r="Y53">
        <v>0.69</v>
      </c>
      <c r="Z53" cm="1">
        <f t="array" ref="Z53">numeng*InterpolateXY(Z$3,Y53,Tmil_h,Tmil_M,Tmil_table)</f>
        <v>3417.6627334775399</v>
      </c>
      <c r="AA53" cm="1">
        <f t="array" ref="AA53">1*Z$4/(S*Linterp(Z$3,atmos_h,atmos_qms)*Y53^2)</f>
        <v>0.12128110362511212</v>
      </c>
      <c r="AB53" cm="1">
        <f t="array" ref="AB53">InterpolateXY(AA53,Y53,CD_CL,CD_M,CD_table)</f>
        <v>1.6868041385941706E-2</v>
      </c>
      <c r="AC53" cm="1">
        <f t="array" ref="AC53">AB53*S*Linterp(Z$3,atmos_h,atmos_qms)*Y53^2</f>
        <v>1390.8218907771434</v>
      </c>
      <c r="AD53" cm="1">
        <f t="array" ref="AD53">Y53*Linterp(Z$3,atmos_h,atmos_aspeed)</f>
        <v>743.39710484448267</v>
      </c>
      <c r="AE53" s="162">
        <f t="shared" si="11"/>
        <v>9040.4856866641585</v>
      </c>
      <c r="AG53">
        <v>0.69</v>
      </c>
      <c r="AH53" cm="1">
        <f t="array" ref="AH53">numeng*InterpolateXY(AH$3,AG53,Tmil_h,Tmil_M,Tmil_table)</f>
        <v>2998.9224957293295</v>
      </c>
      <c r="AI53" cm="1">
        <f t="array" ref="AI53">1*AH$4/(S*Linterp(AH$3,atmos_h,atmos_qms)*AG53^2)</f>
        <v>0.14779265303549152</v>
      </c>
      <c r="AJ53" cm="1">
        <f t="array" ref="AJ53">InterpolateXY(AI53,AG53,CD_CL,CD_M,CD_table)</f>
        <v>1.7862224488830934E-2</v>
      </c>
      <c r="AK53" cm="1">
        <f t="array" ref="AK53">AJ53*S*Linterp(AH$3,atmos_h,atmos_qms)*AG53^2</f>
        <v>1208.600300621265</v>
      </c>
      <c r="AL53" cm="1">
        <f t="array" ref="AL53">AG53*Linterp(AH$3,atmos_h,atmos_aspeed)</f>
        <v>729.54707648760609</v>
      </c>
      <c r="AM53" s="162">
        <f t="shared" si="12"/>
        <v>7836.7459404717711</v>
      </c>
      <c r="AO53">
        <v>0.69</v>
      </c>
      <c r="AP53" cm="1">
        <f t="array" ref="AP53">numeng*InterpolateXY(AP$3,AO53,Tmil_h,Tmil_M,Tmil_table)</f>
        <v>2612.8798580503521</v>
      </c>
      <c r="AQ53" cm="1">
        <f t="array" ref="AQ53">1*AP$4/(S*Linterp(AP$3,atmos_h,atmos_qms)*AO53^2)</f>
        <v>0.18149665624299902</v>
      </c>
      <c r="AR53" cm="1">
        <f t="array" ref="AR53">InterpolateXY(AQ53,AO53,CD_CL,CD_M,CD_table)</f>
        <v>1.9126124609112463E-2</v>
      </c>
      <c r="AS53" cm="1">
        <f t="array" ref="AS53">AR53*S*Linterp(AP$3,atmos_h,atmos_qms)*AO53^2</f>
        <v>1053.8003842619128</v>
      </c>
      <c r="AT53" cm="1">
        <f t="array" ref="AT53">AO53*Linterp(AP$3,atmos_h,atmos_aspeed)</f>
        <v>715.42897490391556</v>
      </c>
      <c r="AU53" s="162">
        <f t="shared" si="13"/>
        <v>6692.4637783571952</v>
      </c>
      <c r="AW53">
        <v>0.69</v>
      </c>
      <c r="AX53" cm="1">
        <f t="array" ref="AX53">numeng*InterpolateXY(AX$3,AW53,Tmil_h,Tmil_M,Tmil_table)</f>
        <v>2259.3884233478575</v>
      </c>
      <c r="AY53" cm="1">
        <f t="array" ref="AY53">1*AX$4/(S*Linterp(AX$3,atmos_h,atmos_qms)*AW53^2)</f>
        <v>0.22475717454319255</v>
      </c>
      <c r="AZ53" cm="1">
        <f t="array" ref="AZ53">InterpolateXY(AY53,AW53,CD_CL,CD_M,CD_table)</f>
        <v>2.1367323408949535E-2</v>
      </c>
      <c r="BA53" cm="1">
        <f t="array" ref="BA53">AZ53*S*Linterp(AX$3,atmos_h,atmos_qms)*AW53^2</f>
        <v>950.68482029005406</v>
      </c>
      <c r="BB53" cm="1">
        <f t="array" ref="BB53">AW53*Linterp(AX$3,atmos_h,atmos_aspeed)</f>
        <v>701.0266039548867</v>
      </c>
      <c r="BC53" s="162">
        <f t="shared" si="14"/>
        <v>5504.6162546108153</v>
      </c>
      <c r="BE53">
        <v>0.69</v>
      </c>
      <c r="BF53" cm="1">
        <f t="array" ref="BF53">numeng*InterpolateXY(BF$3,BE53,Tmil_h,Tmil_M,Tmil_table)</f>
        <v>1937.9784368306478</v>
      </c>
      <c r="BG53" cm="1">
        <f t="array" ref="BG53">1*BF$4/(S*Linterp(BF$3,atmos_h,atmos_qms)*BE53^2)</f>
        <v>0.28086361011140387</v>
      </c>
      <c r="BH53" cm="1">
        <f t="array" ref="BH53">InterpolateXY(BG53,BE53,CD_CL,CD_M,CD_table)</f>
        <v>2.4873975631962742E-2</v>
      </c>
      <c r="BI53" cm="1">
        <f t="array" ref="BI53">BH53*S*Linterp(BF$3,atmos_h,atmos_qms)*BE53^2</f>
        <v>885.62472091334803</v>
      </c>
      <c r="BJ53" cm="1">
        <f t="array" ref="BJ53">BE53*Linterp(BF$3,atmos_h,atmos_aspeed)</f>
        <v>686.32206781727177</v>
      </c>
      <c r="BK53" s="162">
        <f t="shared" si="15"/>
        <v>4333.5214703013062</v>
      </c>
      <c r="BM53">
        <v>0.69</v>
      </c>
      <c r="BN53" cm="1">
        <f t="array" ref="BN53">numeng*InterpolateXY(BN$3,BM53,Tmil_h,Tmil_M,Tmil_table)</f>
        <v>1647.890311379427</v>
      </c>
      <c r="BO53" cm="1">
        <f t="array" ref="BO53">1*BN$4/(S*Linterp(BN$3,atmos_h,atmos_qms)*BM53^2)</f>
        <v>0.35445661441825066</v>
      </c>
      <c r="BP53" cm="1">
        <f t="array" ref="BP53">InterpolateXY(BO53,BM53,CD_CL,CD_M,CD_table)</f>
        <v>3.0764225093787033E-2</v>
      </c>
      <c r="BQ53" cm="1">
        <f t="array" ref="BQ53">BP53*S*Linterp(BN$3,atmos_h,atmos_qms)*BM53^2</f>
        <v>867.92639331272164</v>
      </c>
      <c r="BR53" cm="1">
        <f t="array" ref="BR53">BM53*Linterp(BN$3,atmos_h,atmos_aspeed)</f>
        <v>671.29551025865669</v>
      </c>
      <c r="BS53" s="162">
        <f t="shared" si="16"/>
        <v>3141.5176581715805</v>
      </c>
      <c r="BU53">
        <v>0.69</v>
      </c>
      <c r="BV53" cm="1">
        <f t="array" ref="BV53">numeng*InterpolateXY(BV$3,BU53,Tmil_h,Tmil_M,Tmil_table)</f>
        <v>1343.1007222283752</v>
      </c>
      <c r="BW53" cm="1">
        <f t="array" ref="BW53">1*BV$4/(S*Linterp(BV$3,atmos_h,atmos_qms)*BU53^2)</f>
        <v>0.45062984675122064</v>
      </c>
      <c r="BX53" cm="1">
        <f t="array" ref="BX53">InterpolateXY(BW53,BU53,CD_CL,CD_M,CD_table)</f>
        <v>4.7396599196995348E-2</v>
      </c>
      <c r="BY53" cm="1">
        <f t="array" ref="BY53">BX53*S*Linterp(BV$3,atmos_h,atmos_qms)*BU53^2</f>
        <v>1051.7856182562539</v>
      </c>
      <c r="BZ53" cm="1">
        <f t="array" ref="BZ53">BU53*Linterp(BV$3,atmos_h,atmos_aspeed)</f>
        <v>667.9893521907893</v>
      </c>
      <c r="CA53" s="162">
        <f t="shared" si="17"/>
        <v>1167.5723255143785</v>
      </c>
    </row>
    <row r="54" spans="1:79">
      <c r="A54" s="120">
        <v>46000</v>
      </c>
      <c r="B54" s="11">
        <v>0.93</v>
      </c>
      <c r="D54" s="120">
        <v>46000</v>
      </c>
      <c r="E54" s="11">
        <v>0.86477889421258736</v>
      </c>
      <c r="I54">
        <v>0.7</v>
      </c>
      <c r="J54" cm="1">
        <f t="array" ref="J54">numeng*InterpolateXY(J$3,I54,Tmil_h,Tmil_M,Tmil_table)</f>
        <v>4080</v>
      </c>
      <c r="K54" cm="1">
        <f t="array" ref="K54">1*J$4/(S*Linterp(J$3,atmos_h,atmos_qms)*I54^2)</f>
        <v>8.1039386404386182E-2</v>
      </c>
      <c r="L54" cm="1">
        <f t="array" ref="L54">InterpolateXY(K54,I54,CD_CL,CD_M,CD_table)</f>
        <v>1.5812992330054829E-2</v>
      </c>
      <c r="M54" cm="1">
        <f t="array" ref="M54">L54*S*Linterp(J$3,atmos_h,atmos_qms)*I54^2</f>
        <v>1951.2724653600001</v>
      </c>
      <c r="N54" cm="1">
        <f t="array" ref="N54">I54*Linterp(J$3,atmos_h,atmos_aspeed)</f>
        <v>781.51499999999999</v>
      </c>
      <c r="O54" s="162">
        <f t="shared" si="9"/>
        <v>9981.7949954050782</v>
      </c>
      <c r="Q54">
        <v>0.7</v>
      </c>
      <c r="R54" cm="1">
        <f t="array" ref="R54">numeng*InterpolateXY(R$3,Q54,Tmil_h,Tmil_M,Tmil_table)</f>
        <v>3756.8727130958941</v>
      </c>
      <c r="S54" cm="1">
        <f t="array" ref="S54">1*R$4/(S*Linterp(R$3,atmos_h,atmos_qms)*Q54^2)</f>
        <v>9.7397598167369842E-2</v>
      </c>
      <c r="T54" cm="1">
        <f t="array" ref="T54">InterpolateXY(S54,Q54,CD_CL,CD_M,CD_table)</f>
        <v>1.6017469977092125E-2</v>
      </c>
      <c r="U54" cm="1">
        <f t="array" ref="U54">T54*S*Linterp(R$3,atmos_h,atmos_qms)*Q54^2</f>
        <v>1644.5446580281587</v>
      </c>
      <c r="V54" cm="1">
        <f t="array" ref="V54">Q54*Linterp(R$3,atmos_h,atmos_aspeed)</f>
        <v>767.96469845917386</v>
      </c>
      <c r="W54" s="162">
        <f t="shared" si="10"/>
        <v>9733.1602671416804</v>
      </c>
      <c r="Y54">
        <v>0.7</v>
      </c>
      <c r="Z54" cm="1">
        <f t="array" ref="Z54">numeng*InterpolateXY(Z$3,Y54,Tmil_h,Tmil_M,Tmil_table)</f>
        <v>3426.5244346015093</v>
      </c>
      <c r="AA54" cm="1">
        <f t="array" ref="AA54">1*Z$4/(S*Linterp(Z$3,atmos_h,atmos_qms)*Y54^2)</f>
        <v>0.11784068048146094</v>
      </c>
      <c r="AB54" cm="1">
        <f t="array" ref="AB54">InterpolateXY(AA54,Y54,CD_CL,CD_M,CD_table)</f>
        <v>1.6719025518054789E-2</v>
      </c>
      <c r="AC54" cm="1">
        <f t="array" ref="AC54">AB54*S*Linterp(Z$3,atmos_h,atmos_qms)*Y54^2</f>
        <v>1418.7821599252457</v>
      </c>
      <c r="AD54" cm="1">
        <f t="array" ref="AD54">Y54*Linterp(Z$3,atmos_h,atmos_aspeed)</f>
        <v>754.17097592918537</v>
      </c>
      <c r="AE54" s="162">
        <f t="shared" si="11"/>
        <v>9085.0857042412827</v>
      </c>
      <c r="AG54">
        <v>0.7</v>
      </c>
      <c r="AH54" cm="1">
        <f t="array" ref="AH54">numeng*InterpolateXY(AH$3,AG54,Tmil_h,Tmil_M,Tmil_table)</f>
        <v>3007.7317519064613</v>
      </c>
      <c r="AI54" cm="1">
        <f t="array" ref="AI54">1*AH$4/(S*Linterp(AH$3,atmos_h,atmos_qms)*AG54^2)</f>
        <v>0.14360016757183164</v>
      </c>
      <c r="AJ54" cm="1">
        <f t="array" ref="AJ54">InterpolateXY(AI54,AG54,CD_CL,CD_M,CD_table)</f>
        <v>1.7685006283943688E-2</v>
      </c>
      <c r="AK54" cm="1">
        <f t="array" ref="AK54">AJ54*S*Linterp(AH$3,atmos_h,atmos_qms)*AG54^2</f>
        <v>1231.5449614706961</v>
      </c>
      <c r="AL54" cm="1">
        <f t="array" ref="AL54">AG54*Linterp(AH$3,atmos_h,atmos_aspeed)</f>
        <v>740.1202225236583</v>
      </c>
      <c r="AM54" s="162">
        <f t="shared" si="12"/>
        <v>7887.5505754854057</v>
      </c>
      <c r="AO54">
        <v>0.7</v>
      </c>
      <c r="AP54" cm="1">
        <f t="array" ref="AP54">numeng*InterpolateXY(AP$3,AO54,Tmil_h,Tmil_M,Tmil_table)</f>
        <v>2621.4047515513321</v>
      </c>
      <c r="AQ54" cm="1">
        <f t="array" ref="AQ54">1*AP$4/(S*Linterp(AP$3,atmos_h,atmos_qms)*AO54^2)</f>
        <v>0.17634807762712618</v>
      </c>
      <c r="AR54" cm="1">
        <f t="array" ref="AR54">InterpolateXY(AQ54,AO54,CD_CL,CD_M,CD_table)</f>
        <v>1.8913052911017234E-2</v>
      </c>
      <c r="AS54" cm="1">
        <f t="array" ref="AS54">AR54*S*Linterp(AP$3,atmos_h,atmos_qms)*AO54^2</f>
        <v>1072.4842122184832</v>
      </c>
      <c r="AT54" cm="1">
        <f t="array" ref="AT54">AO54*Linterp(AP$3,atmos_h,atmos_aspeed)</f>
        <v>725.79751077208823</v>
      </c>
      <c r="AU54" s="162">
        <f t="shared" si="13"/>
        <v>6745.2160309892533</v>
      </c>
      <c r="AW54">
        <v>0.7</v>
      </c>
      <c r="AX54" cm="1">
        <f t="array" ref="AX54">numeng*InterpolateXY(AX$3,AW54,Tmil_h,Tmil_M,Tmil_table)</f>
        <v>2267.454466906021</v>
      </c>
      <c r="AY54" cm="1">
        <f t="array" ref="AY54">1*AX$4/(S*Linterp(AX$3,atmos_h,atmos_qms)*AW54^2)</f>
        <v>0.21838140979594692</v>
      </c>
      <c r="AZ54" cm="1">
        <f t="array" ref="AZ54">InterpolateXY(AY54,AW54,CD_CL,CD_M,CD_table)</f>
        <v>2.0948838112246682E-2</v>
      </c>
      <c r="BA54" cm="1">
        <f t="array" ref="BA54">AZ54*S*Linterp(AX$3,atmos_h,atmos_qms)*AW54^2</f>
        <v>959.27753794707337</v>
      </c>
      <c r="BB54" cm="1">
        <f t="array" ref="BB54">AW54*Linterp(AX$3,atmos_h,atmos_aspeed)</f>
        <v>711.18640980930536</v>
      </c>
      <c r="BC54" s="162">
        <f t="shared" si="14"/>
        <v>5582.1459210100602</v>
      </c>
      <c r="BE54">
        <v>0.7</v>
      </c>
      <c r="BF54" cm="1">
        <f t="array" ref="BF54">numeng*InterpolateXY(BF$3,BE54,Tmil_h,Tmil_M,Tmil_table)</f>
        <v>1945.4609790577931</v>
      </c>
      <c r="BG54" cm="1">
        <f t="array" ref="BG54">1*BF$4/(S*Linterp(BF$3,atmos_h,atmos_qms)*BE54^2)</f>
        <v>0.27289625464089667</v>
      </c>
      <c r="BH54" cm="1">
        <f t="array" ref="BH54">InterpolateXY(BG54,BE54,CD_CL,CD_M,CD_table)</f>
        <v>2.4356015915056043E-2</v>
      </c>
      <c r="BI54" cm="1">
        <f t="array" ref="BI54">BH54*S*Linterp(BF$3,atmos_h,atmos_qms)*BE54^2</f>
        <v>892.50092300116194</v>
      </c>
      <c r="BJ54" cm="1">
        <f t="array" ref="BJ54">BE54*Linterp(BF$3,atmos_h,atmos_aspeed)</f>
        <v>696.26876445230471</v>
      </c>
      <c r="BK54" s="162">
        <f t="shared" si="15"/>
        <v>4398.8591834890804</v>
      </c>
      <c r="BM54">
        <v>0.7</v>
      </c>
      <c r="BN54" cm="1">
        <f t="array" ref="BN54">numeng*InterpolateXY(BN$3,BM54,Tmil_h,Tmil_M,Tmil_table)</f>
        <v>1654.7074582110079</v>
      </c>
      <c r="BO54" cm="1">
        <f t="array" ref="BO54">1*BN$4/(S*Linterp(BN$3,atmos_h,atmos_qms)*BM54^2)</f>
        <v>0.34440162066230434</v>
      </c>
      <c r="BP54" cm="1">
        <f t="array" ref="BP54">InterpolateXY(BO54,BM54,CD_CL,CD_M,CD_table)</f>
        <v>2.9657631678812229E-2</v>
      </c>
      <c r="BQ54" cm="1">
        <f t="array" ref="BQ54">BP54*S*Linterp(BN$3,atmos_h,atmos_qms)*BM54^2</f>
        <v>861.13507891684367</v>
      </c>
      <c r="BR54" cm="1">
        <f t="array" ref="BR54">BM54*Linterp(BN$3,atmos_h,atmos_aspeed)</f>
        <v>681.02443069718788</v>
      </c>
      <c r="BS54" s="162">
        <f t="shared" si="16"/>
        <v>3242.6530669549261</v>
      </c>
      <c r="BU54">
        <v>0.7</v>
      </c>
      <c r="BV54" cm="1">
        <f t="array" ref="BV54">numeng*InterpolateXY(BV$3,BU54,Tmil_h,Tmil_M,Tmil_table)</f>
        <v>1349.0087899214618</v>
      </c>
      <c r="BW54" cm="1">
        <f t="array" ref="BW54">1*BV$4/(S*Linterp(BV$3,atmos_h,atmos_qms)*BU54^2)</f>
        <v>0.43784667354746148</v>
      </c>
      <c r="BX54" cm="1">
        <f t="array" ref="BX54">InterpolateXY(BW54,BU54,CD_CL,CD_M,CD_table)</f>
        <v>4.4807181383039761E-2</v>
      </c>
      <c r="BY54" cm="1">
        <f t="array" ref="BY54">BX54*S*Linterp(BV$3,atmos_h,atmos_qms)*BU54^2</f>
        <v>1023.3532441849824</v>
      </c>
      <c r="BZ54" cm="1">
        <f t="array" ref="BZ54">BU54*Linterp(BV$3,atmos_h,atmos_aspeed)</f>
        <v>677.67035729500367</v>
      </c>
      <c r="CA54" s="162">
        <f t="shared" si="17"/>
        <v>1324.1226602060365</v>
      </c>
    </row>
    <row r="55" spans="1:79">
      <c r="A55" s="120">
        <v>47000</v>
      </c>
      <c r="B55" s="11">
        <v>0.93</v>
      </c>
      <c r="D55" s="120">
        <v>47000</v>
      </c>
      <c r="E55" s="11">
        <v>0.86477889421258736</v>
      </c>
      <c r="I55">
        <v>0.71</v>
      </c>
      <c r="J55" cm="1">
        <f t="array" ref="J55">numeng*InterpolateXY(J$3,I55,Tmil_h,Tmil_M,Tmil_table)</f>
        <v>4084</v>
      </c>
      <c r="K55" cm="1">
        <f t="array" ref="K55">1*J$4/(S*Linterp(J$3,atmos_h,atmos_qms)*I55^2)</f>
        <v>7.8772662841002233E-2</v>
      </c>
      <c r="L55" cm="1">
        <f t="array" ref="L55">InterpolateXY(K55,I55,CD_CL,CD_M,CD_table)</f>
        <v>1.5764658285512531E-2</v>
      </c>
      <c r="M55" cm="1">
        <f t="array" ref="M55">L55*S*Linterp(J$3,atmos_h,atmos_qms)*I55^2</f>
        <v>2001.2854354476403</v>
      </c>
      <c r="N55" cm="1">
        <f t="array" ref="N55">I55*Linterp(J$3,atmos_h,atmos_aspeed)</f>
        <v>792.67949999999996</v>
      </c>
      <c r="O55" s="162">
        <f t="shared" si="9"/>
        <v>9905.5508380324936</v>
      </c>
      <c r="Q55">
        <v>0.71</v>
      </c>
      <c r="R55" cm="1">
        <f t="array" ref="R55">numeng*InterpolateXY(R$3,Q55,Tmil_h,Tmil_M,Tmil_table)</f>
        <v>3763.7660575235932</v>
      </c>
      <c r="S55" cm="1">
        <f t="array" ref="S55">1*R$4/(S*Linterp(R$3,atmos_h,atmos_qms)*Q55^2)</f>
        <v>9.4673324939518397E-2</v>
      </c>
      <c r="T55" cm="1">
        <f t="array" ref="T55">InterpolateXY(S55,Q55,CD_CL,CD_M,CD_table)</f>
        <v>1.5963416561743982E-2</v>
      </c>
      <c r="U55" cm="1">
        <f t="array" ref="U55">T55*S*Linterp(R$3,atmos_h,atmos_qms)*Q55^2</f>
        <v>1686.1578033666965</v>
      </c>
      <c r="V55" cm="1">
        <f t="array" ref="V55">Q55*Linterp(R$3,atmos_h,atmos_aspeed)</f>
        <v>778.93562272287636</v>
      </c>
      <c r="W55" s="162">
        <f t="shared" si="10"/>
        <v>9709.9384753553422</v>
      </c>
      <c r="Y55">
        <v>0.71</v>
      </c>
      <c r="Z55" cm="1">
        <f t="array" ref="Z55">numeng*InterpolateXY(Z$3,Y55,Tmil_h,Tmil_M,Tmil_table)</f>
        <v>3435.3861357254787</v>
      </c>
      <c r="AA55" cm="1">
        <f t="array" ref="AA55">1*Z$4/(S*Linterp(Z$3,atmos_h,atmos_qms)*Y55^2)</f>
        <v>0.11454460114246352</v>
      </c>
      <c r="AB55" cm="1">
        <f t="array" ref="AB55">InterpolateXY(AA55,Y55,CD_CL,CD_M,CD_table)</f>
        <v>1.6575422542842385E-2</v>
      </c>
      <c r="AC55" cm="1">
        <f t="array" ref="AC55">AB55*S*Linterp(Z$3,atmos_h,atmos_qms)*Y55^2</f>
        <v>1447.0714793643476</v>
      </c>
      <c r="AD55" cm="1">
        <f t="array" ref="AD55">Y55*Linterp(Z$3,atmos_h,atmos_aspeed)</f>
        <v>764.94484701388797</v>
      </c>
      <c r="AE55" s="162">
        <f t="shared" si="11"/>
        <v>9125.7063037538192</v>
      </c>
      <c r="AG55">
        <v>0.71</v>
      </c>
      <c r="AH55" cm="1">
        <f t="array" ref="AH55">numeng*InterpolateXY(AH$3,AG55,Tmil_h,Tmil_M,Tmil_table)</f>
        <v>3016.5410080835932</v>
      </c>
      <c r="AI55" cm="1">
        <f t="array" ref="AI55">1*AH$4/(S*Linterp(AH$3,atmos_h,atmos_qms)*AG55^2)</f>
        <v>0.13958357887363121</v>
      </c>
      <c r="AJ55" cm="1">
        <f t="array" ref="AJ55">InterpolateXY(AI55,AG55,CD_CL,CD_M,CD_table)</f>
        <v>1.7514384207761174E-2</v>
      </c>
      <c r="AK55" cm="1">
        <f t="array" ref="AK55">AJ55*S*Linterp(AH$3,atmos_h,atmos_qms)*AG55^2</f>
        <v>1254.7596464493447</v>
      </c>
      <c r="AL55" cm="1">
        <f t="array" ref="AL55">AG55*Linterp(AH$3,atmos_h,atmos_aspeed)</f>
        <v>750.69336855971062</v>
      </c>
      <c r="AM55" s="162">
        <f t="shared" si="12"/>
        <v>7935.3455101855661</v>
      </c>
      <c r="AO55">
        <v>0.71</v>
      </c>
      <c r="AP55" cm="1">
        <f t="array" ref="AP55">numeng*InterpolateXY(AP$3,AO55,Tmil_h,Tmil_M,Tmil_table)</f>
        <v>2629.929645052312</v>
      </c>
      <c r="AQ55" cm="1">
        <f t="array" ref="AQ55">1*AP$4/(S*Linterp(AP$3,atmos_h,atmos_qms)*AO55^2)</f>
        <v>0.1714155089015906</v>
      </c>
      <c r="AR55" cm="1">
        <f t="array" ref="AR55">InterpolateXY(AQ55,AO55,CD_CL,CD_M,CD_table)</f>
        <v>1.8708081583809651E-2</v>
      </c>
      <c r="AS55" cm="1">
        <f t="array" ref="AS55">AR55*S*Linterp(AP$3,atmos_h,atmos_qms)*AO55^2</f>
        <v>1091.3879207131683</v>
      </c>
      <c r="AT55" cm="1">
        <f t="array" ref="AT55">AO55*Linterp(AP$3,atmos_h,atmos_aspeed)</f>
        <v>736.1660466402609</v>
      </c>
      <c r="AU55" s="162">
        <f t="shared" si="13"/>
        <v>6795.7330727870258</v>
      </c>
      <c r="AW55">
        <v>0.71</v>
      </c>
      <c r="AX55" cm="1">
        <f t="array" ref="AX55">numeng*InterpolateXY(AX$3,AW55,Tmil_h,Tmil_M,Tmil_table)</f>
        <v>2275.5205104641846</v>
      </c>
      <c r="AY55" cm="1">
        <f t="array" ref="AY55">1*AX$4/(S*Linterp(AX$3,atmos_h,atmos_qms)*AW55^2)</f>
        <v>0.21227314183696483</v>
      </c>
      <c r="AZ55" cm="1">
        <f t="array" ref="AZ55">InterpolateXY(AY55,AW55,CD_CL,CD_M,CD_table)</f>
        <v>2.0547071364810304E-2</v>
      </c>
      <c r="BA55" cm="1">
        <f t="array" ref="BA55">AZ55*S*Linterp(AX$3,atmos_h,atmos_qms)*AW55^2</f>
        <v>967.95436233715168</v>
      </c>
      <c r="BB55" cm="1">
        <f t="array" ref="BB55">AW55*Linterp(AX$3,atmos_h,atmos_aspeed)</f>
        <v>721.34621566372402</v>
      </c>
      <c r="BC55" s="162">
        <f t="shared" si="14"/>
        <v>5659.2473560885655</v>
      </c>
      <c r="BE55">
        <v>0.71</v>
      </c>
      <c r="BF55" cm="1">
        <f t="array" ref="BF55">numeng*InterpolateXY(BF$3,BE55,Tmil_h,Tmil_M,Tmil_table)</f>
        <v>1952.9435212849385</v>
      </c>
      <c r="BG55" cm="1">
        <f t="array" ref="BG55">1*BF$4/(S*Linterp(BF$3,atmos_h,atmos_qms)*BE55^2)</f>
        <v>0.26526317154143897</v>
      </c>
      <c r="BH55" cm="1">
        <f t="array" ref="BH55">InterpolateXY(BG55,BE55,CD_CL,CD_M,CD_table)</f>
        <v>2.3858948221339937E-2</v>
      </c>
      <c r="BI55" cm="1">
        <f t="array" ref="BI55">BH55*S*Linterp(BF$3,atmos_h,atmos_qms)*BE55^2</f>
        <v>899.44443032540369</v>
      </c>
      <c r="BJ55" cm="1">
        <f t="array" ref="BJ55">BE55*Linterp(BF$3,atmos_h,atmos_aspeed)</f>
        <v>706.21546108733764</v>
      </c>
      <c r="BK55" s="162">
        <f t="shared" si="15"/>
        <v>4463.9840776624742</v>
      </c>
      <c r="BM55">
        <v>0.71</v>
      </c>
      <c r="BN55" cm="1">
        <f t="array" ref="BN55">numeng*InterpolateXY(BN$3,BM55,Tmil_h,Tmil_M,Tmil_table)</f>
        <v>1661.5246050425887</v>
      </c>
      <c r="BO55" cm="1">
        <f t="array" ref="BO55">1*BN$4/(S*Linterp(BN$3,atmos_h,atmos_qms)*BM55^2)</f>
        <v>0.33476848665845887</v>
      </c>
      <c r="BP55" cm="1">
        <f t="array" ref="BP55">InterpolateXY(BO55,BM55,CD_CL,CD_M,CD_table)</f>
        <v>2.8854939540999786E-2</v>
      </c>
      <c r="BQ55" cm="1">
        <f t="array" ref="BQ55">BP55*S*Linterp(BN$3,atmos_h,atmos_qms)*BM55^2</f>
        <v>861.93715032796638</v>
      </c>
      <c r="BR55" cm="1">
        <f t="array" ref="BR55">BM55*Linterp(BN$3,atmos_h,atmos_aspeed)</f>
        <v>690.75335113571919</v>
      </c>
      <c r="BS55" s="162">
        <f t="shared" si="16"/>
        <v>3313.906283221233</v>
      </c>
      <c r="BU55">
        <v>0.71</v>
      </c>
      <c r="BV55" cm="1">
        <f t="array" ref="BV55">numeng*InterpolateXY(BV$3,BU55,Tmil_h,Tmil_M,Tmil_table)</f>
        <v>1354.9168576145485</v>
      </c>
      <c r="BW55" cm="1">
        <f t="array" ref="BW55">1*BV$4/(S*Linterp(BV$3,atmos_h,atmos_qms)*BU55^2)</f>
        <v>0.42559982153988513</v>
      </c>
      <c r="BX55" cm="1">
        <f t="array" ref="BX55">InterpolateXY(BW55,BU55,CD_CL,CD_M,CD_table)</f>
        <v>4.2293564352592058E-2</v>
      </c>
      <c r="BY55" cm="1">
        <f t="array" ref="BY55">BX55*S*Linterp(BV$3,atmos_h,atmos_qms)*BU55^2</f>
        <v>993.74018061303434</v>
      </c>
      <c r="BZ55" cm="1">
        <f t="array" ref="BZ55">BU55*Linterp(BV$3,atmos_h,atmos_aspeed)</f>
        <v>687.35136239921792</v>
      </c>
      <c r="CA55" s="162">
        <f t="shared" si="17"/>
        <v>1489.5316860228781</v>
      </c>
    </row>
    <row r="56" spans="1:79">
      <c r="A56" s="120">
        <v>48000</v>
      </c>
      <c r="B56" s="11">
        <v>0.93</v>
      </c>
      <c r="D56" s="120">
        <v>48000</v>
      </c>
      <c r="E56" s="11">
        <v>0.86477889421258736</v>
      </c>
      <c r="I56">
        <v>0.72</v>
      </c>
      <c r="J56" cm="1">
        <f t="array" ref="J56">numeng*InterpolateXY(J$3,I56,Tmil_h,Tmil_M,Tmil_table)</f>
        <v>4088</v>
      </c>
      <c r="K56" cm="1">
        <f t="array" ref="K56">1*J$4/(S*Linterp(J$3,atmos_h,atmos_qms)*I56^2)</f>
        <v>7.659972866155329E-2</v>
      </c>
      <c r="L56" cm="1">
        <f t="array" ref="L56">InterpolateXY(K56,I56,CD_CL,CD_M,CD_table)</f>
        <v>1.5717496608269415E-2</v>
      </c>
      <c r="M56" cm="1">
        <f t="array" ref="M56">L56*S*Linterp(J$3,atmos_h,atmos_qms)*I56^2</f>
        <v>2051.8997760051197</v>
      </c>
      <c r="N56" cm="1">
        <f t="array" ref="N56">I56*Linterp(J$3,atmos_h,atmos_aspeed)</f>
        <v>803.84400000000005</v>
      </c>
      <c r="O56" s="162">
        <f t="shared" si="9"/>
        <v>9820.2416907416446</v>
      </c>
      <c r="Q56">
        <v>0.72</v>
      </c>
      <c r="R56" cm="1">
        <f t="array" ref="R56">numeng*InterpolateXY(R$3,Q56,Tmil_h,Tmil_M,Tmil_table)</f>
        <v>3770.6594019512918</v>
      </c>
      <c r="S56" cm="1">
        <f t="array" ref="S56">1*R$4/(S*Linterp(R$3,atmos_h,atmos_qms)*Q56^2)</f>
        <v>9.2061772959126584E-2</v>
      </c>
      <c r="T56" cm="1">
        <f t="array" ref="T56">InterpolateXY(S56,Q56,CD_CL,CD_M,CD_table)</f>
        <v>1.5910772161989082E-2</v>
      </c>
      <c r="U56" cm="1">
        <f t="array" ref="U56">T56*S*Linterp(R$3,atmos_h,atmos_qms)*Q56^2</f>
        <v>1728.2713172440333</v>
      </c>
      <c r="V56" cm="1">
        <f t="array" ref="V56">Q56*Linterp(R$3,atmos_h,atmos_aspeed)</f>
        <v>789.90654698657886</v>
      </c>
      <c r="W56" s="162">
        <f t="shared" si="10"/>
        <v>9679.7743175858577</v>
      </c>
      <c r="Y56">
        <v>0.72</v>
      </c>
      <c r="Z56" cm="1">
        <f t="array" ref="Z56">numeng*InterpolateXY(Z$3,Y56,Tmil_h,Tmil_M,Tmil_table)</f>
        <v>3444.247836849448</v>
      </c>
      <c r="AA56" cm="1">
        <f t="array" ref="AA56">1*Z$4/(S*Linterp(Z$3,atmos_h,atmos_qms)*Y56^2)</f>
        <v>0.11138490246125746</v>
      </c>
      <c r="AB56" cm="1">
        <f t="array" ref="AB56">InterpolateXY(AA56,Y56,CD_CL,CD_M,CD_table)</f>
        <v>1.6436933842297153E-2</v>
      </c>
      <c r="AC56" cm="1">
        <f t="array" ref="AC56">AB56*S*Linterp(Z$3,atmos_h,atmos_qms)*Y56^2</f>
        <v>1475.6877708820855</v>
      </c>
      <c r="AD56" cm="1">
        <f t="array" ref="AD56">Y56*Linterp(Z$3,atmos_h,atmos_aspeed)</f>
        <v>775.71871809859067</v>
      </c>
      <c r="AE56" s="162">
        <f t="shared" si="11"/>
        <v>9162.2933452336765</v>
      </c>
      <c r="AG56">
        <v>0.72</v>
      </c>
      <c r="AH56" cm="1">
        <f t="array" ref="AH56">numeng*InterpolateXY(AH$3,AG56,Tmil_h,Tmil_M,Tmil_table)</f>
        <v>3025.350264260725</v>
      </c>
      <c r="AI56" cm="1">
        <f t="array" ref="AI56">1*AH$4/(S*Linterp(AH$3,atmos_h,atmos_qms)*AG56^2)</f>
        <v>0.13573318308294269</v>
      </c>
      <c r="AJ56" cm="1">
        <f t="array" ref="AJ56">InterpolateXY(AI56,AG56,CD_CL,CD_M,CD_table)</f>
        <v>1.7349994365610352E-2</v>
      </c>
      <c r="AK56" cm="1">
        <f t="array" ref="AK56">AJ56*S*Linterp(AH$3,atmos_h,atmos_qms)*AG56^2</f>
        <v>1278.2426501416578</v>
      </c>
      <c r="AL56" cm="1">
        <f t="array" ref="AL56">AG56*Linterp(AH$3,atmos_h,atmos_aspeed)</f>
        <v>761.26651459576283</v>
      </c>
      <c r="AM56" s="162">
        <f t="shared" si="12"/>
        <v>7980.087144144848</v>
      </c>
      <c r="AO56">
        <v>0.72</v>
      </c>
      <c r="AP56" cm="1">
        <f t="array" ref="AP56">numeng*InterpolateXY(AP$3,AO56,Tmil_h,Tmil_M,Tmil_table)</f>
        <v>2638.454538553292</v>
      </c>
      <c r="AQ56" cm="1">
        <f t="array" ref="AQ56">1*AP$4/(S*Linterp(AP$3,atmos_h,atmos_qms)*AO56^2)</f>
        <v>0.16668703325094872</v>
      </c>
      <c r="AR56" cm="1">
        <f t="array" ref="AR56">InterpolateXY(AQ56,AO56,CD_CL,CD_M,CD_table)</f>
        <v>1.8510763746910578E-2</v>
      </c>
      <c r="AS56" cm="1">
        <f t="array" ref="AS56">AR56*S*Linterp(AP$3,atmos_h,atmos_qms)*AO56^2</f>
        <v>1110.510121026779</v>
      </c>
      <c r="AT56" cm="1">
        <f t="array" ref="AT56">AO56*Linterp(AP$3,atmos_h,atmos_aspeed)</f>
        <v>746.53458250843357</v>
      </c>
      <c r="AU56" s="162">
        <f t="shared" si="13"/>
        <v>6843.9800870054823</v>
      </c>
      <c r="AW56">
        <v>0.72</v>
      </c>
      <c r="AX56" cm="1">
        <f t="array" ref="AX56">numeng*InterpolateXY(AX$3,AW56,Tmil_h,Tmil_M,Tmil_table)</f>
        <v>2283.5865540223485</v>
      </c>
      <c r="AY56" cm="1">
        <f t="array" ref="AY56">1*AX$4/(S*Linterp(AX$3,atmos_h,atmos_qms)*AW56^2)</f>
        <v>0.20641761342595288</v>
      </c>
      <c r="AZ56" cm="1">
        <f t="array" ref="AZ56">InterpolateXY(AY56,AW56,CD_CL,CD_M,CD_table)</f>
        <v>2.0161100839122054E-2</v>
      </c>
      <c r="BA56" cm="1">
        <f t="array" ref="BA56">AZ56*S*Linterp(AX$3,atmos_h,atmos_qms)*AW56^2</f>
        <v>976.71417203718147</v>
      </c>
      <c r="BB56" cm="1">
        <f t="array" ref="BB56">AW56*Linterp(AX$3,atmos_h,atmos_aspeed)</f>
        <v>731.50602151814269</v>
      </c>
      <c r="BC56" s="162">
        <f t="shared" si="14"/>
        <v>5735.9101006674473</v>
      </c>
      <c r="BE56">
        <v>0.72</v>
      </c>
      <c r="BF56" cm="1">
        <f t="array" ref="BF56">numeng*InterpolateXY(BF$3,BE56,Tmil_h,Tmil_M,Tmil_table)</f>
        <v>1960.4260635120838</v>
      </c>
      <c r="BG56" cm="1">
        <f t="array" ref="BG56">1*BF$4/(S*Linterp(BF$3,atmos_h,atmos_qms)*BE56^2)</f>
        <v>0.25794591970300801</v>
      </c>
      <c r="BH56" cm="1">
        <f t="array" ref="BH56">InterpolateXY(BG56,BE56,CD_CL,CD_M,CD_table)</f>
        <v>2.3381619981438E-2</v>
      </c>
      <c r="BI56" cm="1">
        <f t="array" ref="BI56">BH56*S*Linterp(BF$3,atmos_h,atmos_qms)*BE56^2</f>
        <v>906.45434548291996</v>
      </c>
      <c r="BJ56" cm="1">
        <f t="array" ref="BJ56">BE56*Linterp(BF$3,atmos_h,atmos_aspeed)</f>
        <v>716.16215772237058</v>
      </c>
      <c r="BK56" s="162">
        <f t="shared" si="15"/>
        <v>4528.88795857272</v>
      </c>
      <c r="BM56">
        <v>0.72</v>
      </c>
      <c r="BN56" cm="1">
        <f t="array" ref="BN56">numeng*InterpolateXY(BN$3,BM56,Tmil_h,Tmil_M,Tmil_table)</f>
        <v>1668.3417518741696</v>
      </c>
      <c r="BO56" cm="1">
        <f t="array" ref="BO56">1*BN$4/(S*Linterp(BN$3,atmos_h,atmos_qms)*BM56^2)</f>
        <v>0.32553393928342805</v>
      </c>
      <c r="BP56" cm="1">
        <f t="array" ref="BP56">InterpolateXY(BO56,BM56,CD_CL,CD_M,CD_table)</f>
        <v>2.8084632566778529E-2</v>
      </c>
      <c r="BQ56" cm="1">
        <f t="array" ref="BQ56">BP56*S*Linterp(BN$3,atmos_h,atmos_qms)*BM56^2</f>
        <v>862.72517786007188</v>
      </c>
      <c r="BR56" cm="1">
        <f t="array" ref="BR56">BM56*Linterp(BN$3,atmos_h,atmos_aspeed)</f>
        <v>700.48227157425049</v>
      </c>
      <c r="BS56" s="162">
        <f t="shared" si="16"/>
        <v>3385.920766699563</v>
      </c>
      <c r="BU56">
        <v>0.72</v>
      </c>
      <c r="BV56" cm="1">
        <f t="array" ref="BV56">numeng*InterpolateXY(BV$3,BU56,Tmil_h,Tmil_M,Tmil_table)</f>
        <v>1360.8249253076351</v>
      </c>
      <c r="BW56" cm="1">
        <f t="array" ref="BW56">1*BV$4/(S*Linterp(BV$3,atmos_h,atmos_qms)*BU56^2)</f>
        <v>0.41385970300589525</v>
      </c>
      <c r="BX56" cm="1">
        <f t="array" ref="BX56">InterpolateXY(BW56,BU56,CD_CL,CD_M,CD_table)</f>
        <v>3.9911151046670208E-2</v>
      </c>
      <c r="BY56" cm="1">
        <f t="array" ref="BY56">BX56*S*Linterp(BV$3,atmos_h,atmos_qms)*BU56^2</f>
        <v>964.36427022955877</v>
      </c>
      <c r="BZ56" cm="1">
        <f t="array" ref="BZ56">BU56*Linterp(BV$3,atmos_h,atmos_aspeed)</f>
        <v>697.03236750343228</v>
      </c>
      <c r="CA56" s="162">
        <f t="shared" si="17"/>
        <v>1658.0754541861995</v>
      </c>
    </row>
    <row r="57" spans="1:79">
      <c r="A57" s="120">
        <v>49000</v>
      </c>
      <c r="B57" s="11">
        <v>0.93</v>
      </c>
      <c r="D57" s="120">
        <v>49000</v>
      </c>
      <c r="E57" s="11">
        <v>0.86477889421258736</v>
      </c>
      <c r="I57">
        <v>0.73</v>
      </c>
      <c r="J57" cm="1">
        <f t="array" ref="J57">numeng*InterpolateXY(J$3,I57,Tmil_h,Tmil_M,Tmil_table)</f>
        <v>4092</v>
      </c>
      <c r="K57" cm="1">
        <f t="array" ref="K57">1*J$4/(S*Linterp(J$3,atmos_h,atmos_qms)*I57^2)</f>
        <v>7.4515480086600167E-2</v>
      </c>
      <c r="L57" cm="1">
        <f t="array" ref="L57">InterpolateXY(K57,I57,CD_CL,CD_M,CD_table)</f>
        <v>1.5671443501082502E-2</v>
      </c>
      <c r="M57" cm="1">
        <f t="array" ref="M57">L57*S*Linterp(J$3,atmos_h,atmos_qms)*I57^2</f>
        <v>2103.11246507028</v>
      </c>
      <c r="N57" cm="1">
        <f t="array" ref="N57">I57*Linterp(J$3,atmos_h,atmos_aspeed)</f>
        <v>815.00850000000003</v>
      </c>
      <c r="O57" s="162">
        <f t="shared" si="9"/>
        <v>9725.761479070612</v>
      </c>
      <c r="Q57">
        <v>0.73</v>
      </c>
      <c r="R57" cm="1">
        <f t="array" ref="R57">numeng*InterpolateXY(R$3,Q57,Tmil_h,Tmil_M,Tmil_table)</f>
        <v>3777.5527463789908</v>
      </c>
      <c r="S57" cm="1">
        <f t="array" ref="S57">1*R$4/(S*Linterp(R$3,atmos_h,atmos_qms)*Q57^2)</f>
        <v>8.95568082229522E-2</v>
      </c>
      <c r="T57" cm="1">
        <f t="array" ref="T57">InterpolateXY(S57,Q57,CD_CL,CD_M,CD_table)</f>
        <v>1.5859460102786903E-2</v>
      </c>
      <c r="U57" cm="1">
        <f t="array" ref="U57">T57*S*Linterp(R$3,atmos_h,atmos_qms)*Q57^2</f>
        <v>1770.8826852454015</v>
      </c>
      <c r="V57" cm="1">
        <f t="array" ref="V57">Q57*Linterp(R$3,atmos_h,atmos_aspeed)</f>
        <v>800.87747125028136</v>
      </c>
      <c r="W57" s="162">
        <f t="shared" si="10"/>
        <v>9642.5810651658994</v>
      </c>
      <c r="Y57">
        <v>0.73</v>
      </c>
      <c r="Z57" cm="1">
        <f t="array" ref="Z57">numeng*InterpolateXY(Z$3,Y57,Tmil_h,Tmil_M,Tmil_table)</f>
        <v>3453.1095379734174</v>
      </c>
      <c r="AA57" cm="1">
        <f t="array" ref="AA57">1*Z$4/(S*Linterp(Z$3,atmos_h,atmos_qms)*Y57^2)</f>
        <v>0.10835416294973892</v>
      </c>
      <c r="AB57" cm="1">
        <f t="array" ref="AB57">InterpolateXY(AA57,Y57,CD_CL,CD_M,CD_table)</f>
        <v>1.6303281110615211E-2</v>
      </c>
      <c r="AC57" cm="1">
        <f t="array" ref="AC57">AB57*S*Linterp(Z$3,atmos_h,atmos_qms)*Y57^2</f>
        <v>1504.6289562660954</v>
      </c>
      <c r="AD57" cm="1">
        <f t="array" ref="AD57">Y57*Linterp(Z$3,atmos_h,atmos_aspeed)</f>
        <v>786.49258918329326</v>
      </c>
      <c r="AE57" s="162">
        <f t="shared" si="11"/>
        <v>9194.7932260821672</v>
      </c>
      <c r="AG57">
        <v>0.73</v>
      </c>
      <c r="AH57" cm="1">
        <f t="array" ref="AH57">numeng*InterpolateXY(AH$3,AG57,Tmil_h,Tmil_M,Tmil_table)</f>
        <v>3034.1595204378573</v>
      </c>
      <c r="AI57" cm="1">
        <f t="array" ref="AI57">1*AH$4/(S*Linterp(AH$3,atmos_h,atmos_qms)*AG57^2)</f>
        <v>0.13203993640494935</v>
      </c>
      <c r="AJ57" cm="1">
        <f t="array" ref="AJ57">InterpolateXY(AI57,AG57,CD_CL,CD_M,CD_table)</f>
        <v>1.71914976151856E-2</v>
      </c>
      <c r="AK57" cm="1">
        <f t="array" ref="AK57">AJ57*S*Linterp(AH$3,atmos_h,atmos_qms)*AG57^2</f>
        <v>1301.9922671320826</v>
      </c>
      <c r="AL57" cm="1">
        <f t="array" ref="AL57">AG57*Linterp(AH$3,atmos_h,atmos_aspeed)</f>
        <v>771.83966063181515</v>
      </c>
      <c r="AM57" s="162">
        <f t="shared" si="12"/>
        <v>8021.7323096944347</v>
      </c>
      <c r="AO57">
        <v>0.73</v>
      </c>
      <c r="AP57" cm="1">
        <f t="array" ref="AP57">numeng*InterpolateXY(AP$3,AO57,Tmil_h,Tmil_M,Tmil_table)</f>
        <v>2646.9794320542719</v>
      </c>
      <c r="AQ57" cm="1">
        <f t="array" ref="AQ57">1*AP$4/(S*Linterp(AP$3,atmos_h,atmos_qms)*AO57^2)</f>
        <v>0.16215154444978763</v>
      </c>
      <c r="AR57" cm="1">
        <f t="array" ref="AR57">InterpolateXY(AQ57,AO57,CD_CL,CD_M,CD_table)</f>
        <v>1.8320682916867035E-2</v>
      </c>
      <c r="AS57" cm="1">
        <f t="array" ref="AS57">AR57*S*Linterp(AP$3,atmos_h,atmos_qms)*AO57^2</f>
        <v>1129.8494244401279</v>
      </c>
      <c r="AT57" cm="1">
        <f t="array" ref="AT57">AO57*Linterp(AP$3,atmos_h,atmos_aspeed)</f>
        <v>756.90311837660636</v>
      </c>
      <c r="AU57" s="162">
        <f t="shared" si="13"/>
        <v>6889.9226024752215</v>
      </c>
      <c r="AW57">
        <v>0.73</v>
      </c>
      <c r="AX57" cm="1">
        <f t="array" ref="AX57">numeng*InterpolateXY(AX$3,AW57,Tmil_h,Tmil_M,Tmil_table)</f>
        <v>2291.6525975805121</v>
      </c>
      <c r="AY57" cm="1">
        <f t="array" ref="AY57">1*AX$4/(S*Linterp(AX$3,atmos_h,atmos_qms)*AW57^2)</f>
        <v>0.20080107112031145</v>
      </c>
      <c r="AZ57" cm="1">
        <f t="array" ref="AZ57">InterpolateXY(AY57,AW57,CD_CL,CD_M,CD_table)</f>
        <v>1.9790066945019464E-2</v>
      </c>
      <c r="BA57" cm="1">
        <f t="array" ref="BA57">AZ57*S*Linterp(AX$3,atmos_h,atmos_qms)*AW57^2</f>
        <v>985.55584562405534</v>
      </c>
      <c r="BB57" cm="1">
        <f t="array" ref="BB57">AW57*Linterp(AX$3,atmos_h,atmos_aspeed)</f>
        <v>741.66582737256135</v>
      </c>
      <c r="BC57" s="162">
        <f t="shared" si="14"/>
        <v>5812.1239690104039</v>
      </c>
      <c r="BE57">
        <v>0.73</v>
      </c>
      <c r="BF57" cm="1">
        <f t="array" ref="BF57">numeng*InterpolateXY(BF$3,BE57,Tmil_h,Tmil_M,Tmil_table)</f>
        <v>1967.9086057392292</v>
      </c>
      <c r="BG57" cm="1">
        <f t="array" ref="BG57">1*BF$4/(S*Linterp(BF$3,atmos_h,atmos_qms)*BE57^2)</f>
        <v>0.25092731239264288</v>
      </c>
      <c r="BH57" cm="1">
        <f t="array" ref="BH57">InterpolateXY(BG57,BE57,CD_CL,CD_M,CD_table)</f>
        <v>2.292295702454018E-2</v>
      </c>
      <c r="BI57" cm="1">
        <f t="array" ref="BI57">BH57*S*Linterp(BF$3,atmos_h,atmos_qms)*BE57^2</f>
        <v>913.52977107055949</v>
      </c>
      <c r="BJ57" cm="1">
        <f t="array" ref="BJ57">BE57*Linterp(BF$3,atmos_h,atmos_aspeed)</f>
        <v>726.10885435740352</v>
      </c>
      <c r="BK57" s="162">
        <f t="shared" si="15"/>
        <v>4593.5628461997721</v>
      </c>
      <c r="BM57">
        <v>0.73</v>
      </c>
      <c r="BN57" cm="1">
        <f t="array" ref="BN57">numeng*InterpolateXY(BN$3,BM57,Tmil_h,Tmil_M,Tmil_table)</f>
        <v>1675.1588987057507</v>
      </c>
      <c r="BO57" cm="1">
        <f t="array" ref="BO57">1*BN$4/(S*Linterp(BN$3,atmos_h,atmos_qms)*BM57^2)</f>
        <v>0.31667628846787227</v>
      </c>
      <c r="BP57" cm="1">
        <f t="array" ref="BP57">InterpolateXY(BO57,BM57,CD_CL,CD_M,CD_table)</f>
        <v>2.7344948438014622E-2</v>
      </c>
      <c r="BQ57" cm="1">
        <f t="array" ref="BQ57">BP57*S*Linterp(BN$3,atmos_h,atmos_qms)*BM57^2</f>
        <v>863.4984504306783</v>
      </c>
      <c r="BR57" cm="1">
        <f t="array" ref="BR57">BM57*Linterp(BN$3,atmos_h,atmos_aspeed)</f>
        <v>710.21119201278168</v>
      </c>
      <c r="BS57" s="162">
        <f t="shared" si="16"/>
        <v>3458.7020068744077</v>
      </c>
      <c r="BU57">
        <v>0.73</v>
      </c>
      <c r="BV57" cm="1">
        <f t="array" ref="BV57">numeng*InterpolateXY(BV$3,BU57,Tmil_h,Tmil_M,Tmil_table)</f>
        <v>1366.732993000722</v>
      </c>
      <c r="BW57" cm="1">
        <f t="array" ref="BW57">1*BV$4/(S*Linterp(BV$3,atmos_h,atmos_qms)*BU57^2)</f>
        <v>0.40259874280025537</v>
      </c>
      <c r="BX57" cm="1">
        <f t="array" ref="BX57">InterpolateXY(BW57,BU57,CD_CL,CD_M,CD_table)</f>
        <v>3.7652602017350371E-2</v>
      </c>
      <c r="BY57" cm="1">
        <f t="array" ref="BY57">BX57*S*Linterp(BV$3,atmos_h,atmos_qms)*BU57^2</f>
        <v>935.23893679994092</v>
      </c>
      <c r="BZ57" cm="1">
        <f t="array" ref="BZ57">BU57*Linterp(BV$3,atmos_h,atmos_aspeed)</f>
        <v>706.71337260764665</v>
      </c>
      <c r="CA57" s="162">
        <f t="shared" si="17"/>
        <v>1829.6557183068444</v>
      </c>
    </row>
    <row r="58" spans="1:79">
      <c r="A58" s="120">
        <v>50000</v>
      </c>
      <c r="B58" s="11">
        <v>0.93</v>
      </c>
      <c r="D58" s="120">
        <v>50000</v>
      </c>
      <c r="E58" s="11">
        <v>0.86477889421258736</v>
      </c>
      <c r="I58">
        <v>0.74</v>
      </c>
      <c r="J58" cm="1">
        <f t="array" ref="J58">numeng*InterpolateXY(J$3,I58,Tmil_h,Tmil_M,Tmil_table)</f>
        <v>4096</v>
      </c>
      <c r="K58" cm="1">
        <f t="array" ref="K58">1*J$4/(S*Linterp(J$3,atmos_h,atmos_qms)*I58^2)</f>
        <v>7.2515155840301729E-2</v>
      </c>
      <c r="L58" cm="1">
        <f t="array" ref="L58">InterpolateXY(K58,I58,CD_CL,CD_M,CD_table)</f>
        <v>1.5626439448003772E-2</v>
      </c>
      <c r="M58" cm="1">
        <f t="array" ref="M58">L58*S*Linterp(J$3,atmos_h,atmos_qms)*I58^2</f>
        <v>2154.9204806809603</v>
      </c>
      <c r="N58" cm="1">
        <f t="array" ref="N58">I58*Linterp(J$3,atmos_h,atmos_aspeed)</f>
        <v>826.173</v>
      </c>
      <c r="O58" s="162">
        <f t="shared" si="9"/>
        <v>9622.0049382862144</v>
      </c>
      <c r="Q58">
        <v>0.74</v>
      </c>
      <c r="R58" cm="1">
        <f t="array" ref="R58">numeng*InterpolateXY(R$3,Q58,Tmil_h,Tmil_M,Tmil_table)</f>
        <v>3784.4460908066899</v>
      </c>
      <c r="S58" cm="1">
        <f t="array" ref="S58">1*R$4/(S*Linterp(R$3,atmos_h,atmos_qms)*Q58^2)</f>
        <v>8.7152708367441961E-2</v>
      </c>
      <c r="T58" cm="1">
        <f t="array" ref="T58">InterpolateXY(S58,Q58,CD_CL,CD_M,CD_table)</f>
        <v>1.5809408854593025E-2</v>
      </c>
      <c r="U58" cm="1">
        <f t="array" ref="U58">T58*S*Linterp(R$3,atmos_h,atmos_qms)*Q58^2</f>
        <v>1813.989392956033</v>
      </c>
      <c r="V58" cm="1">
        <f t="array" ref="V58">Q58*Linterp(R$3,atmos_h,atmos_aspeed)</f>
        <v>811.84839551398386</v>
      </c>
      <c r="W58" s="162">
        <f t="shared" si="10"/>
        <v>9598.272651479032</v>
      </c>
      <c r="Y58">
        <v>0.74</v>
      </c>
      <c r="Z58" cm="1">
        <f t="array" ref="Z58">numeng*InterpolateXY(Z$3,Y58,Tmil_h,Tmil_M,Tmil_table)</f>
        <v>3461.9712390973868</v>
      </c>
      <c r="AA58" cm="1">
        <f t="array" ref="AA58">1*Z$4/(S*Linterp(Z$3,atmos_h,atmos_qms)*Y58^2)</f>
        <v>0.10544545915981714</v>
      </c>
      <c r="AB58" cm="1">
        <f t="array" ref="AB58">InterpolateXY(AA58,Y58,CD_CL,CD_M,CD_table)</f>
        <v>1.6174204718493145E-2</v>
      </c>
      <c r="AC58" cm="1">
        <f t="array" ref="AC58">AB58*S*Linterp(Z$3,atmos_h,atmos_qms)*Y58^2</f>
        <v>1533.8929573040132</v>
      </c>
      <c r="AD58" cm="1">
        <f t="array" ref="AD58">Y58*Linterp(Z$3,atmos_h,atmos_aspeed)</f>
        <v>797.26646026799597</v>
      </c>
      <c r="AE58" s="162">
        <f t="shared" si="11"/>
        <v>9223.1528810700165</v>
      </c>
      <c r="AG58">
        <v>0.74</v>
      </c>
      <c r="AH58" cm="1">
        <f t="array" ref="AH58">numeng*InterpolateXY(AH$3,AG58,Tmil_h,Tmil_M,Tmil_table)</f>
        <v>3042.9687766149891</v>
      </c>
      <c r="AI58" cm="1">
        <f t="array" ref="AI58">1*AH$4/(S*Linterp(AH$3,atmos_h,atmos_qms)*AG58^2)</f>
        <v>0.12849540195434167</v>
      </c>
      <c r="AJ58" cm="1">
        <f t="array" ref="AJ58">InterpolateXY(AI58,AG58,CD_CL,CD_M,CD_table)</f>
        <v>1.7038577573287812E-2</v>
      </c>
      <c r="AK58" cm="1">
        <f t="array" ref="AK58">AJ58*S*Linterp(AH$3,atmos_h,atmos_qms)*AG58^2</f>
        <v>1326.0067920050665</v>
      </c>
      <c r="AL58" cm="1">
        <f t="array" ref="AL58">AG58*Linterp(AH$3,atmos_h,atmos_aspeed)</f>
        <v>782.41280666786736</v>
      </c>
      <c r="AM58" s="162">
        <f t="shared" si="12"/>
        <v>8060.2382719240877</v>
      </c>
      <c r="AO58">
        <v>0.74</v>
      </c>
      <c r="AP58" cm="1">
        <f t="array" ref="AP58">numeng*InterpolateXY(AP$3,AO58,Tmil_h,Tmil_M,Tmil_table)</f>
        <v>2655.5043255552519</v>
      </c>
      <c r="AQ58" cm="1">
        <f t="array" ref="AQ58">1*AP$4/(S*Linterp(AP$3,atmos_h,atmos_qms)*AO58^2)</f>
        <v>0.15779868158745766</v>
      </c>
      <c r="AR58" cm="1">
        <f t="array" ref="AR58">InterpolateXY(AQ58,AO58,CD_CL,CD_M,CD_table)</f>
        <v>1.8137450559529665E-2</v>
      </c>
      <c r="AS58" cm="1">
        <f t="array" ref="AS58">AR58*S*Linterp(AP$3,atmos_h,atmos_qms)*AO58^2</f>
        <v>1149.4044422340273</v>
      </c>
      <c r="AT58" cm="1">
        <f t="array" ref="AT58">AO58*Linterp(AP$3,atmos_h,atmos_aspeed)</f>
        <v>767.27165424477903</v>
      </c>
      <c r="AU58" s="162">
        <f t="shared" si="13"/>
        <v>6933.5264936024678</v>
      </c>
      <c r="AW58">
        <v>0.74</v>
      </c>
      <c r="AX58" cm="1">
        <f t="array" ref="AX58">numeng*InterpolateXY(AX$3,AW58,Tmil_h,Tmil_M,Tmil_table)</f>
        <v>2299.718641138676</v>
      </c>
      <c r="AY58" cm="1">
        <f t="array" ref="AY58">1*AX$4/(S*Linterp(AX$3,atmos_h,atmos_qms)*AW58^2)</f>
        <v>0.19541068444122348</v>
      </c>
      <c r="AZ58" cm="1">
        <f t="array" ref="AZ58">InterpolateXY(AY58,AW58,CD_CL,CD_M,CD_table)</f>
        <v>1.9547900666545881E-2</v>
      </c>
      <c r="BA58" cm="1">
        <f t="array" ref="BA58">AZ58*S*Linterp(AX$3,atmos_h,atmos_qms)*AW58^2</f>
        <v>1000.3496340255432</v>
      </c>
      <c r="BB58" cm="1">
        <f t="array" ref="BB58">AW58*Linterp(AX$3,atmos_h,atmos_aspeed)</f>
        <v>751.82563322698002</v>
      </c>
      <c r="BC58" s="162">
        <f t="shared" si="14"/>
        <v>5861.3935594100594</v>
      </c>
      <c r="BE58">
        <v>0.74</v>
      </c>
      <c r="BF58" cm="1">
        <f t="array" ref="BF58">numeng*InterpolateXY(BF$3,BE58,Tmil_h,Tmil_M,Tmil_table)</f>
        <v>1975.3911479663745</v>
      </c>
      <c r="BG58" cm="1">
        <f t="array" ref="BG58">1*BF$4/(S*Linterp(BF$3,atmos_h,atmos_qms)*BE58^2)</f>
        <v>0.24419131624185422</v>
      </c>
      <c r="BH58" cm="1">
        <f t="array" ref="BH58">InterpolateXY(BG58,BE58,CD_CL,CD_M,CD_table)</f>
        <v>2.2481957265115891E-2</v>
      </c>
      <c r="BI58" cm="1">
        <f t="array" ref="BI58">BH58*S*Linterp(BF$3,atmos_h,atmos_qms)*BE58^2</f>
        <v>920.6698096851693</v>
      </c>
      <c r="BJ58" cm="1">
        <f t="array" ref="BJ58">BE58*Linterp(BF$3,atmos_h,atmos_aspeed)</f>
        <v>736.05555099243645</v>
      </c>
      <c r="BK58" s="162">
        <f t="shared" si="15"/>
        <v>4658.0009747523145</v>
      </c>
      <c r="BM58">
        <v>0.74</v>
      </c>
      <c r="BN58" cm="1">
        <f t="array" ref="BN58">numeng*InterpolateXY(BN$3,BM58,Tmil_h,Tmil_M,Tmil_table)</f>
        <v>1681.9760455373316</v>
      </c>
      <c r="BO58" cm="1">
        <f t="array" ref="BO58">1*BN$4/(S*Linterp(BN$3,atmos_h,atmos_qms)*BM58^2)</f>
        <v>0.30817529971608676</v>
      </c>
      <c r="BP58" cm="1">
        <f t="array" ref="BP58">InterpolateXY(BO58,BM58,CD_CL,CD_M,CD_table)</f>
        <v>2.6634243101932051E-2</v>
      </c>
      <c r="BQ58" cm="1">
        <f t="array" ref="BQ58">BP58*S*Linterp(BN$3,atmos_h,atmos_qms)*BM58^2</f>
        <v>864.25625695730423</v>
      </c>
      <c r="BR58" cm="1">
        <f t="array" ref="BR58">BM58*Linterp(BN$3,atmos_h,atmos_aspeed)</f>
        <v>719.94011245131298</v>
      </c>
      <c r="BS58" s="162">
        <f t="shared" si="16"/>
        <v>3532.255659263813</v>
      </c>
      <c r="BU58">
        <v>0.74</v>
      </c>
      <c r="BV58" cm="1">
        <f t="array" ref="BV58">numeng*InterpolateXY(BV$3,BU58,Tmil_h,Tmil_M,Tmil_table)</f>
        <v>1372.6410606938086</v>
      </c>
      <c r="BW58" cm="1">
        <f t="array" ref="BW58">1*BV$4/(S*Linterp(BV$3,atmos_h,atmos_qms)*BU58^2)</f>
        <v>0.3917912162860776</v>
      </c>
      <c r="BX58" cm="1">
        <f t="array" ref="BX58">InterpolateXY(BW58,BU58,CD_CL,CD_M,CD_table)</f>
        <v>3.5956404908551502E-2</v>
      </c>
      <c r="BY58" cm="1">
        <f t="array" ref="BY58">BX58*S*Linterp(BV$3,atmos_h,atmos_qms)*BU58^2</f>
        <v>917.74402829635937</v>
      </c>
      <c r="BZ58" cm="1">
        <f t="array" ref="BZ58">BU58*Linterp(BV$3,atmos_h,atmos_aspeed)</f>
        <v>716.39437771186101</v>
      </c>
      <c r="CA58" s="162">
        <f t="shared" si="17"/>
        <v>1955.3140586840577</v>
      </c>
    </row>
    <row r="59" spans="1:79">
      <c r="A59" s="120">
        <v>51000</v>
      </c>
      <c r="B59" s="11">
        <v>0.93</v>
      </c>
      <c r="I59">
        <v>0.75</v>
      </c>
      <c r="J59" cm="1">
        <f t="array" ref="J59">numeng*InterpolateXY(J$3,I59,Tmil_h,Tmil_M,Tmil_table)</f>
        <v>4100</v>
      </c>
      <c r="K59" cm="1">
        <f t="array" ref="K59">1*J$4/(S*Linterp(J$3,atmos_h,atmos_qms)*I59^2)</f>
        <v>7.0594309934487509E-2</v>
      </c>
      <c r="L59" cm="1">
        <f t="array" ref="L59">InterpolateXY(K59,I59,CD_CL,CD_M,CD_table)</f>
        <v>1.5582428874181094E-2</v>
      </c>
      <c r="M59" cm="1">
        <f t="array" ref="M59">L59*S*Linterp(J$3,atmos_h,atmos_qms)*I59^2</f>
        <v>2207.3208008750003</v>
      </c>
      <c r="N59" cm="1">
        <f t="array" ref="N59">I59*Linterp(J$3,atmos_h,atmos_aspeed)</f>
        <v>837.33750000000009</v>
      </c>
      <c r="O59" s="162">
        <f t="shared" si="9"/>
        <v>9508.8676133839781</v>
      </c>
      <c r="Q59">
        <v>0.75</v>
      </c>
      <c r="R59" cm="1">
        <f t="array" ref="R59">numeng*InterpolateXY(R$3,Q59,Tmil_h,Tmil_M,Tmil_table)</f>
        <v>3791.3394352343885</v>
      </c>
      <c r="S59" cm="1">
        <f t="array" ref="S59">1*R$4/(S*Linterp(R$3,atmos_h,atmos_qms)*Q59^2)</f>
        <v>8.4844129959131057E-2</v>
      </c>
      <c r="T59" cm="1">
        <f t="array" ref="T59">InterpolateXY(S59,Q59,CD_CL,CD_M,CD_table)</f>
        <v>1.5760551624489139E-2</v>
      </c>
      <c r="U59" cm="1">
        <f t="array" ref="U59">T59*S*Linterp(R$3,atmos_h,atmos_qms)*Q59^2</f>
        <v>1857.5889259611606</v>
      </c>
      <c r="V59" cm="1">
        <f t="array" ref="V59">Q59*Linterp(R$3,atmos_h,atmos_aspeed)</f>
        <v>822.81931977768636</v>
      </c>
      <c r="W59" s="162">
        <f t="shared" si="10"/>
        <v>9546.7636719597122</v>
      </c>
      <c r="Y59">
        <v>0.75</v>
      </c>
      <c r="Z59" cm="1">
        <f t="array" ref="Z59">numeng*InterpolateXY(Z$3,Y59,Tmil_h,Tmil_M,Tmil_table)</f>
        <v>3470.8329402213562</v>
      </c>
      <c r="AA59" cm="1">
        <f t="array" ref="AA59">1*Z$4/(S*Linterp(Z$3,atmos_h,atmos_qms)*Y59^2)</f>
        <v>0.10265232610829486</v>
      </c>
      <c r="AB59" cm="1">
        <f t="array" ref="AB59">InterpolateXY(AA59,Y59,CD_CL,CD_M,CD_table)</f>
        <v>1.6049462229061055E-2</v>
      </c>
      <c r="AC59" cm="1">
        <f t="array" ref="AC59">AB59*S*Linterp(Z$3,atmos_h,atmos_qms)*Y59^2</f>
        <v>1563.4776957834738</v>
      </c>
      <c r="AD59" cm="1">
        <f t="array" ref="AD59">Y59*Linterp(Z$3,atmos_h,atmos_aspeed)</f>
        <v>808.04033135269856</v>
      </c>
      <c r="AE59" s="162">
        <f t="shared" si="11"/>
        <v>9247.3197823373648</v>
      </c>
      <c r="AG59">
        <v>0.75</v>
      </c>
      <c r="AH59" cm="1">
        <f t="array" ref="AH59">numeng*InterpolateXY(AH$3,AG59,Tmil_h,Tmil_M,Tmil_table)</f>
        <v>3051.7780327921209</v>
      </c>
      <c r="AI59" cm="1">
        <f t="array" ref="AI59">1*AH$4/(S*Linterp(AH$3,atmos_h,atmos_qms)*AG59^2)</f>
        <v>0.12509170152923998</v>
      </c>
      <c r="AJ59" cm="1">
        <f t="array" ref="AJ59">InterpolateXY(AI59,AG59,CD_CL,CD_M,CD_table)</f>
        <v>1.6890938807346496E-2</v>
      </c>
      <c r="AK59" cm="1">
        <f t="array" ref="AK59">AJ59*S*Linterp(AH$3,atmos_h,atmos_qms)*AG59^2</f>
        <v>1350.2845193450555</v>
      </c>
      <c r="AL59" cm="1">
        <f t="array" ref="AL59">AG59*Linterp(AH$3,atmos_h,atmos_aspeed)</f>
        <v>792.98595270391968</v>
      </c>
      <c r="AM59" s="162">
        <f t="shared" si="12"/>
        <v>8095.5627286821637</v>
      </c>
      <c r="AO59">
        <v>0.75</v>
      </c>
      <c r="AP59" cm="1">
        <f t="array" ref="AP59">numeng*InterpolateXY(AP$3,AO59,Tmil_h,Tmil_M,Tmil_table)</f>
        <v>2664.0292190562318</v>
      </c>
      <c r="AQ59" cm="1">
        <f t="array" ref="AQ59">1*AP$4/(S*Linterp(AP$3,atmos_h,atmos_qms)*AO59^2)</f>
        <v>0.15361876984407433</v>
      </c>
      <c r="AR59" cm="1">
        <f t="array" ref="AR59">InterpolateXY(AQ59,AO59,CD_CL,CD_M,CD_table)</f>
        <v>1.7960703869152786E-2</v>
      </c>
      <c r="AS59" cm="1">
        <f t="array" ref="AS59">AR59*S*Linterp(AP$3,atmos_h,atmos_qms)*AO59^2</f>
        <v>1169.1737856892883</v>
      </c>
      <c r="AT59" cm="1">
        <f t="array" ref="AT59">AO59*Linterp(AP$3,atmos_h,atmos_aspeed)</f>
        <v>777.6401901129517</v>
      </c>
      <c r="AU59" s="162">
        <f t="shared" si="13"/>
        <v>6974.7579803690924</v>
      </c>
      <c r="AW59">
        <v>0.75</v>
      </c>
      <c r="AX59" cm="1">
        <f t="array" ref="AX59">numeng*InterpolateXY(AX$3,AW59,Tmil_h,Tmil_M,Tmil_table)</f>
        <v>2307.7846846968396</v>
      </c>
      <c r="AY59" cm="1">
        <f t="array" ref="AY59">1*AX$4/(S*Linterp(AX$3,atmos_h,atmos_qms)*AW59^2)</f>
        <v>0.19023447253335818</v>
      </c>
      <c r="AZ59" cm="1">
        <f t="array" ref="AZ59">InterpolateXY(AY59,AW59,CD_CL,CD_M,CD_table)</f>
        <v>1.9333792720000929E-2</v>
      </c>
      <c r="BA59" cm="1">
        <f t="array" ref="BA59">AZ59*S*Linterp(AX$3,atmos_h,atmos_qms)*AW59^2</f>
        <v>1016.3138395755633</v>
      </c>
      <c r="BB59" cm="1">
        <f t="array" ref="BB59">AW59*Linterp(AX$3,atmos_h,atmos_aspeed)</f>
        <v>761.98543908139868</v>
      </c>
      <c r="BC59" s="162">
        <f t="shared" si="14"/>
        <v>5904.4918738833649</v>
      </c>
      <c r="BE59">
        <v>0.75</v>
      </c>
      <c r="BF59" cm="1">
        <f t="array" ref="BF59">numeng*InterpolateXY(BF$3,BE59,Tmil_h,Tmil_M,Tmil_table)</f>
        <v>1982.8736901935199</v>
      </c>
      <c r="BG59" cm="1">
        <f t="array" ref="BG59">1*BF$4/(S*Linterp(BF$3,atmos_h,atmos_qms)*BE59^2)</f>
        <v>0.23772295959829221</v>
      </c>
      <c r="BH59" cm="1">
        <f t="array" ref="BH59">InterpolateXY(BG59,BE59,CD_CL,CD_M,CD_table)</f>
        <v>2.2057684974893264E-2</v>
      </c>
      <c r="BI59" cm="1">
        <f t="array" ref="BI59">BH59*S*Linterp(BF$3,atmos_h,atmos_qms)*BE59^2</f>
        <v>927.87356392359709</v>
      </c>
      <c r="BJ59" cm="1">
        <f t="array" ref="BJ59">BE59*Linterp(BF$3,atmos_h,atmos_aspeed)</f>
        <v>746.00224762746939</v>
      </c>
      <c r="BK59" s="162">
        <f t="shared" si="15"/>
        <v>4722.1947926677594</v>
      </c>
      <c r="BM59">
        <v>0.75</v>
      </c>
      <c r="BN59" cm="1">
        <f t="array" ref="BN59">numeng*InterpolateXY(BN$3,BM59,Tmil_h,Tmil_M,Tmil_table)</f>
        <v>1688.7931923689125</v>
      </c>
      <c r="BO59" cm="1">
        <f t="array" ref="BO59">1*BN$4/(S*Linterp(BN$3,atmos_h,atmos_qms)*BM59^2)</f>
        <v>0.30001207844360733</v>
      </c>
      <c r="BP59" cm="1">
        <f t="array" ref="BP59">InterpolateXY(BO59,BM59,CD_CL,CD_M,CD_table)</f>
        <v>2.5950981373543097E-2</v>
      </c>
      <c r="BQ59" cm="1">
        <f t="array" ref="BQ59">BP59*S*Linterp(BN$3,atmos_h,atmos_qms)*BM59^2</f>
        <v>864.99788635746711</v>
      </c>
      <c r="BR59" cm="1">
        <f t="array" ref="BR59">BM59*Linterp(BN$3,atmos_h,atmos_aspeed)</f>
        <v>729.66903288984417</v>
      </c>
      <c r="BS59" s="162">
        <f t="shared" si="16"/>
        <v>3606.5875454193874</v>
      </c>
      <c r="BU59">
        <v>0.75</v>
      </c>
      <c r="BV59" cm="1">
        <f t="array" ref="BV59">numeng*InterpolateXY(BV$3,BU59,Tmil_h,Tmil_M,Tmil_table)</f>
        <v>1378.5491283868953</v>
      </c>
      <c r="BW59" cm="1">
        <f t="array" ref="BW59">1*BV$4/(S*Linterp(BV$3,atmos_h,atmos_qms)*BU59^2)</f>
        <v>0.38141310229023306</v>
      </c>
      <c r="BX59" cm="1">
        <f t="array" ref="BX59">InterpolateXY(BW59,BU59,CD_CL,CD_M,CD_table)</f>
        <v>3.4465307249640538E-2</v>
      </c>
      <c r="BY59" cm="1">
        <f t="array" ref="BY59">BX59*S*Linterp(BV$3,atmos_h,atmos_qms)*BU59^2</f>
        <v>903.62148134634504</v>
      </c>
      <c r="BZ59" cm="1">
        <f t="array" ref="BZ59">BU59*Linterp(BV$3,atmos_h,atmos_aspeed)</f>
        <v>726.07538281607538</v>
      </c>
      <c r="CA59" s="162">
        <f t="shared" si="17"/>
        <v>2068.9996388094323</v>
      </c>
    </row>
    <row r="60" spans="1:79">
      <c r="A60" s="120">
        <v>52000</v>
      </c>
      <c r="B60" s="11">
        <v>0.93</v>
      </c>
      <c r="I60">
        <v>0.76</v>
      </c>
      <c r="J60" cm="1">
        <f t="array" ref="J60">numeng*InterpolateXY(J$3,I60,Tmil_h,Tmil_M,Tmil_table)</f>
        <v>4104</v>
      </c>
      <c r="K60" cm="1">
        <f t="array" ref="K60">1*J$4/(S*Linterp(J$3,atmos_h,atmos_qms)*I60^2)</f>
        <v>6.8748786942779139E-2</v>
      </c>
      <c r="L60" cm="1">
        <f t="array" ref="L60">InterpolateXY(K60,I60,CD_CL,CD_M,CD_table)</f>
        <v>1.553935983678474E-2</v>
      </c>
      <c r="M60" cm="1">
        <f t="array" ref="M60">L60*S*Linterp(J$3,atmos_h,atmos_qms)*I60^2</f>
        <v>2260.31040369024</v>
      </c>
      <c r="N60" cm="1">
        <f t="array" ref="N60">I60*Linterp(J$3,atmos_h,atmos_aspeed)</f>
        <v>848.50200000000007</v>
      </c>
      <c r="O60" s="162">
        <f t="shared" si="9"/>
        <v>9386.2458590881433</v>
      </c>
      <c r="Q60">
        <v>0.76</v>
      </c>
      <c r="R60" cm="1">
        <f t="array" ref="R60">numeng*InterpolateXY(R$3,Q60,Tmil_h,Tmil_M,Tmil_table)</f>
        <v>3798.2327796620875</v>
      </c>
      <c r="S60" cm="1">
        <f t="array" ref="S60">1*R$4/(S*Linterp(R$3,atmos_h,atmos_qms)*Q60^2)</f>
        <v>8.2626078777720255E-2</v>
      </c>
      <c r="T60" cm="1">
        <f t="array" ref="T60">InterpolateXY(S60,Q60,CD_CL,CD_M,CD_table)</f>
        <v>1.5712825984721502E-2</v>
      </c>
      <c r="U60" cm="1">
        <f t="array" ref="U60">T60*S*Linterp(R$3,atmos_h,atmos_qms)*Q60^2</f>
        <v>1901.6787698460153</v>
      </c>
      <c r="V60" cm="1">
        <f t="array" ref="V60">Q60*Linterp(R$3,atmos_h,atmos_aspeed)</f>
        <v>833.79024404138875</v>
      </c>
      <c r="W60" s="162">
        <f t="shared" si="10"/>
        <v>9487.9693840933032</v>
      </c>
      <c r="Y60">
        <v>0.76</v>
      </c>
      <c r="Z60" cm="1">
        <f t="array" ref="Z60">numeng*InterpolateXY(Z$3,Y60,Tmil_h,Tmil_M,Tmil_table)</f>
        <v>3479.6946413453256</v>
      </c>
      <c r="AA60" cm="1">
        <f t="array" ref="AA60">1*Z$4/(S*Linterp(Z$3,atmos_h,atmos_qms)*Y60^2)</f>
        <v>9.996872132256901E-2</v>
      </c>
      <c r="AB60" cm="1">
        <f t="array" ref="AB60">InterpolateXY(AA60,Y60,CD_CL,CD_M,CD_table)</f>
        <v>1.5929609016532113E-2</v>
      </c>
      <c r="AC60" cm="1">
        <f t="array" ref="AC60">AB60*S*Linterp(Z$3,atmos_h,atmos_qms)*Y60^2</f>
        <v>1593.4593146522354</v>
      </c>
      <c r="AD60" cm="1">
        <f t="array" ref="AD60">Y60*Linterp(Z$3,atmos_h,atmos_aspeed)</f>
        <v>818.81420243740126</v>
      </c>
      <c r="AE60" s="162">
        <f t="shared" si="11"/>
        <v>9266.8576478127234</v>
      </c>
      <c r="AG60">
        <v>0.76</v>
      </c>
      <c r="AH60" cm="1">
        <f t="array" ref="AH60">numeng*InterpolateXY(AH$3,AG60,Tmil_h,Tmil_M,Tmil_table)</f>
        <v>3060.5872889692528</v>
      </c>
      <c r="AI60" cm="1">
        <f t="array" ref="AI60">1*AH$4/(S*Linterp(AH$3,atmos_h,atmos_qms)*AG60^2)</f>
        <v>0.12182147179743333</v>
      </c>
      <c r="AJ60" cm="1">
        <f t="array" ref="AJ60">InterpolateXY(AI60,AG60,CD_CL,CD_M,CD_table)</f>
        <v>1.6748305192403751E-2</v>
      </c>
      <c r="AK60" cm="1">
        <f t="array" ref="AK60">AJ60*S*Linterp(AH$3,atmos_h,atmos_qms)*AG60^2</f>
        <v>1374.823743736498</v>
      </c>
      <c r="AL60" cm="1">
        <f t="array" ref="AL60">AG60*Linterp(AH$3,atmos_h,atmos_aspeed)</f>
        <v>803.559098739972</v>
      </c>
      <c r="AM60" s="162">
        <f t="shared" si="12"/>
        <v>8127.6638105755956</v>
      </c>
      <c r="AO60">
        <v>0.76</v>
      </c>
      <c r="AP60" cm="1">
        <f t="array" ref="AP60">numeng*InterpolateXY(AP$3,AO60,Tmil_h,Tmil_M,Tmil_table)</f>
        <v>2672.5541125572117</v>
      </c>
      <c r="AQ60" cm="1">
        <f t="array" ref="AQ60">1*AP$4/(S*Linterp(AP$3,atmos_h,atmos_qms)*AO60^2)</f>
        <v>0.14960276668506201</v>
      </c>
      <c r="AR60" cm="1">
        <f t="array" ref="AR60">InterpolateXY(AQ60,AO60,CD_CL,CD_M,CD_table)</f>
        <v>1.7790103750689824E-2</v>
      </c>
      <c r="AS60" cm="1">
        <f t="array" ref="AS60">AR60*S*Linterp(AP$3,atmos_h,atmos_qms)*AO60^2</f>
        <v>1189.1560660867233</v>
      </c>
      <c r="AT60" cm="1">
        <f t="array" ref="AT60">AO60*Linterp(AP$3,atmos_h,atmos_aspeed)</f>
        <v>788.00872598112437</v>
      </c>
      <c r="AU60" s="162">
        <f t="shared" si="13"/>
        <v>7013.5836283325907</v>
      </c>
      <c r="AW60">
        <v>0.76</v>
      </c>
      <c r="AX60" cm="1">
        <f t="array" ref="AX60">numeng*InterpolateXY(AX$3,AW60,Tmil_h,Tmil_M,Tmil_table)</f>
        <v>2315.8507282550031</v>
      </c>
      <c r="AY60" cm="1">
        <f t="array" ref="AY60">1*AX$4/(S*Linterp(AX$3,atmos_h,atmos_qms)*AW60^2)</f>
        <v>0.18526123753465021</v>
      </c>
      <c r="AZ60" cm="1">
        <f t="array" ref="AZ60">InterpolateXY(AY60,AW60,CD_CL,CD_M,CD_table)</f>
        <v>1.9127296407549382E-2</v>
      </c>
      <c r="BA60" cm="1">
        <f t="array" ref="BA60">AZ60*S*Linterp(AX$3,atmos_h,atmos_qms)*AW60^2</f>
        <v>1032.4499966687267</v>
      </c>
      <c r="BB60" cm="1">
        <f t="array" ref="BB60">AW60*Linterp(AX$3,atmos_h,atmos_aspeed)</f>
        <v>772.14524493581723</v>
      </c>
      <c r="BC60" s="162">
        <f t="shared" si="14"/>
        <v>5945.8306334489544</v>
      </c>
      <c r="BE60">
        <v>0.76</v>
      </c>
      <c r="BF60" cm="1">
        <f t="array" ref="BF60">numeng*InterpolateXY(BF$3,BE60,Tmil_h,Tmil_M,Tmil_table)</f>
        <v>1990.3562324206653</v>
      </c>
      <c r="BG60" cm="1">
        <f t="array" ref="BG60">1*BF$4/(S*Linterp(BF$3,atmos_h,atmos_qms)*BE60^2)</f>
        <v>0.23150824926253352</v>
      </c>
      <c r="BH60" cm="1">
        <f t="array" ref="BH60">InterpolateXY(BG60,BE60,CD_CL,CD_M,CD_table)</f>
        <v>2.1649265578908342E-2</v>
      </c>
      <c r="BI60" cm="1">
        <f t="array" ref="BI60">BH60*S*Linterp(BF$3,atmos_h,atmos_qms)*BE60^2</f>
        <v>935.14013638269012</v>
      </c>
      <c r="BJ60" cm="1">
        <f t="array" ref="BJ60">BE60*Linterp(BF$3,atmos_h,atmos_aspeed)</f>
        <v>755.94894426250232</v>
      </c>
      <c r="BK60" s="162">
        <f t="shared" si="15"/>
        <v>4786.1369626122396</v>
      </c>
      <c r="BM60">
        <v>0.76</v>
      </c>
      <c r="BN60" cm="1">
        <f t="array" ref="BN60">numeng*InterpolateXY(BN$3,BM60,Tmil_h,Tmil_M,Tmil_table)</f>
        <v>1695.6103392004934</v>
      </c>
      <c r="BO60" cm="1">
        <f t="array" ref="BO60">1*BN$4/(S*Linterp(BN$3,atmos_h,atmos_qms)*BM60^2)</f>
        <v>0.29216896489703792</v>
      </c>
      <c r="BP60" cm="1">
        <f t="array" ref="BP60">InterpolateXY(BO60,BM60,CD_CL,CD_M,CD_table)</f>
        <v>2.5440560306064869E-2</v>
      </c>
      <c r="BQ60" cm="1">
        <f t="array" ref="BQ60">BP60*S*Linterp(BN$3,atmos_h,atmos_qms)*BM60^2</f>
        <v>870.74820951740287</v>
      </c>
      <c r="BR60" cm="1">
        <f t="array" ref="BR60">BM60*Linterp(BN$3,atmos_h,atmos_aspeed)</f>
        <v>739.39795332837548</v>
      </c>
      <c r="BS60" s="162">
        <f t="shared" si="16"/>
        <v>3659.4082227945728</v>
      </c>
      <c r="BU60">
        <v>0.76</v>
      </c>
      <c r="BV60" cm="1">
        <f t="array" ref="BV60">numeng*InterpolateXY(BV$3,BU60,Tmil_h,Tmil_M,Tmil_table)</f>
        <v>1384.4571960799819</v>
      </c>
      <c r="BW60" cm="1">
        <f t="array" ref="BW60">1*BV$4/(S*Linterp(BV$3,atmos_h,atmos_qms)*BU60^2)</f>
        <v>0.37144194951221621</v>
      </c>
      <c r="BX60" cm="1">
        <f t="array" ref="BX60">InterpolateXY(BW60,BU60,CD_CL,CD_M,CD_table)</f>
        <v>3.3031896343356647E-2</v>
      </c>
      <c r="BY60" cm="1">
        <f t="array" ref="BY60">BX60*S*Linterp(BV$3,atmos_h,atmos_qms)*BU60^2</f>
        <v>889.28825585625657</v>
      </c>
      <c r="BZ60" cm="1">
        <f t="array" ref="BZ60">BU60*Linterp(BV$3,atmos_h,atmos_aspeed)</f>
        <v>735.75638792028974</v>
      </c>
      <c r="CA60" s="162">
        <f t="shared" si="17"/>
        <v>2185.942265215956</v>
      </c>
    </row>
    <row r="61" spans="1:79">
      <c r="A61" s="120">
        <v>53000</v>
      </c>
      <c r="B61" s="11">
        <v>0.93</v>
      </c>
      <c r="I61">
        <v>0.77</v>
      </c>
      <c r="J61" cm="1">
        <f t="array" ref="J61">numeng*InterpolateXY(J$3,I61,Tmil_h,Tmil_M,Tmil_table)</f>
        <v>4108</v>
      </c>
      <c r="K61" cm="1">
        <f t="array" ref="K61">1*J$4/(S*Linterp(J$3,atmos_h,atmos_qms)*I61^2)</f>
        <v>6.6974699507757182E-2</v>
      </c>
      <c r="L61" cm="1">
        <f t="array" ref="L61">InterpolateXY(K61,I61,CD_CL,CD_M,CD_table)</f>
        <v>1.5497183743846966E-2</v>
      </c>
      <c r="M61" cm="1">
        <f t="array" ref="M61">L61*S*Linterp(J$3,atmos_h,atmos_qms)*I61^2</f>
        <v>2313.8862671645202</v>
      </c>
      <c r="N61" cm="1">
        <f t="array" ref="N61">I61*Linterp(J$3,atmos_h,atmos_aspeed)</f>
        <v>859.66650000000004</v>
      </c>
      <c r="O61" s="162">
        <f t="shared" si="9"/>
        <v>9254.036839851673</v>
      </c>
      <c r="Q61">
        <v>0.77</v>
      </c>
      <c r="R61" cm="1">
        <f t="array" ref="R61">numeng*InterpolateXY(R$3,Q61,Tmil_h,Tmil_M,Tmil_table)</f>
        <v>3805.1261240897866</v>
      </c>
      <c r="S61" cm="1">
        <f t="array" ref="S61">1*R$4/(S*Linterp(R$3,atmos_h,atmos_qms)*Q61^2)</f>
        <v>8.0493882782950277E-2</v>
      </c>
      <c r="T61" cm="1">
        <f t="array" ref="T61">InterpolateXY(S61,Q61,CD_CL,CD_M,CD_table)</f>
        <v>1.566617353478688E-2</v>
      </c>
      <c r="U61" cm="1">
        <f t="array" ref="U61">T61*S*Linterp(R$3,atmos_h,atmos_qms)*Q61^2</f>
        <v>1946.2564101958308</v>
      </c>
      <c r="V61" cm="1">
        <f t="array" ref="V61">Q61*Linterp(R$3,atmos_h,atmos_aspeed)</f>
        <v>844.76116830509125</v>
      </c>
      <c r="W61" s="162">
        <f t="shared" si="10"/>
        <v>9421.8057074160533</v>
      </c>
      <c r="Y61">
        <v>0.77</v>
      </c>
      <c r="Z61" cm="1">
        <f t="array" ref="Z61">numeng*InterpolateXY(Z$3,Y61,Tmil_h,Tmil_M,Tmil_table)</f>
        <v>3488.556342469295</v>
      </c>
      <c r="AA61" cm="1">
        <f t="array" ref="AA61">1*Z$4/(S*Linterp(Z$3,atmos_h,atmos_qms)*Y61^2)</f>
        <v>9.7388992133438795E-2</v>
      </c>
      <c r="AB61" cm="1">
        <f t="array" ref="AB61">InterpolateXY(AA61,Y61,CD_CL,CD_M,CD_table)</f>
        <v>1.5877362401667986E-2</v>
      </c>
      <c r="AC61" cm="1">
        <f t="array" ref="AC61">AB61*S*Linterp(Z$3,atmos_h,atmos_qms)*Y61^2</f>
        <v>1630.3035952886146</v>
      </c>
      <c r="AD61" cm="1">
        <f t="array" ref="AD61">Y61*Linterp(Z$3,atmos_h,atmos_aspeed)</f>
        <v>829.58807352210397</v>
      </c>
      <c r="AE61" s="162">
        <f t="shared" si="11"/>
        <v>9249.5058999046687</v>
      </c>
      <c r="AG61">
        <v>0.77</v>
      </c>
      <c r="AH61" cm="1">
        <f t="array" ref="AH61">numeng*InterpolateXY(AH$3,AG61,Tmil_h,Tmil_M,Tmil_table)</f>
        <v>3069.3965451463846</v>
      </c>
      <c r="AI61" cm="1">
        <f t="array" ref="AI61">1*AH$4/(S*Linterp(AH$3,atmos_h,atmos_qms)*AG61^2)</f>
        <v>0.11867782443953027</v>
      </c>
      <c r="AJ61" cm="1">
        <f t="array" ref="AJ61">InterpolateXY(AI61,AG61,CD_CL,CD_M,CD_table)</f>
        <v>1.6610418416482385E-2</v>
      </c>
      <c r="AK61" cm="1">
        <f t="array" ref="AK61">AJ61*S*Linterp(AH$3,atmos_h,atmos_qms)*AG61^2</f>
        <v>1399.6227597638401</v>
      </c>
      <c r="AL61" cm="1">
        <f t="array" ref="AL61">AG61*Linterp(AH$3,atmos_h,atmos_aspeed)</f>
        <v>814.13224477602421</v>
      </c>
      <c r="AM61" s="162">
        <f t="shared" si="12"/>
        <v>8156.5000809699013</v>
      </c>
      <c r="AO61">
        <v>0.77</v>
      </c>
      <c r="AP61" cm="1">
        <f t="array" ref="AP61">numeng*InterpolateXY(AP$3,AO61,Tmil_h,Tmil_M,Tmil_table)</f>
        <v>2681.0790060581917</v>
      </c>
      <c r="AQ61" cm="1">
        <f t="array" ref="AQ61">1*AP$4/(S*Linterp(AP$3,atmos_h,atmos_qms)*AO61^2)</f>
        <v>0.1457422129149803</v>
      </c>
      <c r="AR61" cm="1">
        <f t="array" ref="AR61">InterpolateXY(AQ61,AO61,CD_CL,CD_M,CD_table)</f>
        <v>1.7625332984311761E-2</v>
      </c>
      <c r="AS61" cm="1">
        <f t="array" ref="AS61">AR61*S*Linterp(AP$3,atmos_h,atmos_qms)*AO61^2</f>
        <v>1209.3498947071444</v>
      </c>
      <c r="AT61" cm="1">
        <f t="array" ref="AT61">AO61*Linterp(AP$3,atmos_h,atmos_aspeed)</f>
        <v>798.37726184929704</v>
      </c>
      <c r="AU61" s="162">
        <f t="shared" si="13"/>
        <v>7049.9703486260905</v>
      </c>
      <c r="AW61">
        <v>0.77</v>
      </c>
      <c r="AX61" cm="1">
        <f t="array" ref="AX61">numeng*InterpolateXY(AX$3,AW61,Tmil_h,Tmil_M,Tmil_table)</f>
        <v>2323.9167718131671</v>
      </c>
      <c r="AY61" cm="1">
        <f t="array" ref="AY61">1*AX$4/(S*Linterp(AX$3,atmos_h,atmos_qms)*AW61^2)</f>
        <v>0.18048050396359244</v>
      </c>
      <c r="AZ61" cm="1">
        <f t="array" ref="AZ61">InterpolateXY(AY61,AW61,CD_CL,CD_M,CD_table)</f>
        <v>1.8928018898634717E-2</v>
      </c>
      <c r="BA61" cm="1">
        <f t="array" ref="BA61">AZ61*S*Linterp(AX$3,atmos_h,atmos_qms)*AW61^2</f>
        <v>1048.7569838819256</v>
      </c>
      <c r="BB61" cm="1">
        <f t="array" ref="BB61">AW61*Linterp(AX$3,atmos_h,atmos_aspeed)</f>
        <v>782.3050507902359</v>
      </c>
      <c r="BC61" s="162">
        <f t="shared" si="14"/>
        <v>5985.3836559792971</v>
      </c>
      <c r="BE61">
        <v>0.77</v>
      </c>
      <c r="BF61" cm="1">
        <f t="array" ref="BF61">numeng*InterpolateXY(BF$3,BE61,Tmil_h,Tmil_M,Tmil_table)</f>
        <v>1997.8387746478106</v>
      </c>
      <c r="BG61" cm="1">
        <f t="array" ref="BG61">1*BF$4/(S*Linterp(BF$3,atmos_h,atmos_qms)*BE61^2)</f>
        <v>0.2255340947445427</v>
      </c>
      <c r="BH61" cm="1">
        <f t="array" ref="BH61">InterpolateXY(BG61,BE61,CD_CL,CD_M,CD_table)</f>
        <v>2.1255880921533916E-2</v>
      </c>
      <c r="BI61" cm="1">
        <f t="array" ref="BI61">BH61*S*Linterp(BF$3,atmos_h,atmos_qms)*BE61^2</f>
        <v>942.46862965929677</v>
      </c>
      <c r="BJ61" cm="1">
        <f t="array" ref="BJ61">BE61*Linterp(BF$3,atmos_h,atmos_aspeed)</f>
        <v>765.89564089753526</v>
      </c>
      <c r="BK61" s="162">
        <f t="shared" si="15"/>
        <v>4849.8203614806143</v>
      </c>
      <c r="BM61">
        <v>0.77</v>
      </c>
      <c r="BN61" cm="1">
        <f t="array" ref="BN61">numeng*InterpolateXY(BN$3,BM61,Tmil_h,Tmil_M,Tmil_table)</f>
        <v>1702.4274860320743</v>
      </c>
      <c r="BO61" cm="1">
        <f t="array" ref="BO61">1*BN$4/(S*Linterp(BN$3,atmos_h,atmos_qms)*BM61^2)</f>
        <v>0.28462943856388789</v>
      </c>
      <c r="BP61" cm="1">
        <f t="array" ref="BP61">InterpolateXY(BO61,BM61,CD_CL,CD_M,CD_table)</f>
        <v>2.4949339910242993E-2</v>
      </c>
      <c r="BQ61" cm="1">
        <f t="array" ref="BQ61">BP61*S*Linterp(BN$3,atmos_h,atmos_qms)*BM61^2</f>
        <v>876.55514609192016</v>
      </c>
      <c r="BR61" cm="1">
        <f t="array" ref="BR61">BM61*Linterp(BN$3,atmos_h,atmos_aspeed)</f>
        <v>749.12687376690678</v>
      </c>
      <c r="BS61" s="162">
        <f t="shared" si="16"/>
        <v>3712.0989848995669</v>
      </c>
      <c r="BU61">
        <v>0.77</v>
      </c>
      <c r="BV61" cm="1">
        <f t="array" ref="BV61">numeng*InterpolateXY(BV$3,BU61,Tmil_h,Tmil_M,Tmil_table)</f>
        <v>1390.3652637730686</v>
      </c>
      <c r="BW61" cm="1">
        <f t="array" ref="BW61">1*BV$4/(S*Linterp(BV$3,atmos_h,atmos_qms)*BU61^2)</f>
        <v>0.36185675499790199</v>
      </c>
      <c r="BX61" cm="1">
        <f t="array" ref="BX61">InterpolateXY(BW61,BU61,CD_CL,CD_M,CD_table)</f>
        <v>3.165319502095261E-2</v>
      </c>
      <c r="BY61" cm="1">
        <f t="array" ref="BY61">BX61*S*Linterp(BV$3,atmos_h,atmos_qms)*BU61^2</f>
        <v>874.74379250253685</v>
      </c>
      <c r="BZ61" cm="1">
        <f t="array" ref="BZ61">BU61*Linterp(BV$3,atmos_h,atmos_aspeed)</f>
        <v>745.43739302450399</v>
      </c>
      <c r="CA61" s="162">
        <f t="shared" si="17"/>
        <v>2306.1811519881862</v>
      </c>
    </row>
    <row r="62" spans="1:79">
      <c r="A62" s="120">
        <v>54000</v>
      </c>
      <c r="B62" s="11">
        <v>0.93</v>
      </c>
      <c r="I62">
        <v>0.78</v>
      </c>
      <c r="J62" cm="1">
        <f t="array" ref="J62">numeng*InterpolateXY(J$3,I62,Tmil_h,Tmil_M,Tmil_table)</f>
        <v>4112</v>
      </c>
      <c r="K62" cm="1">
        <f t="array" ref="K62">1*J$4/(S*Linterp(J$3,atmos_h,atmos_qms)*I62^2)</f>
        <v>6.5268407853631208E-2</v>
      </c>
      <c r="L62" cm="1">
        <f t="array" ref="L62">InterpolateXY(K62,I62,CD_CL,CD_M,CD_table)</f>
        <v>1.5455855098170389E-2</v>
      </c>
      <c r="M62" cm="1">
        <f t="array" ref="M62">L62*S*Linterp(J$3,atmos_h,atmos_qms)*I62^2</f>
        <v>2368.0453693356799</v>
      </c>
      <c r="N62" cm="1">
        <f t="array" ref="N62">I62*Linterp(J$3,atmos_h,atmos_aspeed)</f>
        <v>870.83100000000002</v>
      </c>
      <c r="O62" s="162">
        <f t="shared" si="9"/>
        <v>9112.1385298562436</v>
      </c>
      <c r="Q62">
        <v>0.78</v>
      </c>
      <c r="R62" cm="1">
        <f t="array" ref="R62">numeng*InterpolateXY(R$3,Q62,Tmil_h,Tmil_M,Tmil_table)</f>
        <v>3812.0194685174856</v>
      </c>
      <c r="S62" cm="1">
        <f t="array" ref="S62">1*R$4/(S*Linterp(R$3,atmos_h,atmos_qms)*Q62^2)</f>
        <v>7.8443167491800164E-2</v>
      </c>
      <c r="T62" cm="1">
        <f t="array" ref="T62">InterpolateXY(S62,Q62,CD_CL,CD_M,CD_table)</f>
        <v>1.5620539593647502E-2</v>
      </c>
      <c r="U62" cm="1">
        <f t="array" ref="U62">T62*S*Linterp(R$3,atmos_h,atmos_qms)*Q62^2</f>
        <v>1991.3193325958377</v>
      </c>
      <c r="V62" cm="1">
        <f t="array" ref="V62">Q62*Linterp(R$3,atmos_h,atmos_aspeed)</f>
        <v>855.73209256879375</v>
      </c>
      <c r="W62" s="162">
        <f t="shared" si="10"/>
        <v>9348.1892235151136</v>
      </c>
      <c r="Y62">
        <v>0.78</v>
      </c>
      <c r="Z62" cm="1">
        <f t="array" ref="Z62">numeng*InterpolateXY(Z$3,Y62,Tmil_h,Tmil_M,Tmil_table)</f>
        <v>3497.4180435932644</v>
      </c>
      <c r="AA62" cm="1">
        <f t="array" ref="AA62">1*Z$4/(S*Linterp(Z$3,atmos_h,atmos_qms)*Y62^2)</f>
        <v>9.4907845884148356E-2</v>
      </c>
      <c r="AB62" cm="1">
        <f t="array" ref="AB62">InterpolateXY(AA62,Y62,CD_CL,CD_M,CD_table)</f>
        <v>1.5826348073551856E-2</v>
      </c>
      <c r="AC62" cm="1">
        <f t="array" ref="AC62">AB62*S*Linterp(Z$3,atmos_h,atmos_qms)*Y62^2</f>
        <v>1667.5489709112867</v>
      </c>
      <c r="AD62" cm="1">
        <f t="array" ref="AD62">Y62*Linterp(Z$3,atmos_h,atmos_aspeed)</f>
        <v>840.36194460680656</v>
      </c>
      <c r="AE62" s="162">
        <f t="shared" si="11"/>
        <v>9226.5139937692838</v>
      </c>
      <c r="AG62">
        <v>0.78</v>
      </c>
      <c r="AH62" cm="1">
        <f t="array" ref="AH62">numeng*InterpolateXY(AH$3,AG62,Tmil_h,Tmil_M,Tmil_table)</f>
        <v>3078.2058013235169</v>
      </c>
      <c r="AI62" cm="1">
        <f t="array" ref="AI62">1*AH$4/(S*Linterp(AH$3,atmos_h,atmos_qms)*AG62^2)</f>
        <v>0.11565430984582098</v>
      </c>
      <c r="AJ62" cm="1">
        <f t="array" ref="AJ62">InterpolateXY(AI62,AG62,CD_CL,CD_M,CD_table)</f>
        <v>1.6477036619218288E-2</v>
      </c>
      <c r="AK62" cm="1">
        <f t="array" ref="AK62">AJ62*S*Linterp(AH$3,atmos_h,atmos_qms)*AG62^2</f>
        <v>1424.6798620115294</v>
      </c>
      <c r="AL62" cm="1">
        <f t="array" ref="AL62">AG62*Linterp(AH$3,atmos_h,atmos_aspeed)</f>
        <v>824.70539081207653</v>
      </c>
      <c r="AM62" s="162">
        <f t="shared" si="12"/>
        <v>8182.0305359891918</v>
      </c>
      <c r="AO62">
        <v>0.78</v>
      </c>
      <c r="AP62" cm="1">
        <f t="array" ref="AP62">numeng*InterpolateXY(AP$3,AO62,Tmil_h,Tmil_M,Tmil_table)</f>
        <v>2689.6038995591716</v>
      </c>
      <c r="AQ62" cm="1">
        <f t="array" ref="AQ62">1*AP$4/(S*Linterp(AP$3,atmos_h,atmos_qms)*AO62^2)</f>
        <v>0.1420291880954829</v>
      </c>
      <c r="AR62" cm="1">
        <f t="array" ref="AR62">InterpolateXY(AQ62,AO62,CD_CL,CD_M,CD_table)</f>
        <v>1.746609455358061E-2</v>
      </c>
      <c r="AS62" cm="1">
        <f t="array" ref="AS62">AR62*S*Linterp(AP$3,atmos_h,atmos_qms)*AO62^2</f>
        <v>1229.7538828313629</v>
      </c>
      <c r="AT62" cm="1">
        <f t="array" ref="AT62">AO62*Linterp(AP$3,atmos_h,atmos_aspeed)</f>
        <v>808.74579771746983</v>
      </c>
      <c r="AU62" s="162">
        <f t="shared" si="13"/>
        <v>7083.8853979583591</v>
      </c>
      <c r="AW62">
        <v>0.78</v>
      </c>
      <c r="AX62" cm="1">
        <f t="array" ref="AX62">numeng*InterpolateXY(AX$3,AW62,Tmil_h,Tmil_M,Tmil_table)</f>
        <v>2331.9828153713306</v>
      </c>
      <c r="AY62" cm="1">
        <f t="array" ref="AY62">1*AX$4/(S*Linterp(AX$3,atmos_h,atmos_qms)*AW62^2)</f>
        <v>0.17588246351087106</v>
      </c>
      <c r="AZ62" cm="1">
        <f t="array" ref="AZ62">InterpolateXY(AY62,AW62,CD_CL,CD_M,CD_table)</f>
        <v>1.8735592381657666E-2</v>
      </c>
      <c r="BA62" cm="1">
        <f t="array" ref="BA62">AZ62*S*Linterp(AX$3,atmos_h,atmos_qms)*AW62^2</f>
        <v>1065.233679792053</v>
      </c>
      <c r="BB62" cm="1">
        <f t="array" ref="BB62">AW62*Linterp(AX$3,atmos_h,atmos_aspeed)</f>
        <v>792.46485664465456</v>
      </c>
      <c r="BC62" s="162">
        <f t="shared" si="14"/>
        <v>6023.125032789434</v>
      </c>
      <c r="BE62">
        <v>0.78</v>
      </c>
      <c r="BF62" cm="1">
        <f t="array" ref="BF62">numeng*InterpolateXY(BF$3,BE62,Tmil_h,Tmil_M,Tmil_table)</f>
        <v>2005.321316874956</v>
      </c>
      <c r="BG62" cm="1">
        <f t="array" ref="BG62">1*BF$4/(S*Linterp(BF$3,atmos_h,atmos_qms)*BE62^2)</f>
        <v>0.21978823927356897</v>
      </c>
      <c r="BH62" cm="1">
        <f t="array" ref="BH62">InterpolateXY(BG62,BE62,CD_CL,CD_M,CD_table)</f>
        <v>2.0876764954598063E-2</v>
      </c>
      <c r="BI62" cm="1">
        <f t="array" ref="BI62">BH62*S*Linterp(BF$3,atmos_h,atmos_qms)*BE62^2</f>
        <v>949.85814635026463</v>
      </c>
      <c r="BJ62" cm="1">
        <f t="array" ref="BJ62">BE62*Linterp(BF$3,atmos_h,atmos_aspeed)</f>
        <v>775.84233753256819</v>
      </c>
      <c r="BK62" s="162">
        <f t="shared" si="15"/>
        <v>4913.2380803964725</v>
      </c>
      <c r="BM62">
        <v>0.78</v>
      </c>
      <c r="BN62" cm="1">
        <f t="array" ref="BN62">numeng*InterpolateXY(BN$3,BM62,Tmil_h,Tmil_M,Tmil_table)</f>
        <v>1709.2446328636554</v>
      </c>
      <c r="BO62" cm="1">
        <f t="array" ref="BO62">1*BN$4/(S*Linterp(BN$3,atmos_h,atmos_qms)*BM62^2)</f>
        <v>0.2773780311054061</v>
      </c>
      <c r="BP62" cm="1">
        <f t="array" ref="BP62">InterpolateXY(BO62,BM62,CD_CL,CD_M,CD_table)</f>
        <v>2.4476126944087882E-2</v>
      </c>
      <c r="BQ62" cm="1">
        <f t="array" ref="BQ62">BP62*S*Linterp(BN$3,atmos_h,atmos_qms)*BM62^2</f>
        <v>882.41043627520503</v>
      </c>
      <c r="BR62" cm="1">
        <f t="array" ref="BR62">BM62*Linterp(BN$3,atmos_h,atmos_aspeed)</f>
        <v>758.85579420543797</v>
      </c>
      <c r="BS62" s="162">
        <f t="shared" si="16"/>
        <v>3764.6875255700625</v>
      </c>
      <c r="BU62">
        <v>0.78</v>
      </c>
      <c r="BV62" cm="1">
        <f t="array" ref="BV62">numeng*InterpolateXY(BV$3,BU62,Tmil_h,Tmil_M,Tmil_table)</f>
        <v>1396.2733314661555</v>
      </c>
      <c r="BW62" cm="1">
        <f t="array" ref="BW62">1*BV$4/(S*Linterp(BV$3,atmos_h,atmos_qms)*BU62^2)</f>
        <v>0.3526378534488101</v>
      </c>
      <c r="BX62" cm="1">
        <f t="array" ref="BX62">InterpolateXY(BW62,BU62,CD_CL,CD_M,CD_table)</f>
        <v>3.0326415726368836E-2</v>
      </c>
      <c r="BY62" cm="1">
        <f t="array" ref="BY62">BX62*S*Linterp(BV$3,atmos_h,atmos_qms)*BU62^2</f>
        <v>859.98753196162761</v>
      </c>
      <c r="BZ62" cm="1">
        <f t="array" ref="BZ62">BU62*Linterp(BV$3,atmos_h,atmos_aspeed)</f>
        <v>755.11839812871835</v>
      </c>
      <c r="CA62" s="162">
        <f t="shared" si="17"/>
        <v>2429.7556431662283</v>
      </c>
    </row>
    <row r="63" spans="1:79">
      <c r="A63" s="120">
        <v>55000</v>
      </c>
      <c r="B63" s="11">
        <v>0.93</v>
      </c>
      <c r="I63">
        <v>0.79</v>
      </c>
      <c r="J63" cm="1">
        <f t="array" ref="J63">numeng*InterpolateXY(J$3,I63,Tmil_h,Tmil_M,Tmil_table)</f>
        <v>4116</v>
      </c>
      <c r="K63" cm="1">
        <f t="array" ref="K63">1*J$4/(S*Linterp(J$3,atmos_h,atmos_qms)*I63^2)</f>
        <v>6.3626501102626534E-2</v>
      </c>
      <c r="L63" cm="1">
        <f t="array" ref="L63">InterpolateXY(K63,I63,CD_CL,CD_M,CD_table)</f>
        <v>1.5415331263782832E-2</v>
      </c>
      <c r="M63" cm="1">
        <f t="array" ref="M63">L63*S*Linterp(J$3,atmos_h,atmos_qms)*I63^2</f>
        <v>2422.7846882415606</v>
      </c>
      <c r="N63" cm="1">
        <f t="array" ref="N63">I63*Linterp(J$3,atmos_h,atmos_aspeed)</f>
        <v>881.99550000000011</v>
      </c>
      <c r="O63" s="162">
        <f t="shared" si="9"/>
        <v>8960.4497130122454</v>
      </c>
      <c r="Q63">
        <v>0.79</v>
      </c>
      <c r="R63" cm="1">
        <f t="array" ref="R63">numeng*InterpolateXY(R$3,Q63,Tmil_h,Tmil_M,Tmil_table)</f>
        <v>3818.9128129451842</v>
      </c>
      <c r="S63" cm="1">
        <f t="array" ref="S63">1*R$4/(S*Linterp(R$3,atmos_h,atmos_qms)*Q63^2)</f>
        <v>7.6469833523491765E-2</v>
      </c>
      <c r="T63" cm="1">
        <f t="array" ref="T63">InterpolateXY(S63,Q63,CD_CL,CD_M,CD_table)</f>
        <v>1.5575872919043646E-2</v>
      </c>
      <c r="U63" cm="1">
        <f t="array" ref="U63">T63*S*Linterp(R$3,atmos_h,atmos_qms)*Q63^2</f>
        <v>2036.8650226312693</v>
      </c>
      <c r="V63" cm="1">
        <f t="array" ref="V63">Q63*Linterp(R$3,atmos_h,atmos_aspeed)</f>
        <v>866.70301683249625</v>
      </c>
      <c r="W63" s="162">
        <f t="shared" si="10"/>
        <v>9267.0371760285234</v>
      </c>
      <c r="Y63">
        <v>0.79</v>
      </c>
      <c r="Z63" cm="1">
        <f t="array" ref="Z63">numeng*InterpolateXY(Z$3,Y63,Tmil_h,Tmil_M,Tmil_table)</f>
        <v>3506.2797447172338</v>
      </c>
      <c r="AA63" cm="1">
        <f t="array" ref="AA63">1*Z$4/(S*Linterp(Z$3,atmos_h,atmos_qms)*Y63^2)</f>
        <v>9.2520322762242993E-2</v>
      </c>
      <c r="AB63" cm="1">
        <f t="array" ref="AB63">InterpolateXY(AA63,Y63,CD_CL,CD_M,CD_table)</f>
        <v>1.5776504034528037E-2</v>
      </c>
      <c r="AC63" cm="1">
        <f t="array" ref="AC63">AB63*S*Linterp(Z$3,atmos_h,atmos_qms)*Y63^2</f>
        <v>1705.1933633078868</v>
      </c>
      <c r="AD63" cm="1">
        <f t="array" ref="AD63">Y63*Linterp(Z$3,atmos_h,atmos_aspeed)</f>
        <v>851.13581569150926</v>
      </c>
      <c r="AE63" s="162">
        <f t="shared" si="11"/>
        <v>9197.8147582302809</v>
      </c>
      <c r="AG63">
        <v>0.79</v>
      </c>
      <c r="AH63" cm="1">
        <f t="array" ref="AH63">numeng*InterpolateXY(AH$3,AG63,Tmil_h,Tmil_M,Tmil_table)</f>
        <v>3087.0150575006487</v>
      </c>
      <c r="AI63" cm="1">
        <f t="array" ref="AI63">1*AH$4/(S*Linterp(AH$3,atmos_h,atmos_qms)*AG63^2)</f>
        <v>0.11274488400928935</v>
      </c>
      <c r="AJ63" cm="1">
        <f t="array" ref="AJ63">InterpolateXY(AI63,AG63,CD_CL,CD_M,CD_table)</f>
        <v>1.634793315034835E-2</v>
      </c>
      <c r="AK63" cm="1">
        <f t="array" ref="AK63">AJ63*S*Linterp(AH$3,atmos_h,atmos_qms)*AG63^2</f>
        <v>1449.9933450640121</v>
      </c>
      <c r="AL63" cm="1">
        <f t="array" ref="AL63">AG63*Linterp(AH$3,atmos_h,atmos_aspeed)</f>
        <v>835.27853684812874</v>
      </c>
      <c r="AM63" s="162">
        <f t="shared" si="12"/>
        <v>8204.2146045161517</v>
      </c>
      <c r="AO63">
        <v>0.79</v>
      </c>
      <c r="AP63" cm="1">
        <f t="array" ref="AP63">numeng*InterpolateXY(AP$3,AO63,Tmil_h,Tmil_M,Tmil_table)</f>
        <v>2698.1287930601516</v>
      </c>
      <c r="AQ63" cm="1">
        <f t="array" ref="AQ63">1*AP$4/(S*Linterp(AP$3,atmos_h,atmos_qms)*AO63^2)</f>
        <v>0.13845626988830606</v>
      </c>
      <c r="AR63" cm="1">
        <f t="array" ref="AR63">InterpolateXY(AQ63,AO63,CD_CL,CD_M,CD_table)</f>
        <v>1.7312110120811474E-2</v>
      </c>
      <c r="AS63" cm="1">
        <f t="array" ref="AS63">AR63*S*Linterp(AP$3,atmos_h,atmos_qms)*AO63^2</f>
        <v>1250.3666417401907</v>
      </c>
      <c r="AT63" cm="1">
        <f t="array" ref="AT63">AO63*Linterp(AP$3,atmos_h,atmos_aspeed)</f>
        <v>819.1143335856425</v>
      </c>
      <c r="AU63" s="162">
        <f t="shared" si="13"/>
        <v>7115.2963786137952</v>
      </c>
      <c r="AW63">
        <v>0.79</v>
      </c>
      <c r="AX63" cm="1">
        <f t="array" ref="AX63">numeng*InterpolateXY(AX$3,AW63,Tmil_h,Tmil_M,Tmil_table)</f>
        <v>2340.0488589294946</v>
      </c>
      <c r="AY63" cm="1">
        <f t="array" ref="AY63">1*AX$4/(S*Linterp(AX$3,atmos_h,atmos_qms)*AW63^2)</f>
        <v>0.17145792469157817</v>
      </c>
      <c r="AZ63" cm="1">
        <f t="array" ref="AZ63">InterpolateXY(AY63,AW63,CD_CL,CD_M,CD_table)</f>
        <v>1.854967217593418E-2</v>
      </c>
      <c r="BA63" cm="1">
        <f t="array" ref="BA63">AZ63*S*Linterp(AX$3,atmos_h,atmos_qms)*AW63^2</f>
        <v>1081.8789629760006</v>
      </c>
      <c r="BB63" cm="1">
        <f t="array" ref="BB63">AW63*Linterp(AX$3,atmos_h,atmos_aspeed)</f>
        <v>802.62466249907322</v>
      </c>
      <c r="BC63" s="162">
        <f t="shared" si="14"/>
        <v>6059.0291286370029</v>
      </c>
      <c r="BE63">
        <v>0.79</v>
      </c>
      <c r="BF63" cm="1">
        <f t="array" ref="BF63">numeng*InterpolateXY(BF$3,BE63,Tmil_h,Tmil_M,Tmil_table)</f>
        <v>2012.8038591021013</v>
      </c>
      <c r="BG63" cm="1">
        <f t="array" ref="BG63">1*BF$4/(S*Linterp(BF$3,atmos_h,atmos_qms)*BE63^2)</f>
        <v>0.21425919688197301</v>
      </c>
      <c r="BH63" cm="1">
        <f t="array" ref="BH63">InterpolateXY(BG63,BE63,CD_CL,CD_M,CD_table)</f>
        <v>2.0511199805123309E-2</v>
      </c>
      <c r="BI63" cm="1">
        <f t="array" ref="BI63">BH63*S*Linterp(BF$3,atmos_h,atmos_qms)*BE63^2</f>
        <v>957.3077890524404</v>
      </c>
      <c r="BJ63" cm="1">
        <f t="array" ref="BJ63">BE63*Linterp(BF$3,atmos_h,atmos_aspeed)</f>
        <v>785.78903416760113</v>
      </c>
      <c r="BK63" s="162">
        <f t="shared" si="15"/>
        <v>4976.3834247121304</v>
      </c>
      <c r="BM63">
        <v>0.79</v>
      </c>
      <c r="BN63" cm="1">
        <f t="array" ref="BN63">numeng*InterpolateXY(BN$3,BM63,Tmil_h,Tmil_M,Tmil_table)</f>
        <v>1716.0617796952363</v>
      </c>
      <c r="BO63" cm="1">
        <f t="array" ref="BO63">1*BN$4/(S*Linterp(BN$3,atmos_h,atmos_qms)*BM63^2)</f>
        <v>0.27040024695486153</v>
      </c>
      <c r="BP63" cm="1">
        <f t="array" ref="BP63">InterpolateXY(BO63,BM63,CD_CL,CD_M,CD_table)</f>
        <v>2.4020015434678844E-2</v>
      </c>
      <c r="BQ63" cm="1">
        <f t="array" ref="BQ63">BP63*S*Linterp(BN$3,atmos_h,atmos_qms)*BM63^2</f>
        <v>888.31336898477593</v>
      </c>
      <c r="BR63" cm="1">
        <f t="array" ref="BR63">BM63*Linterp(BN$3,atmos_h,atmos_aspeed)</f>
        <v>768.58471464396928</v>
      </c>
      <c r="BS63" s="162">
        <f t="shared" si="16"/>
        <v>3817.1686562573896</v>
      </c>
      <c r="BU63">
        <v>0.79</v>
      </c>
      <c r="BV63" cm="1">
        <f t="array" ref="BV63">numeng*InterpolateXY(BV$3,BU63,Tmil_h,Tmil_M,Tmil_table)</f>
        <v>1402.1813991592421</v>
      </c>
      <c r="BW63" cm="1">
        <f t="array" ref="BW63">1*BV$4/(S*Linterp(BV$3,atmos_h,atmos_qms)*BU63^2)</f>
        <v>0.34376681627664801</v>
      </c>
      <c r="BX63" cm="1">
        <f t="array" ref="BX63">InterpolateXY(BW63,BU63,CD_CL,CD_M,CD_table)</f>
        <v>2.9426053822477649E-2</v>
      </c>
      <c r="BY63" cm="1">
        <f t="array" ref="BY63">BX63*S*Linterp(BV$3,atmos_h,atmos_qms)*BU63^2</f>
        <v>855.98878161634093</v>
      </c>
      <c r="BZ63" cm="1">
        <f t="array" ref="BZ63">BU63*Linterp(BV$3,atmos_h,atmos_aspeed)</f>
        <v>764.79940323293272</v>
      </c>
      <c r="CA63" s="162">
        <f t="shared" si="17"/>
        <v>2506.3667276822657</v>
      </c>
    </row>
    <row r="64" spans="1:79">
      <c r="A64" s="120">
        <v>56000</v>
      </c>
      <c r="B64" s="11">
        <v>0.93</v>
      </c>
      <c r="I64">
        <v>0.8</v>
      </c>
      <c r="J64" cm="1">
        <f t="array" ref="J64">numeng*InterpolateXY(J$3,I64,Tmil_h,Tmil_M,Tmil_table)</f>
        <v>4120</v>
      </c>
      <c r="K64" cm="1">
        <f t="array" ref="K64">1*J$4/(S*Linterp(J$3,atmos_h,atmos_qms)*I64^2)</f>
        <v>6.2045780215858146E-2</v>
      </c>
      <c r="L64" cm="1">
        <f t="array" ref="L64">InterpolateXY(K64,I64,CD_CL,CD_M,CD_table)</f>
        <v>1.5375572252698226E-2</v>
      </c>
      <c r="M64" cm="1">
        <f t="array" ref="M64">L64*S*Linterp(J$3,atmos_h,atmos_qms)*I64^2</f>
        <v>2478.1012019200007</v>
      </c>
      <c r="N64" cm="1">
        <f t="array" ref="N64">I64*Linterp(J$3,atmos_h,atmos_aspeed)</f>
        <v>893.16000000000008</v>
      </c>
      <c r="O64" s="162">
        <f t="shared" si="9"/>
        <v>8798.8699829587931</v>
      </c>
      <c r="Q64">
        <v>0.8</v>
      </c>
      <c r="R64" cm="1">
        <f t="array" ref="R64">numeng*InterpolateXY(R$3,Q64,Tmil_h,Tmil_M,Tmil_table)</f>
        <v>3825.8061573728833</v>
      </c>
      <c r="S64" cm="1">
        <f t="array" ref="S64">1*R$4/(S*Linterp(R$3,atmos_h,atmos_qms)*Q64^2)</f>
        <v>7.4570036096892514E-2</v>
      </c>
      <c r="T64" cm="1">
        <f t="array" ref="T64">InterpolateXY(S64,Q64,CD_CL,CD_M,CD_table)</f>
        <v>1.5532125451211156E-2</v>
      </c>
      <c r="U64" cm="1">
        <f t="array" ref="U64">T64*S*Linterp(R$3,atmos_h,atmos_qms)*Q64^2</f>
        <v>2082.8909658873577</v>
      </c>
      <c r="V64" cm="1">
        <f t="array" ref="V64">Q64*Linterp(R$3,atmos_h,atmos_aspeed)</f>
        <v>877.67394109619875</v>
      </c>
      <c r="W64" s="162">
        <f t="shared" si="10"/>
        <v>9178.2674706452217</v>
      </c>
      <c r="Y64">
        <v>0.8</v>
      </c>
      <c r="Z64" cm="1">
        <f t="array" ref="Z64">numeng*InterpolateXY(Z$3,Y64,Tmil_h,Tmil_M,Tmil_table)</f>
        <v>3515.1414458412032</v>
      </c>
      <c r="AA64" cm="1">
        <f t="array" ref="AA64">1*Z$4/(S*Linterp(Z$3,atmos_h,atmos_qms)*Y64^2)</f>
        <v>9.0221770993618514E-2</v>
      </c>
      <c r="AB64" cm="1">
        <f t="array" ref="AB64">InterpolateXY(AA64,Y64,CD_CL,CD_M,CD_table)</f>
        <v>1.5727772137420232E-2</v>
      </c>
      <c r="AC64" cm="1">
        <f t="array" ref="AC64">AB64*S*Linterp(Z$3,atmos_h,atmos_qms)*Y64^2</f>
        <v>1743.2346942660517</v>
      </c>
      <c r="AD64" cm="1">
        <f t="array" ref="AD64">Y64*Linterp(Z$3,atmos_h,atmos_aspeed)</f>
        <v>861.90968677621186</v>
      </c>
      <c r="AE64" s="162">
        <f t="shared" si="11"/>
        <v>9163.341559480763</v>
      </c>
      <c r="AG64">
        <v>0.8</v>
      </c>
      <c r="AH64" cm="1">
        <f t="array" ref="AH64">numeng*InterpolateXY(AH$3,AG64,Tmil_h,Tmil_M,Tmil_table)</f>
        <v>3095.8243136777805</v>
      </c>
      <c r="AI64" cm="1">
        <f t="array" ref="AI64">1*AH$4/(S*Linterp(AH$3,atmos_h,atmos_qms)*AG64^2)</f>
        <v>0.10994387829718356</v>
      </c>
      <c r="AJ64" cm="1">
        <f t="array" ref="AJ64">InterpolateXY(AI64,AG64,CD_CL,CD_M,CD_table)</f>
        <v>1.6222895436144382E-2</v>
      </c>
      <c r="AK64" cm="1">
        <f t="array" ref="AK64">AJ64*S*Linterp(AH$3,atmos_h,atmos_qms)*AG64^2</f>
        <v>1475.5615035057363</v>
      </c>
      <c r="AL64" cm="1">
        <f t="array" ref="AL64">AG64*Linterp(AH$3,atmos_h,atmos_aspeed)</f>
        <v>845.85168288418106</v>
      </c>
      <c r="AM64" s="162">
        <f t="shared" si="12"/>
        <v>8223.0121481920578</v>
      </c>
      <c r="AO64">
        <v>0.8</v>
      </c>
      <c r="AP64" cm="1">
        <f t="array" ref="AP64">numeng*InterpolateXY(AP$3,AO64,Tmil_h,Tmil_M,Tmil_table)</f>
        <v>2706.6536865611315</v>
      </c>
      <c r="AQ64" cm="1">
        <f t="array" ref="AQ64">1*AP$4/(S*Linterp(AP$3,atmos_h,atmos_qms)*AO64^2)</f>
        <v>0.13501649693326845</v>
      </c>
      <c r="AR64" cm="1">
        <f t="array" ref="AR64">InterpolateXY(AQ64,AO64,CD_CL,CD_M,CD_table)</f>
        <v>1.7163118634997566E-2</v>
      </c>
      <c r="AS64" cm="1">
        <f t="array" ref="AS64">AR64*S*Linterp(AP$3,atmos_h,atmos_qms)*AO64^2</f>
        <v>1271.1867827144408</v>
      </c>
      <c r="AT64" cm="1">
        <f t="array" ref="AT64">AO64*Linterp(AP$3,atmos_h,atmos_aspeed)</f>
        <v>829.48286945381517</v>
      </c>
      <c r="AU64" s="162">
        <f t="shared" si="13"/>
        <v>7144.1712384524208</v>
      </c>
      <c r="AW64">
        <v>0.8</v>
      </c>
      <c r="AX64" cm="1">
        <f t="array" ref="AX64">numeng*InterpolateXY(AX$3,AW64,Tmil_h,Tmil_M,Tmil_table)</f>
        <v>2348.1149024876581</v>
      </c>
      <c r="AY64" cm="1">
        <f t="array" ref="AY64">1*AX$4/(S*Linterp(AX$3,atmos_h,atmos_qms)*AW64^2)</f>
        <v>0.16719826687502179</v>
      </c>
      <c r="AZ64" cm="1">
        <f t="array" ref="AZ64">InterpolateXY(AY64,AW64,CD_CL,CD_M,CD_table)</f>
        <v>1.8369935007813316E-2</v>
      </c>
      <c r="BA64" cm="1">
        <f t="array" ref="BA64">AZ64*S*Linterp(AX$3,atmos_h,atmos_qms)*AW64^2</f>
        <v>1098.6917120106616</v>
      </c>
      <c r="BB64" cm="1">
        <f t="array" ref="BB64">AW64*Linterp(AX$3,atmos_h,atmos_aspeed)</f>
        <v>812.78446835349189</v>
      </c>
      <c r="BC64" s="162">
        <f t="shared" si="14"/>
        <v>6093.0705817222151</v>
      </c>
      <c r="BE64">
        <v>0.8</v>
      </c>
      <c r="BF64" cm="1">
        <f t="array" ref="BF64">numeng*InterpolateXY(BF$3,BE64,Tmil_h,Tmil_M,Tmil_table)</f>
        <v>2020.2864013292467</v>
      </c>
      <c r="BG64" cm="1">
        <f t="array" ref="BG64">1*BF$4/(S*Linterp(BF$3,atmos_h,atmos_qms)*BE64^2)</f>
        <v>0.20893619495943644</v>
      </c>
      <c r="BH64" cm="1">
        <f t="array" ref="BH64">InterpolateXY(BG64,BE64,CD_CL,CD_M,CD_table)</f>
        <v>2.0158512184964776E-2</v>
      </c>
      <c r="BI64" cm="1">
        <f t="array" ref="BI64">BH64*S*Linterp(BF$3,atmos_h,atmos_qms)*BE64^2</f>
        <v>964.81666036267256</v>
      </c>
      <c r="BJ64" cm="1">
        <f t="array" ref="BJ64">BE64*Linterp(BF$3,atmos_h,atmos_aspeed)</f>
        <v>795.73573080263407</v>
      </c>
      <c r="BK64" s="162">
        <f t="shared" si="15"/>
        <v>5039.2499140086229</v>
      </c>
      <c r="BM64">
        <v>0.8</v>
      </c>
      <c r="BN64" cm="1">
        <f t="array" ref="BN64">numeng*InterpolateXY(BN$3,BM64,Tmil_h,Tmil_M,Tmil_table)</f>
        <v>1722.8789265268172</v>
      </c>
      <c r="BO64" cm="1">
        <f t="array" ref="BO64">1*BN$4/(S*Linterp(BN$3,atmos_h,atmos_qms)*BM64^2)</f>
        <v>0.26368249081957668</v>
      </c>
      <c r="BP64" cm="1">
        <f t="array" ref="BP64">InterpolateXY(BO64,BM64,CD_CL,CD_M,CD_table)</f>
        <v>2.3580155676223541E-2</v>
      </c>
      <c r="BQ64" cm="1">
        <f t="array" ref="BQ64">BP64*S*Linterp(BN$3,atmos_h,atmos_qms)*BM64^2</f>
        <v>894.26323313815089</v>
      </c>
      <c r="BR64" cm="1">
        <f t="array" ref="BR64">BM64*Linterp(BN$3,atmos_h,atmos_aspeed)</f>
        <v>778.31363508250058</v>
      </c>
      <c r="BS64" s="162">
        <f t="shared" si="16"/>
        <v>3869.5373544464373</v>
      </c>
      <c r="BU64">
        <v>0.8</v>
      </c>
      <c r="BV64" cm="1">
        <f t="array" ref="BV64">numeng*InterpolateXY(BV$3,BU64,Tmil_h,Tmil_M,Tmil_table)</f>
        <v>1408.0894668523288</v>
      </c>
      <c r="BW64" cm="1">
        <f t="array" ref="BW64">1*BV$4/(S*Linterp(BV$3,atmos_h,atmos_qms)*BU64^2)</f>
        <v>0.33522635943477508</v>
      </c>
      <c r="BX64" cm="1">
        <f t="array" ref="BX64">InterpolateXY(BW64,BU64,CD_CL,CD_M,CD_table)</f>
        <v>2.8712141704075475E-2</v>
      </c>
      <c r="BY64" cm="1">
        <f t="array" ref="BY64">BX64*S*Linterp(BV$3,atmos_h,atmos_qms)*BU64^2</f>
        <v>856.50011987383687</v>
      </c>
      <c r="BZ64" cm="1">
        <f t="array" ref="BZ64">BU64*Linterp(BV$3,atmos_h,atmos_aspeed)</f>
        <v>774.48040833714708</v>
      </c>
      <c r="CA64" s="162">
        <f t="shared" si="17"/>
        <v>2563.1708560939364</v>
      </c>
    </row>
    <row r="65" spans="1:79">
      <c r="A65" s="120">
        <v>57000</v>
      </c>
      <c r="B65" s="11">
        <v>0.93</v>
      </c>
      <c r="I65">
        <v>0.81</v>
      </c>
      <c r="J65" cm="1">
        <f t="array" ref="J65">numeng*InterpolateXY(J$3,I65,Tmil_h,Tmil_M,Tmil_table)</f>
        <v>4124</v>
      </c>
      <c r="K65" cm="1">
        <f t="array" ref="K65">1*J$4/(S*Linterp(J$3,atmos_h,atmos_qms)*I65^2)</f>
        <v>6.052324239925197E-2</v>
      </c>
      <c r="L65" cm="1">
        <f t="array" ref="L65">InterpolateXY(K65,I65,CD_CL,CD_M,CD_table)</f>
        <v>1.5436540529990649E-2</v>
      </c>
      <c r="M65" cm="1">
        <f t="array" ref="M65">L65*S*Linterp(J$3,atmos_h,atmos_qms)*I65^2</f>
        <v>2550.5144665186403</v>
      </c>
      <c r="N65" cm="1">
        <f t="array" ref="N65">I65*Linterp(J$3,atmos_h,atmos_aspeed)</f>
        <v>904.32450000000006</v>
      </c>
      <c r="O65" s="162">
        <f t="shared" si="9"/>
        <v>8537.649109936583</v>
      </c>
      <c r="Q65">
        <v>0.81</v>
      </c>
      <c r="R65" cm="1">
        <f t="array" ref="R65">numeng*InterpolateXY(R$3,Q65,Tmil_h,Tmil_M,Tmil_table)</f>
        <v>3832.6995018005823</v>
      </c>
      <c r="S65" cm="1">
        <f t="array" ref="S65">1*R$4/(S*Linterp(R$3,atmos_h,atmos_qms)*Q65^2)</f>
        <v>7.2740166288692593E-2</v>
      </c>
      <c r="T65" cm="1">
        <f t="array" ref="T65">InterpolateXY(S65,Q65,CD_CL,CD_M,CD_table)</f>
        <v>1.5589252078608657E-2</v>
      </c>
      <c r="U65" cm="1">
        <f t="array" ref="U65">T65*S*Linterp(R$3,atmos_h,atmos_qms)*Q65^2</f>
        <v>2143.1422106924711</v>
      </c>
      <c r="V65" cm="1">
        <f t="array" ref="V65">Q65*Linterp(R$3,atmos_h,atmos_aspeed)</f>
        <v>888.64486535990125</v>
      </c>
      <c r="W65" s="162">
        <f t="shared" si="10"/>
        <v>9008.4984688476416</v>
      </c>
      <c r="Y65">
        <v>0.81</v>
      </c>
      <c r="Z65" cm="1">
        <f t="array" ref="Z65">numeng*InterpolateXY(Z$3,Y65,Tmil_h,Tmil_M,Tmil_table)</f>
        <v>3524.0031469651726</v>
      </c>
      <c r="AA65" cm="1">
        <f t="array" ref="AA65">1*Z$4/(S*Linterp(Z$3,atmos_h,atmos_qms)*Y65^2)</f>
        <v>8.8007824166919449E-2</v>
      </c>
      <c r="AB65" cm="1">
        <f t="array" ref="AB65">InterpolateXY(AA65,Y65,CD_CL,CD_M,CD_table)</f>
        <v>1.5780097802086494E-2</v>
      </c>
      <c r="AC65" cm="1">
        <f t="array" ref="AC65">AB65*S*Linterp(Z$3,atmos_h,atmos_qms)*Y65^2</f>
        <v>1793.0335116747437</v>
      </c>
      <c r="AD65" cm="1">
        <f t="array" ref="AD65">Y65*Linterp(Z$3,atmos_h,atmos_aspeed)</f>
        <v>872.68355786091456</v>
      </c>
      <c r="AE65" s="162">
        <f t="shared" si="11"/>
        <v>9063.5324392467683</v>
      </c>
      <c r="AG65">
        <v>0.81</v>
      </c>
      <c r="AH65" cm="1">
        <f t="array" ref="AH65">numeng*InterpolateXY(AH$3,AG65,Tmil_h,Tmil_M,Tmil_table)</f>
        <v>3104.6335698549124</v>
      </c>
      <c r="AI65" cm="1">
        <f t="array" ref="AI65">1*AH$4/(S*Linterp(AH$3,atmos_h,atmos_qms)*AG65^2)</f>
        <v>0.10724597181862137</v>
      </c>
      <c r="AJ65" cm="1">
        <f t="array" ref="AJ65">InterpolateXY(AI65,AG65,CD_CL,CD_M,CD_table)</f>
        <v>1.6201723943198302E-2</v>
      </c>
      <c r="AK65" cm="1">
        <f t="array" ref="AK65">AJ65*S*Linterp(AH$3,atmos_h,atmos_qms)*AG65^2</f>
        <v>1510.7069914569192</v>
      </c>
      <c r="AL65" cm="1">
        <f t="array" ref="AL65">AG65*Linterp(AH$3,atmos_h,atmos_aspeed)</f>
        <v>856.42482892023327</v>
      </c>
      <c r="AM65" s="162">
        <f t="shared" si="12"/>
        <v>8190.4697832954853</v>
      </c>
      <c r="AO65">
        <v>0.81</v>
      </c>
      <c r="AP65" cm="1">
        <f t="array" ref="AP65">numeng*InterpolateXY(AP$3,AO65,Tmil_h,Tmil_M,Tmil_table)</f>
        <v>2715.1785800621115</v>
      </c>
      <c r="AQ65" cm="1">
        <f t="array" ref="AQ65">1*AP$4/(S*Linterp(AP$3,atmos_h,atmos_qms)*AO65^2)</f>
        <v>0.13170333491432981</v>
      </c>
      <c r="AR65" cm="1">
        <f t="array" ref="AR65">InterpolateXY(AQ65,AO65,CD_CL,CD_M,CD_table)</f>
        <v>1.7118875059287369E-2</v>
      </c>
      <c r="AS65" cm="1">
        <f t="array" ref="AS65">AR65*S*Linterp(AP$3,atmos_h,atmos_qms)*AO65^2</f>
        <v>1299.8057391958091</v>
      </c>
      <c r="AT65" cm="1">
        <f t="array" ref="AT65">AO65*Linterp(AP$3,atmos_h,atmos_aspeed)</f>
        <v>839.85140532198784</v>
      </c>
      <c r="AU65" s="162">
        <f t="shared" si="13"/>
        <v>7132.217216736829</v>
      </c>
      <c r="AW65">
        <v>0.81</v>
      </c>
      <c r="AX65" cm="1">
        <f t="array" ref="AX65">numeng*InterpolateXY(AX$3,AW65,Tmil_h,Tmil_M,Tmil_table)</f>
        <v>2356.1809460458217</v>
      </c>
      <c r="AY65" cm="1">
        <f t="array" ref="AY65">1*AX$4/(S*Linterp(AX$3,atmos_h,atmos_qms)*AW65^2)</f>
        <v>0.16309539826248126</v>
      </c>
      <c r="AZ65" cm="1">
        <f t="array" ref="AZ65">InterpolateXY(AY65,AW65,CD_CL,CD_M,CD_table)</f>
        <v>1.8296077434843048E-2</v>
      </c>
      <c r="BA65" cm="1">
        <f t="array" ref="BA65">AZ65*S*Linterp(AX$3,atmos_h,atmos_qms)*AW65^2</f>
        <v>1121.8021863129361</v>
      </c>
      <c r="BB65" cm="1">
        <f t="array" ref="BB65">AW65*Linterp(AX$3,atmos_h,atmos_aspeed)</f>
        <v>822.94427420791055</v>
      </c>
      <c r="BC65" s="162">
        <f t="shared" si="14"/>
        <v>6094.9495951562421</v>
      </c>
      <c r="BE65">
        <v>0.81</v>
      </c>
      <c r="BF65" cm="1">
        <f t="array" ref="BF65">numeng*InterpolateXY(BF$3,BE65,Tmil_h,Tmil_M,Tmil_table)</f>
        <v>2027.7689435563921</v>
      </c>
      <c r="BG65" cm="1">
        <f t="array" ref="BG65">1*BF$4/(S*Linterp(BF$3,atmos_h,atmos_qms)*BE65^2)</f>
        <v>0.20380912174064827</v>
      </c>
      <c r="BH65" cm="1">
        <f t="array" ref="BH65">InterpolateXY(BG65,BE65,CD_CL,CD_M,CD_table)</f>
        <v>1.9918070108790514E-2</v>
      </c>
      <c r="BI65" cm="1">
        <f t="array" ref="BI65">BH65*S*Linterp(BF$3,atmos_h,atmos_qms)*BE65^2</f>
        <v>977.2904146133709</v>
      </c>
      <c r="BJ65" cm="1">
        <f t="array" ref="BJ65">BE65*Linterp(BF$3,atmos_h,atmos_aspeed)</f>
        <v>805.682427437667</v>
      </c>
      <c r="BK65" s="162">
        <f t="shared" si="15"/>
        <v>5078.1125470197767</v>
      </c>
      <c r="BM65">
        <v>0.81</v>
      </c>
      <c r="BN65" cm="1">
        <f t="array" ref="BN65">numeng*InterpolateXY(BN$3,BM65,Tmil_h,Tmil_M,Tmil_table)</f>
        <v>1729.6960733583981</v>
      </c>
      <c r="BO65" cm="1">
        <f t="array" ref="BO65">1*BN$4/(S*Linterp(BN$3,atmos_h,atmos_qms)*BM65^2)</f>
        <v>0.25721200140912825</v>
      </c>
      <c r="BP65" cm="1">
        <f t="array" ref="BP65">InterpolateXY(BO65,BM65,CD_CL,CD_M,CD_table)</f>
        <v>2.3255750088070515E-2</v>
      </c>
      <c r="BQ65" cm="1">
        <f t="array" ref="BQ65">BP65*S*Linterp(BN$3,atmos_h,atmos_qms)*BM65^2</f>
        <v>904.14716112252074</v>
      </c>
      <c r="BR65" cm="1">
        <f t="array" ref="BR65">BM65*Linterp(BN$3,atmos_h,atmos_aspeed)</f>
        <v>788.04255552103177</v>
      </c>
      <c r="BS65" s="162">
        <f t="shared" si="16"/>
        <v>3903.4060470358118</v>
      </c>
      <c r="BU65">
        <v>0.81</v>
      </c>
      <c r="BV65" cm="1">
        <f t="array" ref="BV65">numeng*InterpolateXY(BV$3,BU65,Tmil_h,Tmil_M,Tmil_table)</f>
        <v>1413.9975345454154</v>
      </c>
      <c r="BW65" cm="1">
        <f t="array" ref="BW65">1*BV$4/(S*Linterp(BV$3,atmos_h,atmos_qms)*BU65^2)</f>
        <v>0.32700025916515174</v>
      </c>
      <c r="BX65" cm="1">
        <f t="array" ref="BX65">InterpolateXY(BW65,BU65,CD_CL,CD_M,CD_table)</f>
        <v>2.8123771057168578E-2</v>
      </c>
      <c r="BY65" cm="1">
        <f t="array" ref="BY65">BX65*S*Linterp(BV$3,atmos_h,atmos_qms)*BU65^2</f>
        <v>860.0534791308728</v>
      </c>
      <c r="BZ65" cm="1">
        <f t="array" ref="BZ65">BU65*Linterp(BV$3,atmos_h,atmos_aspeed)</f>
        <v>784.16141344136145</v>
      </c>
      <c r="CA65" s="162">
        <f t="shared" si="17"/>
        <v>2606.2893207678458</v>
      </c>
    </row>
    <row r="66" spans="1:79">
      <c r="A66" s="120">
        <v>58000</v>
      </c>
      <c r="B66" s="11">
        <v>0.93</v>
      </c>
      <c r="I66">
        <v>0.82</v>
      </c>
      <c r="J66" cm="1">
        <f t="array" ref="J66">numeng*InterpolateXY(J$3,I66,Tmil_h,Tmil_M,Tmil_table)</f>
        <v>4128</v>
      </c>
      <c r="K66" cm="1">
        <f t="array" ref="K66">1*J$4/(S*Linterp(J$3,atmos_h,atmos_qms)*I66^2)</f>
        <v>5.905606683246465E-2</v>
      </c>
      <c r="L66" cm="1">
        <f t="array" ref="L66">InterpolateXY(K66,I66,CD_CL,CD_M,CD_table)</f>
        <v>1.5498200835405807E-2</v>
      </c>
      <c r="M66" cm="1">
        <f t="array" ref="M66">L66*S*Linterp(J$3,atmos_h,atmos_qms)*I66^2</f>
        <v>2624.3198483523197</v>
      </c>
      <c r="N66" cm="1">
        <f t="array" ref="N66">I66*Linterp(J$3,atmos_h,atmos_aspeed)</f>
        <v>915.48900000000003</v>
      </c>
      <c r="O66" s="162">
        <f t="shared" si="9"/>
        <v>8259.6158301106989</v>
      </c>
      <c r="Q66">
        <v>0.82</v>
      </c>
      <c r="R66" cm="1">
        <f t="array" ref="R66">numeng*InterpolateXY(R$3,Q66,Tmil_h,Tmil_M,Tmil_table)</f>
        <v>3839.5928462282809</v>
      </c>
      <c r="S66" cm="1">
        <f t="array" ref="S66">1*R$4/(S*Linterp(R$3,atmos_h,atmos_qms)*Q66^2)</f>
        <v>7.0976833881634782E-2</v>
      </c>
      <c r="T66" cm="1">
        <f t="array" ref="T66">InterpolateXY(S66,Q66,CD_CL,CD_M,CD_table)</f>
        <v>1.5647210423520436E-2</v>
      </c>
      <c r="U66" cm="1">
        <f t="array" ref="U66">T66*S*Linterp(R$3,atmos_h,atmos_qms)*Q66^2</f>
        <v>2204.5517625672992</v>
      </c>
      <c r="V66" cm="1">
        <f t="array" ref="V66">Q66*Linterp(R$3,atmos_h,atmos_aspeed)</f>
        <v>899.61578962360363</v>
      </c>
      <c r="W66" s="162">
        <f t="shared" si="10"/>
        <v>8825.4526532682412</v>
      </c>
      <c r="Y66">
        <v>0.82</v>
      </c>
      <c r="Z66" cm="1">
        <f t="array" ref="Z66">numeng*InterpolateXY(Z$3,Y66,Tmil_h,Tmil_M,Tmil_table)</f>
        <v>3532.864848089142</v>
      </c>
      <c r="AA66" cm="1">
        <f t="array" ref="AA66">1*Z$4/(S*Linterp(Z$3,atmos_h,atmos_qms)*Y66^2)</f>
        <v>8.5874380481730919E-2</v>
      </c>
      <c r="AB66" cm="1">
        <f t="array" ref="AB66">InterpolateXY(AA66,Y66,CD_CL,CD_M,CD_table)</f>
        <v>1.5833429756021637E-2</v>
      </c>
      <c r="AC66" cm="1">
        <f t="array" ref="AC66">AB66*S*Linterp(Z$3,atmos_h,atmos_qms)*Y66^2</f>
        <v>1843.7896922458813</v>
      </c>
      <c r="AD66" cm="1">
        <f t="array" ref="AD66">Y66*Linterp(Z$3,atmos_h,atmos_aspeed)</f>
        <v>883.45742894561715</v>
      </c>
      <c r="AE66" s="162">
        <f t="shared" si="11"/>
        <v>8953.3559668632279</v>
      </c>
      <c r="AG66">
        <v>0.82</v>
      </c>
      <c r="AH66" cm="1">
        <f t="array" ref="AH66">numeng*InterpolateXY(AH$3,AG66,Tmil_h,Tmil_M,Tmil_table)</f>
        <v>3113.4428260320442</v>
      </c>
      <c r="AI66" cm="1">
        <f t="array" ref="AI66">1*AH$4/(S*Linterp(AH$3,atmos_h,atmos_qms)*AG66^2)</f>
        <v>0.10464616613652217</v>
      </c>
      <c r="AJ66" cm="1">
        <f t="array" ref="AJ66">InterpolateXY(AI66,AG66,CD_CL,CD_M,CD_table)</f>
        <v>1.618423123011958E-2</v>
      </c>
      <c r="AK66" cm="1">
        <f t="array" ref="AK66">AJ66*S*Linterp(AH$3,atmos_h,atmos_qms)*AG66^2</f>
        <v>1546.567048524789</v>
      </c>
      <c r="AL66" cm="1">
        <f t="array" ref="AL66">AG66*Linterp(AH$3,atmos_h,atmos_aspeed)</f>
        <v>866.99797495628547</v>
      </c>
      <c r="AM66" s="162">
        <f t="shared" si="12"/>
        <v>8150.8687566410717</v>
      </c>
      <c r="AO66">
        <v>0.82</v>
      </c>
      <c r="AP66" cm="1">
        <f t="array" ref="AP66">numeng*InterpolateXY(AP$3,AO66,Tmil_h,Tmil_M,Tmil_table)</f>
        <v>2723.7034735630914</v>
      </c>
      <c r="AQ66" cm="1">
        <f t="array" ref="AQ66">1*AP$4/(S*Linterp(AP$3,atmos_h,atmos_qms)*AO66^2)</f>
        <v>0.1285106455045982</v>
      </c>
      <c r="AR66" cm="1">
        <f t="array" ref="AR66">InterpolateXY(AQ66,AO66,CD_CL,CD_M,CD_table)</f>
        <v>1.7079149206422433E-2</v>
      </c>
      <c r="AS66" cm="1">
        <f t="array" ref="AS66">AR66*S*Linterp(AP$3,atmos_h,atmos_qms)*AO66^2</f>
        <v>1329.006569016987</v>
      </c>
      <c r="AT66" cm="1">
        <f t="array" ref="AT66">AO66*Linterp(AP$3,atmos_h,atmos_aspeed)</f>
        <v>850.21994119016051</v>
      </c>
      <c r="AU66" s="162">
        <f t="shared" si="13"/>
        <v>7114.7947209677268</v>
      </c>
      <c r="AW66">
        <v>0.82</v>
      </c>
      <c r="AX66" cm="1">
        <f t="array" ref="AX66">numeng*InterpolateXY(AX$3,AW66,Tmil_h,Tmil_M,Tmil_table)</f>
        <v>2364.2469896039856</v>
      </c>
      <c r="AY66" cm="1">
        <f t="array" ref="AY66">1*AX$4/(S*Linterp(AX$3,atmos_h,atmos_qms)*AW66^2)</f>
        <v>0.15914171743012193</v>
      </c>
      <c r="AZ66" cm="1">
        <f t="array" ref="AZ66">InterpolateXY(AY66,AW66,CD_CL,CD_M,CD_table)</f>
        <v>1.8227814403629573E-2</v>
      </c>
      <c r="BA66" cm="1">
        <f t="array" ref="BA66">AZ66*S*Linterp(AX$3,atmos_h,atmos_qms)*AW66^2</f>
        <v>1145.3825368972334</v>
      </c>
      <c r="BB66" cm="1">
        <f t="array" ref="BB66">AW66*Linterp(AX$3,atmos_h,atmos_aspeed)</f>
        <v>833.1040800623291</v>
      </c>
      <c r="BC66" s="162">
        <f t="shared" si="14"/>
        <v>6092.6456915575982</v>
      </c>
      <c r="BE66">
        <v>0.82</v>
      </c>
      <c r="BF66" cm="1">
        <f t="array" ref="BF66">numeng*InterpolateXY(BF$3,BE66,Tmil_h,Tmil_M,Tmil_table)</f>
        <v>2035.2514857835374</v>
      </c>
      <c r="BG66" cm="1">
        <f t="array" ref="BG66">1*BF$4/(S*Linterp(BF$3,atmos_h,atmos_qms)*BE66^2)</f>
        <v>0.1988684782481252</v>
      </c>
      <c r="BH66" cm="1">
        <f t="array" ref="BH66">InterpolateXY(BG66,BE66,CD_CL,CD_M,CD_table)</f>
        <v>1.9717567934304694E-2</v>
      </c>
      <c r="BI66" cm="1">
        <f t="array" ref="BI66">BH66*S*Linterp(BF$3,atmos_h,atmos_qms)*BE66^2</f>
        <v>991.48784704348077</v>
      </c>
      <c r="BJ66" cm="1">
        <f t="array" ref="BJ66">BE66*Linterp(BF$3,atmos_h,atmos_aspeed)</f>
        <v>815.62912407269982</v>
      </c>
      <c r="BK66" s="162">
        <f t="shared" si="15"/>
        <v>5107.944134426918</v>
      </c>
      <c r="BM66">
        <v>0.82</v>
      </c>
      <c r="BN66" cm="1">
        <f t="array" ref="BN66">numeng*InterpolateXY(BN$3,BM66,Tmil_h,Tmil_M,Tmil_table)</f>
        <v>1736.5132201899789</v>
      </c>
      <c r="BO66" cm="1">
        <f t="array" ref="BO66">1*BN$4/(S*Linterp(BN$3,atmos_h,atmos_qms)*BM66^2)</f>
        <v>0.2509767907860338</v>
      </c>
      <c r="BP66" cm="1">
        <f t="array" ref="BP66">InterpolateXY(BO66,BM66,CD_CL,CD_M,CD_table)</f>
        <v>2.2946049424127112E-2</v>
      </c>
      <c r="BQ66" cm="1">
        <f t="array" ref="BQ66">BP66*S*Linterp(BN$3,atmos_h,atmos_qms)*BM66^2</f>
        <v>914.2697757933081</v>
      </c>
      <c r="BR66" cm="1">
        <f t="array" ref="BR66">BM66*Linterp(BN$3,atmos_h,atmos_aspeed)</f>
        <v>797.77147595956296</v>
      </c>
      <c r="BS66" s="162">
        <f t="shared" si="16"/>
        <v>3935.7741974064415</v>
      </c>
      <c r="BU66">
        <v>0.82</v>
      </c>
      <c r="BV66" cm="1">
        <f t="array" ref="BV66">numeng*InterpolateXY(BV$3,BU66,Tmil_h,Tmil_M,Tmil_table)</f>
        <v>1419.9056022385021</v>
      </c>
      <c r="BW66" cm="1">
        <f t="array" ref="BW66">1*BV$4/(S*Linterp(BV$3,atmos_h,atmos_qms)*BU66^2)</f>
        <v>0.31907327489330178</v>
      </c>
      <c r="BX66" cm="1">
        <f t="array" ref="BX66">InterpolateXY(BW66,BU66,CD_CL,CD_M,CD_table)</f>
        <v>2.755970358508077E-2</v>
      </c>
      <c r="BY66" cm="1">
        <f t="array" ref="BY66">BX66*S*Linterp(BV$3,atmos_h,atmos_qms)*BU66^2</f>
        <v>863.74214807857993</v>
      </c>
      <c r="BZ66" cm="1">
        <f t="array" ref="BZ66">BU66*Linterp(BV$3,atmos_h,atmos_aspeed)</f>
        <v>793.8424185455757</v>
      </c>
      <c r="CA66" s="162">
        <f t="shared" si="17"/>
        <v>2649.0368493418441</v>
      </c>
    </row>
    <row r="67" spans="1:79">
      <c r="A67" s="120">
        <v>59000</v>
      </c>
      <c r="B67" s="11">
        <v>0.93</v>
      </c>
      <c r="I67">
        <v>0.83</v>
      </c>
      <c r="J67" cm="1">
        <f t="array" ref="J67">numeng*InterpolateXY(J$3,I67,Tmil_h,Tmil_M,Tmil_table)</f>
        <v>4132</v>
      </c>
      <c r="K67" cm="1">
        <f t="array" ref="K67">1*J$4/(S*Linterp(J$3,atmos_h,atmos_qms)*I67^2)</f>
        <v>5.7641601594061884E-2</v>
      </c>
      <c r="L67" cm="1">
        <f t="array" ref="L67">InterpolateXY(K67,I67,CD_CL,CD_M,CD_table)</f>
        <v>1.5560520019925774E-2</v>
      </c>
      <c r="M67" cm="1">
        <f t="array" ref="M67">L67*S*Linterp(J$3,atmos_h,atmos_qms)*I67^2</f>
        <v>2699.5294352696801</v>
      </c>
      <c r="N67" cm="1">
        <f t="array" ref="N67">I67*Linterp(J$3,atmos_h,atmos_aspeed)</f>
        <v>926.65350000000001</v>
      </c>
      <c r="O67" s="162">
        <f t="shared" si="9"/>
        <v>7964.4231747259646</v>
      </c>
      <c r="Q67">
        <v>0.83</v>
      </c>
      <c r="R67" cm="1">
        <f t="array" ref="R67">numeng*InterpolateXY(R$3,Q67,Tmil_h,Tmil_M,Tmil_table)</f>
        <v>3846.48619065598</v>
      </c>
      <c r="S67" cm="1">
        <f t="array" ref="S67">1*R$4/(S*Linterp(R$3,atmos_h,atmos_qms)*Q67^2)</f>
        <v>6.9276851650473537E-2</v>
      </c>
      <c r="T67" cm="1">
        <f t="array" ref="T67">InterpolateXY(S67,Q67,CD_CL,CD_M,CD_table)</f>
        <v>1.5705960645630918E-2</v>
      </c>
      <c r="U67" cm="1">
        <f t="array" ref="U67">T67*S*Linterp(R$3,atmos_h,atmos_qms)*Q67^2</f>
        <v>2267.1296791709156</v>
      </c>
      <c r="V67" cm="1">
        <f t="array" ref="V67">Q67*Linterp(R$3,atmos_h,atmos_aspeed)</f>
        <v>910.58671388730613</v>
      </c>
      <c r="W67" s="162">
        <f t="shared" si="10"/>
        <v>8628.8463350982256</v>
      </c>
      <c r="Y67">
        <v>0.83</v>
      </c>
      <c r="Z67" cm="1">
        <f t="array" ref="Z67">numeng*InterpolateXY(Z$3,Y67,Tmil_h,Tmil_M,Tmil_table)</f>
        <v>3541.7265492131114</v>
      </c>
      <c r="AA67" cm="1">
        <f t="array" ref="AA67">1*Z$4/(S*Linterp(Z$3,atmos_h,atmos_qms)*Y67^2)</f>
        <v>8.3817583736269227E-2</v>
      </c>
      <c r="AB67" cm="1">
        <f t="array" ref="AB67">InterpolateXY(AA67,Y67,CD_CL,CD_M,CD_table)</f>
        <v>1.5887719796703365E-2</v>
      </c>
      <c r="AC67" cm="1">
        <f t="array" ref="AC67">AB67*S*Linterp(Z$3,atmos_h,atmos_qms)*Y67^2</f>
        <v>1895.5115488289237</v>
      </c>
      <c r="AD67" cm="1">
        <f t="array" ref="AD67">Y67*Linterp(Z$3,atmos_h,atmos_aspeed)</f>
        <v>894.23130003031974</v>
      </c>
      <c r="AE67" s="162">
        <f t="shared" si="11"/>
        <v>8832.5818795377945</v>
      </c>
      <c r="AG67">
        <v>0.83</v>
      </c>
      <c r="AH67" cm="1">
        <f t="array" ref="AH67">numeng*InterpolateXY(AH$3,AG67,Tmil_h,Tmil_M,Tmil_table)</f>
        <v>3122.252082209176</v>
      </c>
      <c r="AI67" cm="1">
        <f t="array" ref="AI67">1*AH$4/(S*Linterp(AH$3,atmos_h,atmos_qms)*AG67^2)</f>
        <v>0.10213976209928509</v>
      </c>
      <c r="AJ67" cm="1">
        <f t="array" ref="AJ67">InterpolateXY(AI67,AG67,CD_CL,CD_M,CD_table)</f>
        <v>1.617024107872319E-2</v>
      </c>
      <c r="AK67" cm="1">
        <f t="array" ref="AK67">AJ67*S*Linterp(AH$3,atmos_h,atmos_qms)*AG67^2</f>
        <v>1583.1484963715586</v>
      </c>
      <c r="AL67" cm="1">
        <f t="array" ref="AL67">AG67*Linterp(AH$3,atmos_h,atmos_aspeed)</f>
        <v>877.57112099233768</v>
      </c>
      <c r="AM67" s="162">
        <f t="shared" si="12"/>
        <v>8104.0371548810672</v>
      </c>
      <c r="AO67">
        <v>0.83</v>
      </c>
      <c r="AP67" cm="1">
        <f t="array" ref="AP67">numeng*InterpolateXY(AP$3,AO67,Tmil_h,Tmil_M,Tmil_table)</f>
        <v>2732.2283670640713</v>
      </c>
      <c r="AQ67" cm="1">
        <f t="array" ref="AQ67">1*AP$4/(S*Linterp(AP$3,atmos_h,atmos_qms)*AO67^2)</f>
        <v>0.12543265791448949</v>
      </c>
      <c r="AR67" cm="1">
        <f t="array" ref="AR67">InterpolateXY(AQ67,AO67,CD_CL,CD_M,CD_table)</f>
        <v>1.7043724671793357E-2</v>
      </c>
      <c r="AS67" cm="1">
        <f t="array" ref="AS67">AR67*S*Linterp(AP$3,atmos_h,atmos_qms)*AO67^2</f>
        <v>1358.7948270547276</v>
      </c>
      <c r="AT67" cm="1">
        <f t="array" ref="AT67">AO67*Linterp(AP$3,atmos_h,atmos_aspeed)</f>
        <v>860.58847705833318</v>
      </c>
      <c r="AU67" s="162">
        <f t="shared" si="13"/>
        <v>7091.7664712248597</v>
      </c>
      <c r="AW67">
        <v>0.83</v>
      </c>
      <c r="AX67" cm="1">
        <f t="array" ref="AX67">numeng*InterpolateXY(AX$3,AW67,Tmil_h,Tmil_M,Tmil_table)</f>
        <v>2372.3130331621492</v>
      </c>
      <c r="AY67" cm="1">
        <f t="array" ref="AY67">1*AX$4/(S*Linterp(AX$3,atmos_h,atmos_qms)*AW67^2)</f>
        <v>0.15533007809553487</v>
      </c>
      <c r="AZ67" cm="1">
        <f t="array" ref="AZ67">InterpolateXY(AY67,AW67,CD_CL,CD_M,CD_table)</f>
        <v>1.8164877928582557E-2</v>
      </c>
      <c r="BA67" cm="1">
        <f t="array" ref="BA67">AZ67*S*Linterp(AX$3,atmos_h,atmos_qms)*AW67^2</f>
        <v>1169.4372494559846</v>
      </c>
      <c r="BB67" cm="1">
        <f t="array" ref="BB67">AW67*Linterp(AX$3,atmos_h,atmos_aspeed)</f>
        <v>843.26388591674777</v>
      </c>
      <c r="BC67" s="162">
        <f t="shared" si="14"/>
        <v>6086.0502458592828</v>
      </c>
      <c r="BE67">
        <v>0.83</v>
      </c>
      <c r="BF67" cm="1">
        <f t="array" ref="BF67">numeng*InterpolateXY(BF$3,BE67,Tmil_h,Tmil_M,Tmil_table)</f>
        <v>2042.7340280106826</v>
      </c>
      <c r="BG67" cm="1">
        <f t="array" ref="BG67">1*BF$4/(S*Linterp(BF$3,atmos_h,atmos_qms)*BE67^2)</f>
        <v>0.19410533426337548</v>
      </c>
      <c r="BH67" cm="1">
        <f t="array" ref="BH67">InterpolateXY(BG67,BE67,CD_CL,CD_M,CD_table)</f>
        <v>1.961895003487658E-2</v>
      </c>
      <c r="BI67" cm="1">
        <f t="array" ref="BI67">BH67*S*Linterp(BF$3,atmos_h,atmos_qms)*BE67^2</f>
        <v>1010.7372942289281</v>
      </c>
      <c r="BJ67" cm="1">
        <f t="array" ref="BJ67">BE67*Linterp(BF$3,atmos_h,atmos_aspeed)</f>
        <v>825.57582070773276</v>
      </c>
      <c r="BK67" s="162">
        <f t="shared" si="15"/>
        <v>5111.949302757429</v>
      </c>
      <c r="BM67">
        <v>0.83</v>
      </c>
      <c r="BN67" cm="1">
        <f t="array" ref="BN67">numeng*InterpolateXY(BN$3,BM67,Tmil_h,Tmil_M,Tmil_table)</f>
        <v>1743.3303670215598</v>
      </c>
      <c r="BO67" cm="1">
        <f t="array" ref="BO67">1*BN$4/(S*Linterp(BN$3,atmos_h,atmos_qms)*BM67^2)</f>
        <v>0.24496558880030353</v>
      </c>
      <c r="BP67" cm="1">
        <f t="array" ref="BP67">InterpolateXY(BO67,BM67,CD_CL,CD_M,CD_table)</f>
        <v>2.2650349300018972E-2</v>
      </c>
      <c r="BQ67" cm="1">
        <f t="array" ref="BQ67">BP67*S*Linterp(BN$3,atmos_h,atmos_qms)*BM67^2</f>
        <v>924.63392148044034</v>
      </c>
      <c r="BR67" cm="1">
        <f t="array" ref="BR67">BM67*Linterp(BN$3,atmos_h,atmos_aspeed)</f>
        <v>807.50039639809427</v>
      </c>
      <c r="BS67" s="162">
        <f t="shared" si="16"/>
        <v>3966.5862258249886</v>
      </c>
      <c r="BU67">
        <v>0.83</v>
      </c>
      <c r="BV67" cm="1">
        <f t="array" ref="BV67">numeng*InterpolateXY(BV$3,BU67,Tmil_h,Tmil_M,Tmil_table)</f>
        <v>1425.8136699315887</v>
      </c>
      <c r="BW67" cm="1">
        <f t="array" ref="BW67">1*BV$4/(S*Linterp(BV$3,atmos_h,atmos_qms)*BU67^2)</f>
        <v>0.31143107858652358</v>
      </c>
      <c r="BX67" cm="1">
        <f t="array" ref="BX67">InterpolateXY(BW67,BU67,CD_CL,CD_M,CD_table)</f>
        <v>2.7018775135155042E-2</v>
      </c>
      <c r="BY67" cm="1">
        <f t="array" ref="BY67">BX67*S*Linterp(BV$3,atmos_h,atmos_qms)*BU67^2</f>
        <v>867.56836401118937</v>
      </c>
      <c r="BZ67" cm="1">
        <f t="array" ref="BZ67">BU67*Linterp(BV$3,atmos_h,atmos_aspeed)</f>
        <v>803.52342364979006</v>
      </c>
      <c r="CA67" s="162">
        <f t="shared" si="17"/>
        <v>2691.3790766975021</v>
      </c>
    </row>
    <row r="68" spans="1:79">
      <c r="A68" s="120">
        <v>60000</v>
      </c>
      <c r="B68" s="11">
        <v>0.93</v>
      </c>
      <c r="I68">
        <v>0.84</v>
      </c>
      <c r="J68" cm="1">
        <f t="array" ref="J68">numeng*InterpolateXY(J$3,I68,Tmil_h,Tmil_M,Tmil_table)</f>
        <v>4136</v>
      </c>
      <c r="K68" cm="1">
        <f t="array" ref="K68">1*J$4/(S*Linterp(J$3,atmos_h,atmos_qms)*I68^2)</f>
        <v>5.6277351669712629E-2</v>
      </c>
      <c r="L68" cm="1">
        <f t="array" ref="L68">InterpolateXY(K68,I68,CD_CL,CD_M,CD_table)</f>
        <v>1.5623466895871407E-2</v>
      </c>
      <c r="M68" cm="1">
        <f t="array" ref="M68">L68*S*Linterp(J$3,atmos_h,atmos_qms)*I68^2</f>
        <v>2776.1553151193598</v>
      </c>
      <c r="N68" cm="1">
        <f t="array" ref="N68">I68*Linterp(J$3,atmos_h,atmos_aspeed)</f>
        <v>937.81799999999998</v>
      </c>
      <c r="O68" s="162">
        <f t="shared" si="9"/>
        <v>7651.7209361123532</v>
      </c>
      <c r="Q68">
        <v>0.84</v>
      </c>
      <c r="R68" cm="1">
        <f t="array" ref="R68">numeng*InterpolateXY(R$3,Q68,Tmil_h,Tmil_M,Tmil_table)</f>
        <v>3853.3795350836785</v>
      </c>
      <c r="S68" cm="1">
        <f t="array" ref="S68">1*R$4/(S*Linterp(R$3,atmos_h,atmos_qms)*Q68^2)</f>
        <v>6.7637220949562399E-2</v>
      </c>
      <c r="T68" cm="1">
        <f t="array" ref="T68">InterpolateXY(S68,Q68,CD_CL,CD_M,CD_table)</f>
        <v>1.5765465261869529E-2</v>
      </c>
      <c r="U68" cm="1">
        <f t="array" ref="U68">T68*S*Linterp(R$3,atmos_h,atmos_qms)*Q68^2</f>
        <v>2330.88601816239</v>
      </c>
      <c r="V68" cm="1">
        <f t="array" ref="V68">Q68*Linterp(R$3,atmos_h,atmos_aspeed)</f>
        <v>921.55763815100863</v>
      </c>
      <c r="W68" s="162">
        <f t="shared" si="10"/>
        <v>8418.3931773252316</v>
      </c>
      <c r="Y68">
        <v>0.84</v>
      </c>
      <c r="Z68" cm="1">
        <f t="array" ref="Z68">numeng*InterpolateXY(Z$3,Y68,Tmil_h,Tmil_M,Tmil_table)</f>
        <v>3550.5882503370808</v>
      </c>
      <c r="AA68" cm="1">
        <f t="array" ref="AA68">1*Z$4/(S*Linterp(Z$3,atmos_h,atmos_qms)*Y68^2)</f>
        <v>8.1833805889903452E-2</v>
      </c>
      <c r="AB68" cm="1">
        <f t="array" ref="AB68">InterpolateXY(AA68,Y68,CD_CL,CD_M,CD_table)</f>
        <v>1.5942922573623793E-2</v>
      </c>
      <c r="AC68" cm="1">
        <f t="array" ref="AC68">AB68*S*Linterp(Z$3,atmos_h,atmos_qms)*Y68^2</f>
        <v>1948.2073942733255</v>
      </c>
      <c r="AD68" cm="1">
        <f t="array" ref="AD68">Y68*Linterp(Z$3,atmos_h,atmos_aspeed)</f>
        <v>905.00517111502245</v>
      </c>
      <c r="AE68" s="162">
        <f t="shared" si="11"/>
        <v>8700.9777650004908</v>
      </c>
      <c r="AG68">
        <v>0.84</v>
      </c>
      <c r="AH68" cm="1">
        <f t="array" ref="AH68">numeng*InterpolateXY(AH$3,AG68,Tmil_h,Tmil_M,Tmil_table)</f>
        <v>3131.0613383863079</v>
      </c>
      <c r="AI68" cm="1">
        <f t="array" ref="AI68">1*AH$4/(S*Linterp(AH$3,atmos_h,atmos_qms)*AG68^2)</f>
        <v>9.9722338591549747E-2</v>
      </c>
      <c r="AJ68" cm="1">
        <f t="array" ref="AJ68">InterpolateXY(AI68,AG68,CD_CL,CD_M,CD_table)</f>
        <v>1.6166529232394374E-2</v>
      </c>
      <c r="AK68" cm="1">
        <f t="array" ref="AK68">AJ68*S*Linterp(AH$3,atmos_h,atmos_qms)*AG68^2</f>
        <v>1621.1542429435453</v>
      </c>
      <c r="AL68" cm="1">
        <f t="array" ref="AL68">AG68*Linterp(AH$3,atmos_h,atmos_aspeed)</f>
        <v>888.14426702839</v>
      </c>
      <c r="AM68" s="162">
        <f t="shared" si="12"/>
        <v>8046.0919833778653</v>
      </c>
      <c r="AO68">
        <v>0.84</v>
      </c>
      <c r="AP68" cm="1">
        <f t="array" ref="AP68">numeng*InterpolateXY(AP$3,AO68,Tmil_h,Tmil_M,Tmil_table)</f>
        <v>2740.7532605650513</v>
      </c>
      <c r="AQ68" cm="1">
        <f t="array" ref="AQ68">1*AP$4/(S*Linterp(AP$3,atmos_h,atmos_qms)*AO68^2)</f>
        <v>0.1224639427966154</v>
      </c>
      <c r="AR68" cm="1">
        <f t="array" ref="AR68">InterpolateXY(AQ68,AO68,CD_CL,CD_M,CD_table)</f>
        <v>1.7012397854873077E-2</v>
      </c>
      <c r="AS68" cm="1">
        <f t="array" ref="AS68">AR68*S*Linterp(AP$3,atmos_h,atmos_qms)*AO68^2</f>
        <v>1389.1760681857825</v>
      </c>
      <c r="AT68" cm="1">
        <f t="array" ref="AT68">AO68*Linterp(AP$3,atmos_h,atmos_aspeed)</f>
        <v>870.95701292650585</v>
      </c>
      <c r="AU68" s="162">
        <f t="shared" si="13"/>
        <v>7062.9938052854477</v>
      </c>
      <c r="AW68">
        <v>0.84</v>
      </c>
      <c r="AX68" cm="1">
        <f t="array" ref="AX68">numeng*InterpolateXY(AX$3,AW68,Tmil_h,Tmil_M,Tmil_table)</f>
        <v>2380.3790767203127</v>
      </c>
      <c r="AY68" cm="1">
        <f t="array" ref="AY68">1*AX$4/(S*Linterp(AX$3,atmos_h,atmos_qms)*AW68^2)</f>
        <v>0.1516537568027409</v>
      </c>
      <c r="AZ68" cm="1">
        <f t="array" ref="AZ68">InterpolateXY(AY68,AW68,CD_CL,CD_M,CD_table)</f>
        <v>1.8107015880102783E-2</v>
      </c>
      <c r="BA68" cm="1">
        <f t="array" ref="BA68">AZ68*S*Linterp(AX$3,atmos_h,atmos_qms)*AW68^2</f>
        <v>1193.9708096816184</v>
      </c>
      <c r="BB68" cm="1">
        <f t="array" ref="BB68">AW68*Linterp(AX$3,atmos_h,atmos_aspeed)</f>
        <v>853.42369177116643</v>
      </c>
      <c r="BC68" s="162">
        <f t="shared" si="14"/>
        <v>6075.0535392239663</v>
      </c>
      <c r="BE68">
        <v>0.84</v>
      </c>
      <c r="BF68" cm="1">
        <f t="array" ref="BF68">numeng*InterpolateXY(BF$3,BE68,Tmil_h,Tmil_M,Tmil_table)</f>
        <v>2050.2165702378279</v>
      </c>
      <c r="BG68" cm="1">
        <f t="array" ref="BG68">1*BF$4/(S*Linterp(BF$3,atmos_h,atmos_qms)*BE68^2)</f>
        <v>0.18951128794506714</v>
      </c>
      <c r="BH68" cm="1">
        <f t="array" ref="BH68">InterpolateXY(BG68,BE68,CD_CL,CD_M,CD_table)</f>
        <v>1.9526673297940018E-2</v>
      </c>
      <c r="BI68" cm="1">
        <f t="array" ref="BI68">BH68*S*Linterp(BF$3,atmos_h,atmos_qms)*BE68^2</f>
        <v>1030.3699325604359</v>
      </c>
      <c r="BJ68" cm="1">
        <f t="array" ref="BJ68">BE68*Linterp(BF$3,atmos_h,atmos_aspeed)</f>
        <v>835.5225173427657</v>
      </c>
      <c r="BK68" s="162">
        <f t="shared" si="15"/>
        <v>5112.6289800946206</v>
      </c>
      <c r="BM68">
        <v>0.84</v>
      </c>
      <c r="BN68" cm="1">
        <f t="array" ref="BN68">numeng*InterpolateXY(BN$3,BM68,Tmil_h,Tmil_M,Tmil_table)</f>
        <v>1750.1475138531409</v>
      </c>
      <c r="BO68" cm="1">
        <f t="array" ref="BO68">1*BN$4/(S*Linterp(BN$3,atmos_h,atmos_qms)*BM68^2)</f>
        <v>0.23916779212660025</v>
      </c>
      <c r="BP68" cm="1">
        <f t="array" ref="BP68">InterpolateXY(BO68,BM68,CD_CL,CD_M,CD_table)</f>
        <v>2.2367987007912517E-2</v>
      </c>
      <c r="BQ68" cm="1">
        <f t="array" ref="BQ68">BP68*S*Linterp(BN$3,atmos_h,atmos_qms)*BM68^2</f>
        <v>935.24244251384505</v>
      </c>
      <c r="BR68" cm="1">
        <f t="array" ref="BR68">BM68*Linterp(BN$3,atmos_h,atmos_aspeed)</f>
        <v>817.22931683662546</v>
      </c>
      <c r="BS68" s="162">
        <f t="shared" si="16"/>
        <v>3995.7858884238863</v>
      </c>
      <c r="BU68">
        <v>0.84</v>
      </c>
      <c r="BV68" cm="1">
        <f t="array" ref="BV68">numeng*InterpolateXY(BV$3,BU68,Tmil_h,Tmil_M,Tmil_table)</f>
        <v>1431.7217376246756</v>
      </c>
      <c r="BW68" cm="1">
        <f t="array" ref="BW68">1*BV$4/(S*Linterp(BV$3,atmos_h,atmos_qms)*BU68^2)</f>
        <v>0.30406018996351492</v>
      </c>
      <c r="BX68" cm="1">
        <f t="array" ref="BX68">InterpolateXY(BW68,BU68,CD_CL,CD_M,CD_table)</f>
        <v>2.6499890434535586E-2</v>
      </c>
      <c r="BY68" cm="1">
        <f t="array" ref="BY68">BX68*S*Linterp(BV$3,atmos_h,atmos_qms)*BU68^2</f>
        <v>871.53436422293191</v>
      </c>
      <c r="BZ68" cm="1">
        <f t="array" ref="BZ68">BU68*Linterp(BV$3,atmos_h,atmos_aspeed)</f>
        <v>813.20442875400431</v>
      </c>
      <c r="CA68" s="162">
        <f t="shared" si="17"/>
        <v>2733.2811178942261</v>
      </c>
    </row>
    <row r="69" spans="1:79">
      <c r="I69">
        <v>0.85</v>
      </c>
      <c r="J69" cm="1">
        <f t="array" ref="J69">numeng*InterpolateXY(J$3,I69,Tmil_h,Tmil_M,Tmil_table)</f>
        <v>4140</v>
      </c>
      <c r="K69" cm="1">
        <f t="array" ref="K69">1*J$4/(S*Linterp(J$3,atmos_h,atmos_qms)*I69^2)</f>
        <v>5.4960967942075063E-2</v>
      </c>
      <c r="L69" cm="1">
        <f t="array" ref="L69">InterpolateXY(K69,I69,CD_CL,CD_M,CD_table)</f>
        <v>1.5687012099275938E-2</v>
      </c>
      <c r="M69" cm="1">
        <f t="array" ref="M69">L69*S*Linterp(J$3,atmos_h,atmos_qms)*I69^2</f>
        <v>2854.2095757499997</v>
      </c>
      <c r="N69" cm="1">
        <f t="array" ref="N69">I69*Linterp(J$3,atmos_h,atmos_aspeed)</f>
        <v>948.98249999999996</v>
      </c>
      <c r="O69" s="162">
        <f t="shared" si="9"/>
        <v>7321.1556676849559</v>
      </c>
      <c r="Q69">
        <v>0.85</v>
      </c>
      <c r="R69" cm="1">
        <f t="array" ref="R69">numeng*InterpolateXY(R$3,Q69,Tmil_h,Tmil_M,Tmil_table)</f>
        <v>3860.2728795113776</v>
      </c>
      <c r="S69" cm="1">
        <f t="array" ref="S69">1*R$4/(S*Linterp(R$3,atmos_h,atmos_qms)*Q69^2)</f>
        <v>6.6055118480292344E-2</v>
      </c>
      <c r="T69" cm="1">
        <f t="array" ref="T69">InterpolateXY(S69,Q69,CD_CL,CD_M,CD_table)</f>
        <v>1.5825688981003654E-2</v>
      </c>
      <c r="U69" cm="1">
        <f t="array" ref="U69">T69*S*Linterp(R$3,atmos_h,atmos_qms)*Q69^2</f>
        <v>2395.8308372007955</v>
      </c>
      <c r="V69" cm="1">
        <f t="array" ref="V69">Q69*Linterp(R$3,atmos_h,atmos_aspeed)</f>
        <v>932.52856241471113</v>
      </c>
      <c r="W69" s="162">
        <f t="shared" si="10"/>
        <v>8193.804194733304</v>
      </c>
      <c r="Y69">
        <v>0.85</v>
      </c>
      <c r="Z69" cm="1">
        <f t="array" ref="Z69">numeng*InterpolateXY(Z$3,Y69,Tmil_h,Tmil_M,Tmil_table)</f>
        <v>3559.4499514610502</v>
      </c>
      <c r="AA69" cm="1">
        <f t="array" ref="AA69">1*Z$4/(S*Linterp(Z$3,atmos_h,atmos_qms)*Y69^2)</f>
        <v>7.991963105317075E-2</v>
      </c>
      <c r="AB69" cm="1">
        <f t="array" ref="AB69">InterpolateXY(AA69,Y69,CD_CL,CD_M,CD_table)</f>
        <v>1.5998995388164634E-2</v>
      </c>
      <c r="AC69" cm="1">
        <f t="array" ref="AC69">AB69*S*Linterp(Z$3,atmos_h,atmos_qms)*Y69^2</f>
        <v>2001.8855414285456</v>
      </c>
      <c r="AD69" cm="1">
        <f t="array" ref="AD69">Y69*Linterp(Z$3,atmos_h,atmos_aspeed)</f>
        <v>915.77904219972504</v>
      </c>
      <c r="AE69" s="162">
        <f t="shared" si="11"/>
        <v>8558.3090615036817</v>
      </c>
      <c r="AG69">
        <v>0.85</v>
      </c>
      <c r="AH69" cm="1">
        <f t="array" ref="AH69">numeng*InterpolateXY(AH$3,AG69,Tmil_h,Tmil_M,Tmil_table)</f>
        <v>3139.8705945634397</v>
      </c>
      <c r="AI69" cm="1">
        <f t="array" ref="AI69">1*AH$4/(S*Linterp(AH$3,atmos_h,atmos_qms)*AG69^2)</f>
        <v>9.7389733024494815E-2</v>
      </c>
      <c r="AJ69" cm="1">
        <f t="array" ref="AJ69">InterpolateXY(AI69,AG69,CD_CL,CD_M,CD_table)</f>
        <v>1.6217371662806186E-2</v>
      </c>
      <c r="AK69" cm="1">
        <f t="array" ref="AK69">AJ69*S*Linterp(AH$3,atmos_h,atmos_qms)*AG69^2</f>
        <v>1665.2034212607709</v>
      </c>
      <c r="AL69" cm="1">
        <f t="array" ref="AL69">AG69*Linterp(AH$3,atmos_h,atmos_aspeed)</f>
        <v>898.71741306444233</v>
      </c>
      <c r="AM69" s="162">
        <f t="shared" si="12"/>
        <v>7951.8544027297694</v>
      </c>
      <c r="AO69">
        <v>0.85</v>
      </c>
      <c r="AP69" cm="1">
        <f t="array" ref="AP69">numeng*InterpolateXY(AP$3,AO69,Tmil_h,Tmil_M,Tmil_table)</f>
        <v>2749.2781540660312</v>
      </c>
      <c r="AQ69" cm="1">
        <f t="array" ref="AQ69">1*AP$4/(S*Linterp(AP$3,atmos_h,atmos_qms)*AO69^2)</f>
        <v>0.11959938828690909</v>
      </c>
      <c r="AR69" cm="1">
        <f t="array" ref="AR69">InterpolateXY(AQ69,AO69,CD_CL,CD_M,CD_table)</f>
        <v>1.6984977060759091E-2</v>
      </c>
      <c r="AS69" cm="1">
        <f t="array" ref="AS69">AR69*S*Linterp(AP$3,atmos_h,atmos_qms)*AO69^2</f>
        <v>1420.1558472869046</v>
      </c>
      <c r="AT69" cm="1">
        <f t="array" ref="AT69">AO69*Linterp(AP$3,atmos_h,atmos_aspeed)</f>
        <v>881.32554879467853</v>
      </c>
      <c r="AU69" s="162">
        <f t="shared" si="13"/>
        <v>7028.3366786241768</v>
      </c>
      <c r="AW69">
        <v>0.85</v>
      </c>
      <c r="AX69" cm="1">
        <f t="array" ref="AX69">numeng*InterpolateXY(AX$3,AW69,Tmil_h,Tmil_M,Tmil_table)</f>
        <v>2388.4451202784767</v>
      </c>
      <c r="AY69" cm="1">
        <f t="array" ref="AY69">1*AX$4/(S*Linterp(AX$3,atmos_h,atmos_qms)*AW69^2)</f>
        <v>0.1481064232526145</v>
      </c>
      <c r="AZ69" cm="1">
        <f t="array" ref="AZ69">InterpolateXY(AY69,AW69,CD_CL,CD_M,CD_table)</f>
        <v>1.8053990871973045E-2</v>
      </c>
      <c r="BA69" cm="1">
        <f t="array" ref="BA69">AZ69*S*Linterp(AX$3,atmos_h,atmos_qms)*AW69^2</f>
        <v>1218.9877032665659</v>
      </c>
      <c r="BB69" cm="1">
        <f t="array" ref="BB69">AW69*Linterp(AX$3,atmos_h,atmos_aspeed)</f>
        <v>863.5834976255851</v>
      </c>
      <c r="BC69" s="162">
        <f t="shared" si="14"/>
        <v>6059.5447590439699</v>
      </c>
      <c r="BE69">
        <v>0.85</v>
      </c>
      <c r="BF69" cm="1">
        <f t="array" ref="BF69">numeng*InterpolateXY(BF$3,BE69,Tmil_h,Tmil_M,Tmil_table)</f>
        <v>2057.6991124649735</v>
      </c>
      <c r="BG69" cm="1">
        <f t="array" ref="BG69">1*BF$4/(S*Linterp(BF$3,atmos_h,atmos_qms)*BE69^2)</f>
        <v>0.18507842875299568</v>
      </c>
      <c r="BH69" cm="1">
        <f t="array" ref="BH69">InterpolateXY(BG69,BE69,CD_CL,CD_M,CD_table)</f>
        <v>1.9440441078237339E-2</v>
      </c>
      <c r="BI69" cm="1">
        <f t="array" ref="BI69">BH69*S*Linterp(BF$3,atmos_h,atmos_qms)*BE69^2</f>
        <v>1050.3893516506134</v>
      </c>
      <c r="BJ69" cm="1">
        <f t="array" ref="BJ69">BE69*Linterp(BF$3,atmos_h,atmos_aspeed)</f>
        <v>845.46921397779863</v>
      </c>
      <c r="BK69" s="162">
        <f t="shared" si="15"/>
        <v>5109.896350247288</v>
      </c>
      <c r="BM69">
        <v>0.85</v>
      </c>
      <c r="BN69" cm="1">
        <f t="array" ref="BN69">numeng*InterpolateXY(BN$3,BM69,Tmil_h,Tmil_M,Tmil_table)</f>
        <v>1756.9646606847218</v>
      </c>
      <c r="BO69" cm="1">
        <f t="array" ref="BO69">1*BN$4/(S*Linterp(BN$3,atmos_h,atmos_qms)*BM69^2)</f>
        <v>0.23357341747339672</v>
      </c>
      <c r="BP69" cm="1">
        <f t="array" ref="BP69">InterpolateXY(BO69,BM69,CD_CL,CD_M,CD_table)</f>
        <v>2.2098338592087294E-2</v>
      </c>
      <c r="BQ69" cm="1">
        <f t="array" ref="BQ69">BP69*S*Linterp(BN$3,atmos_h,atmos_qms)*BM69^2</f>
        <v>946.0981832234495</v>
      </c>
      <c r="BR69" cm="1">
        <f t="array" ref="BR69">BM69*Linterp(BN$3,atmos_h,atmos_aspeed)</f>
        <v>826.95823727515676</v>
      </c>
      <c r="BS69" s="162">
        <f t="shared" si="16"/>
        <v>4023.3162772013366</v>
      </c>
      <c r="BU69">
        <v>0.85</v>
      </c>
      <c r="BV69" cm="1">
        <f t="array" ref="BV69">numeng*InterpolateXY(BV$3,BU69,Tmil_h,Tmil_M,Tmil_table)</f>
        <v>1437.6298053177622</v>
      </c>
      <c r="BW69" cm="1">
        <f t="array" ref="BW69">1*BV$4/(S*Linterp(BV$3,atmos_h,atmos_qms)*BU69^2)</f>
        <v>0.29694791700796691</v>
      </c>
      <c r="BX69" cm="1">
        <f t="array" ref="BX69">InterpolateXY(BW69,BU69,CD_CL,CD_M,CD_table)</f>
        <v>2.6059244812997932E-2</v>
      </c>
      <c r="BY69" cm="1">
        <f t="array" ref="BY69">BX69*S*Linterp(BV$3,atmos_h,atmos_qms)*BU69^2</f>
        <v>877.56954403215366</v>
      </c>
      <c r="BZ69" cm="1">
        <f t="array" ref="BZ69">BU69*Linterp(BV$3,atmos_h,atmos_aspeed)</f>
        <v>822.88543385821868</v>
      </c>
      <c r="CA69" s="162">
        <f t="shared" si="17"/>
        <v>2765.1925865685321</v>
      </c>
    </row>
    <row r="70" spans="1:79">
      <c r="I70">
        <v>0.86</v>
      </c>
      <c r="J70" cm="1">
        <f t="array" ref="J70">numeng*InterpolateXY(J$3,I70,Tmil_h,Tmil_M,Tmil_table)</f>
        <v>4144</v>
      </c>
      <c r="K70" cm="1">
        <f t="array" ref="K70">1*J$4/(S*Linterp(J$3,atmos_h,atmos_qms)*I70^2)</f>
        <v>5.3690237071591707E-2</v>
      </c>
      <c r="L70" cm="1">
        <f t="array" ref="L70">InterpolateXY(K70,I70,CD_CL,CD_M,CD_table)</f>
        <v>1.5872201768136328E-2</v>
      </c>
      <c r="M70" cm="1">
        <f t="array" ref="M70">L70*S*Linterp(J$3,atmos_h,atmos_qms)*I70^2</f>
        <v>2956.2547371455998</v>
      </c>
      <c r="N70" cm="1">
        <f t="array" ref="N70">I70*Linterp(J$3,atmos_h,atmos_aspeed)</f>
        <v>960.14700000000005</v>
      </c>
      <c r="O70" s="162">
        <f t="shared" si="9"/>
        <v>6842.4603053631827</v>
      </c>
      <c r="Q70">
        <v>0.86</v>
      </c>
      <c r="R70" cm="1">
        <f t="array" ref="R70">numeng*InterpolateXY(R$3,Q70,Tmil_h,Tmil_M,Tmil_table)</f>
        <v>3867.1662239390766</v>
      </c>
      <c r="S70" cm="1">
        <f t="array" ref="S70">1*R$4/(S*Linterp(R$3,atmos_h,atmos_qms)*Q70^2)</f>
        <v>6.4527884129274238E-2</v>
      </c>
      <c r="T70" cm="1">
        <f t="array" ref="T70">InterpolateXY(S70,Q70,CD_CL,CD_M,CD_table)</f>
        <v>1.6007889109298512E-2</v>
      </c>
      <c r="U70" cm="1">
        <f t="array" ref="U70">T70*S*Linterp(R$3,atmos_h,atmos_qms)*Q70^2</f>
        <v>2480.7708055681073</v>
      </c>
      <c r="V70" cm="1">
        <f t="array" ref="V70">Q70*Linterp(R$3,atmos_h,atmos_aspeed)</f>
        <v>943.49948667841363</v>
      </c>
      <c r="W70" s="162">
        <f t="shared" si="10"/>
        <v>7848.3801933978839</v>
      </c>
      <c r="Y70">
        <v>0.86</v>
      </c>
      <c r="Z70" cm="1">
        <f t="array" ref="Z70">numeng*InterpolateXY(Z$3,Y70,Tmil_h,Tmil_M,Tmil_table)</f>
        <v>3568.3116525850201</v>
      </c>
      <c r="AA70" cm="1">
        <f t="array" ref="AA70">1*Z$4/(S*Linterp(Z$3,atmos_h,atmos_qms)*Y70^2)</f>
        <v>7.8071840773277265E-2</v>
      </c>
      <c r="AB70" cm="1">
        <f t="array" ref="AB70">InterpolateXY(AA70,Y70,CD_CL,CD_M,CD_table)</f>
        <v>1.617745944648143E-2</v>
      </c>
      <c r="AC70" cm="1">
        <f t="array" ref="AC70">AB70*S*Linterp(Z$3,atmos_h,atmos_qms)*Y70^2</f>
        <v>2072.1247617897484</v>
      </c>
      <c r="AD70" cm="1">
        <f t="array" ref="AD70">Y70*Linterp(Z$3,atmos_h,atmos_aspeed)</f>
        <v>926.55291328442775</v>
      </c>
      <c r="AE70" s="162">
        <f t="shared" si="11"/>
        <v>8317.7779349059729</v>
      </c>
      <c r="AG70">
        <v>0.86</v>
      </c>
      <c r="AH70" cm="1">
        <f t="array" ref="AH70">numeng*InterpolateXY(AH$3,AG70,Tmil_h,Tmil_M,Tmil_table)</f>
        <v>3148.679850740572</v>
      </c>
      <c r="AI70" cm="1">
        <f t="array" ref="AI70">1*AH$4/(S*Linterp(AH$3,atmos_h,atmos_qms)*AG70^2)</f>
        <v>9.5138023404810035E-2</v>
      </c>
      <c r="AJ70" cm="1">
        <f t="array" ref="AJ70">InterpolateXY(AI70,AG70,CD_CL,CD_M,CD_table)</f>
        <v>1.6391128053028222E-2</v>
      </c>
      <c r="AK70" cm="1">
        <f t="array" ref="AK70">AJ70*S*Linterp(AH$3,atmos_h,atmos_qms)*AG70^2</f>
        <v>1722.8787677545456</v>
      </c>
      <c r="AL70" cm="1">
        <f t="array" ref="AL70">AG70*Linterp(AH$3,atmos_h,atmos_aspeed)</f>
        <v>909.29055910049453</v>
      </c>
      <c r="AM70" s="162">
        <f t="shared" si="12"/>
        <v>7778.8047834867266</v>
      </c>
      <c r="AO70">
        <v>0.86</v>
      </c>
      <c r="AP70" cm="1">
        <f t="array" ref="AP70">numeng*InterpolateXY(AP$3,AO70,Tmil_h,Tmil_M,Tmil_table)</f>
        <v>2757.8030475670112</v>
      </c>
      <c r="AQ70" cm="1">
        <f t="array" ref="AQ70">1*AP$4/(S*Linterp(AP$3,atmos_h,atmos_qms)*AO70^2)</f>
        <v>0.11683417798444</v>
      </c>
      <c r="AR70" cm="1">
        <f t="array" ref="AR70">InterpolateXY(AQ70,AO70,CD_CL,CD_M,CD_table)</f>
        <v>1.7084291725095565E-2</v>
      </c>
      <c r="AS70" cm="1">
        <f t="array" ref="AS70">AR70*S*Linterp(AP$3,atmos_h,atmos_qms)*AO70^2</f>
        <v>1462.2683207794603</v>
      </c>
      <c r="AT70" cm="1">
        <f t="array" ref="AT70">AO70*Linterp(AP$3,atmos_h,atmos_aspeed)</f>
        <v>891.69408466285131</v>
      </c>
      <c r="AU70" s="162">
        <f t="shared" si="13"/>
        <v>6931.3239141105742</v>
      </c>
      <c r="AW70">
        <v>0.86</v>
      </c>
      <c r="AX70" cm="1">
        <f t="array" ref="AX70">numeng*InterpolateXY(AX$3,AW70,Tmil_h,Tmil_M,Tmil_table)</f>
        <v>2396.5111638366402</v>
      </c>
      <c r="AY70" cm="1">
        <f t="array" ref="AY70">1*AX$4/(S*Linterp(AX$3,atmos_h,atmos_qms)*AW70^2)</f>
        <v>0.14468211303409137</v>
      </c>
      <c r="AZ70" cm="1">
        <f t="array" ref="AZ70">InterpolateXY(AY70,AW70,CD_CL,CD_M,CD_table)</f>
        <v>1.8130260165560474E-2</v>
      </c>
      <c r="BA70" cm="1">
        <f t="array" ref="BA70">AZ70*S*Linterp(AX$3,atmos_h,atmos_qms)*AW70^2</f>
        <v>1253.1099930292316</v>
      </c>
      <c r="BB70" cm="1">
        <f t="array" ref="BB70">AW70*Linterp(AX$3,atmos_h,atmos_aspeed)</f>
        <v>873.74330348000376</v>
      </c>
      <c r="BC70" s="162">
        <f t="shared" si="14"/>
        <v>5994.2346971050147</v>
      </c>
      <c r="BE70">
        <v>0.86</v>
      </c>
      <c r="BF70" cm="1">
        <f t="array" ref="BF70">numeng*InterpolateXY(BF$3,BE70,Tmil_h,Tmil_M,Tmil_table)</f>
        <v>2065.1816546921186</v>
      </c>
      <c r="BG70" cm="1">
        <f t="array" ref="BG70">1*BF$4/(S*Linterp(BF$3,atmos_h,atmos_qms)*BE70^2)</f>
        <v>0.18079930337214625</v>
      </c>
      <c r="BH70" cm="1">
        <f t="array" ref="BH70">InterpolateXY(BG70,BE70,CD_CL,CD_M,CD_table)</f>
        <v>1.9486821834657813E-2</v>
      </c>
      <c r="BI70" cm="1">
        <f t="array" ref="BI70">BH70*S*Linterp(BF$3,atmos_h,atmos_qms)*BE70^2</f>
        <v>1077.8150950364741</v>
      </c>
      <c r="BJ70" cm="1">
        <f t="array" ref="BJ70">BE70*Linterp(BF$3,atmos_h,atmos_aspeed)</f>
        <v>855.41591061283157</v>
      </c>
      <c r="BK70" s="162">
        <f t="shared" si="15"/>
        <v>5067.6543884189514</v>
      </c>
      <c r="BM70">
        <v>0.86</v>
      </c>
      <c r="BN70" cm="1">
        <f t="array" ref="BN70">numeng*InterpolateXY(BN$3,BM70,Tmil_h,Tmil_M,Tmil_table)</f>
        <v>1763.7818075163027</v>
      </c>
      <c r="BO70" cm="1">
        <f t="array" ref="BO70">1*BN$4/(S*Linterp(BN$3,atmos_h,atmos_qms)*BM70^2)</f>
        <v>0.22817305857832493</v>
      </c>
      <c r="BP70" cm="1">
        <f t="array" ref="BP70">InterpolateXY(BO70,BM70,CD_CL,CD_M,CD_table)</f>
        <v>2.1971633467003142E-2</v>
      </c>
      <c r="BQ70" cm="1">
        <f t="array" ref="BQ70">BP70*S*Linterp(BN$3,atmos_h,atmos_qms)*BM70^2</f>
        <v>962.9372373715604</v>
      </c>
      <c r="BR70" cm="1">
        <f t="array" ref="BR70">BM70*Linterp(BN$3,atmos_h,atmos_aspeed)</f>
        <v>836.68715771368807</v>
      </c>
      <c r="BS70" s="162">
        <f t="shared" si="16"/>
        <v>4020.3382029890686</v>
      </c>
      <c r="BU70">
        <v>0.86</v>
      </c>
      <c r="BV70" cm="1">
        <f t="array" ref="BV70">numeng*InterpolateXY(BV$3,BU70,Tmil_h,Tmil_M,Tmil_table)</f>
        <v>1443.5378730108489</v>
      </c>
      <c r="BW70" cm="1">
        <f t="array" ref="BW70">1*BV$4/(S*Linterp(BV$3,atmos_h,atmos_qms)*BU70^2)</f>
        <v>0.290082301295641</v>
      </c>
      <c r="BX70" cm="1">
        <f t="array" ref="BX70">InterpolateXY(BW70,BU70,CD_CL,CD_M,CD_table)</f>
        <v>2.5847152061107128E-2</v>
      </c>
      <c r="BY70" cm="1">
        <f t="array" ref="BY70">BX70*S*Linterp(BV$3,atmos_h,atmos_qms)*BU70^2</f>
        <v>891.02823390678634</v>
      </c>
      <c r="BZ70" cm="1">
        <f t="array" ref="BZ70">BU70*Linterp(BV$3,atmos_h,atmos_aspeed)</f>
        <v>832.56643896243304</v>
      </c>
      <c r="CA70" s="162">
        <f t="shared" si="17"/>
        <v>2760.0058963277302</v>
      </c>
    </row>
    <row r="71" spans="1:79">
      <c r="I71">
        <v>0.87</v>
      </c>
      <c r="J71" cm="1">
        <f t="array" ref="J71">numeng*InterpolateXY(J$3,I71,Tmil_h,Tmil_M,Tmil_table)</f>
        <v>4148</v>
      </c>
      <c r="K71" cm="1">
        <f t="array" ref="K71">1*J$4/(S*Linterp(J$3,atmos_h,atmos_qms)*I71^2)</f>
        <v>5.2463072186747561E-2</v>
      </c>
      <c r="L71" cm="1">
        <f t="array" ref="L71">InterpolateXY(K71,I71,CD_CL,CD_M,CD_table)</f>
        <v>1.6057886925221813E-2</v>
      </c>
      <c r="M71" cm="1">
        <f t="array" ref="M71">L71*S*Linterp(J$3,atmos_h,atmos_qms)*I71^2</f>
        <v>3060.7980539268001</v>
      </c>
      <c r="N71" cm="1">
        <f t="array" ref="N71">I71*Linterp(J$3,atmos_h,atmos_aspeed)</f>
        <v>971.31150000000002</v>
      </c>
      <c r="O71" s="162">
        <f t="shared" si="9"/>
        <v>6336.0705182596739</v>
      </c>
      <c r="Q71">
        <v>0.87</v>
      </c>
      <c r="R71" cm="1">
        <f t="array" ref="R71">numeng*InterpolateXY(R$3,Q71,Tmil_h,Tmil_M,Tmil_table)</f>
        <v>3874.0595683667752</v>
      </c>
      <c r="S71" cm="1">
        <f t="array" ref="S71">1*R$4/(S*Linterp(R$3,atmos_h,atmos_qms)*Q71^2)</f>
        <v>6.3053009779378014E-2</v>
      </c>
      <c r="T71" cm="1">
        <f t="array" ref="T71">InterpolateXY(S71,Q71,CD_CL,CD_M,CD_table)</f>
        <v>1.61906847426334E-2</v>
      </c>
      <c r="U71" cm="1">
        <f t="array" ref="U71">T71*S*Linterp(R$3,atmos_h,atmos_qms)*Q71^2</f>
        <v>2567.7893568101631</v>
      </c>
      <c r="V71" cm="1">
        <f t="array" ref="V71">Q71*Linterp(R$3,atmos_h,atmos_aspeed)</f>
        <v>954.47041094211613</v>
      </c>
      <c r="W71" s="162">
        <f t="shared" si="10"/>
        <v>7480.7775937553079</v>
      </c>
      <c r="Y71">
        <v>0.87</v>
      </c>
      <c r="Z71" cm="1">
        <f t="array" ref="Z71">numeng*InterpolateXY(Z$3,Y71,Tmil_h,Tmil_M,Tmil_table)</f>
        <v>3577.1733537089895</v>
      </c>
      <c r="AA71" cm="1">
        <f t="array" ref="AA71">1*Z$4/(S*Linterp(Z$3,atmos_h,atmos_qms)*Y71^2)</f>
        <v>7.6287400496651961E-2</v>
      </c>
      <c r="AB71" cm="1">
        <f t="array" ref="AB71">InterpolateXY(AA71,Y71,CD_CL,CD_M,CD_table)</f>
        <v>1.6356644002228016E-2</v>
      </c>
      <c r="AC71" cm="1">
        <f t="array" ref="AC71">AB71*S*Linterp(Z$3,atmos_h,atmos_qms)*Y71^2</f>
        <v>2144.0819710386995</v>
      </c>
      <c r="AD71" cm="1">
        <f t="array" ref="AD71">Y71*Linterp(Z$3,atmos_h,atmos_aspeed)</f>
        <v>937.32678436913034</v>
      </c>
      <c r="AE71" s="162">
        <f t="shared" si="11"/>
        <v>8059.6496245527223</v>
      </c>
      <c r="AG71">
        <v>0.87</v>
      </c>
      <c r="AH71" cm="1">
        <f t="array" ref="AH71">numeng*InterpolateXY(AH$3,AG71,Tmil_h,Tmil_M,Tmil_table)</f>
        <v>3157.4891069177038</v>
      </c>
      <c r="AI71" cm="1">
        <f t="array" ref="AI71">1*AH$4/(S*Linterp(AH$3,atmos_h,atmos_qms)*AG71^2)</f>
        <v>9.2963511838020207E-2</v>
      </c>
      <c r="AJ71" cm="1">
        <f t="array" ref="AJ71">InterpolateXY(AI71,AG71,CD_CL,CD_M,CD_table)</f>
        <v>1.6565762438448775E-2</v>
      </c>
      <c r="AK71" cm="1">
        <f t="array" ref="AK71">AJ71*S*Linterp(AH$3,atmos_h,atmos_qms)*AG71^2</f>
        <v>1781.9639244387618</v>
      </c>
      <c r="AL71" cm="1">
        <f t="array" ref="AL71">AG71*Linterp(AH$3,atmos_h,atmos_aspeed)</f>
        <v>919.86370513654686</v>
      </c>
      <c r="AM71" s="162">
        <f t="shared" si="12"/>
        <v>7591.7741451822249</v>
      </c>
      <c r="AO71">
        <v>0.87</v>
      </c>
      <c r="AP71" cm="1">
        <f t="array" ref="AP71">numeng*InterpolateXY(AP$3,AO71,Tmil_h,Tmil_M,Tmil_table)</f>
        <v>2766.3279410679911</v>
      </c>
      <c r="AQ71" cm="1">
        <f t="array" ref="AQ71">1*AP$4/(S*Linterp(AP$3,atmos_h,atmos_qms)*AO71^2)</f>
        <v>0.11416377069268306</v>
      </c>
      <c r="AR71" cm="1">
        <f t="array" ref="AR71">InterpolateXY(AQ71,AO71,CD_CL,CD_M,CD_table)</f>
        <v>1.7186841053458739E-2</v>
      </c>
      <c r="AS71" cm="1">
        <f t="array" ref="AS71">AR71*S*Linterp(AP$3,atmos_h,atmos_qms)*AO71^2</f>
        <v>1505.4549222733644</v>
      </c>
      <c r="AT71" cm="1">
        <f t="array" ref="AT71">AO71*Linterp(AP$3,atmos_h,atmos_aspeed)</f>
        <v>902.06262053102398</v>
      </c>
      <c r="AU71" s="162">
        <f t="shared" si="13"/>
        <v>6824.3185169444632</v>
      </c>
      <c r="AW71">
        <v>0.87</v>
      </c>
      <c r="AX71" cm="1">
        <f t="array" ref="AX71">numeng*InterpolateXY(AX$3,AW71,Tmil_h,Tmil_M,Tmil_table)</f>
        <v>2404.5772073948042</v>
      </c>
      <c r="AY71" cm="1">
        <f t="array" ref="AY71">1*AX$4/(S*Linterp(AX$3,atmos_h,atmos_qms)*AW71^2)</f>
        <v>0.14137520253668115</v>
      </c>
      <c r="AZ71" cm="1">
        <f t="array" ref="AZ71">InterpolateXY(AY71,AW71,CD_CL,CD_M,CD_table)</f>
        <v>1.8210535119429945E-2</v>
      </c>
      <c r="BA71" cm="1">
        <f t="array" ref="BA71">AZ71*S*Linterp(AX$3,atmos_h,atmos_qms)*AW71^2</f>
        <v>1288.0996661847435</v>
      </c>
      <c r="BB71" cm="1">
        <f t="array" ref="BB71">AW71*Linterp(AX$3,atmos_h,atmos_aspeed)</f>
        <v>883.90310933442242</v>
      </c>
      <c r="BC71" s="162">
        <f t="shared" si="14"/>
        <v>5921.1478210657406</v>
      </c>
      <c r="BE71">
        <v>0.87</v>
      </c>
      <c r="BF71" cm="1">
        <f t="array" ref="BF71">numeng*InterpolateXY(BF$3,BE71,Tmil_h,Tmil_M,Tmil_table)</f>
        <v>2072.6641969192642</v>
      </c>
      <c r="BG71" cm="1">
        <f t="array" ref="BG71">1*BF$4/(S*Linterp(BF$3,atmos_h,atmos_qms)*BE71^2)</f>
        <v>0.17666688436258338</v>
      </c>
      <c r="BH71" cm="1">
        <f t="array" ref="BH71">InterpolateXY(BG71,BE71,CD_CL,CD_M,CD_table)</f>
        <v>1.9538208189720387E-2</v>
      </c>
      <c r="BI71" cm="1">
        <f t="array" ref="BI71">BH71*S*Linterp(BF$3,atmos_h,atmos_qms)*BE71^2</f>
        <v>1105.9349498472518</v>
      </c>
      <c r="BJ71" cm="1">
        <f t="array" ref="BJ71">BE71*Linterp(BF$3,atmos_h,atmos_aspeed)</f>
        <v>865.3626072478645</v>
      </c>
      <c r="BK71" s="162">
        <f t="shared" si="15"/>
        <v>5019.4280504940098</v>
      </c>
      <c r="BM71">
        <v>0.87</v>
      </c>
      <c r="BN71" cm="1">
        <f t="array" ref="BN71">numeng*InterpolateXY(BN$3,BM71,Tmil_h,Tmil_M,Tmil_table)</f>
        <v>1770.5989543478836</v>
      </c>
      <c r="BO71" cm="1">
        <f t="array" ref="BO71">1*BN$4/(S*Linterp(BN$3,atmos_h,atmos_qms)*BM71^2)</f>
        <v>0.22295784664358448</v>
      </c>
      <c r="BP71" cm="1">
        <f t="array" ref="BP71">InterpolateXY(BO71,BM71,CD_CL,CD_M,CD_table)</f>
        <v>2.1855456984552747E-2</v>
      </c>
      <c r="BQ71" cm="1">
        <f t="array" ref="BQ71">BP71*S*Linterp(BN$3,atmos_h,atmos_qms)*BM71^2</f>
        <v>980.25063094058305</v>
      </c>
      <c r="BR71" cm="1">
        <f t="array" ref="BR71">BM71*Linterp(BN$3,atmos_h,atmos_aspeed)</f>
        <v>846.41607815221926</v>
      </c>
      <c r="BS71" s="162">
        <f t="shared" si="16"/>
        <v>4013.7811696355352</v>
      </c>
      <c r="BU71">
        <v>0.87</v>
      </c>
      <c r="BV71" cm="1">
        <f t="array" ref="BV71">numeng*InterpolateXY(BV$3,BU71,Tmil_h,Tmil_M,Tmil_table)</f>
        <v>1449.4459407039355</v>
      </c>
      <c r="BW71" cm="1">
        <f t="array" ref="BW71">1*BV$4/(S*Linterp(BV$3,atmos_h,atmos_qms)*BU71^2)</f>
        <v>0.28345206769488185</v>
      </c>
      <c r="BX71" cm="1">
        <f t="array" ref="BX71">InterpolateXY(BW71,BU71,CD_CL,CD_M,CD_table)</f>
        <v>2.5648444644469092E-2</v>
      </c>
      <c r="BY71" cm="1">
        <f t="array" ref="BY71">BX71*S*Linterp(BV$3,atmos_h,atmos_qms)*BU71^2</f>
        <v>904.86002988265409</v>
      </c>
      <c r="BZ71" cm="1">
        <f t="array" ref="BZ71">BU71*Linterp(BV$3,atmos_h,atmos_aspeed)</f>
        <v>842.2474440666474</v>
      </c>
      <c r="CA71" s="162">
        <f t="shared" si="17"/>
        <v>2752.0565487835888</v>
      </c>
    </row>
    <row r="72" spans="1:79">
      <c r="I72">
        <v>0.88</v>
      </c>
      <c r="J72" cm="1">
        <f t="array" ref="J72">numeng*InterpolateXY(J$3,I72,Tmil_h,Tmil_M,Tmil_table)</f>
        <v>4152</v>
      </c>
      <c r="K72" cm="1">
        <f t="array" ref="K72">1*J$4/(S*Linterp(J$3,atmos_h,atmos_qms)*I72^2)</f>
        <v>5.1277504310626582E-2</v>
      </c>
      <c r="L72" cm="1">
        <f t="array" ref="L72">InterpolateXY(K72,I72,CD_CL,CD_M,CD_table)</f>
        <v>1.624404545414147E-2</v>
      </c>
      <c r="M72" cm="1">
        <f t="array" ref="M72">L72*S*Linterp(J$3,atmos_h,atmos_qms)*I72^2</f>
        <v>3167.8697457151998</v>
      </c>
      <c r="N72" cm="1">
        <f t="array" ref="N72">I72*Linterp(J$3,atmos_h,atmos_aspeed)</f>
        <v>982.476</v>
      </c>
      <c r="O72" s="162">
        <f t="shared" si="9"/>
        <v>5801.3061342522806</v>
      </c>
      <c r="Q72">
        <v>0.88</v>
      </c>
      <c r="R72" cm="1">
        <f t="array" ref="R72">numeng*InterpolateXY(R$3,Q72,Tmil_h,Tmil_M,Tmil_table)</f>
        <v>3880.9529127944743</v>
      </c>
      <c r="S72" cm="1">
        <f t="array" ref="S72">1*R$4/(S*Linterp(R$3,atmos_h,atmos_qms)*Q72^2)</f>
        <v>6.1628129005696308E-2</v>
      </c>
      <c r="T72" cm="1">
        <f t="array" ref="T72">InterpolateXY(S72,Q72,CD_CL,CD_M,CD_table)</f>
        <v>1.6374049300311548E-2</v>
      </c>
      <c r="U72" cm="1">
        <f t="array" ref="U72">T72*S*Linterp(R$3,atmos_h,atmos_qms)*Q72^2</f>
        <v>2656.9116350746413</v>
      </c>
      <c r="V72" cm="1">
        <f t="array" ref="V72">Q72*Linterp(R$3,atmos_h,atmos_aspeed)</f>
        <v>965.44133520581863</v>
      </c>
      <c r="W72" s="162">
        <f t="shared" si="10"/>
        <v>7090.4402730532302</v>
      </c>
      <c r="Y72">
        <v>0.88</v>
      </c>
      <c r="Z72" cm="1">
        <f t="array" ref="Z72">numeng*InterpolateXY(Z$3,Y72,Tmil_h,Tmil_M,Tmil_table)</f>
        <v>3586.0350548329588</v>
      </c>
      <c r="AA72" cm="1">
        <f t="array" ref="AA72">1*Z$4/(S*Linterp(Z$3,atmos_h,atmos_qms)*Y72^2)</f>
        <v>7.4563447102164088E-2</v>
      </c>
      <c r="AB72" cm="1">
        <f t="array" ref="AB72">InterpolateXY(AA72,Y72,CD_CL,CD_M,CD_table)</f>
        <v>1.653651689560318E-2</v>
      </c>
      <c r="AC72" cm="1">
        <f t="array" ref="AC72">AB72*S*Linterp(Z$3,atmos_h,atmos_qms)*Y72^2</f>
        <v>2217.7779512990401</v>
      </c>
      <c r="AD72" cm="1">
        <f t="array" ref="AD72">Y72*Linterp(Z$3,atmos_h,atmos_aspeed)</f>
        <v>948.10065545383304</v>
      </c>
      <c r="AE72" s="162">
        <f t="shared" si="11"/>
        <v>7783.4727401392283</v>
      </c>
      <c r="AG72">
        <v>0.88</v>
      </c>
      <c r="AH72" cm="1">
        <f t="array" ref="AH72">numeng*InterpolateXY(AH$3,AG72,Tmil_h,Tmil_M,Tmil_table)</f>
        <v>3166.2983630948356</v>
      </c>
      <c r="AI72" cm="1">
        <f t="array" ref="AI72">1*AH$4/(S*Linterp(AH$3,atmos_h,atmos_qms)*AG72^2)</f>
        <v>9.0862709336515357E-2</v>
      </c>
      <c r="AJ72" cm="1">
        <f t="array" ref="AJ72">InterpolateXY(AI72,AG72,CD_CL,CD_M,CD_table)</f>
        <v>1.6741235629266632E-2</v>
      </c>
      <c r="AK72" cm="1">
        <f t="array" ref="AK72">AJ72*S*Linterp(AH$3,atmos_h,atmos_qms)*AG72^2</f>
        <v>1842.4759454689479</v>
      </c>
      <c r="AL72" cm="1">
        <f t="array" ref="AL72">AG72*Linterp(AH$3,atmos_h,atmos_aspeed)</f>
        <v>930.43685117259906</v>
      </c>
      <c r="AM72" s="162">
        <f t="shared" si="12"/>
        <v>7390.3989706051707</v>
      </c>
      <c r="AO72">
        <v>0.88</v>
      </c>
      <c r="AP72" cm="1">
        <f t="array" ref="AP72">numeng*InterpolateXY(AP$3,AO72,Tmil_h,Tmil_M,Tmil_table)</f>
        <v>2774.852834568971</v>
      </c>
      <c r="AQ72" cm="1">
        <f t="array" ref="AQ72">1*AP$4/(S*Linterp(AP$3,atmos_h,atmos_qms)*AO72^2)</f>
        <v>0.11158388176303179</v>
      </c>
      <c r="AR72" cm="1">
        <f t="array" ref="AR72">InterpolateXY(AQ72,AO72,CD_CL,CD_M,CD_table)</f>
        <v>1.729248066483104E-2</v>
      </c>
      <c r="AS72" cm="1">
        <f t="array" ref="AS72">AR72*S*Linterp(AP$3,atmos_h,atmos_qms)*AO72^2</f>
        <v>1549.72926121666</v>
      </c>
      <c r="AT72" cm="1">
        <f t="array" ref="AT72">AO72*Linterp(AP$3,atmos_h,atmos_aspeed)</f>
        <v>912.43115639919665</v>
      </c>
      <c r="AU72" s="162">
        <f t="shared" si="13"/>
        <v>6707.0455125945909</v>
      </c>
      <c r="AW72">
        <v>0.88</v>
      </c>
      <c r="AX72" cm="1">
        <f t="array" ref="AX72">numeng*InterpolateXY(AX$3,AW72,Tmil_h,Tmil_M,Tmil_table)</f>
        <v>2412.6432509529677</v>
      </c>
      <c r="AY72" cm="1">
        <f t="array" ref="AY72">1*AX$4/(S*Linterp(AX$3,atmos_h,atmos_qms)*AW72^2)</f>
        <v>0.13818038584712547</v>
      </c>
      <c r="AZ72" cm="1">
        <f t="array" ref="AZ72">InterpolateXY(AY72,AW72,CD_CL,CD_M,CD_table)</f>
        <v>1.8294636938719688E-2</v>
      </c>
      <c r="BA72" cm="1">
        <f t="array" ref="BA72">AZ72*S*Linterp(AX$3,atmos_h,atmos_qms)*AW72^2</f>
        <v>1323.9677126795534</v>
      </c>
      <c r="BB72" cm="1">
        <f t="array" ref="BB72">AW72*Linterp(AX$3,atmos_h,atmos_aspeed)</f>
        <v>894.06291518884109</v>
      </c>
      <c r="BC72" s="162">
        <f t="shared" si="14"/>
        <v>5840.0665526610564</v>
      </c>
      <c r="BE72">
        <v>0.88</v>
      </c>
      <c r="BF72" cm="1">
        <f t="array" ref="BF72">numeng*InterpolateXY(BF$3,BE72,Tmil_h,Tmil_M,Tmil_table)</f>
        <v>2080.1467391464093</v>
      </c>
      <c r="BG72" cm="1">
        <f t="array" ref="BG72">1*BF$4/(S*Linterp(BF$3,atmos_h,atmos_qms)*BE72^2)</f>
        <v>0.17267454128879051</v>
      </c>
      <c r="BH72" cm="1">
        <f t="array" ref="BH72">InterpolateXY(BG72,BE72,CD_CL,CD_M,CD_table)</f>
        <v>1.9594376715761627E-2</v>
      </c>
      <c r="BI72" cm="1">
        <f t="array" ref="BI72">BH72*S*Linterp(BF$3,atmos_h,atmos_qms)*BE72^2</f>
        <v>1134.7577106338392</v>
      </c>
      <c r="BJ72" cm="1">
        <f t="array" ref="BJ72">BE72*Linterp(BF$3,atmos_h,atmos_aspeed)</f>
        <v>875.30930388289744</v>
      </c>
      <c r="BK72" s="162">
        <f t="shared" si="15"/>
        <v>4965.0468746751985</v>
      </c>
      <c r="BM72">
        <v>0.88</v>
      </c>
      <c r="BN72" cm="1">
        <f t="array" ref="BN72">numeng*InterpolateXY(BN$3,BM72,Tmil_h,Tmil_M,Tmil_table)</f>
        <v>1777.4161011794647</v>
      </c>
      <c r="BO72" cm="1">
        <f t="array" ref="BO72">1*BN$4/(S*Linterp(BN$3,atmos_h,atmos_qms)*BM72^2)</f>
        <v>0.21791941390047664</v>
      </c>
      <c r="BP72" cm="1">
        <f t="array" ref="BP72">InterpolateXY(BO72,BM72,CD_CL,CD_M,CD_table)</f>
        <v>2.1749339192949933E-2</v>
      </c>
      <c r="BQ72" cm="1">
        <f t="array" ref="BQ72">BP72*S*Linterp(BN$3,atmos_h,atmos_qms)*BM72^2</f>
        <v>998.04504810584774</v>
      </c>
      <c r="BR72" cm="1">
        <f t="array" ref="BR72">BM72*Linterp(BN$3,atmos_h,atmos_aspeed)</f>
        <v>856.14499859075056</v>
      </c>
      <c r="BS72" s="162">
        <f t="shared" si="16"/>
        <v>4003.5277748123012</v>
      </c>
      <c r="BU72">
        <v>0.88</v>
      </c>
      <c r="BV72" cm="1">
        <f t="array" ref="BV72">numeng*InterpolateXY(BV$3,BU72,Tmil_h,Tmil_M,Tmil_table)</f>
        <v>1455.3540083970224</v>
      </c>
      <c r="BW72" cm="1">
        <f t="array" ref="BW72">1*BV$4/(S*Linterp(BV$3,atmos_h,atmos_qms)*BU72^2)</f>
        <v>0.27704657804526867</v>
      </c>
      <c r="BX72" cm="1">
        <f t="array" ref="BX72">InterpolateXY(BW72,BU72,CD_CL,CD_M,CD_table)</f>
        <v>2.5462525101242871E-2</v>
      </c>
      <c r="BY72" cm="1">
        <f t="array" ref="BY72">BX72*S*Linterp(BV$3,atmos_h,atmos_qms)*BU72^2</f>
        <v>919.07018960119979</v>
      </c>
      <c r="BZ72" cm="1">
        <f t="array" ref="BZ72">BU72*Linterp(BV$3,atmos_h,atmos_aspeed)</f>
        <v>851.92844917086177</v>
      </c>
      <c r="CA72" s="162">
        <f t="shared" si="17"/>
        <v>2741.2526523729157</v>
      </c>
    </row>
    <row r="73" spans="1:79">
      <c r="I73">
        <v>0.89</v>
      </c>
      <c r="J73" cm="1">
        <f t="array" ref="J73">numeng*InterpolateXY(J$3,I73,Tmil_h,Tmil_M,Tmil_table)</f>
        <v>4156</v>
      </c>
      <c r="K73" cm="1">
        <f t="array" ref="K73">1*J$4/(S*Linterp(J$3,atmos_h,atmos_qms)*I73^2)</f>
        <v>5.0131674457958873E-2</v>
      </c>
      <c r="L73" cm="1">
        <f t="array" ref="L73">InterpolateXY(K73,I73,CD_CL,CD_M,CD_table)</f>
        <v>1.6430656464681122E-2</v>
      </c>
      <c r="M73" cm="1">
        <f t="array" ref="M73">L73*S*Linterp(J$3,atmos_h,atmos_qms)*I73^2</f>
        <v>3277.5000321324001</v>
      </c>
      <c r="N73" cm="1">
        <f t="array" ref="N73">I73*Linterp(J$3,atmos_h,atmos_aspeed)</f>
        <v>993.64050000000009</v>
      </c>
      <c r="O73" s="162">
        <f t="shared" si="9"/>
        <v>5237.4788839316752</v>
      </c>
      <c r="Q73">
        <v>0.89</v>
      </c>
      <c r="R73" cm="1">
        <f t="array" ref="R73">numeng*InterpolateXY(R$3,Q73,Tmil_h,Tmil_M,Tmil_table)</f>
        <v>3887.8462572221729</v>
      </c>
      <c r="S73" cm="1">
        <f t="array" ref="S73">1*R$4/(S*Linterp(R$3,atmos_h,atmos_qms)*Q73^2)</f>
        <v>6.0251007577340254E-2</v>
      </c>
      <c r="T73" cm="1">
        <f t="array" ref="T73">InterpolateXY(S73,Q73,CD_CL,CD_M,CD_table)</f>
        <v>1.6557957675322942E-2</v>
      </c>
      <c r="U73" cm="1">
        <f t="array" ref="U73">T73*S*Linterp(R$3,atmos_h,atmos_qms)*Q73^2</f>
        <v>2748.1627845092185</v>
      </c>
      <c r="V73" cm="1">
        <f t="array" ref="V73">Q73*Linterp(R$3,atmos_h,atmos_aspeed)</f>
        <v>976.41225946952113</v>
      </c>
      <c r="W73" s="162">
        <f t="shared" si="10"/>
        <v>6676.8054880303562</v>
      </c>
      <c r="Y73">
        <v>0.89</v>
      </c>
      <c r="Z73" cm="1">
        <f t="array" ref="Z73">numeng*InterpolateXY(Z$3,Y73,Tmil_h,Tmil_M,Tmil_table)</f>
        <v>3594.8967559569282</v>
      </c>
      <c r="AA73" cm="1">
        <f t="array" ref="AA73">1*Z$4/(S*Linterp(Z$3,atmos_h,atmos_qms)*Y73^2)</f>
        <v>7.2897277409311789E-2</v>
      </c>
      <c r="AB73" cm="1">
        <f t="array" ref="AB73">InterpolateXY(AA73,Y73,CD_CL,CD_M,CD_table)</f>
        <v>1.6717047749809144E-2</v>
      </c>
      <c r="AC73" cm="1">
        <f t="array" ref="AC73">AB73*S*Linterp(Z$3,atmos_h,atmos_qms)*Y73^2</f>
        <v>2293.2334846944141</v>
      </c>
      <c r="AD73" cm="1">
        <f t="array" ref="AD73">Y73*Linterp(Z$3,atmos_h,atmos_aspeed)</f>
        <v>958.87452653853575</v>
      </c>
      <c r="AE73" s="162">
        <f t="shared" si="11"/>
        <v>7488.7905176666709</v>
      </c>
      <c r="AG73">
        <v>0.89</v>
      </c>
      <c r="AH73" cm="1">
        <f t="array" ref="AH73">numeng*InterpolateXY(AH$3,AG73,Tmil_h,Tmil_M,Tmil_table)</f>
        <v>3175.1076192719675</v>
      </c>
      <c r="AI73" cm="1">
        <f t="array" ref="AI73">1*AH$4/(S*Linterp(AH$3,atmos_h,atmos_qms)*AG73^2)</f>
        <v>8.8832321815676671E-2</v>
      </c>
      <c r="AJ73" cm="1">
        <f t="array" ref="AJ73">InterpolateXY(AI73,AG73,CD_CL,CD_M,CD_table)</f>
        <v>1.6917510608441211E-2</v>
      </c>
      <c r="AK73" cm="1">
        <f t="array" ref="AK73">AJ73*S*Linterp(AH$3,atmos_h,atmos_qms)*AG73^2</f>
        <v>1904.4318850006348</v>
      </c>
      <c r="AL73" cm="1">
        <f t="array" ref="AL73">AG73*Linterp(AH$3,atmos_h,atmos_aspeed)</f>
        <v>941.00999720865138</v>
      </c>
      <c r="AM73" s="162">
        <f t="shared" si="12"/>
        <v>7174.3114149586063</v>
      </c>
      <c r="AO73">
        <v>0.89</v>
      </c>
      <c r="AP73" cm="1">
        <f t="array" ref="AP73">numeng*InterpolateXY(AP$3,AO73,Tmil_h,Tmil_M,Tmil_table)</f>
        <v>2783.377728069951</v>
      </c>
      <c r="AQ73" cm="1">
        <f t="array" ref="AQ73">1*AP$4/(S*Linterp(AP$3,atmos_h,atmos_qms)*AO73^2)</f>
        <v>0.10909046589735111</v>
      </c>
      <c r="AR73" cm="1">
        <f t="array" ref="AR73">InterpolateXY(AQ73,AO73,CD_CL,CD_M,CD_table)</f>
        <v>1.740107418296603E-2</v>
      </c>
      <c r="AS73" cm="1">
        <f t="array" ref="AS73">AR73*S*Linterp(AP$3,atmos_h,atmos_qms)*AO73^2</f>
        <v>1595.1049470573907</v>
      </c>
      <c r="AT73" cm="1">
        <f t="array" ref="AT73">AO73*Linterp(AP$3,atmos_h,atmos_aspeed)</f>
        <v>922.79969226736932</v>
      </c>
      <c r="AU73" s="162">
        <f t="shared" si="13"/>
        <v>6579.2265398884911</v>
      </c>
      <c r="AW73">
        <v>0.89</v>
      </c>
      <c r="AX73" cm="1">
        <f t="array" ref="AX73">numeng*InterpolateXY(AX$3,AW73,Tmil_h,Tmil_M,Tmil_table)</f>
        <v>2420.7092945111317</v>
      </c>
      <c r="AY73" cm="1">
        <f t="array" ref="AY73">1*AX$4/(S*Linterp(AX$3,atmos_h,atmos_qms)*AW73^2)</f>
        <v>0.13509265345286448</v>
      </c>
      <c r="AZ73" cm="1">
        <f t="array" ref="AZ73">InterpolateXY(AY73,AW73,CD_CL,CD_M,CD_table)</f>
        <v>1.8382396741311105E-2</v>
      </c>
      <c r="BA73" cm="1">
        <f t="array" ref="BA73">AZ73*S*Linterp(AX$3,atmos_h,atmos_qms)*AW73^2</f>
        <v>1360.7251224601162</v>
      </c>
      <c r="BB73" cm="1">
        <f t="array" ref="BB73">AW73*Linterp(AX$3,atmos_h,atmos_aspeed)</f>
        <v>904.22272104325975</v>
      </c>
      <c r="BC73" s="162">
        <f t="shared" si="14"/>
        <v>5750.7706338885364</v>
      </c>
      <c r="BE73">
        <v>0.89</v>
      </c>
      <c r="BF73" cm="1">
        <f t="array" ref="BF73">numeng*InterpolateXY(BF$3,BE73,Tmil_h,Tmil_M,Tmil_table)</f>
        <v>2087.6292813735549</v>
      </c>
      <c r="BG73" cm="1">
        <f t="array" ref="BG73">1*BF$4/(S*Linterp(BF$3,atmos_h,atmos_qms)*BE73^2)</f>
        <v>0.16881601410685437</v>
      </c>
      <c r="BH73" cm="1">
        <f t="array" ref="BH73">InterpolateXY(BG73,BE73,CD_CL,CD_M,CD_table)</f>
        <v>1.9655116372392683E-2</v>
      </c>
      <c r="BI73" cm="1">
        <f t="array" ref="BI73">BH73*S*Linterp(BF$3,atmos_h,atmos_qms)*BE73^2</f>
        <v>1164.2921719471301</v>
      </c>
      <c r="BJ73" cm="1">
        <f t="array" ref="BJ73">BE73*Linterp(BF$3,atmos_h,atmos_aspeed)</f>
        <v>885.25600051793037</v>
      </c>
      <c r="BK73" s="162">
        <f t="shared" si="15"/>
        <v>4904.3382997237404</v>
      </c>
      <c r="BM73">
        <v>0.89</v>
      </c>
      <c r="BN73" cm="1">
        <f t="array" ref="BN73">numeng*InterpolateXY(BN$3,BM73,Tmil_h,Tmil_M,Tmil_table)</f>
        <v>1784.2332480110456</v>
      </c>
      <c r="BO73" cm="1">
        <f t="array" ref="BO73">1*BN$4/(S*Linterp(BN$3,atmos_h,atmos_qms)*BM73^2)</f>
        <v>0.21304986002339235</v>
      </c>
      <c r="BP73" cm="1">
        <f t="array" ref="BP73">InterpolateXY(BO73,BM73,CD_CL,CD_M,CD_table)</f>
        <v>2.1652836195471377E-2</v>
      </c>
      <c r="BQ73" cm="1">
        <f t="array" ref="BQ73">BP73*S*Linterp(BN$3,atmos_h,atmos_qms)*BM73^2</f>
        <v>1016.3271730426834</v>
      </c>
      <c r="BR73" cm="1">
        <f t="array" ref="BR73">BM73*Linterp(BN$3,atmos_h,atmos_aspeed)</f>
        <v>865.87391902928186</v>
      </c>
      <c r="BS73" s="162">
        <f t="shared" si="16"/>
        <v>3989.4590554754959</v>
      </c>
      <c r="BU73">
        <v>0.89</v>
      </c>
      <c r="BV73" cm="1">
        <f t="array" ref="BV73">numeng*InterpolateXY(BV$3,BU73,Tmil_h,Tmil_M,Tmil_table)</f>
        <v>1461.2620760901091</v>
      </c>
      <c r="BW73" cm="1">
        <f t="array" ref="BW73">1*BV$4/(S*Linterp(BV$3,atmos_h,atmos_qms)*BU73^2)</f>
        <v>0.27085578845885128</v>
      </c>
      <c r="BX73" cm="1">
        <f t="array" ref="BX73">InterpolateXY(BW73,BU73,CD_CL,CD_M,CD_table)</f>
        <v>2.5288829094061747E-2</v>
      </c>
      <c r="BY73" cm="1">
        <f t="array" ref="BY73">BX73*S*Linterp(BV$3,atmos_h,atmos_qms)*BU73^2</f>
        <v>933.6639707038662</v>
      </c>
      <c r="BZ73" cm="1">
        <f t="array" ref="BZ73">BU73*Linterp(BV$3,atmos_h,atmos_aspeed)</f>
        <v>861.60945427507613</v>
      </c>
      <c r="CA73" s="162">
        <f t="shared" si="17"/>
        <v>2727.5010939504291</v>
      </c>
    </row>
    <row r="74" spans="1:79">
      <c r="I74">
        <v>0.9</v>
      </c>
      <c r="J74" cm="1">
        <f t="array" ref="J74">numeng*InterpolateXY(J$3,I74,Tmil_h,Tmil_M,Tmil_table)</f>
        <v>4160</v>
      </c>
      <c r="K74" cm="1">
        <f t="array" ref="K74">1*J$4/(S*Linterp(J$3,atmos_h,atmos_qms)*I74^2)</f>
        <v>4.9023826343394097E-2</v>
      </c>
      <c r="L74" cm="1">
        <f t="array" ref="L74">InterpolateXY(K74,I74,CD_CL,CD_M,CD_table)</f>
        <v>1.6617700211926767E-2</v>
      </c>
      <c r="M74" cm="1">
        <f t="array" ref="M74">L74*S*Linterp(J$3,atmos_h,atmos_qms)*I74^2</f>
        <v>3389.7191328000008</v>
      </c>
      <c r="N74" cm="1">
        <f t="array" ref="N74">I74*Linterp(J$3,atmos_h,atmos_aspeed)</f>
        <v>1004.8050000000001</v>
      </c>
      <c r="O74" s="162">
        <f t="shared" si="9"/>
        <v>4643.8924006013713</v>
      </c>
      <c r="Q74">
        <v>0.9</v>
      </c>
      <c r="R74" cm="1">
        <f t="array" ref="R74">numeng*InterpolateXY(R$3,Q74,Tmil_h,Tmil_M,Tmil_table)</f>
        <v>3894.7396016498719</v>
      </c>
      <c r="S74" cm="1">
        <f t="array" ref="S74">1*R$4/(S*Linterp(R$3,atmos_h,atmos_qms)*Q74^2)</f>
        <v>5.8919534693841008E-2</v>
      </c>
      <c r="T74" cm="1">
        <f t="array" ref="T74">InterpolateXY(S74,Q74,CD_CL,CD_M,CD_table)</f>
        <v>1.6742386137142396E-2</v>
      </c>
      <c r="U74" cm="1">
        <f t="array" ref="U74">T74*S*Linterp(R$3,atmos_h,atmos_qms)*Q74^2</f>
        <v>2841.5679492615745</v>
      </c>
      <c r="V74" cm="1">
        <f t="array" ref="V74">Q74*Linterp(R$3,atmos_h,atmos_aspeed)</f>
        <v>987.38318373322363</v>
      </c>
      <c r="W74" s="162">
        <f t="shared" si="10"/>
        <v>6239.3038749164216</v>
      </c>
      <c r="Y74">
        <v>0.9</v>
      </c>
      <c r="Z74" cm="1">
        <f t="array" ref="Z74">numeng*InterpolateXY(Z$3,Y74,Tmil_h,Tmil_M,Tmil_table)</f>
        <v>3603.7584570808976</v>
      </c>
      <c r="AA74" cm="1">
        <f t="array" ref="AA74">1*Z$4/(S*Linterp(Z$3,atmos_h,atmos_qms)*Y74^2)</f>
        <v>7.1286337575204764E-2</v>
      </c>
      <c r="AB74" cm="1">
        <f t="array" ref="AB74">InterpolateXY(AA74,Y74,CD_CL,CD_M,CD_table)</f>
        <v>1.6898207853447582E-2</v>
      </c>
      <c r="AC74" cm="1">
        <f t="array" ref="AC74">AB74*S*Linterp(Z$3,atmos_h,atmos_qms)*Y74^2</f>
        <v>2370.4693533484624</v>
      </c>
      <c r="AD74" cm="1">
        <f t="array" ref="AD74">Y74*Linterp(Z$3,atmos_h,atmos_aspeed)</f>
        <v>969.64839762323834</v>
      </c>
      <c r="AE74" s="162">
        <f t="shared" si="11"/>
        <v>7175.1408194421338</v>
      </c>
      <c r="AG74">
        <v>0.9</v>
      </c>
      <c r="AH74" cm="1">
        <f t="array" ref="AH74">numeng*InterpolateXY(AH$3,AG74,Tmil_h,Tmil_M,Tmil_table)</f>
        <v>3183.9168754490993</v>
      </c>
      <c r="AI74" cm="1">
        <f t="array" ref="AI74">1*AH$4/(S*Linterp(AH$3,atmos_h,atmos_qms)*AG74^2)</f>
        <v>8.6869237173083313E-2</v>
      </c>
      <c r="AJ74" cm="1">
        <f t="array" ref="AJ74">InterpolateXY(AI74,AG74,CD_CL,CD_M,CD_table)</f>
        <v>1.7094552388380851E-2</v>
      </c>
      <c r="AK74" cm="1">
        <f t="array" ref="AK74">AJ74*S*Linterp(AH$3,atmos_h,atmos_qms)*AG74^2</f>
        <v>1967.8487971893517</v>
      </c>
      <c r="AL74" cm="1">
        <f t="array" ref="AL74">AG74*Linterp(AH$3,atmos_h,atmos_aspeed)</f>
        <v>951.58314324470359</v>
      </c>
      <c r="AM74" s="162">
        <f t="shared" si="12"/>
        <v>6943.1393058597414</v>
      </c>
      <c r="AO74">
        <v>0.9</v>
      </c>
      <c r="AP74" cm="1">
        <f t="array" ref="AP74">numeng*InterpolateXY(AP$3,AO74,Tmil_h,Tmil_M,Tmil_table)</f>
        <v>2791.9026215709309</v>
      </c>
      <c r="AQ74" cm="1">
        <f t="array" ref="AQ74">1*AP$4/(S*Linterp(AP$3,atmos_h,atmos_qms)*AO74^2)</f>
        <v>0.10667970128060718</v>
      </c>
      <c r="AR74" cm="1">
        <f t="array" ref="AR74">InterpolateXY(AQ74,AO74,CD_CL,CD_M,CD_table)</f>
        <v>1.7512492708406952E-2</v>
      </c>
      <c r="AS74" cm="1">
        <f t="array" ref="AS74">AR74*S*Linterp(AP$3,atmos_h,atmos_qms)*AO74^2</f>
        <v>1641.5955892435998</v>
      </c>
      <c r="AT74" cm="1">
        <f t="array" ref="AT74">AO74*Linterp(AP$3,atmos_h,atmos_aspeed)</f>
        <v>933.16822813554211</v>
      </c>
      <c r="AU74" s="162">
        <f t="shared" si="13"/>
        <v>6440.5798510124969</v>
      </c>
      <c r="AW74">
        <v>0.9</v>
      </c>
      <c r="AX74" cm="1">
        <f t="array" ref="AX74">numeng*InterpolateXY(AX$3,AW74,Tmil_h,Tmil_M,Tmil_table)</f>
        <v>2428.7753380692952</v>
      </c>
      <c r="AY74" cm="1">
        <f t="array" ref="AY74">1*AX$4/(S*Linterp(AX$3,atmos_h,atmos_qms)*AW74^2)</f>
        <v>0.13210727259260985</v>
      </c>
      <c r="AZ74" cm="1">
        <f t="array" ref="AZ74">InterpolateXY(AY74,AW74,CD_CL,CD_M,CD_table)</f>
        <v>1.8473654904000651E-2</v>
      </c>
      <c r="BA74" cm="1">
        <f t="array" ref="BA74">AZ74*S*Linterp(AX$3,atmos_h,atmos_qms)*AW74^2</f>
        <v>1398.3828854728836</v>
      </c>
      <c r="BB74" cm="1">
        <f t="array" ref="BB74">AW74*Linterp(AX$3,atmos_h,atmos_aspeed)</f>
        <v>914.38252689767842</v>
      </c>
      <c r="BC74" s="162">
        <f t="shared" si="14"/>
        <v>5653.0371270084188</v>
      </c>
      <c r="BE74">
        <v>0.9</v>
      </c>
      <c r="BF74" cm="1">
        <f t="array" ref="BF74">numeng*InterpolateXY(BF$3,BE74,Tmil_h,Tmil_M,Tmil_table)</f>
        <v>2095.1118236007001</v>
      </c>
      <c r="BG74" cm="1">
        <f t="array" ref="BG74">1*BF$4/(S*Linterp(BF$3,atmos_h,atmos_qms)*BE74^2)</f>
        <v>0.16508538860992514</v>
      </c>
      <c r="BH74" cm="1">
        <f t="array" ref="BH74">InterpolateXY(BG74,BE74,CD_CL,CD_M,CD_table)</f>
        <v>1.972022768945517E-2</v>
      </c>
      <c r="BI74" cm="1">
        <f t="array" ref="BI74">BH74*S*Linterp(BF$3,atmos_h,atmos_qms)*BE74^2</f>
        <v>1194.5471283380173</v>
      </c>
      <c r="BJ74" cm="1">
        <f t="array" ref="BJ74">BE74*Linterp(BF$3,atmos_h,atmos_aspeed)</f>
        <v>895.20269715296331</v>
      </c>
      <c r="BK74" s="162">
        <f t="shared" si="15"/>
        <v>4837.1276649593401</v>
      </c>
      <c r="BM74">
        <v>0.9</v>
      </c>
      <c r="BN74" cm="1">
        <f t="array" ref="BN74">numeng*InterpolateXY(BN$3,BM74,Tmil_h,Tmil_M,Tmil_table)</f>
        <v>1791.0503948426265</v>
      </c>
      <c r="BO74" cm="1">
        <f t="array" ref="BO74">1*BN$4/(S*Linterp(BN$3,atmos_h,atmos_qms)*BM74^2)</f>
        <v>0.20834172114139393</v>
      </c>
      <c r="BP74" cm="1">
        <f t="array" ref="BP74">InterpolateXY(BO74,BM74,CD_CL,CD_M,CD_table)</f>
        <v>2.1565528431907816E-2</v>
      </c>
      <c r="BQ74" cm="1">
        <f t="array" ref="BQ74">BP74*S*Linterp(BN$3,atmos_h,atmos_qms)*BM74^2</f>
        <v>1035.1036899264202</v>
      </c>
      <c r="BR74" cm="1">
        <f t="array" ref="BR74">BM74*Linterp(BN$3,atmos_h,atmos_aspeed)</f>
        <v>875.60283946781306</v>
      </c>
      <c r="BS74" s="162">
        <f t="shared" si="16"/>
        <v>3971.4544878658035</v>
      </c>
      <c r="BU74">
        <v>0.9</v>
      </c>
      <c r="BV74" cm="1">
        <f t="array" ref="BV74">numeng*InterpolateXY(BV$3,BU74,Tmil_h,Tmil_M,Tmil_table)</f>
        <v>1467.1701437831957</v>
      </c>
      <c r="BW74" cm="1">
        <f t="array" ref="BW74">1*BV$4/(S*Linterp(BV$3,atmos_h,atmos_qms)*BU74^2)</f>
        <v>0.26487020992377291</v>
      </c>
      <c r="BX74" cm="1">
        <f t="array" ref="BX74">InterpolateXY(BW74,BU74,CD_CL,CD_M,CD_table)</f>
        <v>2.5126823225197693E-2</v>
      </c>
      <c r="BY74" cm="1">
        <f t="array" ref="BY74">BX74*S*Linterp(BV$3,atmos_h,atmos_qms)*BU74^2</f>
        <v>948.64663083209507</v>
      </c>
      <c r="BZ74" cm="1">
        <f t="array" ref="BZ74">BU74*Linterp(BV$3,atmos_h,atmos_aspeed)</f>
        <v>871.29045937929038</v>
      </c>
      <c r="CA74" s="162">
        <f t="shared" si="17"/>
        <v>2710.7075387887676</v>
      </c>
    </row>
    <row r="75" spans="1:79">
      <c r="I75">
        <v>0.91</v>
      </c>
      <c r="J75" cm="1">
        <f t="array" ref="J75">numeng*InterpolateXY(J$3,I75,Tmil_h,Tmil_M,Tmil_table)</f>
        <v>4164</v>
      </c>
      <c r="K75" cm="1">
        <f t="array" ref="K75">1*J$4/(S*Linterp(J$3,atmos_h,atmos_qms)*I75^2)</f>
        <v>4.7952299647565776E-2</v>
      </c>
      <c r="L75" cm="1">
        <f t="array" ref="L75">InterpolateXY(K75,I75,CD_CL,CD_M,CD_table)</f>
        <v>1.6856596590541707E-2</v>
      </c>
      <c r="M75" cm="1">
        <f t="array" ref="M75">L75*S*Linterp(J$3,atmos_h,atmos_qms)*I75^2</f>
        <v>3515.2842959425002</v>
      </c>
      <c r="N75" cm="1">
        <f t="array" ref="N75">I75*Linterp(J$3,atmos_h,atmos_aspeed)</f>
        <v>1015.9695</v>
      </c>
      <c r="O75" s="162">
        <f t="shared" si="9"/>
        <v>3954.4522169606767</v>
      </c>
      <c r="Q75">
        <v>0.91</v>
      </c>
      <c r="R75" cm="1">
        <f t="array" ref="R75">numeng*InterpolateXY(R$3,Q75,Tmil_h,Tmil_M,Tmil_table)</f>
        <v>3901.632946077571</v>
      </c>
      <c r="S75" cm="1">
        <f t="array" ref="S75">1*R$4/(S*Linterp(R$3,atmos_h,atmos_qms)*Q75^2)</f>
        <v>5.7631714891934804E-2</v>
      </c>
      <c r="T75" cm="1">
        <f t="array" ref="T75">InterpolateXY(S75,Q75,CD_CL,CD_M,CD_table)</f>
        <v>1.6979041193382977E-2</v>
      </c>
      <c r="U75" cm="1">
        <f t="array" ref="U75">T75*S*Linterp(R$3,atmos_h,atmos_qms)*Q75^2</f>
        <v>2946.1280521012372</v>
      </c>
      <c r="V75" cm="1">
        <f t="array" ref="V75">Q75*Linterp(R$3,atmos_h,atmos_aspeed)</f>
        <v>998.35410799692613</v>
      </c>
      <c r="W75" s="162">
        <f t="shared" si="10"/>
        <v>5723.593416674641</v>
      </c>
      <c r="Y75">
        <v>0.91</v>
      </c>
      <c r="Z75" cm="1">
        <f t="array" ref="Z75">numeng*InterpolateXY(Z$3,Y75,Tmil_h,Tmil_M,Tmil_table)</f>
        <v>3612.620158204867</v>
      </c>
      <c r="AA75" cm="1">
        <f t="array" ref="AA75">1*Z$4/(S*Linterp(Z$3,atmos_h,atmos_qms)*Y75^2)</f>
        <v>6.9728213302639605E-2</v>
      </c>
      <c r="AB75" cm="1">
        <f t="array" ref="AB75">InterpolateXY(AA75,Y75,CD_CL,CD_M,CD_table)</f>
        <v>1.7132061898278393E-2</v>
      </c>
      <c r="AC75" cm="1">
        <f t="array" ref="AC75">AB75*S*Linterp(Z$3,atmos_h,atmos_qms)*Y75^2</f>
        <v>2456.9770379631755</v>
      </c>
      <c r="AD75" cm="1">
        <f t="array" ref="AD75">Y75*Linterp(Z$3,atmos_h,atmos_aspeed)</f>
        <v>980.42226870794104</v>
      </c>
      <c r="AE75" s="162">
        <f t="shared" si="11"/>
        <v>6798.1094985844984</v>
      </c>
      <c r="AG75">
        <v>0.91</v>
      </c>
      <c r="AH75" cm="1">
        <f t="array" ref="AH75">numeng*InterpolateXY(AH$3,AG75,Tmil_h,Tmil_M,Tmil_table)</f>
        <v>3192.7261316262311</v>
      </c>
      <c r="AI75" cm="1">
        <f t="array" ref="AI75">1*AH$4/(S*Linterp(AH$3,atmos_h,atmos_qms)*AG75^2)</f>
        <v>8.4970513356113372E-2</v>
      </c>
      <c r="AJ75" cm="1">
        <f t="array" ref="AJ75">InterpolateXY(AI75,AG75,CD_CL,CD_M,CD_table)</f>
        <v>1.7324876993954835E-2</v>
      </c>
      <c r="AK75" cm="1">
        <f t="array" ref="AK75">AJ75*S*Linterp(AH$3,atmos_h,atmos_qms)*AG75^2</f>
        <v>2038.9281304381293</v>
      </c>
      <c r="AL75" cm="1">
        <f t="array" ref="AL75">AG75*Linterp(AH$3,atmos_h,atmos_aspeed)</f>
        <v>962.15628928075591</v>
      </c>
      <c r="AM75" s="162">
        <f t="shared" si="12"/>
        <v>6660.8040204161834</v>
      </c>
      <c r="AO75">
        <v>0.91</v>
      </c>
      <c r="AP75" cm="1">
        <f t="array" ref="AP75">numeng*InterpolateXY(AP$3,AO75,Tmil_h,Tmil_M,Tmil_table)</f>
        <v>2800.4275150719109</v>
      </c>
      <c r="AQ75" cm="1">
        <f t="array" ref="AQ75">1*AP$4/(S*Linterp(AP$3,atmos_h,atmos_qms)*AO75^2)</f>
        <v>0.10434797492729357</v>
      </c>
      <c r="AR75" cm="1">
        <f t="array" ref="AR75">InterpolateXY(AQ75,AO75,CD_CL,CD_M,CD_table)</f>
        <v>1.7680005648490794E-2</v>
      </c>
      <c r="AS75" cm="1">
        <f t="array" ref="AS75">AR75*S*Linterp(AP$3,atmos_h,atmos_qms)*AO75^2</f>
        <v>1694.3314578754091</v>
      </c>
      <c r="AT75" cm="1">
        <f t="array" ref="AT75">AO75*Linterp(AP$3,atmos_h,atmos_aspeed)</f>
        <v>943.53676400371478</v>
      </c>
      <c r="AU75" s="162">
        <f t="shared" si="13"/>
        <v>6261.8537669067309</v>
      </c>
      <c r="AW75">
        <v>0.91</v>
      </c>
      <c r="AX75" cm="1">
        <f t="array" ref="AX75">numeng*InterpolateXY(AX$3,AW75,Tmil_h,Tmil_M,Tmil_table)</f>
        <v>2436.8413816274588</v>
      </c>
      <c r="AY75" cm="1">
        <f t="array" ref="AY75">1*AX$4/(S*Linterp(AX$3,atmos_h,atmos_qms)*AW75^2)</f>
        <v>0.12921976911002772</v>
      </c>
      <c r="AZ75" cm="1">
        <f t="array" ref="AZ75">InterpolateXY(AY75,AW75,CD_CL,CD_M,CD_table)</f>
        <v>1.8623890237725552E-2</v>
      </c>
      <c r="BA75" cm="1">
        <f t="array" ref="BA75">AZ75*S*Linterp(AX$3,atmos_h,atmos_qms)*AW75^2</f>
        <v>1441.2570434070137</v>
      </c>
      <c r="BB75" cm="1">
        <f t="array" ref="BB75">AW75*Linterp(AX$3,atmos_h,atmos_aspeed)</f>
        <v>924.54233275209708</v>
      </c>
      <c r="BC75" s="162">
        <f t="shared" si="14"/>
        <v>5522.759199058698</v>
      </c>
      <c r="BE75">
        <v>0.91</v>
      </c>
      <c r="BF75" cm="1">
        <f t="array" ref="BF75">numeng*InterpolateXY(BF$3,BE75,Tmil_h,Tmil_M,Tmil_table)</f>
        <v>2102.5943658278456</v>
      </c>
      <c r="BG75" cm="1">
        <f t="array" ref="BG75">1*BF$4/(S*Linterp(BF$3,atmos_h,atmos_qms)*BE75^2)</f>
        <v>0.16147707375200984</v>
      </c>
      <c r="BH75" cm="1">
        <f t="array" ref="BH75">InterpolateXY(BG75,BE75,CD_CL,CD_M,CD_table)</f>
        <v>1.9848054948888774E-2</v>
      </c>
      <c r="BI75" cm="1">
        <f t="array" ref="BI75">BH75*S*Linterp(BF$3,atmos_h,atmos_qms)*BE75^2</f>
        <v>1229.1562193758007</v>
      </c>
      <c r="BJ75" cm="1">
        <f t="array" ref="BJ75">BE75*Linterp(BF$3,atmos_h,atmos_aspeed)</f>
        <v>905.14939378799625</v>
      </c>
      <c r="BK75" s="162">
        <f t="shared" si="15"/>
        <v>4743.552052634278</v>
      </c>
      <c r="BM75">
        <v>0.91</v>
      </c>
      <c r="BN75" cm="1">
        <f t="array" ref="BN75">numeng*InterpolateXY(BN$3,BM75,Tmil_h,Tmil_M,Tmil_table)</f>
        <v>1797.8675416742074</v>
      </c>
      <c r="BO75" cm="1">
        <f t="array" ref="BO75">1*BN$4/(S*Linterp(BN$3,atmos_h,atmos_qms)*BM75^2)</f>
        <v>0.20378794122029839</v>
      </c>
      <c r="BP75" cm="1">
        <f t="array" ref="BP75">InterpolateXY(BO75,BM75,CD_CL,CD_M,CD_table)</f>
        <v>2.1549587282183875E-2</v>
      </c>
      <c r="BQ75" cm="1">
        <f t="array" ref="BQ75">BP75*S*Linterp(BN$3,atmos_h,atmos_qms)*BM75^2</f>
        <v>1057.4515426743719</v>
      </c>
      <c r="BR75" cm="1">
        <f t="array" ref="BR75">BM75*Linterp(BN$3,atmos_h,atmos_aspeed)</f>
        <v>885.33175990634436</v>
      </c>
      <c r="BS75" s="162">
        <f t="shared" si="16"/>
        <v>3933.0827967440309</v>
      </c>
      <c r="BU75">
        <v>0.91</v>
      </c>
      <c r="BV75" cm="1">
        <f t="array" ref="BV75">numeng*InterpolateXY(BV$3,BU75,Tmil_h,Tmil_M,Tmil_table)</f>
        <v>1473.0782114762824</v>
      </c>
      <c r="BW75" cm="1">
        <f t="array" ref="BW75">1*BV$4/(S*Linterp(BV$3,atmos_h,atmos_qms)*BU75^2)</f>
        <v>0.25908087192157481</v>
      </c>
      <c r="BX75" cm="1">
        <f t="array" ref="BX75">InterpolateXY(BW75,BU75,CD_CL,CD_M,CD_table)</f>
        <v>2.5046865149039609E-2</v>
      </c>
      <c r="BY75" cm="1">
        <f t="array" ref="BY75">BX75*S*Linterp(BV$3,atmos_h,atmos_qms)*BU75^2</f>
        <v>966.75856319572028</v>
      </c>
      <c r="BZ75" cm="1">
        <f t="array" ref="BZ75">BU75*Linterp(BV$3,atmos_h,atmos_aspeed)</f>
        <v>880.97146448350475</v>
      </c>
      <c r="CA75" s="162">
        <f t="shared" si="17"/>
        <v>2676.3189722549992</v>
      </c>
    </row>
    <row r="76" spans="1:79">
      <c r="I76">
        <v>0.92</v>
      </c>
      <c r="J76" cm="1">
        <f t="array" ref="J76">numeng*InterpolateXY(J$3,I76,Tmil_h,Tmil_M,Tmil_table)</f>
        <v>4168</v>
      </c>
      <c r="K76" cm="1">
        <f t="array" ref="K76">1*J$4/(S*Linterp(J$3,atmos_h,atmos_qms)*I76^2)</f>
        <v>4.6915523792709385E-2</v>
      </c>
      <c r="L76" cm="1">
        <f t="array" ref="L76">InterpolateXY(K76,I76,CD_CL,CD_M,CD_table)</f>
        <v>1.7095827152167412E-2</v>
      </c>
      <c r="M76" cm="1">
        <f t="array" ref="M76">L76*S*Linterp(J$3,atmos_h,atmos_qms)*I76^2</f>
        <v>3643.9595618080011</v>
      </c>
      <c r="N76" cm="1">
        <f t="array" ref="N76">I76*Linterp(J$3,atmos_h,atmos_aspeed)</f>
        <v>1027.134</v>
      </c>
      <c r="O76" s="162">
        <f t="shared" si="9"/>
        <v>3229.5585086514038</v>
      </c>
      <c r="Q76">
        <v>0.92</v>
      </c>
      <c r="R76" cm="1">
        <f t="array" ref="R76">numeng*InterpolateXY(R$3,Q76,Tmil_h,Tmil_M,Tmil_table)</f>
        <v>3908.5262905052696</v>
      </c>
      <c r="S76" cm="1">
        <f t="array" ref="S76">1*R$4/(S*Linterp(R$3,atmos_h,atmos_qms)*Q76^2)</f>
        <v>5.638566056475805E-2</v>
      </c>
      <c r="T76" cm="1">
        <f t="array" ref="T76">InterpolateXY(S76,Q76,CD_CL,CD_M,CD_table)</f>
        <v>1.721609788917243E-2</v>
      </c>
      <c r="U76" cm="1">
        <f t="array" ref="U76">T76*S*Linterp(R$3,atmos_h,atmos_qms)*Q76^2</f>
        <v>3053.27590680613</v>
      </c>
      <c r="V76" cm="1">
        <f t="array" ref="V76">Q76*Linterp(R$3,atmos_h,atmos_aspeed)</f>
        <v>1009.3250322606286</v>
      </c>
      <c r="W76" s="162">
        <f t="shared" si="10"/>
        <v>5179.3537267082947</v>
      </c>
      <c r="Y76">
        <v>0.92</v>
      </c>
      <c r="Z76" cm="1">
        <f t="array" ref="Z76">numeng*InterpolateXY(Z$3,Y76,Tmil_h,Tmil_M,Tmil_table)</f>
        <v>3621.4818593288364</v>
      </c>
      <c r="AA76" cm="1">
        <f t="array" ref="AA76">1*Z$4/(S*Linterp(Z$3,atmos_h,atmos_qms)*Y76^2)</f>
        <v>6.8220620789125538E-2</v>
      </c>
      <c r="AB76" cm="1">
        <f t="array" ref="AB76">InterpolateXY(AA76,Y76,CD_CL,CD_M,CD_table)</f>
        <v>1.7366401884021894E-2</v>
      </c>
      <c r="AC76" cm="1">
        <f t="array" ref="AC76">AB76*S*Linterp(Z$3,atmos_h,atmos_qms)*Y76^2</f>
        <v>2545.6235494693888</v>
      </c>
      <c r="AD76" cm="1">
        <f t="array" ref="AD76">Y76*Linterp(Z$3,atmos_h,atmos_aspeed)</f>
        <v>991.19613979264363</v>
      </c>
      <c r="AE76" s="162">
        <f t="shared" si="11"/>
        <v>6398.3196221791341</v>
      </c>
      <c r="AG76">
        <v>0.92</v>
      </c>
      <c r="AH76" cm="1">
        <f t="array" ref="AH76">numeng*InterpolateXY(AH$3,AG76,Tmil_h,Tmil_M,Tmil_table)</f>
        <v>3201.5353878033629</v>
      </c>
      <c r="AI76" cm="1">
        <f t="array" ref="AI76">1*AH$4/(S*Linterp(AH$3,atmos_h,atmos_qms)*AG76^2)</f>
        <v>8.3133367332463945E-2</v>
      </c>
      <c r="AJ76" cm="1">
        <f t="array" ref="AJ76">InterpolateXY(AI76,AG76,CD_CL,CD_M,CD_table)</f>
        <v>1.7555793765122292E-2</v>
      </c>
      <c r="AK76" cm="1">
        <f t="array" ref="AK76">AJ76*S*Linterp(AH$3,atmos_h,atmos_qms)*AG76^2</f>
        <v>2111.7626205268216</v>
      </c>
      <c r="AL76" cm="1">
        <f t="array" ref="AL76">AG76*Linterp(AH$3,atmos_h,atmos_aspeed)</f>
        <v>972.72943531680824</v>
      </c>
      <c r="AM76" s="162">
        <f t="shared" si="12"/>
        <v>6360.3242912192736</v>
      </c>
      <c r="AO76">
        <v>0.92</v>
      </c>
      <c r="AP76" cm="1">
        <f t="array" ref="AP76">numeng*InterpolateXY(AP$3,AO76,Tmil_h,Tmil_M,Tmil_table)</f>
        <v>2808.9524085728908</v>
      </c>
      <c r="AQ76" cm="1">
        <f t="array" ref="AQ76">1*AP$4/(S*Linterp(AP$3,atmos_h,atmos_qms)*AO76^2)</f>
        <v>0.10209186913668693</v>
      </c>
      <c r="AR76" cm="1">
        <f t="array" ref="AR76">InterpolateXY(AQ76,AO76,CD_CL,CD_M,CD_table)</f>
        <v>1.7849700214107773E-2</v>
      </c>
      <c r="AS76" cm="1">
        <f t="array" ref="AS76">AR76*S*Linterp(AP$3,atmos_h,atmos_qms)*AO76^2</f>
        <v>1748.3958678638246</v>
      </c>
      <c r="AT76" cm="1">
        <f t="array" ref="AT76">AO76*Linterp(AP$3,atmos_h,atmos_aspeed)</f>
        <v>953.90529987188745</v>
      </c>
      <c r="AU76" s="162">
        <f t="shared" si="13"/>
        <v>6070.023029977041</v>
      </c>
      <c r="AW76">
        <v>0.92</v>
      </c>
      <c r="AX76" cm="1">
        <f t="array" ref="AX76">numeng*InterpolateXY(AX$3,AW76,Tmil_h,Tmil_M,Tmil_table)</f>
        <v>2444.9074251856227</v>
      </c>
      <c r="AY76" cm="1">
        <f t="array" ref="AY76">1*AX$4/(S*Linterp(AX$3,atmos_h,atmos_qms)*AW76^2)</f>
        <v>0.12642591068054582</v>
      </c>
      <c r="AZ76" cm="1">
        <f t="array" ref="AZ76">InterpolateXY(AY76,AW76,CD_CL,CD_M,CD_table)</f>
        <v>1.8776827196928796E-2</v>
      </c>
      <c r="BA76" cm="1">
        <f t="array" ref="BA76">AZ76*S*Linterp(AX$3,atmos_h,atmos_qms)*AW76^2</f>
        <v>1485.2040294472756</v>
      </c>
      <c r="BB76" cm="1">
        <f t="array" ref="BB76">AW76*Linterp(AX$3,atmos_h,atmos_aspeed)</f>
        <v>934.70213860651563</v>
      </c>
      <c r="BC76" s="162">
        <f t="shared" si="14"/>
        <v>5382.2208985474099</v>
      </c>
      <c r="BE76">
        <v>0.92</v>
      </c>
      <c r="BF76" cm="1">
        <f t="array" ref="BF76">numeng*InterpolateXY(BF$3,BE76,Tmil_h,Tmil_M,Tmil_table)</f>
        <v>2110.0769080549908</v>
      </c>
      <c r="BG76" cm="1">
        <f t="array" ref="BG76">1*BF$4/(S*Linterp(BF$3,atmos_h,atmos_qms)*BE76^2)</f>
        <v>0.15798578068766467</v>
      </c>
      <c r="BH76" cm="1">
        <f t="array" ref="BH76">InterpolateXY(BG76,BE76,CD_CL,CD_M,CD_table)</f>
        <v>1.9979258244200025E-2</v>
      </c>
      <c r="BI76" cm="1">
        <f t="array" ref="BI76">BH76*S*Linterp(BF$3,atmos_h,atmos_qms)*BE76^2</f>
        <v>1264.6238260960142</v>
      </c>
      <c r="BJ76" cm="1">
        <f t="array" ref="BJ76">BE76*Linterp(BF$3,atmos_h,atmos_aspeed)</f>
        <v>915.09609042302918</v>
      </c>
      <c r="BK76" s="162">
        <f t="shared" si="15"/>
        <v>4642.024859620562</v>
      </c>
      <c r="BM76">
        <v>0.92</v>
      </c>
      <c r="BN76" cm="1">
        <f t="array" ref="BN76">numeng*InterpolateXY(BN$3,BM76,Tmil_h,Tmil_M,Tmil_table)</f>
        <v>1804.6846885057882</v>
      </c>
      <c r="BO76" cm="1">
        <f t="array" ref="BO76">1*BN$4/(S*Linterp(BN$3,atmos_h,atmos_qms)*BM76^2)</f>
        <v>0.19938184561026595</v>
      </c>
      <c r="BP76" cm="1">
        <f t="array" ref="BP76">InterpolateXY(BO76,BM76,CD_CL,CD_M,CD_table)</f>
        <v>2.1556448317751133E-2</v>
      </c>
      <c r="BQ76" cm="1">
        <f t="array" ref="BQ76">BP76*S*Linterp(BN$3,atmos_h,atmos_qms)*BM76^2</f>
        <v>1081.1640473971627</v>
      </c>
      <c r="BR76" cm="1">
        <f t="array" ref="BR76">BM76*Linterp(BN$3,atmos_h,atmos_aspeed)</f>
        <v>895.06068034487566</v>
      </c>
      <c r="BS76" s="162">
        <f t="shared" si="16"/>
        <v>3885.5692636454819</v>
      </c>
      <c r="BU76">
        <v>0.92</v>
      </c>
      <c r="BV76" cm="1">
        <f t="array" ref="BV76">numeng*InterpolateXY(BV$3,BU76,Tmil_h,Tmil_M,Tmil_table)</f>
        <v>1478.986279169369</v>
      </c>
      <c r="BW76" cm="1">
        <f t="array" ref="BW76">1*BV$4/(S*Linterp(BV$3,atmos_h,atmos_qms)*BU76^2)</f>
        <v>0.25347928879756154</v>
      </c>
      <c r="BX76" cm="1">
        <f t="array" ref="BX76">InterpolateXY(BW76,BU76,CD_CL,CD_M,CD_table)</f>
        <v>2.4975934838645162E-2</v>
      </c>
      <c r="BY76" cm="1">
        <f t="array" ref="BY76">BX76*S*Linterp(BV$3,atmos_h,atmos_qms)*BU76^2</f>
        <v>985.32447984702696</v>
      </c>
      <c r="BZ76" cm="1">
        <f t="array" ref="BZ76">BU76*Linterp(BV$3,atmos_h,atmos_aspeed)</f>
        <v>890.65246958771911</v>
      </c>
      <c r="CA76" s="162">
        <f t="shared" si="17"/>
        <v>2638.0866042453658</v>
      </c>
    </row>
    <row r="77" spans="1:79">
      <c r="I77">
        <v>0.93</v>
      </c>
      <c r="J77" cm="1">
        <f t="array" ref="J77">numeng*InterpolateXY(J$3,I77,Tmil_h,Tmil_M,Tmil_table)</f>
        <v>4172</v>
      </c>
      <c r="K77" cm="1">
        <f t="array" ref="K77">1*J$4/(S*Linterp(J$3,atmos_h,atmos_qms)*I77^2)</f>
        <v>4.5912012184240049E-2</v>
      </c>
      <c r="L77" cm="1">
        <f t="array" ref="L77">InterpolateXY(K77,I77,CD_CL,CD_M,CD_table)</f>
        <v>1.7585378155349066E-2</v>
      </c>
      <c r="M77" cm="1">
        <f t="array" ref="M77">L77*S*Linterp(J$3,atmos_h,atmos_qms)*I77^2</f>
        <v>3830.2346855940018</v>
      </c>
      <c r="N77" cm="1">
        <f t="array" ref="N77">I77*Linterp(J$3,atmos_h,atmos_aspeed)</f>
        <v>1038.2985000000001</v>
      </c>
      <c r="O77" s="162">
        <f t="shared" si="9"/>
        <v>2129.1264797986582</v>
      </c>
      <c r="Q77">
        <v>0.93</v>
      </c>
      <c r="R77" cm="1">
        <f t="array" ref="R77">numeng*InterpolateXY(R$3,Q77,Tmil_h,Tmil_M,Tmil_table)</f>
        <v>3915.4196349329686</v>
      </c>
      <c r="S77" cm="1">
        <f t="array" ref="S77">1*R$4/(S*Linterp(R$3,atmos_h,atmos_qms)*Q77^2)</f>
        <v>5.5179585041058167E-2</v>
      </c>
      <c r="T77" cm="1">
        <f t="array" ref="T77">InterpolateXY(S77,Q77,CD_CL,CD_M,CD_table)</f>
        <v>1.7703539709273495E-2</v>
      </c>
      <c r="U77" cm="1">
        <f t="array" ref="U77">T77*S*Linterp(R$3,atmos_h,atmos_qms)*Q77^2</f>
        <v>3208.3495546587742</v>
      </c>
      <c r="V77" cm="1">
        <f t="array" ref="V77">Q77*Linterp(R$3,atmos_h,atmos_aspeed)</f>
        <v>1020.295956524331</v>
      </c>
      <c r="W77" s="162">
        <f t="shared" si="10"/>
        <v>4328.5244632985678</v>
      </c>
      <c r="Y77">
        <v>0.93</v>
      </c>
      <c r="Z77" cm="1">
        <f t="array" ref="Z77">numeng*InterpolateXY(Z$3,Y77,Tmil_h,Tmil_M,Tmil_table)</f>
        <v>3630.3435604528058</v>
      </c>
      <c r="AA77" cm="1">
        <f t="array" ref="AA77">1*Z$4/(S*Linterp(Z$3,atmos_h,atmos_qms)*Y77^2)</f>
        <v>6.6761398353469587E-2</v>
      </c>
      <c r="AB77" cm="1">
        <f t="array" ref="AB77">InterpolateXY(AA77,Y77,CD_CL,CD_M,CD_table)</f>
        <v>1.7851207829006743E-2</v>
      </c>
      <c r="AC77" cm="1">
        <f t="array" ref="AC77">AB77*S*Linterp(Z$3,atmos_h,atmos_qms)*Y77^2</f>
        <v>2673.8816545592945</v>
      </c>
      <c r="AD77" cm="1">
        <f t="array" ref="AD77">Y77*Linterp(Z$3,atmos_h,atmos_aspeed)</f>
        <v>1001.9700108773463</v>
      </c>
      <c r="AE77" s="162">
        <f t="shared" si="11"/>
        <v>5750.0768775113338</v>
      </c>
      <c r="AG77">
        <v>0.93</v>
      </c>
      <c r="AH77" cm="1">
        <f t="array" ref="AH77">numeng*InterpolateXY(AH$3,AG77,Tmil_h,Tmil_M,Tmil_table)</f>
        <v>3210.3446439804952</v>
      </c>
      <c r="AI77" cm="1">
        <f t="array" ref="AI77">1*AH$4/(S*Linterp(AH$3,atmos_h,atmos_qms)*AG77^2)</f>
        <v>8.135516488634234E-2</v>
      </c>
      <c r="AJ77" cm="1">
        <f t="array" ref="AJ77">InterpolateXY(AI77,AG77,CD_CL,CD_M,CD_table)</f>
        <v>1.8037278352300869E-2</v>
      </c>
      <c r="AK77" cm="1">
        <f t="array" ref="AK77">AJ77*S*Linterp(AH$3,atmos_h,atmos_qms)*AG77^2</f>
        <v>2217.1030416446142</v>
      </c>
      <c r="AL77" cm="1">
        <f t="array" ref="AL77">AG77*Linterp(AH$3,atmos_h,atmos_aspeed)</f>
        <v>983.30258135286044</v>
      </c>
      <c r="AM77" s="162">
        <f t="shared" si="12"/>
        <v>5859.9421889035393</v>
      </c>
      <c r="AO77">
        <v>0.93</v>
      </c>
      <c r="AP77" cm="1">
        <f t="array" ref="AP77">numeng*InterpolateXY(AP$3,AO77,Tmil_h,Tmil_M,Tmil_table)</f>
        <v>2817.4773020738708</v>
      </c>
      <c r="AQ77" cm="1">
        <f t="array" ref="AQ77">1*AP$4/(S*Linterp(AP$3,atmos_h,atmos_qms)*AO77^2)</f>
        <v>9.9908148962067067E-2</v>
      </c>
      <c r="AR77" cm="1">
        <f t="array" ref="AR77">InterpolateXY(AQ77,AO77,CD_CL,CD_M,CD_table)</f>
        <v>1.8273828899266358E-2</v>
      </c>
      <c r="AS77" cm="1">
        <f t="array" ref="AS77">AR77*S*Linterp(AP$3,atmos_h,atmos_qms)*AO77^2</f>
        <v>1829.0629031876601</v>
      </c>
      <c r="AT77" cm="1">
        <f t="array" ref="AT77">AO77*Linterp(AP$3,atmos_h,atmos_aspeed)</f>
        <v>964.27383574006012</v>
      </c>
      <c r="AU77" s="162">
        <f t="shared" si="13"/>
        <v>5718.6128622882725</v>
      </c>
      <c r="AW77">
        <v>0.93</v>
      </c>
      <c r="AX77" cm="1">
        <f t="array" ref="AX77">numeng*InterpolateXY(AX$3,AW77,Tmil_h,Tmil_M,Tmil_table)</f>
        <v>2452.9734687437863</v>
      </c>
      <c r="AY77" cm="1">
        <f t="array" ref="AY77">1*AX$4/(S*Linterp(AX$3,atmos_h,atmos_qms)*AW77^2)</f>
        <v>0.12372169129380732</v>
      </c>
      <c r="AZ77" cm="1">
        <f t="array" ref="AZ77">InterpolateXY(AY77,AW77,CD_CL,CD_M,CD_table)</f>
        <v>1.9182354691988136E-2</v>
      </c>
      <c r="BA77" cm="1">
        <f t="array" ref="BA77">AZ77*S*Linterp(AX$3,atmos_h,atmos_qms)*AW77^2</f>
        <v>1550.4439432884053</v>
      </c>
      <c r="BB77" cm="1">
        <f t="array" ref="BB77">AW77*Linterp(AX$3,atmos_h,atmos_aspeed)</f>
        <v>944.8619444609343</v>
      </c>
      <c r="BC77" s="162">
        <f t="shared" si="14"/>
        <v>5116.5948141310537</v>
      </c>
      <c r="BE77">
        <v>0.93</v>
      </c>
      <c r="BF77" cm="1">
        <f t="array" ref="BF77">numeng*InterpolateXY(BF$3,BE77,Tmil_h,Tmil_M,Tmil_table)</f>
        <v>2117.5594502821364</v>
      </c>
      <c r="BG77" cm="1">
        <f t="array" ref="BG77">1*BF$4/(S*Linterp(BF$3,atmos_h,atmos_qms)*BE77^2)</f>
        <v>0.15460650338078313</v>
      </c>
      <c r="BH77" cm="1">
        <f t="array" ref="BH77">InterpolateXY(BG77,BE77,CD_CL,CD_M,CD_table)</f>
        <v>2.0363698754314957E-2</v>
      </c>
      <c r="BI77" cm="1">
        <f t="array" ref="BI77">BH77*S*Linterp(BF$3,atmos_h,atmos_qms)*BE77^2</f>
        <v>1317.1308003881852</v>
      </c>
      <c r="BJ77" cm="1">
        <f t="array" ref="BJ77">BE77*Linterp(BF$3,atmos_h,atmos_aspeed)</f>
        <v>925.04278705806212</v>
      </c>
      <c r="BK77" s="162">
        <f t="shared" si="15"/>
        <v>4442.5844948341346</v>
      </c>
      <c r="BM77">
        <v>0.93</v>
      </c>
      <c r="BN77" cm="1">
        <f t="array" ref="BN77">numeng*InterpolateXY(BN$3,BM77,Tmil_h,Tmil_M,Tmil_table)</f>
        <v>1811.5018353373694</v>
      </c>
      <c r="BO77" cm="1">
        <f t="array" ref="BO77">1*BN$4/(S*Linterp(BN$3,atmos_h,atmos_qms)*BM77^2)</f>
        <v>0.19511711657362593</v>
      </c>
      <c r="BP77" cm="1">
        <f t="array" ref="BP77">InterpolateXY(BO77,BM77,CD_CL,CD_M,CD_table)</f>
        <v>2.1913229708941197E-2</v>
      </c>
      <c r="BQ77" cm="1">
        <f t="array" ref="BQ77">BP77*S*Linterp(BN$3,atmos_h,atmos_qms)*BM77^2</f>
        <v>1123.0808497865644</v>
      </c>
      <c r="BR77" cm="1">
        <f t="array" ref="BR77">BM77*Linterp(BN$3,atmos_h,atmos_aspeed)</f>
        <v>904.78960078340685</v>
      </c>
      <c r="BS77" s="162">
        <f t="shared" si="16"/>
        <v>3737.2568921245938</v>
      </c>
      <c r="BU77">
        <v>0.93</v>
      </c>
      <c r="BV77" cm="1">
        <f t="array" ref="BV77">numeng*InterpolateXY(BV$3,BU77,Tmil_h,Tmil_M,Tmil_table)</f>
        <v>1484.8943468624559</v>
      </c>
      <c r="BW77" cm="1">
        <f t="array" ref="BW77">1*BV$4/(S*Linterp(BV$3,atmos_h,atmos_qms)*BU77^2)</f>
        <v>0.24805742864869471</v>
      </c>
      <c r="BX77" cm="1">
        <f t="array" ref="BX77">InterpolateXY(BW77,BU77,CD_CL,CD_M,CD_table)</f>
        <v>2.5163661076354291E-2</v>
      </c>
      <c r="BY77" cm="1">
        <f t="array" ref="BY77">BX77*S*Linterp(BV$3,atmos_h,atmos_qms)*BU77^2</f>
        <v>1014.4288447007856</v>
      </c>
      <c r="BZ77" cm="1">
        <f t="array" ref="BZ77">BU77*Linterp(BV$3,atmos_h,atmos_aspeed)</f>
        <v>900.33347469193347</v>
      </c>
      <c r="CA77" s="162">
        <f t="shared" si="17"/>
        <v>2541.4550417034116</v>
      </c>
    </row>
    <row r="78" spans="1:79">
      <c r="I78">
        <v>0.94</v>
      </c>
      <c r="J78" cm="1">
        <f t="array" ref="J78">numeng*InterpolateXY(J$3,I78,Tmil_h,Tmil_M,Tmil_table)</f>
        <v>4176</v>
      </c>
      <c r="K78" cm="1">
        <f t="array" ref="K78">1*J$4/(S*Linterp(J$3,atmos_h,atmos_qms)*I78^2)</f>
        <v>4.4940356878847017E-2</v>
      </c>
      <c r="L78" cm="1">
        <f t="array" ref="L78">InterpolateXY(K78,I78,CD_CL,CD_M,CD_table)</f>
        <v>1.8075236568049245E-2</v>
      </c>
      <c r="M78" cm="1">
        <f t="array" ref="M78">L78*S*Linterp(J$3,atmos_h,atmos_qms)*I78^2</f>
        <v>4022.0500733400004</v>
      </c>
      <c r="N78" cm="1">
        <f t="array" ref="N78">I78*Linterp(J$3,atmos_h,atmos_aspeed)</f>
        <v>1049.463</v>
      </c>
      <c r="O78" s="162">
        <f t="shared" si="9"/>
        <v>969.38851129429895</v>
      </c>
      <c r="Q78">
        <v>0.94</v>
      </c>
      <c r="R78" cm="1">
        <f t="array" ref="R78">numeng*InterpolateXY(R$3,Q78,Tmil_h,Tmil_M,Tmil_table)</f>
        <v>3922.3129793606677</v>
      </c>
      <c r="S78" cm="1">
        <f t="array" ref="S78">1*R$4/(S*Linterp(R$3,atmos_h,atmos_qms)*Q78^2)</f>
        <v>5.4011796177015868E-2</v>
      </c>
      <c r="T78" cm="1">
        <f t="array" ref="T78">InterpolateXY(S78,Q78,CD_CL,CD_M,CD_table)</f>
        <v>1.8191350991065804E-2</v>
      </c>
      <c r="U78" cm="1">
        <f t="array" ref="U78">T78*S*Linterp(R$3,atmos_h,atmos_qms)*Q78^2</f>
        <v>3368.0329629191142</v>
      </c>
      <c r="V78" cm="1">
        <f t="array" ref="V78">Q78*Linterp(R$3,atmos_h,atmos_aspeed)</f>
        <v>1031.2668807880334</v>
      </c>
      <c r="W78" s="162">
        <f t="shared" si="10"/>
        <v>3429.6637418329246</v>
      </c>
      <c r="Y78">
        <v>0.94</v>
      </c>
      <c r="Z78" cm="1">
        <f t="array" ref="Z78">numeng*InterpolateXY(Z$3,Y78,Tmil_h,Tmil_M,Tmil_table)</f>
        <v>3639.2052615767752</v>
      </c>
      <c r="AA78" cm="1">
        <f t="array" ref="AA78">1*Z$4/(S*Linterp(Z$3,atmos_h,atmos_qms)*Y78^2)</f>
        <v>6.5348498682566619E-2</v>
      </c>
      <c r="AB78" cm="1">
        <f t="array" ref="AB78">InterpolateXY(AA78,Y78,CD_CL,CD_M,CD_table)</f>
        <v>1.8336460783136853E-2</v>
      </c>
      <c r="AC78" cm="1">
        <f t="array" ref="AC78">AB78*S*Linterp(Z$3,atmos_h,atmos_qms)*Y78^2</f>
        <v>2805.9498156502518</v>
      </c>
      <c r="AD78" cm="1">
        <f t="array" ref="AD78">Y78*Linterp(Z$3,atmos_h,atmos_aspeed)</f>
        <v>1012.7438819620488</v>
      </c>
      <c r="AE78" s="162">
        <f t="shared" si="11"/>
        <v>5063.2461298418721</v>
      </c>
      <c r="AG78">
        <v>0.94</v>
      </c>
      <c r="AH78" cm="1">
        <f t="array" ref="AH78">numeng*InterpolateXY(AH$3,AG78,Tmil_h,Tmil_M,Tmil_table)</f>
        <v>3219.153900157627</v>
      </c>
      <c r="AI78" cm="1">
        <f t="array" ref="AI78">1*AH$4/(S*Linterp(AH$3,atmos_h,atmos_qms)*AG78^2)</f>
        <v>7.9633411170436277E-2</v>
      </c>
      <c r="AJ78" cm="1">
        <f t="array" ref="AJ78">InterpolateXY(AI78,AG78,CD_CL,CD_M,CD_table)</f>
        <v>1.8519307662981585E-2</v>
      </c>
      <c r="AK78" cm="1">
        <f t="array" ref="AK78">AJ78*S*Linterp(AH$3,atmos_h,atmos_qms)*AG78^2</f>
        <v>2325.5700579428189</v>
      </c>
      <c r="AL78" cm="1">
        <f t="array" ref="AL78">AG78*Linterp(AH$3,atmos_h,atmos_aspeed)</f>
        <v>993.87572738891265</v>
      </c>
      <c r="AM78" s="162">
        <f t="shared" si="12"/>
        <v>5328.6677469853303</v>
      </c>
      <c r="AO78">
        <v>0.94</v>
      </c>
      <c r="AP78" cm="1">
        <f t="array" ref="AP78">numeng*InterpolateXY(AP$3,AO78,Tmil_h,Tmil_M,Tmil_table)</f>
        <v>2826.0021955748507</v>
      </c>
      <c r="AQ78" cm="1">
        <f t="array" ref="AQ78">1*AP$4/(S*Linterp(AP$3,atmos_h,atmos_qms)*AO78^2)</f>
        <v>9.7793750608071314E-2</v>
      </c>
      <c r="AR78" cm="1">
        <f t="array" ref="AR78">InterpolateXY(AQ78,AO78,CD_CL,CD_M,CD_table)</f>
        <v>1.8751760007783315E-2</v>
      </c>
      <c r="AS78" cm="1">
        <f t="array" ref="AS78">AR78*S*Linterp(AP$3,atmos_h,atmos_qms)*AO78^2</f>
        <v>1917.4804004536927</v>
      </c>
      <c r="AT78" cm="1">
        <f t="array" ref="AT78">AO78*Linterp(AP$3,atmos_h,atmos_aspeed)</f>
        <v>974.64237160823279</v>
      </c>
      <c r="AU78" s="162">
        <f t="shared" si="13"/>
        <v>5312.903022327926</v>
      </c>
      <c r="AW78">
        <v>0.94</v>
      </c>
      <c r="AX78" cm="1">
        <f t="array" ref="AX78">numeng*InterpolateXY(AX$3,AW78,Tmil_h,Tmil_M,Tmil_table)</f>
        <v>2461.0395123019498</v>
      </c>
      <c r="AY78" cm="1">
        <f t="array" ref="AY78">1*AX$4/(S*Linterp(AX$3,atmos_h,atmos_qms)*AW78^2)</f>
        <v>0.12110331688548436</v>
      </c>
      <c r="AZ78" cm="1">
        <f t="array" ref="AZ78">InterpolateXY(AY78,AW78,CD_CL,CD_M,CD_table)</f>
        <v>1.9590367368402601E-2</v>
      </c>
      <c r="BA78" cm="1">
        <f t="array" ref="BA78">AZ78*S*Linterp(AX$3,atmos_h,atmos_qms)*AW78^2</f>
        <v>1617.6573748948024</v>
      </c>
      <c r="BB78" cm="1">
        <f t="array" ref="BB78">AW78*Linterp(AX$3,atmos_h,atmos_aspeed)</f>
        <v>955.02175031535285</v>
      </c>
      <c r="BC78" s="162">
        <f t="shared" si="14"/>
        <v>4832.6897103076644</v>
      </c>
      <c r="BE78">
        <v>0.94</v>
      </c>
      <c r="BF78" cm="1">
        <f t="array" ref="BF78">numeng*InterpolateXY(BF$3,BE78,Tmil_h,Tmil_M,Tmil_table)</f>
        <v>2125.0419925092815</v>
      </c>
      <c r="BG78" cm="1">
        <f t="array" ref="BG78">1*BF$4/(S*Linterp(BF$3,atmos_h,atmos_qms)*BE78^2)</f>
        <v>0.15133450064965978</v>
      </c>
      <c r="BH78" cm="1">
        <f t="array" ref="BH78">InterpolateXY(BG78,BE78,CD_CL,CD_M,CD_table)</f>
        <v>2.0751244824946936E-2</v>
      </c>
      <c r="BI78" cm="1">
        <f t="array" ref="BI78">BH78*S*Linterp(BF$3,atmos_h,atmos_qms)*BE78^2</f>
        <v>1371.2170546613283</v>
      </c>
      <c r="BJ78" cm="1">
        <f t="array" ref="BJ78">BE78*Linterp(BF$3,atmos_h,atmos_aspeed)</f>
        <v>934.98948369309494</v>
      </c>
      <c r="BK78" s="162">
        <f t="shared" si="15"/>
        <v>4228.9103366006229</v>
      </c>
      <c r="BM78">
        <v>0.94</v>
      </c>
      <c r="BN78" cm="1">
        <f t="array" ref="BN78">numeng*InterpolateXY(BN$3,BM78,Tmil_h,Tmil_M,Tmil_table)</f>
        <v>1818.3189821689502</v>
      </c>
      <c r="BO78" cm="1">
        <f t="array" ref="BO78">1*BN$4/(S*Linterp(BN$3,atmos_h,atmos_qms)*BM78^2)</f>
        <v>0.19098777062531588</v>
      </c>
      <c r="BP78" cm="1">
        <f t="array" ref="BP78">InterpolateXY(BO78,BM78,CD_CL,CD_M,CD_table)</f>
        <v>2.2273930392012132E-2</v>
      </c>
      <c r="BQ78" cm="1">
        <f t="array" ref="BQ78">BP78*S*Linterp(BN$3,atmos_h,atmos_qms)*BM78^2</f>
        <v>1166.2490388303256</v>
      </c>
      <c r="BR78" cm="1">
        <f t="array" ref="BR78">BM78*Linterp(BN$3,atmos_h,atmos_aspeed)</f>
        <v>914.51852122193804</v>
      </c>
      <c r="BS78" s="162">
        <f t="shared" si="16"/>
        <v>3577.9802418918712</v>
      </c>
      <c r="BU78">
        <v>0.94</v>
      </c>
      <c r="BV78" cm="1">
        <f t="array" ref="BV78">numeng*InterpolateXY(BV$3,BU78,Tmil_h,Tmil_M,Tmil_table)</f>
        <v>1490.8024145555426</v>
      </c>
      <c r="BW78" cm="1">
        <f t="array" ref="BW78">1*BV$4/(S*Linterp(BV$3,atmos_h,atmos_qms)*BU78^2)</f>
        <v>0.24280768451590776</v>
      </c>
      <c r="BX78" cm="1">
        <f t="array" ref="BX78">InterpolateXY(BW78,BU78,CD_CL,CD_M,CD_table)</f>
        <v>2.5359691809018096E-2</v>
      </c>
      <c r="BY78" cm="1">
        <f t="array" ref="BY78">BX78*S*Linterp(BV$3,atmos_h,atmos_qms)*BU78^2</f>
        <v>1044.4353052325505</v>
      </c>
      <c r="BZ78" cm="1">
        <f t="array" ref="BZ78">BU78*Linterp(BV$3,atmos_h,atmos_aspeed)</f>
        <v>910.01447979614773</v>
      </c>
      <c r="CA78" s="162">
        <f t="shared" si="17"/>
        <v>2437.2031967320372</v>
      </c>
    </row>
    <row r="79" spans="1:79">
      <c r="I79">
        <v>0.95</v>
      </c>
      <c r="J79" cm="1">
        <f t="array" ref="J79">numeng*InterpolateXY(J$3,I79,Tmil_h,Tmil_M,Tmil_table)</f>
        <v>4180</v>
      </c>
      <c r="K79" cm="1">
        <f t="array" ref="K79">1*J$4/(S*Linterp(J$3,atmos_h,atmos_qms)*I79^2)</f>
        <v>4.3999223643378646E-2</v>
      </c>
      <c r="L79" cm="1">
        <f t="array" ref="L79">InterpolateXY(K79,I79,CD_CL,CD_M,CD_table)</f>
        <v>1.9565390023817415E-2</v>
      </c>
      <c r="M79" cm="1">
        <f t="array" ref="M79">L79*S*Linterp(J$3,atmos_h,atmos_qms)*I79^2</f>
        <v>4446.7580115499995</v>
      </c>
      <c r="N79" cm="1">
        <f t="array" ref="N79">I79*Linterp(J$3,atmos_h,atmos_aspeed)</f>
        <v>1060.6275000000001</v>
      </c>
      <c r="O79" s="162">
        <f t="shared" si="9"/>
        <v>-1697.5852973714827</v>
      </c>
      <c r="Q79">
        <v>0.95</v>
      </c>
      <c r="R79" cm="1">
        <f t="array" ref="R79">numeng*InterpolateXY(R$3,Q79,Tmil_h,Tmil_M,Tmil_table)</f>
        <v>3929.2063237883663</v>
      </c>
      <c r="S79" cm="1">
        <f t="array" ref="S79">1*R$4/(S*Linterp(R$3,atmos_h,atmos_qms)*Q79^2)</f>
        <v>5.2880690417740968E-2</v>
      </c>
      <c r="T79" cm="1">
        <f t="array" ref="T79">InterpolateXY(S79,Q79,CD_CL,CD_M,CD_table)</f>
        <v>1.9679516871867971E-2</v>
      </c>
      <c r="U79" cm="1">
        <f t="array" ref="U79">T79*S*Linterp(R$3,atmos_h,atmos_qms)*Q79^2</f>
        <v>3721.4939359539226</v>
      </c>
      <c r="V79" cm="1">
        <f t="array" ref="V79">Q79*Linterp(R$3,atmos_h,atmos_aspeed)</f>
        <v>1042.2378050517359</v>
      </c>
      <c r="W79" s="162">
        <f t="shared" si="10"/>
        <v>1298.914219071753</v>
      </c>
      <c r="Y79">
        <v>0.95</v>
      </c>
      <c r="Z79" cm="1">
        <f t="array" ref="Z79">numeng*InterpolateXY(Z$3,Y79,Tmil_h,Tmil_M,Tmil_table)</f>
        <v>3648.0669627007446</v>
      </c>
      <c r="AA79" cm="1">
        <f t="array" ref="AA79">1*Z$4/(S*Linterp(Z$3,atmos_h,atmos_qms)*Y79^2)</f>
        <v>6.3979981646444167E-2</v>
      </c>
      <c r="AB79" cm="1">
        <f t="array" ref="AB79">InterpolateXY(AA79,Y79,CD_CL,CD_M,CD_table)</f>
        <v>1.9822142764156808E-2</v>
      </c>
      <c r="AC79" cm="1">
        <f t="array" ref="AC79">AB79*S*Linterp(Z$3,atmos_h,atmos_qms)*Y79^2</f>
        <v>3098.1788762764468</v>
      </c>
      <c r="AD79" cm="1">
        <f t="array" ref="AD79">Y79*Linterp(Z$3,atmos_h,atmos_aspeed)</f>
        <v>1023.5177530467515</v>
      </c>
      <c r="AE79" s="162">
        <f t="shared" si="11"/>
        <v>3376.9213118650509</v>
      </c>
      <c r="AG79">
        <v>0.95</v>
      </c>
      <c r="AH79" cm="1">
        <f t="array" ref="AH79">numeng*InterpolateXY(AH$3,AG79,Tmil_h,Tmil_M,Tmil_table)</f>
        <v>3227.9631563347589</v>
      </c>
      <c r="AI79" cm="1">
        <f t="array" ref="AI79">1*AH$4/(S*Linterp(AH$3,atmos_h,atmos_qms)*AG79^2)</f>
        <v>7.796574195035734E-2</v>
      </c>
      <c r="AJ79" cm="1">
        <f t="array" ref="AJ79">InterpolateXY(AI79,AG79,CD_CL,CD_M,CD_table)</f>
        <v>2.000185978406209E-2</v>
      </c>
      <c r="AK79" cm="1">
        <f t="array" ref="AK79">AJ79*S*Linterp(AH$3,atmos_h,atmos_qms)*AG79^2</f>
        <v>2565.4677661886112</v>
      </c>
      <c r="AL79" cm="1">
        <f t="array" ref="AL79">AG79*Linterp(AH$3,atmos_h,atmos_aspeed)</f>
        <v>1004.4488734249649</v>
      </c>
      <c r="AM79" s="162">
        <f t="shared" si="12"/>
        <v>3992.6564896891832</v>
      </c>
      <c r="AO79">
        <v>0.95</v>
      </c>
      <c r="AP79" cm="1">
        <f t="array" ref="AP79">numeng*InterpolateXY(AP$3,AO79,Tmil_h,Tmil_M,Tmil_table)</f>
        <v>2834.5270890758306</v>
      </c>
      <c r="AQ79" cm="1">
        <f t="array" ref="AQ79">1*AP$4/(S*Linterp(AP$3,atmos_h,atmos_qms)*AO79^2)</f>
        <v>9.5745770678439687E-2</v>
      </c>
      <c r="AR79" cm="1">
        <f t="array" ref="AR79">InterpolateXY(AQ79,AO79,CD_CL,CD_M,CD_table)</f>
        <v>2.0230333153217948E-2</v>
      </c>
      <c r="AS79" cm="1">
        <f t="array" ref="AS79">AR79*S*Linterp(AP$3,atmos_h,atmos_qms)*AO79^2</f>
        <v>2112.9218564819048</v>
      </c>
      <c r="AT79" cm="1">
        <f t="array" ref="AT79">AO79*Linterp(AP$3,atmos_h,atmos_aspeed)</f>
        <v>985.01090747640546</v>
      </c>
      <c r="AU79" s="162">
        <f t="shared" si="13"/>
        <v>4264.7341499823933</v>
      </c>
      <c r="AW79">
        <v>0.95</v>
      </c>
      <c r="AX79" cm="1">
        <f t="array" ref="AX79">numeng*InterpolateXY(AX$3,AW79,Tmil_h,Tmil_M,Tmil_table)</f>
        <v>2469.1055558601138</v>
      </c>
      <c r="AY79" cm="1">
        <f t="array" ref="AY79">1*AX$4/(S*Linterp(AX$3,atmos_h,atmos_qms)*AW79^2)</f>
        <v>0.11856719202217614</v>
      </c>
      <c r="AZ79" cm="1">
        <f t="array" ref="AZ79">InterpolateXY(AY79,AW79,CD_CL,CD_M,CD_table)</f>
        <v>2.1000765252454891E-2</v>
      </c>
      <c r="BA79" cm="1">
        <f t="array" ref="BA79">AZ79*S*Linterp(AX$3,atmos_h,atmos_qms)*AW79^2</f>
        <v>1771.2121620057449</v>
      </c>
      <c r="BB79" cm="1">
        <f t="array" ref="BB79">AW79*Linterp(AX$3,atmos_h,atmos_aspeed)</f>
        <v>965.18155616977151</v>
      </c>
      <c r="BC79" s="162">
        <f t="shared" si="14"/>
        <v>4041.5629915257782</v>
      </c>
      <c r="BE79">
        <v>0.95</v>
      </c>
      <c r="BF79" cm="1">
        <f t="array" ref="BF79">numeng*InterpolateXY(BF$3,BE79,Tmil_h,Tmil_M,Tmil_table)</f>
        <v>2132.5245347364266</v>
      </c>
      <c r="BG79" cm="1">
        <f t="array" ref="BG79">1*BF$4/(S*Linterp(BF$3,atmos_h,atmos_qms)*BE79^2)</f>
        <v>0.14816527952802147</v>
      </c>
      <c r="BH79" cm="1">
        <f t="array" ref="BH79">InterpolateXY(BG79,BE79,CD_CL,CD_M,CD_table)</f>
        <v>2.214177152580523E-2</v>
      </c>
      <c r="BI79" cm="1">
        <f t="array" ref="BI79">BH79*S*Linterp(BF$3,atmos_h,atmos_qms)*BE79^2</f>
        <v>1494.3967707102197</v>
      </c>
      <c r="BJ79" cm="1">
        <f t="array" ref="BJ79">BE79*Linterp(BF$3,atmos_h,atmos_aspeed)</f>
        <v>944.93618032812788</v>
      </c>
      <c r="BK79" s="162">
        <f t="shared" si="15"/>
        <v>3617.9400714015169</v>
      </c>
      <c r="BM79">
        <v>0.95</v>
      </c>
      <c r="BN79" cm="1">
        <f t="array" ref="BN79">numeng*InterpolateXY(BN$3,BM79,Tmil_h,Tmil_M,Tmil_table)</f>
        <v>1825.1361290005311</v>
      </c>
      <c r="BO79" cm="1">
        <f t="array" ref="BO79">1*BN$4/(S*Linterp(BN$3,atmos_h,atmos_qms)*BM79^2)</f>
        <v>0.18698813753410429</v>
      </c>
      <c r="BP79" cm="1">
        <f t="array" ref="BP79">InterpolateXY(BO79,BM79,CD_CL,CD_M,CD_table)</f>
        <v>2.3638392701939723E-2</v>
      </c>
      <c r="BQ79" cm="1">
        <f t="array" ref="BQ79">BP79*S*Linterp(BN$3,atmos_h,atmos_qms)*BM79^2</f>
        <v>1264.1653643738964</v>
      </c>
      <c r="BR79" cm="1">
        <f t="array" ref="BR79">BM79*Linterp(BN$3,atmos_h,atmos_aspeed)</f>
        <v>924.24744166046935</v>
      </c>
      <c r="BS79" s="162">
        <f t="shared" si="16"/>
        <v>3110.8547643149068</v>
      </c>
      <c r="BU79">
        <v>0.95</v>
      </c>
      <c r="BV79" cm="1">
        <f t="array" ref="BV79">numeng*InterpolateXY(BV$3,BU79,Tmil_h,Tmil_M,Tmil_table)</f>
        <v>1496.7104822486292</v>
      </c>
      <c r="BW79" cm="1">
        <f t="array" ref="BW79">1*BV$4/(S*Linterp(BV$3,atmos_h,atmos_qms)*BU79^2)</f>
        <v>0.2377228476878184</v>
      </c>
      <c r="BX79" cm="1">
        <f t="array" ref="BX79">InterpolateXY(BW79,BU79,CD_CL,CD_M,CD_table)</f>
        <v>2.6563692963942336E-2</v>
      </c>
      <c r="BY79" cm="1">
        <f t="array" ref="BY79">BX79*S*Linterp(BV$3,atmos_h,atmos_qms)*BU79^2</f>
        <v>1117.42279811599</v>
      </c>
      <c r="BZ79" cm="1">
        <f t="array" ref="BZ79">BU79*Linterp(BV$3,atmos_h,atmos_aspeed)</f>
        <v>919.69548490036209</v>
      </c>
      <c r="CA79" s="162">
        <f t="shared" si="17"/>
        <v>2092.9750234506182</v>
      </c>
    </row>
    <row r="80" spans="1:79">
      <c r="I80">
        <v>0.96</v>
      </c>
      <c r="J80" cm="1">
        <f t="array" ref="J80">numeng*InterpolateXY(J$3,I80,Tmil_h,Tmil_M,Tmil_table)</f>
        <v>4184</v>
      </c>
      <c r="K80" cm="1">
        <f t="array" ref="K80">1*J$4/(S*Linterp(J$3,atmos_h,atmos_qms)*I80^2)</f>
        <v>4.3087347372123726E-2</v>
      </c>
      <c r="L80" cm="1">
        <f t="array" ref="L80">InterpolateXY(K80,I80,CD_CL,CD_M,CD_table)</f>
        <v>2.1055826781100396E-2</v>
      </c>
      <c r="M80" cm="1">
        <f t="array" ref="M80">L80*S*Linterp(J$3,atmos_h,atmos_qms)*I80^2</f>
        <v>4886.7772247040002</v>
      </c>
      <c r="N80" cm="1">
        <f t="array" ref="N80">I80*Linterp(J$3,atmos_h,atmos_aspeed)</f>
        <v>1071.7919999999999</v>
      </c>
      <c r="O80" s="162">
        <f t="shared" si="9"/>
        <v>-4519.3860433196987</v>
      </c>
      <c r="Q80">
        <v>0.96</v>
      </c>
      <c r="R80" cm="1">
        <f t="array" ref="R80">numeng*InterpolateXY(R$3,Q80,Tmil_h,Tmil_M,Tmil_table)</f>
        <v>3936.0996682160653</v>
      </c>
      <c r="S80" cm="1">
        <f t="array" ref="S80">1*R$4/(S*Linterp(R$3,atmos_h,atmos_qms)*Q80^2)</f>
        <v>5.1784747289508708E-2</v>
      </c>
      <c r="T80" cm="1">
        <f t="array" ref="T80">InterpolateXY(S80,Q80,CD_CL,CD_M,CD_table)</f>
        <v>2.1168023240034663E-2</v>
      </c>
      <c r="U80" cm="1">
        <f t="array" ref="U80">T80*S*Linterp(R$3,atmos_h,atmos_qms)*Q80^2</f>
        <v>4087.6946104790945</v>
      </c>
      <c r="V80" cm="1">
        <f t="array" ref="V80">Q80*Linterp(R$3,atmos_h,atmos_aspeed)</f>
        <v>1053.2087293154384</v>
      </c>
      <c r="W80" s="162">
        <f t="shared" si="10"/>
        <v>-957.96669906895363</v>
      </c>
      <c r="Y80">
        <v>0.96</v>
      </c>
      <c r="Z80" cm="1">
        <f t="array" ref="Z80">numeng*InterpolateXY(Z$3,Y80,Tmil_h,Tmil_M,Tmil_table)</f>
        <v>3656.928663824714</v>
      </c>
      <c r="AA80" cm="1">
        <f t="array" ref="AA80">1*Z$4/(S*Linterp(Z$3,atmos_h,atmos_qms)*Y80^2)</f>
        <v>6.2654007634457318E-2</v>
      </c>
      <c r="AB80" cm="1">
        <f t="array" ref="AB80">InterpolateXY(AA80,Y80,CD_CL,CD_M,CD_table)</f>
        <v>2.1308236698484501E-2</v>
      </c>
      <c r="AC80" cm="1">
        <f t="array" ref="AC80">AB80*S*Linterp(Z$3,atmos_h,atmos_qms)*Y80^2</f>
        <v>3400.9375462146468</v>
      </c>
      <c r="AD80" cm="1">
        <f t="array" ref="AD80">Y80*Linterp(Z$3,atmos_h,atmos_aspeed)</f>
        <v>1034.2916241314542</v>
      </c>
      <c r="AE80" s="162">
        <f t="shared" si="11"/>
        <v>1588.6168127768553</v>
      </c>
      <c r="AG80">
        <v>0.96</v>
      </c>
      <c r="AH80" cm="1">
        <f t="array" ref="AH80">numeng*InterpolateXY(AH$3,AG80,Tmil_h,Tmil_M,Tmil_table)</f>
        <v>3236.7724125118907</v>
      </c>
      <c r="AI80" cm="1">
        <f t="array" ref="AI80">1*AH$4/(S*Linterp(AH$3,atmos_h,atmos_qms)*AG80^2)</f>
        <v>7.6349915484155262E-2</v>
      </c>
      <c r="AJ80" cm="1">
        <f t="array" ref="AJ80">InterpolateXY(AI80,AG80,CD_CL,CD_M,CD_table)</f>
        <v>2.1484913909745603E-2</v>
      </c>
      <c r="AK80" cm="1">
        <f t="array" ref="AK80">AJ80*S*Linterp(AH$3,atmos_h,atmos_qms)*AG80^2</f>
        <v>2814.0062465693654</v>
      </c>
      <c r="AL80" cm="1">
        <f t="array" ref="AL80">AG80*Linterp(AH$3,atmos_h,atmos_aspeed)</f>
        <v>1015.0220194610172</v>
      </c>
      <c r="AM80" s="162">
        <f t="shared" si="12"/>
        <v>2574.7018050886409</v>
      </c>
      <c r="AO80">
        <v>0.96</v>
      </c>
      <c r="AP80" cm="1">
        <f t="array" ref="AP80">numeng*InterpolateXY(AP$3,AO80,Tmil_h,Tmil_M,Tmil_table)</f>
        <v>2843.0519825768106</v>
      </c>
      <c r="AQ80" cm="1">
        <f t="array" ref="AQ80">1*AP$4/(S*Linterp(AP$3,atmos_h,atmos_qms)*AO80^2)</f>
        <v>9.3761456203658652E-2</v>
      </c>
      <c r="AR80" cm="1">
        <f t="array" ref="AR80">InterpolateXY(AQ80,AO80,CD_CL,CD_M,CD_table)</f>
        <v>2.1709522785027198E-2</v>
      </c>
      <c r="AS80" cm="1">
        <f t="array" ref="AS80">AR80*S*Linterp(AP$3,atmos_h,atmos_qms)*AO80^2</f>
        <v>2315.3994897297757</v>
      </c>
      <c r="AT80" cm="1">
        <f t="array" ref="AT80">AO80*Linterp(AP$3,atmos_h,atmos_aspeed)</f>
        <v>995.37944334457814</v>
      </c>
      <c r="AU80" s="162">
        <f t="shared" si="13"/>
        <v>3151.2866676567633</v>
      </c>
      <c r="AW80">
        <v>0.96</v>
      </c>
      <c r="AX80" cm="1">
        <f t="array" ref="AX80">numeng*InterpolateXY(AX$3,AW80,Tmil_h,Tmil_M,Tmil_table)</f>
        <v>2477.1715994182773</v>
      </c>
      <c r="AY80" cm="1">
        <f t="array" ref="AY80">1*AX$4/(S*Linterp(AX$3,atmos_h,atmos_qms)*AW80^2)</f>
        <v>0.1161099075520985</v>
      </c>
      <c r="AZ80" cm="1">
        <f t="array" ref="AZ80">InterpolateXY(AY80,AW80,CD_CL,CD_M,CD_table)</f>
        <v>2.2413453422266211E-2</v>
      </c>
      <c r="BA80" cm="1">
        <f t="array" ref="BA80">AZ80*S*Linterp(AX$3,atmos_h,atmos_qms)*AW80^2</f>
        <v>1930.3652801729518</v>
      </c>
      <c r="BB80" cm="1">
        <f t="array" ref="BB80">AW80*Linterp(AX$3,atmos_h,atmos_aspeed)</f>
        <v>975.34136202419018</v>
      </c>
      <c r="BC80" s="162">
        <f t="shared" si="14"/>
        <v>3199.9369210570198</v>
      </c>
      <c r="BE80">
        <v>0.96</v>
      </c>
      <c r="BF80" cm="1">
        <f t="array" ref="BF80">numeng*InterpolateXY(BF$3,BE80,Tmil_h,Tmil_M,Tmil_table)</f>
        <v>2140.0070769635722</v>
      </c>
      <c r="BG80" cm="1">
        <f t="array" ref="BG80">1*BF$4/(S*Linterp(BF$3,atmos_h,atmos_qms)*BE80^2)</f>
        <v>0.14509457983294202</v>
      </c>
      <c r="BH80" cm="1">
        <f t="array" ref="BH80">InterpolateXY(BG80,BE80,CD_CL,CD_M,CD_table)</f>
        <v>2.3535160239534857E-2</v>
      </c>
      <c r="BI80" cm="1">
        <f t="array" ref="BI80">BH80*S*Linterp(BF$3,atmos_h,atmos_qms)*BE80^2</f>
        <v>1622.0564728629149</v>
      </c>
      <c r="BJ80" cm="1">
        <f t="array" ref="BJ80">BE80*Linterp(BF$3,atmos_h,atmos_aspeed)</f>
        <v>954.88287696316081</v>
      </c>
      <c r="BK80" s="162">
        <f t="shared" si="15"/>
        <v>2967.4929778106566</v>
      </c>
      <c r="BM80">
        <v>0.96</v>
      </c>
      <c r="BN80" cm="1">
        <f t="array" ref="BN80">numeng*InterpolateXY(BN$3,BM80,Tmil_h,Tmil_M,Tmil_table)</f>
        <v>1831.953275832112</v>
      </c>
      <c r="BO80" cm="1">
        <f t="array" ref="BO80">1*BN$4/(S*Linterp(BN$3,atmos_h,atmos_qms)*BM80^2)</f>
        <v>0.1831128408469283</v>
      </c>
      <c r="BP80" cm="1">
        <f t="array" ref="BP80">InterpolateXY(BO80,BM80,CD_CL,CD_M,CD_table)</f>
        <v>2.5006466940776125E-2</v>
      </c>
      <c r="BQ80" cm="1">
        <f t="array" ref="BQ80">BP80*S*Linterp(BN$3,atmos_h,atmos_qms)*BM80^2</f>
        <v>1365.631532180754</v>
      </c>
      <c r="BR80" cm="1">
        <f t="array" ref="BR80">BM80*Linterp(BN$3,atmos_h,atmos_aspeed)</f>
        <v>933.97636209900054</v>
      </c>
      <c r="BS80" s="162">
        <f t="shared" si="16"/>
        <v>2613.2009142189486</v>
      </c>
      <c r="BU80">
        <v>0.96</v>
      </c>
      <c r="BV80" cm="1">
        <f t="array" ref="BV80">numeng*InterpolateXY(BV$3,BU80,Tmil_h,Tmil_M,Tmil_table)</f>
        <v>1502.6185499417159</v>
      </c>
      <c r="BW80" cm="1">
        <f t="array" ref="BW80">1*BV$4/(S*Linterp(BV$3,atmos_h,atmos_qms)*BU80^2)</f>
        <v>0.23279608294081605</v>
      </c>
      <c r="BX80" cm="1">
        <f t="array" ref="BX80">InterpolateXY(BW80,BU80,CD_CL,CD_M,CD_table)</f>
        <v>2.7775347349682636E-2</v>
      </c>
      <c r="BY80" cm="1">
        <f t="array" ref="BY80">BX80*S*Linterp(BV$3,atmos_h,atmos_qms)*BU80^2</f>
        <v>1193.1191882100518</v>
      </c>
      <c r="BZ80" cm="1">
        <f t="array" ref="BZ80">BU80*Linterp(BV$3,atmos_h,atmos_aspeed)</f>
        <v>929.37649000457645</v>
      </c>
      <c r="CA80" s="162">
        <f t="shared" si="17"/>
        <v>1725.848582788984</v>
      </c>
    </row>
    <row r="81" spans="2:95">
      <c r="I81">
        <v>0.97</v>
      </c>
      <c r="J81" cm="1">
        <f t="array" ref="J81">numeng*InterpolateXY(J$3,I81,Tmil_h,Tmil_M,Tmil_table)</f>
        <v>4188</v>
      </c>
      <c r="K81" cm="1">
        <f t="array" ref="K81">1*J$4/(S*Linterp(J$3,atmos_h,atmos_qms)*I81^2)</f>
        <v>4.2203527833084523E-2</v>
      </c>
      <c r="L81" cm="1">
        <f t="array" ref="L81">InterpolateXY(K81,I81,CD_CL,CD_M,CD_table)</f>
        <v>2.5298645861830098E-2</v>
      </c>
      <c r="M81" cm="1">
        <f t="array" ref="M81">L81*S*Linterp(J$3,atmos_h,atmos_qms)*I81^2</f>
        <v>5994.4386549594992</v>
      </c>
      <c r="N81" cm="1">
        <f t="array" ref="N81">I81*Linterp(J$3,atmos_h,atmos_aspeed)</f>
        <v>1082.9565</v>
      </c>
      <c r="O81" s="162">
        <f t="shared" si="9"/>
        <v>-11737.766899437882</v>
      </c>
      <c r="Q81">
        <v>0.97</v>
      </c>
      <c r="R81" cm="1">
        <f t="array" ref="R81">numeng*InterpolateXY(R$3,Q81,Tmil_h,Tmil_M,Tmil_table)</f>
        <v>3942.9930126437644</v>
      </c>
      <c r="S81" cm="1">
        <f t="array" ref="S81">1*R$4/(S*Linterp(R$3,atmos_h,atmos_qms)*Q81^2)</f>
        <v>5.0722524287396348E-2</v>
      </c>
      <c r="T81" cm="1">
        <f t="array" ref="T81">InterpolateXY(S81,Q81,CD_CL,CD_M,CD_table)</f>
        <v>2.5409392815736152E-2</v>
      </c>
      <c r="U81" cm="1">
        <f t="array" ref="U81">T81*S*Linterp(R$3,atmos_h,atmos_qms)*Q81^2</f>
        <v>5009.4890135524929</v>
      </c>
      <c r="V81" cm="1">
        <f t="array" ref="V81">Q81*Linterp(R$3,atmos_h,atmos_aspeed)</f>
        <v>1064.1796535791409</v>
      </c>
      <c r="W81" s="162">
        <f t="shared" si="10"/>
        <v>-6809.6600687435403</v>
      </c>
      <c r="Y81">
        <v>0.97</v>
      </c>
      <c r="Z81" cm="1">
        <f t="array" ref="Z81">numeng*InterpolateXY(Z$3,Y81,Tmil_h,Tmil_M,Tmil_table)</f>
        <v>3665.7903649486834</v>
      </c>
      <c r="AA81" cm="1">
        <f t="array" ref="AA81">1*Z$4/(S*Linterp(Z$3,atmos_h,atmos_qms)*Y81^2)</f>
        <v>6.1368831369875504E-2</v>
      </c>
      <c r="AB81" cm="1">
        <f t="array" ref="AB81">InterpolateXY(AA81,Y81,CD_CL,CD_M,CD_table)</f>
        <v>2.5547794807808381E-2</v>
      </c>
      <c r="AC81" cm="1">
        <f t="array" ref="AC81">AB81*S*Linterp(Z$3,atmos_h,atmos_qms)*Y81^2</f>
        <v>4162.9919028161885</v>
      </c>
      <c r="AD81" cm="1">
        <f t="array" ref="AD81">Y81*Linterp(Z$3,atmos_h,atmos_aspeed)</f>
        <v>1045.0654952161569</v>
      </c>
      <c r="AE81" s="162">
        <f t="shared" si="11"/>
        <v>-3117.6490283624339</v>
      </c>
      <c r="AG81">
        <v>0.97</v>
      </c>
      <c r="AH81" cm="1">
        <f t="array" ref="AH81">numeng*InterpolateXY(AH$3,AG81,Tmil_h,Tmil_M,Tmil_table)</f>
        <v>3245.5816686890225</v>
      </c>
      <c r="AI81" cm="1">
        <f t="array" ref="AI81">1*AH$4/(S*Linterp(AH$3,atmos_h,atmos_qms)*AG81^2)</f>
        <v>7.4783804984799127E-2</v>
      </c>
      <c r="AJ81" cm="1">
        <f t="array" ref="AJ81">InterpolateXY(AI81,AG81,CD_CL,CD_M,CD_table)</f>
        <v>2.572218946480239E-2</v>
      </c>
      <c r="AK81" cm="1">
        <f t="array" ref="AK81">AJ81*S*Linterp(AH$3,atmos_h,atmos_qms)*AG81^2</f>
        <v>3439.5400809079979</v>
      </c>
      <c r="AL81" cm="1">
        <f t="array" ref="AL81">AG81*Linterp(AH$3,atmos_h,atmos_aspeed)</f>
        <v>1025.5951654970695</v>
      </c>
      <c r="AM81" s="162">
        <f t="shared" si="12"/>
        <v>-1193.5368592756131</v>
      </c>
      <c r="AO81">
        <v>0.97</v>
      </c>
      <c r="AP81" cm="1">
        <f t="array" ref="AP81">numeng*InterpolateXY(AP$3,AO81,Tmil_h,Tmil_M,Tmil_table)</f>
        <v>2851.5768760777905</v>
      </c>
      <c r="AQ81" cm="1">
        <f t="array" ref="AQ81">1*AP$4/(S*Linterp(AP$3,atmos_h,atmos_qms)*AO81^2)</f>
        <v>9.1838195384516763E-2</v>
      </c>
      <c r="AR81" cm="1">
        <f t="array" ref="AR81">InterpolateXY(AQ81,AO81,CD_CL,CD_M,CD_table)</f>
        <v>2.594389653999872E-2</v>
      </c>
      <c r="AS81" cm="1">
        <f t="array" ref="AS81">AR81*S*Linterp(AP$3,atmos_h,atmos_qms)*AO81^2</f>
        <v>2824.9571359034644</v>
      </c>
      <c r="AT81" cm="1">
        <f t="array" ref="AT81">AO81*Linterp(AP$3,atmos_h,atmos_aspeed)</f>
        <v>1005.7479792127508</v>
      </c>
      <c r="AU81" s="162">
        <f t="shared" si="13"/>
        <v>160.63649932498186</v>
      </c>
      <c r="AW81">
        <v>0.97</v>
      </c>
      <c r="AX81" cm="1">
        <f t="array" ref="AX81">numeng*InterpolateXY(AX$3,AW81,Tmil_h,Tmil_M,Tmil_table)</f>
        <v>2485.2376429764413</v>
      </c>
      <c r="AY81" cm="1">
        <f t="array" ref="AY81">1*AX$4/(S*Linterp(AX$3,atmos_h,atmos_qms)*AW81^2)</f>
        <v>0.1137282291423254</v>
      </c>
      <c r="AZ81" cm="1">
        <f t="array" ref="AZ81">InterpolateXY(AY81,AW81,CD_CL,CD_M,CD_table)</f>
        <v>2.6585400936550693E-2</v>
      </c>
      <c r="BA81" cm="1">
        <f t="array" ref="BA81">AZ81*S*Linterp(AX$3,atmos_h,atmos_qms)*AW81^2</f>
        <v>2337.6255074965025</v>
      </c>
      <c r="BB81" cm="1">
        <f t="array" ref="BB81">AW81*Linterp(AX$3,atmos_h,atmos_aspeed)</f>
        <v>985.50116787860884</v>
      </c>
      <c r="BC81" s="162">
        <f t="shared" si="14"/>
        <v>872.8315914512109</v>
      </c>
      <c r="BE81">
        <v>0.97</v>
      </c>
      <c r="BF81" cm="1">
        <f t="array" ref="BF81">numeng*InterpolateXY(BF$3,BE81,Tmil_h,Tmil_M,Tmil_table)</f>
        <v>2147.4896191907173</v>
      </c>
      <c r="BG81" cm="1">
        <f t="array" ref="BG81">1*BF$4/(S*Linterp(BF$3,atmos_h,atmos_qms)*BE81^2)</f>
        <v>0.14211835984062002</v>
      </c>
      <c r="BH81" cm="1">
        <f t="array" ref="BH81">InterpolateXY(BG81,BE81,CD_CL,CD_M,CD_table)</f>
        <v>2.769261603378418E-2</v>
      </c>
      <c r="BI81" cm="1">
        <f t="array" ref="BI81">BH81*S*Linterp(BF$3,atmos_h,atmos_qms)*BE81^2</f>
        <v>1948.5600639382787</v>
      </c>
      <c r="BJ81" cm="1">
        <f t="array" ref="BJ81">BE81*Linterp(BF$3,atmos_h,atmos_aspeed)</f>
        <v>964.82957359819375</v>
      </c>
      <c r="BK81" s="162">
        <f t="shared" si="15"/>
        <v>1151.598707821732</v>
      </c>
      <c r="BM81">
        <v>0.97</v>
      </c>
      <c r="BN81" cm="1">
        <f t="array" ref="BN81">numeng*InterpolateXY(BN$3,BM81,Tmil_h,Tmil_M,Tmil_table)</f>
        <v>1838.7704226636929</v>
      </c>
      <c r="BO81" cm="1">
        <f t="array" ref="BO81">1*BN$4/(S*Linterp(BN$3,atmos_h,atmos_qms)*BM81^2)</f>
        <v>0.17935677981138176</v>
      </c>
      <c r="BP81" cm="1">
        <f t="array" ref="BP81">InterpolateXY(BO81,BM81,CD_CL,CD_M,CD_table)</f>
        <v>2.9144914412643889E-2</v>
      </c>
      <c r="BQ81" cm="1">
        <f t="array" ref="BQ81">BP81*S*Linterp(BN$3,atmos_h,atmos_qms)*BM81^2</f>
        <v>1624.9686487064364</v>
      </c>
      <c r="BR81" cm="1">
        <f t="array" ref="BR81">BM81*Linterp(BN$3,atmos_h,atmos_aspeed)</f>
        <v>943.70528253753184</v>
      </c>
      <c r="BS81" s="162">
        <f t="shared" si="16"/>
        <v>1210.5951809961496</v>
      </c>
      <c r="BU81">
        <v>0.97</v>
      </c>
      <c r="BV81" cm="1">
        <f t="array" ref="BV81">numeng*InterpolateXY(BV$3,BU81,Tmil_h,Tmil_M,Tmil_table)</f>
        <v>1508.5266176348025</v>
      </c>
      <c r="BW81" cm="1">
        <f t="array" ref="BW81">1*BV$4/(S*Linterp(BV$3,atmos_h,atmos_qms)*BU81^2)</f>
        <v>0.22802090555665439</v>
      </c>
      <c r="BX81" cm="1">
        <f t="array" ref="BX81">InterpolateXY(BW81,BU81,CD_CL,CD_M,CD_table)</f>
        <v>3.1771358861182535E-2</v>
      </c>
      <c r="BY81" cm="1">
        <f t="array" ref="BY81">BX81*S*Linterp(BV$3,atmos_h,atmos_qms)*BU81^2</f>
        <v>1393.3528938331747</v>
      </c>
      <c r="BZ81" cm="1">
        <f t="array" ref="BZ81">BU81*Linterp(BV$3,atmos_h,atmos_aspeed)</f>
        <v>939.0574951087907</v>
      </c>
      <c r="CA81" s="162">
        <f t="shared" si="17"/>
        <v>648.92849145305001</v>
      </c>
    </row>
    <row r="82" spans="2:95">
      <c r="I82">
        <v>0.98</v>
      </c>
      <c r="J82" cm="1">
        <f t="array" ref="J82">numeng*InterpolateXY(J$3,I82,Tmil_h,Tmil_M,Tmil_table)</f>
        <v>4192</v>
      </c>
      <c r="K82" cm="1">
        <f t="array" ref="K82">1*J$4/(S*Linterp(J$3,atmos_h,atmos_qms)*I82^2)</f>
        <v>4.1346625716523561E-2</v>
      </c>
      <c r="L82" cm="1">
        <f t="array" ref="L82">InterpolateXY(K82,I82,CD_CL,CD_M,CD_table)</f>
        <v>2.9541640796886461E-2</v>
      </c>
      <c r="M82" cm="1">
        <f t="array" ref="M82">L82*S*Linterp(J$3,atmos_h,atmos_qms)*I82^2</f>
        <v>7144.8734412880003</v>
      </c>
      <c r="N82" cm="1">
        <f t="array" ref="N82">I82*Linterp(J$3,atmos_h,atmos_aspeed)</f>
        <v>1094.1210000000001</v>
      </c>
      <c r="O82" s="162">
        <f t="shared" si="9"/>
        <v>-19384.805054732813</v>
      </c>
      <c r="Q82">
        <v>0.98</v>
      </c>
      <c r="R82" cm="1">
        <f t="array" ref="R82">numeng*InterpolateXY(R$3,Q82,Tmil_h,Tmil_M,Tmil_table)</f>
        <v>3949.8863570714634</v>
      </c>
      <c r="S82" cm="1">
        <f t="array" ref="S82">1*R$4/(S*Linterp(R$3,atmos_h,atmos_qms)*Q82^2)</f>
        <v>4.9692652126209103E-2</v>
      </c>
      <c r="T82" cm="1">
        <f t="array" ref="T82">InterpolateXY(S82,Q82,CD_CL,CD_M,CD_table)</f>
        <v>2.9650973742853338E-2</v>
      </c>
      <c r="U82" cm="1">
        <f t="array" ref="U82">T82*S*Linterp(R$3,atmos_h,atmos_qms)*Q82^2</f>
        <v>5966.8728623189545</v>
      </c>
      <c r="V82" cm="1">
        <f t="array" ref="V82">Q82*Linterp(R$3,atmos_h,atmos_aspeed)</f>
        <v>1075.1505778428434</v>
      </c>
      <c r="W82" s="162">
        <f t="shared" si="10"/>
        <v>-13011.385239708346</v>
      </c>
      <c r="Y82">
        <v>0.98</v>
      </c>
      <c r="Z82" cm="1">
        <f t="array" ref="Z82">numeng*InterpolateXY(Z$3,Y82,Tmil_h,Tmil_M,Tmil_table)</f>
        <v>3674.6520660726528</v>
      </c>
      <c r="AA82" cm="1">
        <f t="array" ref="AA82">1*Z$4/(S*Linterp(Z$3,atmos_h,atmos_qms)*Y82^2)</f>
        <v>6.0122796164010686E-2</v>
      </c>
      <c r="AB82" cm="1">
        <f t="array" ref="AB82">InterpolateXY(AA82,Y82,CD_CL,CD_M,CD_table)</f>
        <v>2.9787608629748542E-2</v>
      </c>
      <c r="AC82" cm="1">
        <f t="array" ref="AC82">AB82*S*Linterp(Z$3,atmos_h,atmos_qms)*Y82^2</f>
        <v>4954.4616235895073</v>
      </c>
      <c r="AD82" cm="1">
        <f t="array" ref="AD82">Y82*Linterp(Z$3,atmos_h,atmos_aspeed)</f>
        <v>1055.8393663008594</v>
      </c>
      <c r="AE82" s="162">
        <f t="shared" si="11"/>
        <v>-8107.6398731662748</v>
      </c>
      <c r="AG82">
        <v>0.98</v>
      </c>
      <c r="AH82" cm="1">
        <f t="array" ref="AH82">numeng*InterpolateXY(AH$3,AG82,Tmil_h,Tmil_M,Tmil_table)</f>
        <v>3254.3909248661548</v>
      </c>
      <c r="AI82" cm="1">
        <f t="array" ref="AI82">1*AH$4/(S*Linterp(AH$3,atmos_h,atmos_qms)*AG82^2)</f>
        <v>7.3265391618281439E-2</v>
      </c>
      <c r="AJ82" cm="1">
        <f t="array" ref="AJ82">InterpolateXY(AI82,AG82,CD_CL,CD_M,CD_table)</f>
        <v>2.9959776630199487E-2</v>
      </c>
      <c r="AK82" cm="1">
        <f t="array" ref="AK82">AJ82*S*Linterp(AH$3,atmos_h,atmos_qms)*AG82^2</f>
        <v>4089.2126512190534</v>
      </c>
      <c r="AL82" cm="1">
        <f t="array" ref="AL82">AG82*Linterp(AH$3,atmos_h,atmos_aspeed)</f>
        <v>1036.1683115331216</v>
      </c>
      <c r="AM82" s="162">
        <f t="shared" si="12"/>
        <v>-5190.0949117574919</v>
      </c>
      <c r="AO82">
        <v>0.98</v>
      </c>
      <c r="AP82" cm="1">
        <f t="array" ref="AP82">numeng*InterpolateXY(AP$3,AO82,Tmil_h,Tmil_M,Tmil_table)</f>
        <v>2860.1017695787705</v>
      </c>
      <c r="AQ82" cm="1">
        <f t="array" ref="AQ82">1*AP$4/(S*Linterp(AP$3,atmos_h,atmos_qms)*AO82^2)</f>
        <v>8.9973508993431719E-2</v>
      </c>
      <c r="AR82" cm="1">
        <f t="array" ref="AR82">InterpolateXY(AQ82,AO82,CD_CL,CD_M,CD_table)</f>
        <v>3.0178652967813954E-2</v>
      </c>
      <c r="AS82" cm="1">
        <f t="array" ref="AS82">AR82*S*Linterp(AP$3,atmos_h,atmos_qms)*AO82^2</f>
        <v>3354.1709449185842</v>
      </c>
      <c r="AT82" cm="1">
        <f t="array" ref="AT82">AO82*Linterp(AP$3,atmos_h,atmos_aspeed)</f>
        <v>1016.1165150809236</v>
      </c>
      <c r="AU82" s="162">
        <f t="shared" si="13"/>
        <v>-3012.1910919311836</v>
      </c>
      <c r="AW82">
        <v>0.98</v>
      </c>
      <c r="AX82" cm="1">
        <f t="array" ref="AX82">numeng*InterpolateXY(AX$3,AW82,Tmil_h,Tmil_M,Tmil_table)</f>
        <v>2493.3036865346048</v>
      </c>
      <c r="AY82" cm="1">
        <f t="array" ref="AY82">1*AX$4/(S*Linterp(AX$3,atmos_h,atmos_qms)*AW82^2)</f>
        <v>0.11141908663058515</v>
      </c>
      <c r="AZ82" cm="1">
        <f t="array" ref="AZ82">InterpolateXY(AY82,AW82,CD_CL,CD_M,CD_table)</f>
        <v>3.0758770104581997E-2</v>
      </c>
      <c r="BA82" cm="1">
        <f t="array" ref="BA82">AZ82*S*Linterp(AX$3,atmos_h,atmos_qms)*AW82^2</f>
        <v>2760.6374306912103</v>
      </c>
      <c r="BB82" cm="1">
        <f t="array" ref="BB82">AW82*Linterp(AX$3,atmos_h,atmos_aspeed)</f>
        <v>995.6609737330275</v>
      </c>
      <c r="BC82" s="162">
        <f t="shared" si="14"/>
        <v>-1597.0426561119712</v>
      </c>
      <c r="BE82">
        <v>0.98</v>
      </c>
      <c r="BF82" cm="1">
        <f t="array" ref="BF82">numeng*InterpolateXY(BF$3,BE82,Tmil_h,Tmil_M,Tmil_table)</f>
        <v>2154.9721614178629</v>
      </c>
      <c r="BG82" cm="1">
        <f t="array" ref="BG82">1*BF$4/(S*Linterp(BF$3,atmos_h,atmos_qms)*BE82^2)</f>
        <v>0.13923278298004932</v>
      </c>
      <c r="BH82" cm="1">
        <f t="array" ref="BH82">InterpolateXY(BG82,BE82,CD_CL,CD_M,CD_table)</f>
        <v>3.1851848371115939E-2</v>
      </c>
      <c r="BI82" cm="1">
        <f t="array" ref="BI82">BH82*S*Linterp(BF$3,atmos_h,atmos_qms)*BE82^2</f>
        <v>2287.66872925897</v>
      </c>
      <c r="BJ82" cm="1">
        <f t="array" ref="BJ82">BE82*Linterp(BF$3,atmos_h,atmos_aspeed)</f>
        <v>974.77627023322668</v>
      </c>
      <c r="BK82" s="162">
        <f t="shared" si="15"/>
        <v>-776.09679283742787</v>
      </c>
      <c r="BM82">
        <v>0.98</v>
      </c>
      <c r="BN82" cm="1">
        <f t="array" ref="BN82">numeng*InterpolateXY(BN$3,BM82,Tmil_h,Tmil_M,Tmil_table)</f>
        <v>1845.587569495274</v>
      </c>
      <c r="BO82" cm="1">
        <f t="array" ref="BO82">1*BN$4/(S*Linterp(BN$3,atmos_h,atmos_qms)*BM82^2)</f>
        <v>0.17571511258280831</v>
      </c>
      <c r="BP82" cm="1">
        <f t="array" ref="BP82">InterpolateXY(BO82,BM82,CD_CL,CD_M,CD_table)</f>
        <v>3.3285603924504366E-2</v>
      </c>
      <c r="BQ82" cm="1">
        <f t="array" ref="BQ82">BP82*S*Linterp(BN$3,atmos_h,atmos_qms)*BM82^2</f>
        <v>1894.2937482863369</v>
      </c>
      <c r="BR82" cm="1">
        <f t="array" ref="BR82">BM82*Linterp(BN$3,atmos_h,atmos_aspeed)</f>
        <v>953.43420297606315</v>
      </c>
      <c r="BS82" s="162">
        <f t="shared" si="16"/>
        <v>-278.62882053400034</v>
      </c>
      <c r="BU82">
        <v>0.98</v>
      </c>
      <c r="BV82" cm="1">
        <f t="array" ref="BV82">numeng*InterpolateXY(BV$3,BU82,Tmil_h,Tmil_M,Tmil_table)</f>
        <v>1514.4346853278894</v>
      </c>
      <c r="BW82" cm="1">
        <f t="array" ref="BW82">1*BV$4/(S*Linterp(BV$3,atmos_h,atmos_qms)*BU82^2)</f>
        <v>0.22339115997319461</v>
      </c>
      <c r="BX82" cm="1">
        <f t="array" ref="BX82">InterpolateXY(BW82,BU82,CD_CL,CD_M,CD_table)</f>
        <v>3.5772120978244247E-2</v>
      </c>
      <c r="BY82" cm="1">
        <f t="array" ref="BY82">BX82*S*Linterp(BV$3,atmos_h,atmos_qms)*BU82^2</f>
        <v>1601.3221374801335</v>
      </c>
      <c r="BZ82" cm="1">
        <f t="array" ref="BZ82">BU82*Linterp(BV$3,atmos_h,atmos_aspeed)</f>
        <v>948.73850021300507</v>
      </c>
      <c r="CA82" s="162">
        <f t="shared" si="17"/>
        <v>-494.60082625349594</v>
      </c>
    </row>
    <row r="83" spans="2:95">
      <c r="I83">
        <v>0.99</v>
      </c>
      <c r="J83" cm="1">
        <f t="array" ref="J83">numeng*InterpolateXY(J$3,I83,Tmil_h,Tmil_M,Tmil_table)</f>
        <v>4196</v>
      </c>
      <c r="K83" cm="1">
        <f t="array" ref="K83">1*J$4/(S*Linterp(J$3,atmos_h,atmos_qms)*I83^2)</f>
        <v>4.0515558961482734E-2</v>
      </c>
      <c r="L83" cm="1">
        <f t="array" ref="L83">InterpolateXY(K83,I83,CD_CL,CD_M,CD_table)</f>
        <v>3.1536831156239648E-2</v>
      </c>
      <c r="M83" cm="1">
        <f t="array" ref="M83">L83*S*Linterp(J$3,atmos_h,atmos_qms)*I83^2</f>
        <v>7783.8815419580005</v>
      </c>
      <c r="N83" cm="1">
        <f t="array" ref="N83">I83*Linterp(J$3,atmos_h,atmos_aspeed)</f>
        <v>1105.2855</v>
      </c>
      <c r="O83" s="162">
        <f t="shared" si="9"/>
        <v>-23793.800664262915</v>
      </c>
      <c r="Q83">
        <v>0.99</v>
      </c>
      <c r="R83" cm="1">
        <f t="array" ref="R83">numeng*InterpolateXY(R$3,Q83,Tmil_h,Tmil_M,Tmil_table)</f>
        <v>3956.779701499162</v>
      </c>
      <c r="S83" cm="1">
        <f t="array" ref="S83">1*R$4/(S*Linterp(R$3,atmos_h,atmos_qms)*Q83^2)</f>
        <v>4.8693830325488442E-2</v>
      </c>
      <c r="T83" cm="1">
        <f t="array" ref="T83">InterpolateXY(S83,Q83,CD_CL,CD_M,CD_table)</f>
        <v>3.1645193251812725E-2</v>
      </c>
      <c r="U83" cm="1">
        <f t="array" ref="U83">T83*S*Linterp(R$3,atmos_h,atmos_qms)*Q83^2</f>
        <v>6498.8096110501028</v>
      </c>
      <c r="V83" cm="1">
        <f t="array" ref="V83">Q83*Linterp(R$3,atmos_h,atmos_aspeed)</f>
        <v>1086.1215021065459</v>
      </c>
      <c r="W83" s="162">
        <f t="shared" si="10"/>
        <v>-16565.720062567409</v>
      </c>
      <c r="Y83">
        <v>0.99</v>
      </c>
      <c r="Z83" cm="1">
        <f t="array" ref="Z83">numeng*InterpolateXY(Z$3,Y83,Tmil_h,Tmil_M,Tmil_table)</f>
        <v>3683.5137671966222</v>
      </c>
      <c r="AA83" cm="1">
        <f t="array" ref="AA83">1*Z$4/(S*Linterp(Z$3,atmos_h,atmos_qms)*Y83^2)</f>
        <v>5.8914328574549403E-2</v>
      </c>
      <c r="AB83" cm="1">
        <f t="array" ref="AB83">InterpolateXY(AA83,Y83,CD_CL,CD_M,CD_table)</f>
        <v>3.1780614853612776E-2</v>
      </c>
      <c r="AC83" cm="1">
        <f t="array" ref="AC83">AB83*S*Linterp(Z$3,atmos_h,atmos_qms)*Y83^2</f>
        <v>5394.3778402562994</v>
      </c>
      <c r="AD83" cm="1">
        <f t="array" ref="AD83">Y83*Linterp(Z$3,atmos_h,atmos_aspeed)</f>
        <v>1066.6132373855621</v>
      </c>
      <c r="AE83" s="162">
        <f t="shared" si="11"/>
        <v>-10948.981606156987</v>
      </c>
      <c r="AG83">
        <v>0.99</v>
      </c>
      <c r="AH83" cm="1">
        <f t="array" ref="AH83">numeng*InterpolateXY(AH$3,AG83,Tmil_h,Tmil_M,Tmil_table)</f>
        <v>3263.2001810432866</v>
      </c>
      <c r="AI83" cm="1">
        <f t="array" ref="AI83">1*AH$4/(S*Linterp(AH$3,atmos_h,atmos_qms)*AG83^2)</f>
        <v>7.1792757994283737E-2</v>
      </c>
      <c r="AJ83" cm="1">
        <f t="array" ref="AJ83">InterpolateXY(AI83,AG83,CD_CL,CD_M,CD_table)</f>
        <v>3.1951254043424263E-2</v>
      </c>
      <c r="AK83" cm="1">
        <f t="array" ref="AK83">AJ83*S*Linterp(AH$3,atmos_h,atmos_qms)*AG83^2</f>
        <v>4450.4842739107853</v>
      </c>
      <c r="AL83" cm="1">
        <f t="array" ref="AL83">AG83*Linterp(AH$3,atmos_h,atmos_aspeed)</f>
        <v>1046.7414575691739</v>
      </c>
      <c r="AM83" s="162">
        <f t="shared" si="12"/>
        <v>-7456.6768915009197</v>
      </c>
      <c r="AO83">
        <v>0.99</v>
      </c>
      <c r="AP83" cm="1">
        <f t="array" ref="AP83">numeng*InterpolateXY(AP$3,AO83,Tmil_h,Tmil_M,Tmil_table)</f>
        <v>2868.6266630797504</v>
      </c>
      <c r="AQ83" cm="1">
        <f t="array" ref="AQ83">1*AP$4/(S*Linterp(AP$3,atmos_h,atmos_qms)*AO83^2)</f>
        <v>8.8165042380667094E-2</v>
      </c>
      <c r="AR83" cm="1">
        <f t="array" ref="AR83">InterpolateXY(AQ83,AO83,CD_CL,CD_M,CD_table)</f>
        <v>3.216818681154384E-2</v>
      </c>
      <c r="AS83" cm="1">
        <f t="array" ref="AS83">AR83*S*Linterp(AP$3,atmos_h,atmos_qms)*AO83^2</f>
        <v>3648.6328303061882</v>
      </c>
      <c r="AT83" cm="1">
        <f t="array" ref="AT83">AO83*Linterp(AP$3,atmos_h,atmos_aspeed)</f>
        <v>1026.4850509490961</v>
      </c>
      <c r="AU83" s="162">
        <f t="shared" si="13"/>
        <v>-4803.988021836235</v>
      </c>
      <c r="AW83">
        <v>0.99</v>
      </c>
      <c r="AX83" cm="1">
        <f t="array" ref="AX83">numeng*InterpolateXY(AX$3,AW83,Tmil_h,Tmil_M,Tmil_table)</f>
        <v>2501.3697300927688</v>
      </c>
      <c r="AY83" cm="1">
        <f t="array" ref="AY83">1*AX$4/(S*Linterp(AX$3,atmos_h,atmos_qms)*AW83^2)</f>
        <v>0.10917956412612384</v>
      </c>
      <c r="AZ83" cm="1">
        <f t="array" ref="AZ83">InterpolateXY(AY83,AW83,CD_CL,CD_M,CD_table)</f>
        <v>3.2689887674013422E-2</v>
      </c>
      <c r="BA83" cm="1">
        <f t="array" ref="BA83">AZ83*S*Linterp(AX$3,atmos_h,atmos_qms)*AW83^2</f>
        <v>2994.1397857432535</v>
      </c>
      <c r="BB83" cm="1">
        <f t="array" ref="BB83">AW83*Linterp(AX$3,atmos_h,atmos_aspeed)</f>
        <v>1005.8207795874462</v>
      </c>
      <c r="BC83" s="162">
        <f t="shared" si="14"/>
        <v>-2973.8301691903184</v>
      </c>
      <c r="BE83">
        <v>0.99</v>
      </c>
      <c r="BF83" cm="1">
        <f t="array" ref="BF83">numeng*InterpolateXY(BF$3,BE83,Tmil_h,Tmil_M,Tmil_table)</f>
        <v>2162.4547036450081</v>
      </c>
      <c r="BG83" cm="1">
        <f t="array" ref="BG83">1*BF$4/(S*Linterp(BF$3,atmos_h,atmos_qms)*BE83^2)</f>
        <v>0.13643420546274806</v>
      </c>
      <c r="BH83" cm="1">
        <f t="array" ref="BH83">InterpolateXY(BG83,BE83,CD_CL,CD_M,CD_table)</f>
        <v>3.3773259667144236E-2</v>
      </c>
      <c r="BI83" cm="1">
        <f t="array" ref="BI83">BH83*S*Linterp(BF$3,atmos_h,atmos_qms)*BE83^2</f>
        <v>2475.4246600106217</v>
      </c>
      <c r="BJ83" cm="1">
        <f t="array" ref="BJ83">BE83*Linterp(BF$3,atmos_h,atmos_aspeed)</f>
        <v>984.72296686825962</v>
      </c>
      <c r="BK83" s="162">
        <f t="shared" si="15"/>
        <v>-1849.1322238378607</v>
      </c>
      <c r="BM83">
        <v>0.99</v>
      </c>
      <c r="BN83" cm="1">
        <f t="array" ref="BN83">numeng*InterpolateXY(BN$3,BM83,Tmil_h,Tmil_M,Tmil_table)</f>
        <v>1852.4047163268549</v>
      </c>
      <c r="BO83" cm="1">
        <f t="array" ref="BO83">1*BN$4/(S*Linterp(BN$3,atmos_h,atmos_qms)*BM83^2)</f>
        <v>0.17218324061272228</v>
      </c>
      <c r="BP83" cm="1">
        <f t="array" ref="BP83">InterpolateXY(BO83,BM83,CD_CL,CD_M,CD_table)</f>
        <v>3.5194283814355715E-2</v>
      </c>
      <c r="BQ83" cm="1">
        <f t="array" ref="BQ83">BP83*S*Linterp(BN$3,atmos_h,atmos_qms)*BM83^2</f>
        <v>2044.0017094065124</v>
      </c>
      <c r="BR83" cm="1">
        <f t="array" ref="BR83">BM83*Linterp(BN$3,atmos_h,atmos_aspeed)</f>
        <v>963.16312341459434</v>
      </c>
      <c r="BS83" s="162">
        <f t="shared" si="16"/>
        <v>-1107.2349497486841</v>
      </c>
      <c r="BU83">
        <v>0.99</v>
      </c>
      <c r="BV83" cm="1">
        <f t="array" ref="BV83">numeng*InterpolateXY(BV$3,BU83,Tmil_h,Tmil_M,Tmil_table)</f>
        <v>1520.342753020976</v>
      </c>
      <c r="BW83" cm="1">
        <f t="array" ref="BW83">1*BV$4/(S*Linterp(BV$3,atmos_h,atmos_qms)*BU83^2)</f>
        <v>0.21890099993700246</v>
      </c>
      <c r="BX83" cm="1">
        <f t="array" ref="BX83">InterpolateXY(BW83,BU83,CD_CL,CD_M,CD_table)</f>
        <v>3.7552191245826413E-2</v>
      </c>
      <c r="BY83" cm="1">
        <f t="array" ref="BY83">BX83*S*Linterp(BV$3,atmos_h,atmos_qms)*BU83^2</f>
        <v>1715.4874238415341</v>
      </c>
      <c r="BZ83" cm="1">
        <f t="array" ref="BZ83">BU83*Linterp(BV$3,atmos_h,atmos_aspeed)</f>
        <v>958.41950531721943</v>
      </c>
      <c r="CA83" s="162">
        <f t="shared" si="17"/>
        <v>-1122.1827532387854</v>
      </c>
    </row>
    <row r="84" spans="2:95">
      <c r="I84">
        <v>1</v>
      </c>
      <c r="J84" cm="1">
        <f t="array" ref="J84">numeng*InterpolateXY(J$3,I84,Tmil_h,Tmil_M,Tmil_table)</f>
        <v>4200</v>
      </c>
      <c r="K84" cm="1">
        <f t="array" ref="K84">1*J$4/(S*Linterp(J$3,atmos_h,atmos_qms)*I84^2)</f>
        <v>3.9709299338149227E-2</v>
      </c>
      <c r="L84" cm="1">
        <f t="array" ref="L84">InterpolateXY(K84,I84,CD_CL,CD_M,CD_table)</f>
        <v>3.3532104611131201E-2</v>
      </c>
      <c r="M84" cm="1">
        <f t="array" ref="M84">L84*S*Linterp(J$3,atmos_h,atmos_qms)*I84^2</f>
        <v>8444.3959400000003</v>
      </c>
      <c r="N84" cm="1">
        <f t="array" ref="N84">I84*Linterp(J$3,atmos_h,atmos_aspeed)</f>
        <v>1116.45</v>
      </c>
      <c r="O84" s="162">
        <f t="shared" si="9"/>
        <v>-28431.935083278007</v>
      </c>
      <c r="Q84">
        <v>1</v>
      </c>
      <c r="R84" cm="1">
        <f t="array" ref="R84">numeng*InterpolateXY(R$3,Q84,Tmil_h,Tmil_M,Tmil_table)</f>
        <v>3963.6730459268611</v>
      </c>
      <c r="S84" cm="1">
        <f t="array" ref="S84">1*R$4/(S*Linterp(R$3,atmos_h,atmos_qms)*Q84^2)</f>
        <v>4.7724823102011218E-2</v>
      </c>
      <c r="T84" cm="1">
        <f t="array" ref="T84">InterpolateXY(S84,Q84,CD_CL,CD_M,CD_table)</f>
        <v>3.3639512629566951E-2</v>
      </c>
      <c r="U84" cm="1">
        <f t="array" ref="U84">T84*S*Linterp(R$3,atmos_h,atmos_qms)*Q84^2</f>
        <v>7048.6406115456757</v>
      </c>
      <c r="V84" cm="1">
        <f t="array" ref="V84">Q84*Linterp(R$3,atmos_h,atmos_aspeed)</f>
        <v>1097.0924263702484</v>
      </c>
      <c r="W84" s="162">
        <f t="shared" si="10"/>
        <v>-20306.967311029584</v>
      </c>
      <c r="Y84">
        <v>1</v>
      </c>
      <c r="Z84" cm="1">
        <f t="array" ref="Z84">numeng*InterpolateXY(Z$3,Y84,Tmil_h,Tmil_M,Tmil_table)</f>
        <v>3692.3754683205916</v>
      </c>
      <c r="AA84" cm="1">
        <f t="array" ref="AA84">1*Z$4/(S*Linterp(Z$3,atmos_h,atmos_qms)*Y84^2)</f>
        <v>5.7741933435915861E-2</v>
      </c>
      <c r="AB84" cm="1">
        <f t="array" ref="AB84">InterpolateXY(AA84,Y84,CD_CL,CD_M,CD_table)</f>
        <v>3.3773741908041277E-2</v>
      </c>
      <c r="AC84" cm="1">
        <f t="array" ref="AC84">AB84*S*Linterp(Z$3,atmos_h,atmos_qms)*Y84^2</f>
        <v>5849.0840015817321</v>
      </c>
      <c r="AD84" cm="1">
        <f t="array" ref="AD84">Y84*Linterp(Z$3,atmos_h,atmos_aspeed)</f>
        <v>1077.3871084702648</v>
      </c>
      <c r="AE84" s="162">
        <f t="shared" si="11"/>
        <v>-13941.659822780199</v>
      </c>
      <c r="AG84">
        <v>1</v>
      </c>
      <c r="AH84" cm="1">
        <f t="array" ref="AH84">numeng*InterpolateXY(AH$3,AG84,Tmil_h,Tmil_M,Tmil_table)</f>
        <v>3272.0094372204185</v>
      </c>
      <c r="AI84" cm="1">
        <f t="array" ref="AI84">1*AH$4/(S*Linterp(AH$3,atmos_h,atmos_qms)*AG84^2)</f>
        <v>7.0364082110197498E-2</v>
      </c>
      <c r="AJ84" cm="1">
        <f t="array" ref="AJ84">InterpolateXY(AI84,AG84,CD_CL,CD_M,CD_table)</f>
        <v>3.3942878700276652E-2</v>
      </c>
      <c r="AK84" cm="1">
        <f t="array" ref="AK84">AJ84*S*Linterp(AH$3,atmos_h,atmos_qms)*AG84^2</f>
        <v>4823.8927706210343</v>
      </c>
      <c r="AL84" cm="1">
        <f t="array" ref="AL84">AG84*Linterp(AH$3,atmos_h,atmos_aspeed)</f>
        <v>1057.3146036052262</v>
      </c>
      <c r="AM84" s="162">
        <f t="shared" si="12"/>
        <v>-9844.9734689761754</v>
      </c>
      <c r="AO84">
        <v>1</v>
      </c>
      <c r="AP84" cm="1">
        <f t="array" ref="AP84">numeng*InterpolateXY(AP$3,AO84,Tmil_h,Tmil_M,Tmil_table)</f>
        <v>2877.1515565807304</v>
      </c>
      <c r="AQ84" cm="1">
        <f t="array" ref="AQ84">1*AP$4/(S*Linterp(AP$3,atmos_h,atmos_qms)*AO84^2)</f>
        <v>8.6410558037291821E-2</v>
      </c>
      <c r="AR84" cm="1">
        <f t="array" ref="AR84">InterpolateXY(AQ84,AO84,CD_CL,CD_M,CD_table)</f>
        <v>3.4157901477699711E-2</v>
      </c>
      <c r="AS84" cm="1">
        <f t="array" ref="AS84">AR84*S*Linterp(AP$3,atmos_h,atmos_qms)*AO84^2</f>
        <v>3952.9777672490372</v>
      </c>
      <c r="AT84" cm="1">
        <f t="array" ref="AT84">AO84*Linterp(AP$3,atmos_h,atmos_aspeed)</f>
        <v>1036.8535868172689</v>
      </c>
      <c r="AU84" s="162">
        <f t="shared" si="13"/>
        <v>-6692.8455919407888</v>
      </c>
      <c r="AW84">
        <v>1</v>
      </c>
      <c r="AX84" cm="1">
        <f t="array" ref="AX84">numeng*InterpolateXY(AX$3,AW84,Tmil_h,Tmil_M,Tmil_table)</f>
        <v>2509.4357736509323</v>
      </c>
      <c r="AY84" cm="1">
        <f t="array" ref="AY84">1*AX$4/(S*Linterp(AX$3,atmos_h,atmos_qms)*AW84^2)</f>
        <v>0.10700689080001397</v>
      </c>
      <c r="AZ84" cm="1">
        <f t="array" ref="AZ84">InterpolateXY(AY84,AW84,CD_CL,CD_M,CD_table)</f>
        <v>3.4621677010160563E-2</v>
      </c>
      <c r="BA84" cm="1">
        <f t="array" ref="BA84">AZ84*S*Linterp(AX$3,atmos_h,atmos_qms)*AW84^2</f>
        <v>3235.4623848351312</v>
      </c>
      <c r="BB84" cm="1">
        <f t="array" ref="BB84">AW84*Linterp(AX$3,atmos_h,atmos_aspeed)</f>
        <v>1015.9805854418648</v>
      </c>
      <c r="BC84" s="162">
        <f t="shared" si="14"/>
        <v>-4425.7736488637729</v>
      </c>
      <c r="BE84">
        <v>1</v>
      </c>
      <c r="BF84" cm="1">
        <f t="array" ref="BF84">numeng*InterpolateXY(BF$3,BE84,Tmil_h,Tmil_M,Tmil_table)</f>
        <v>2169.9372458721537</v>
      </c>
      <c r="BG84" cm="1">
        <f t="array" ref="BG84">1*BF$4/(S*Linterp(BF$3,atmos_h,atmos_qms)*BE84^2)</f>
        <v>0.13371916477403936</v>
      </c>
      <c r="BH84" cm="1">
        <f t="array" ref="BH84">InterpolateXY(BG84,BE84,CD_CL,CD_M,CD_table)</f>
        <v>3.5695510423916388E-2</v>
      </c>
      <c r="BI84" cm="1">
        <f t="array" ref="BI84">BH84*S*Linterp(BF$3,atmos_h,atmos_qms)*BE84^2</f>
        <v>2669.4386316452988</v>
      </c>
      <c r="BJ84" cm="1">
        <f t="array" ref="BJ84">BE84*Linterp(BF$3,atmos_h,atmos_aspeed)</f>
        <v>994.66966350329255</v>
      </c>
      <c r="BK84" s="162">
        <f t="shared" si="15"/>
        <v>-2981.0332518384157</v>
      </c>
      <c r="BM84">
        <v>1</v>
      </c>
      <c r="BN84" cm="1">
        <f t="array" ref="BN84">numeng*InterpolateXY(BN$3,BM84,Tmil_h,Tmil_M,Tmil_table)</f>
        <v>1859.2218631584358</v>
      </c>
      <c r="BO84" cm="1">
        <f t="array" ref="BO84">1*BN$4/(S*Linterp(BN$3,atmos_h,atmos_qms)*BM84^2)</f>
        <v>0.1687567941245291</v>
      </c>
      <c r="BP84" cm="1">
        <f t="array" ref="BP84">InterpolateXY(BO84,BM84,CD_CL,CD_M,CD_table)</f>
        <v>3.7104023123806076E-2</v>
      </c>
      <c r="BQ84" cm="1">
        <f t="array" ref="BQ84">BP84*S*Linterp(BN$3,atmos_h,atmos_qms)*BM84^2</f>
        <v>2198.6684042140701</v>
      </c>
      <c r="BR84" cm="1">
        <f t="array" ref="BR84">BM84*Linterp(BN$3,atmos_h,atmos_aspeed)</f>
        <v>972.89204385312564</v>
      </c>
      <c r="BS84" s="162">
        <f t="shared" si="16"/>
        <v>-1981.4690346389398</v>
      </c>
      <c r="BU84">
        <v>1</v>
      </c>
      <c r="BV84" cm="1">
        <f t="array" ref="BV84">numeng*InterpolateXY(BV$3,BU84,Tmil_h,Tmil_M,Tmil_table)</f>
        <v>1526.2508207140627</v>
      </c>
      <c r="BW84" cm="1">
        <f t="array" ref="BW84">1*BV$4/(S*Linterp(BV$3,atmos_h,atmos_qms)*BU84^2)</f>
        <v>0.21454487003825609</v>
      </c>
      <c r="BX84" cm="1">
        <f t="array" ref="BX84">InterpolateXY(BW84,BU84,CD_CL,CD_M,CD_table)</f>
        <v>3.9334506292563159E-2</v>
      </c>
      <c r="BY84" cm="1">
        <f t="array" ref="BY84">BX84*S*Linterp(BV$3,atmos_h,atmos_qms)*BU84^2</f>
        <v>1833.3930000539897</v>
      </c>
      <c r="BZ84" cm="1">
        <f t="array" ref="BZ84">BU84*Linterp(BV$3,atmos_h,atmos_aspeed)</f>
        <v>968.1005104214338</v>
      </c>
      <c r="CA84" s="162">
        <f t="shared" si="17"/>
        <v>-1784.0670035456092</v>
      </c>
    </row>
    <row r="89" spans="2:95">
      <c r="I89" s="5" t="s">
        <v>583</v>
      </c>
      <c r="M89" t="s">
        <v>576</v>
      </c>
      <c r="N89" s="3" cm="1">
        <f t="array" ref="N89">y_max(I94:I231,O94:O231)</f>
        <v>26694.041008003638</v>
      </c>
      <c r="O89" t="s">
        <v>208</v>
      </c>
      <c r="Q89" s="5"/>
      <c r="U89" t="s">
        <v>576</v>
      </c>
      <c r="V89" s="3" cm="1">
        <f t="array" ref="V89">y_max(Q96:Q231,W96:W231)</f>
        <v>25407.761403020704</v>
      </c>
      <c r="W89" t="s">
        <v>208</v>
      </c>
      <c r="Y89" s="5"/>
      <c r="AC89" t="s">
        <v>576</v>
      </c>
      <c r="AD89" s="3" cm="1">
        <f t="array" ref="AD89">y_max(Y98:Y231,AE98:AE231)</f>
        <v>23797.48807916684</v>
      </c>
      <c r="AE89" t="s">
        <v>208</v>
      </c>
      <c r="AG89" s="5"/>
      <c r="AK89" t="s">
        <v>576</v>
      </c>
      <c r="AL89" s="3" cm="1">
        <f t="array" ref="AL89">y_max(AG101:AG231,AM101:AM231)</f>
        <v>21457.298286366946</v>
      </c>
      <c r="AM89" t="s">
        <v>208</v>
      </c>
      <c r="AO89" s="5"/>
      <c r="AS89" t="s">
        <v>576</v>
      </c>
      <c r="AT89" s="3" cm="1">
        <f t="array" ref="AT89">y_max(AO104:AO231,AU104:AU231)</f>
        <v>19115.868361550267</v>
      </c>
      <c r="AU89" t="s">
        <v>208</v>
      </c>
      <c r="AW89" s="5"/>
      <c r="BA89" t="s">
        <v>576</v>
      </c>
      <c r="BB89" s="3" cm="1">
        <f t="array" ref="BB89">y_max(AW108:AW231,BC108:BC231)</f>
        <v>16590.857454448647</v>
      </c>
      <c r="BC89" t="s">
        <v>208</v>
      </c>
      <c r="BE89" s="5"/>
      <c r="BI89" t="s">
        <v>576</v>
      </c>
      <c r="BJ89" s="3" cm="1">
        <f t="array" ref="BJ89">y_max(BE112:BE231,BK112:BK231)</f>
        <v>14183.465935996734</v>
      </c>
      <c r="BK89" t="s">
        <v>208</v>
      </c>
      <c r="BM89" s="5"/>
      <c r="BQ89" t="s">
        <v>576</v>
      </c>
      <c r="BR89" s="3" cm="1">
        <f t="array" ref="BR89">y_max(BM117:BM231,BS117:BS231)</f>
        <v>11930.547574091062</v>
      </c>
      <c r="BS89" t="s">
        <v>208</v>
      </c>
      <c r="BU89" s="5"/>
      <c r="BY89" t="s">
        <v>576</v>
      </c>
      <c r="BZ89" s="3" cm="1">
        <f t="array" ref="BZ89">y_max(BU123:BU231,CA123:CA231)</f>
        <v>9292.9089031321928</v>
      </c>
      <c r="CA89" t="s">
        <v>208</v>
      </c>
      <c r="CC89" s="5"/>
      <c r="CG89" t="s">
        <v>576</v>
      </c>
      <c r="CH89" s="3" cm="1">
        <f t="array" ref="CH89">y_max(CC130:CC231,CI130:CI231)</f>
        <v>6133.2888674227288</v>
      </c>
      <c r="CI89" t="s">
        <v>208</v>
      </c>
      <c r="CK89" s="5"/>
      <c r="CO89" t="s">
        <v>576</v>
      </c>
      <c r="CP89" s="3" cm="1">
        <f t="array" ref="CP89">y_max(CK137:CK231,CQ137:CQ231)</f>
        <v>3038.4923372799531</v>
      </c>
      <c r="CQ89" t="s">
        <v>208</v>
      </c>
    </row>
    <row r="90" spans="2:95">
      <c r="I90" t="s">
        <v>1</v>
      </c>
      <c r="J90">
        <v>0</v>
      </c>
      <c r="K90" t="s">
        <v>132</v>
      </c>
      <c r="M90" t="s">
        <v>577</v>
      </c>
      <c r="N90" s="2" cm="1">
        <f t="array" ref="N90">x_at_ymax(I94:I231,O94:O231)</f>
        <v>0.84566886562470389</v>
      </c>
      <c r="Q90" t="s">
        <v>1</v>
      </c>
      <c r="R90">
        <v>5000</v>
      </c>
      <c r="S90" t="s">
        <v>132</v>
      </c>
      <c r="U90" t="s">
        <v>577</v>
      </c>
      <c r="V90" s="2" cm="1">
        <f t="array" ref="V90">x_at_ymax(Q96:Q231,W96:W231)</f>
        <v>0.85198995985620285</v>
      </c>
      <c r="Y90" t="s">
        <v>1</v>
      </c>
      <c r="Z90">
        <v>10000</v>
      </c>
      <c r="AA90" t="s">
        <v>132</v>
      </c>
      <c r="AC90" t="s">
        <v>577</v>
      </c>
      <c r="AD90" s="2" cm="1">
        <f t="array" ref="AD90">x_at_ymax(Y98:Y231,AE98:AE231)</f>
        <v>0.87837601474736804</v>
      </c>
      <c r="AG90" t="s">
        <v>1</v>
      </c>
      <c r="AH90">
        <v>15000</v>
      </c>
      <c r="AI90" t="s">
        <v>132</v>
      </c>
      <c r="AK90" t="s">
        <v>577</v>
      </c>
      <c r="AL90" s="2" cm="1">
        <f t="array" ref="AL90">x_at_ymax(AG101:AG231,AM101:AM231)</f>
        <v>0.89957665714234192</v>
      </c>
      <c r="AO90" t="s">
        <v>1</v>
      </c>
      <c r="AP90">
        <v>20000</v>
      </c>
      <c r="AQ90" t="s">
        <v>132</v>
      </c>
      <c r="AS90" t="s">
        <v>577</v>
      </c>
      <c r="AT90" s="2" cm="1">
        <f t="array" ref="AT90">x_at_ymax(AO104:AO231,AU104:AU231)</f>
        <v>0.91717856133403353</v>
      </c>
      <c r="AW90" t="s">
        <v>1</v>
      </c>
      <c r="AX90">
        <v>25000</v>
      </c>
      <c r="AY90" t="s">
        <v>132</v>
      </c>
      <c r="BA90" t="s">
        <v>577</v>
      </c>
      <c r="BB90" s="2" cm="1">
        <f t="array" ref="BB90">x_at_ymax(AW108:AW231,BC108:BC231)</f>
        <v>0.91952553484832811</v>
      </c>
      <c r="BE90" t="s">
        <v>1</v>
      </c>
      <c r="BF90">
        <v>30000</v>
      </c>
      <c r="BG90" t="s">
        <v>132</v>
      </c>
      <c r="BI90" t="s">
        <v>577</v>
      </c>
      <c r="BJ90" s="2" cm="1">
        <f t="array" ref="BJ90">x_at_ymax(BE112:BE231,BK112:BK231)</f>
        <v>0.92196310753118127</v>
      </c>
      <c r="BM90" t="s">
        <v>1</v>
      </c>
      <c r="BN90">
        <v>35000</v>
      </c>
      <c r="BO90" t="s">
        <v>132</v>
      </c>
      <c r="BQ90" t="s">
        <v>577</v>
      </c>
      <c r="BR90" s="2" cm="1">
        <f t="array" ref="BR90">x_at_ymax(BM117:BM231,BS117:BS231)</f>
        <v>0.92461961180954677</v>
      </c>
      <c r="BU90" t="s">
        <v>1</v>
      </c>
      <c r="BV90">
        <v>40000</v>
      </c>
      <c r="BW90" t="s">
        <v>132</v>
      </c>
      <c r="BY90" t="s">
        <v>577</v>
      </c>
      <c r="BZ90" s="2" cm="1">
        <f t="array" ref="BZ90">x_at_ymax(BU123:BU231,CA123:CA231)</f>
        <v>0.93568288814294553</v>
      </c>
      <c r="CC90" t="s">
        <v>1</v>
      </c>
      <c r="CD90">
        <v>45000</v>
      </c>
      <c r="CE90" t="s">
        <v>132</v>
      </c>
      <c r="CG90" t="s">
        <v>577</v>
      </c>
      <c r="CH90" s="2" cm="1">
        <f t="array" ref="CH90">x_at_ymax(CC130:CC231,CI130:CI231)</f>
        <v>0.93576959304737428</v>
      </c>
      <c r="CK90" t="s">
        <v>1</v>
      </c>
      <c r="CL90">
        <v>50000</v>
      </c>
      <c r="CM90" t="s">
        <v>132</v>
      </c>
      <c r="CO90" t="s">
        <v>577</v>
      </c>
      <c r="CP90" s="2" cm="1">
        <f t="array" ref="CP90">x_at_ymax(CK137:CK231,CQ137:CQ231)</f>
        <v>0.93571291222306152</v>
      </c>
    </row>
    <row r="91" spans="2:95" ht="15" thickBot="1">
      <c r="B91" s="3"/>
      <c r="C91" s="2"/>
      <c r="I91" t="s">
        <v>571</v>
      </c>
      <c r="J91">
        <v>10000</v>
      </c>
      <c r="K91" t="s">
        <v>547</v>
      </c>
      <c r="Q91" t="s">
        <v>571</v>
      </c>
      <c r="R91">
        <v>10000</v>
      </c>
      <c r="S91" t="s">
        <v>547</v>
      </c>
      <c r="Y91" t="s">
        <v>571</v>
      </c>
      <c r="Z91">
        <v>10000</v>
      </c>
      <c r="AA91" t="s">
        <v>547</v>
      </c>
      <c r="AG91" t="s">
        <v>571</v>
      </c>
      <c r="AH91">
        <v>10000</v>
      </c>
      <c r="AI91" t="s">
        <v>547</v>
      </c>
      <c r="AO91" t="s">
        <v>571</v>
      </c>
      <c r="AP91">
        <v>10000</v>
      </c>
      <c r="AQ91" t="s">
        <v>547</v>
      </c>
      <c r="AW91" t="s">
        <v>571</v>
      </c>
      <c r="AX91">
        <v>10000</v>
      </c>
      <c r="AY91" t="s">
        <v>547</v>
      </c>
      <c r="BE91" t="s">
        <v>571</v>
      </c>
      <c r="BF91">
        <v>10000</v>
      </c>
      <c r="BG91" t="s">
        <v>547</v>
      </c>
      <c r="BM91" t="s">
        <v>571</v>
      </c>
      <c r="BN91">
        <v>10000</v>
      </c>
      <c r="BO91" t="s">
        <v>547</v>
      </c>
      <c r="BU91" t="s">
        <v>571</v>
      </c>
      <c r="BV91">
        <v>10000</v>
      </c>
      <c r="BW91" t="s">
        <v>547</v>
      </c>
      <c r="CC91" t="s">
        <v>571</v>
      </c>
      <c r="CD91">
        <v>10000</v>
      </c>
      <c r="CE91" t="s">
        <v>547</v>
      </c>
      <c r="CK91" t="s">
        <v>571</v>
      </c>
      <c r="CL91">
        <v>10000</v>
      </c>
      <c r="CM91" t="s">
        <v>547</v>
      </c>
    </row>
    <row r="92" spans="2:95">
      <c r="I92" t="s">
        <v>367</v>
      </c>
      <c r="J92" t="s">
        <v>574</v>
      </c>
      <c r="K92" t="s">
        <v>74</v>
      </c>
      <c r="L92" t="s">
        <v>75</v>
      </c>
      <c r="M92" t="s">
        <v>572</v>
      </c>
      <c r="N92" t="s">
        <v>573</v>
      </c>
      <c r="O92" s="432" t="s">
        <v>575</v>
      </c>
      <c r="Q92" t="s">
        <v>367</v>
      </c>
      <c r="R92" t="s">
        <v>574</v>
      </c>
      <c r="S92" t="s">
        <v>74</v>
      </c>
      <c r="T92" t="s">
        <v>75</v>
      </c>
      <c r="U92" t="s">
        <v>572</v>
      </c>
      <c r="V92" t="s">
        <v>573</v>
      </c>
      <c r="W92" s="432" t="s">
        <v>575</v>
      </c>
      <c r="Y92" t="s">
        <v>367</v>
      </c>
      <c r="Z92" t="s">
        <v>574</v>
      </c>
      <c r="AA92" t="s">
        <v>74</v>
      </c>
      <c r="AB92" t="s">
        <v>75</v>
      </c>
      <c r="AC92" t="s">
        <v>572</v>
      </c>
      <c r="AD92" t="s">
        <v>573</v>
      </c>
      <c r="AE92" s="432" t="s">
        <v>575</v>
      </c>
      <c r="AG92" t="s">
        <v>367</v>
      </c>
      <c r="AH92" t="s">
        <v>574</v>
      </c>
      <c r="AI92" t="s">
        <v>74</v>
      </c>
      <c r="AJ92" t="s">
        <v>75</v>
      </c>
      <c r="AK92" t="s">
        <v>572</v>
      </c>
      <c r="AL92" t="s">
        <v>573</v>
      </c>
      <c r="AM92" s="432" t="s">
        <v>575</v>
      </c>
      <c r="AO92" t="s">
        <v>367</v>
      </c>
      <c r="AP92" t="s">
        <v>574</v>
      </c>
      <c r="AQ92" t="s">
        <v>74</v>
      </c>
      <c r="AR92" t="s">
        <v>75</v>
      </c>
      <c r="AS92" t="s">
        <v>572</v>
      </c>
      <c r="AT92" t="s">
        <v>573</v>
      </c>
      <c r="AU92" s="432" t="s">
        <v>575</v>
      </c>
      <c r="AW92" t="s">
        <v>367</v>
      </c>
      <c r="AX92" t="s">
        <v>574</v>
      </c>
      <c r="AY92" t="s">
        <v>74</v>
      </c>
      <c r="AZ92" t="s">
        <v>75</v>
      </c>
      <c r="BA92" t="s">
        <v>572</v>
      </c>
      <c r="BB92" t="s">
        <v>573</v>
      </c>
      <c r="BC92" s="432" t="s">
        <v>575</v>
      </c>
      <c r="BE92" t="s">
        <v>367</v>
      </c>
      <c r="BF92" t="s">
        <v>574</v>
      </c>
      <c r="BG92" t="s">
        <v>74</v>
      </c>
      <c r="BH92" t="s">
        <v>75</v>
      </c>
      <c r="BI92" t="s">
        <v>572</v>
      </c>
      <c r="BJ92" t="s">
        <v>573</v>
      </c>
      <c r="BK92" s="432" t="s">
        <v>575</v>
      </c>
      <c r="BM92" t="s">
        <v>367</v>
      </c>
      <c r="BN92" t="s">
        <v>574</v>
      </c>
      <c r="BO92" t="s">
        <v>74</v>
      </c>
      <c r="BP92" t="s">
        <v>75</v>
      </c>
      <c r="BQ92" t="s">
        <v>572</v>
      </c>
      <c r="BR92" t="s">
        <v>573</v>
      </c>
      <c r="BS92" s="432" t="s">
        <v>575</v>
      </c>
      <c r="BU92" t="s">
        <v>367</v>
      </c>
      <c r="BV92" t="s">
        <v>574</v>
      </c>
      <c r="BW92" t="s">
        <v>74</v>
      </c>
      <c r="BX92" t="s">
        <v>75</v>
      </c>
      <c r="BY92" t="s">
        <v>572</v>
      </c>
      <c r="BZ92" t="s">
        <v>573</v>
      </c>
      <c r="CA92" s="432" t="s">
        <v>575</v>
      </c>
      <c r="CC92" t="s">
        <v>367</v>
      </c>
      <c r="CD92" t="s">
        <v>574</v>
      </c>
      <c r="CE92" t="s">
        <v>74</v>
      </c>
      <c r="CF92" t="s">
        <v>75</v>
      </c>
      <c r="CG92" t="s">
        <v>572</v>
      </c>
      <c r="CH92" t="s">
        <v>573</v>
      </c>
      <c r="CI92" s="432" t="s">
        <v>575</v>
      </c>
      <c r="CK92" t="s">
        <v>367</v>
      </c>
      <c r="CL92" t="s">
        <v>574</v>
      </c>
      <c r="CM92" t="s">
        <v>74</v>
      </c>
      <c r="CN92" t="s">
        <v>75</v>
      </c>
      <c r="CO92" t="s">
        <v>572</v>
      </c>
      <c r="CP92" t="s">
        <v>573</v>
      </c>
      <c r="CQ92" s="432" t="s">
        <v>575</v>
      </c>
    </row>
    <row r="93" spans="2:95">
      <c r="I93">
        <v>0.22</v>
      </c>
      <c r="J93" cm="1">
        <f t="array" ref="J93">numeng*InterpolateXY(J$90,I93,Tmax_h,Tmax_M,Tmax_table)</f>
        <v>6028</v>
      </c>
      <c r="K93" cm="1">
        <f t="array" ref="K93">1*J$91/(S*Linterp(J$90,atmos_h,atmos_qms)*I93^2)</f>
        <v>0.8204400689700253</v>
      </c>
      <c r="L93" t="e" cm="1">
        <f t="array" ref="L93">InterpolateXY(K93,I93,CD_CL,CD_M,CD_table)</f>
        <v>#VALUE!</v>
      </c>
      <c r="M93" t="e" cm="1">
        <f t="array" ref="M93">L93*S*Linterp(J$90,atmos_h,atmos_qms)*I93^2</f>
        <v>#VALUE!</v>
      </c>
      <c r="N93" cm="1">
        <f t="array" ref="N93">I93*Linterp(J$90,atmos_h,atmos_aspeed)</f>
        <v>245.619</v>
      </c>
      <c r="O93" s="162" t="e">
        <f>(J93-M93)*N93*(60/1)/J$91</f>
        <v>#VALUE!</v>
      </c>
      <c r="Q93">
        <v>0.22</v>
      </c>
      <c r="R93" cm="1">
        <f t="array" ref="R93">numeng*InterpolateXY(R$90,Q93,Tmax_h,Tmax_M,Tmax_table)</f>
        <v>5307.8752093281446</v>
      </c>
      <c r="S93" cm="1">
        <f t="array" ref="S93">1*R$91/(S*Linterp(R$90,atmos_h,atmos_qms)*Q93^2)</f>
        <v>0.98605006409114093</v>
      </c>
      <c r="T93" t="e" cm="1">
        <f t="array" ref="T93">InterpolateXY(S93,Q93,CD_CL,CD_M,CD_table)</f>
        <v>#VALUE!</v>
      </c>
      <c r="U93" t="e" cm="1">
        <f t="array" ref="U93">T93*S*Linterp(R$90,atmos_h,atmos_qms)*Q93^2</f>
        <v>#VALUE!</v>
      </c>
      <c r="V93" cm="1">
        <f t="array" ref="V93">Q93*Linterp(R$90,atmos_h,atmos_aspeed)</f>
        <v>241.36033380145466</v>
      </c>
      <c r="W93" s="162" t="e">
        <f>(R93-U93)*V93*(60/1)/R$91</f>
        <v>#VALUE!</v>
      </c>
      <c r="Y93">
        <v>0.22</v>
      </c>
      <c r="Z93" cm="1">
        <f t="array" ref="Z93">numeng*InterpolateXY(Z$90,Y93,Tmax_h,Tmax_M,Tmax_table)</f>
        <v>4646.4852893346324</v>
      </c>
      <c r="AA93" cm="1">
        <f t="array" ref="AA93">1*Z$91/(S*Linterp(Z$90,atmos_h,atmos_qms)*Y93^2)</f>
        <v>1.1930151536346254</v>
      </c>
      <c r="AB93" t="e" cm="1">
        <f t="array" ref="AB93">InterpolateXY(AA93,Y93,CD_CL,CD_M,CD_table)</f>
        <v>#VALUE!</v>
      </c>
      <c r="AC93" t="e" cm="1">
        <f t="array" ref="AC93">AB93*S*Linterp(Z$90,atmos_h,atmos_qms)*Y93^2</f>
        <v>#VALUE!</v>
      </c>
      <c r="AD93" cm="1">
        <f t="array" ref="AD93">Y93*Linterp(Z$90,atmos_h,atmos_aspeed)</f>
        <v>237.02516386345826</v>
      </c>
      <c r="AE93" s="162" t="e">
        <f>(Z93-AC93)*AD93*(60/1)/Z$91</f>
        <v>#VALUE!</v>
      </c>
      <c r="AG93">
        <v>0.22</v>
      </c>
      <c r="AH93" cm="1">
        <f t="array" ref="AH93">numeng*InterpolateXY(AH$90,AG93,Tmax_h,Tmax_M,Tmax_table)</f>
        <v>4014.5038864358212</v>
      </c>
      <c r="AI93" cm="1">
        <f t="array" ref="AI93">1*AH$91/(S*Linterp(AH$90,atmos_h,atmos_qms)*AG93^2)</f>
        <v>1.4538033493842457</v>
      </c>
      <c r="AJ93" t="e" cm="1">
        <f t="array" ref="AJ93">InterpolateXY(AI93,AG93,CD_CL,CD_M,CD_table)</f>
        <v>#VALUE!</v>
      </c>
      <c r="AK93" t="e" cm="1">
        <f t="array" ref="AK93">AJ93*S*Linterp(AH$90,atmos_h,atmos_qms)*AG93^2</f>
        <v>#VALUE!</v>
      </c>
      <c r="AL93" cm="1">
        <f t="array" ref="AL93">AG93*Linterp(AH$90,atmos_h,atmos_aspeed)</f>
        <v>232.60921279314977</v>
      </c>
      <c r="AM93" s="162" t="e">
        <f>(AH93-AK93)*AL93*(60/1)/AH$91</f>
        <v>#VALUE!</v>
      </c>
      <c r="AO93">
        <v>0.22</v>
      </c>
      <c r="AP93" cm="1">
        <f t="array" ref="AP93">numeng*InterpolateXY(AP$90,AO93,Tmax_h,Tmax_M,Tmax_table)</f>
        <v>3446.1881977711419</v>
      </c>
      <c r="AQ93" cm="1">
        <f t="array" ref="AQ93">1*AP$91/(S*Linterp(AP$90,atmos_h,atmos_qms)*AO93^2)</f>
        <v>1.7853421082085086</v>
      </c>
      <c r="AR93" t="e" cm="1">
        <f t="array" ref="AR93">InterpolateXY(AQ93,AO93,CD_CL,CD_M,CD_table)</f>
        <v>#VALUE!</v>
      </c>
      <c r="AS93" t="e" cm="1">
        <f t="array" ref="AS93">AR93*S*Linterp(AP$90,atmos_h,atmos_qms)*AO93^2</f>
        <v>#VALUE!</v>
      </c>
      <c r="AT93" cm="1">
        <f t="array" ref="AT93">AO93*Linterp(AP$90,atmos_h,atmos_aspeed)</f>
        <v>228.10778909979916</v>
      </c>
      <c r="AU93" s="162" t="e">
        <f>(AP93-AS93)*AT93*(60/1)/AP$91</f>
        <v>#VALUE!</v>
      </c>
      <c r="AW93">
        <v>0.22</v>
      </c>
      <c r="AX93" cm="1">
        <f t="array" ref="AX93">numeng*InterpolateXY(AX$90,AW93,Tmax_h,Tmax_M,Tmax_table)</f>
        <v>2937.8323092956271</v>
      </c>
      <c r="AY93" cm="1">
        <f t="array" ref="AY93">1*AX$91/(S*Linterp(AX$90,atmos_h,atmos_qms)*AW93^2)</f>
        <v>2.2108861735540075</v>
      </c>
      <c r="AZ93" t="e" cm="1">
        <f t="array" ref="AZ93">InterpolateXY(AY93,AW93,CD_CL,CD_M,CD_table)</f>
        <v>#VALUE!</v>
      </c>
      <c r="BA93" t="e" cm="1">
        <f t="array" ref="BA93">AZ93*S*Linterp(AX$90,atmos_h,atmos_qms)*AW93^2</f>
        <v>#VALUE!</v>
      </c>
      <c r="BB93" cm="1">
        <f t="array" ref="BB93">AW93*Linterp(AX$90,atmos_h,atmos_aspeed)</f>
        <v>223.51572879721027</v>
      </c>
      <c r="BC93" s="162" t="e">
        <f>(AX93-BA93)*BB93*(60/1)/AX$91</f>
        <v>#VALUE!</v>
      </c>
      <c r="BE93">
        <v>0.22</v>
      </c>
      <c r="BF93" cm="1">
        <f t="array" ref="BF93">numeng*InterpolateXY(BF$90,BE93,Tmax_h,Tmax_M,Tmax_table)</f>
        <v>2485.700527857688</v>
      </c>
      <c r="BG93" cm="1">
        <f t="array" ref="BG93">1*BF$91/(S*Linterp(BF$90,atmos_h,atmos_qms)*BE93^2)</f>
        <v>2.7627926606206481</v>
      </c>
      <c r="BH93" t="e" cm="1">
        <f t="array" ref="BH93">InterpolateXY(BG93,BE93,CD_CL,CD_M,CD_table)</f>
        <v>#VALUE!</v>
      </c>
      <c r="BI93" t="e" cm="1">
        <f t="array" ref="BI93">BH93*S*Linterp(BF$90,atmos_h,atmos_qms)*BE93^2</f>
        <v>#VALUE!</v>
      </c>
      <c r="BJ93" cm="1">
        <f t="array" ref="BJ93">BE93*Linterp(BF$90,atmos_h,atmos_aspeed)</f>
        <v>218.82732597072436</v>
      </c>
      <c r="BK93" s="162" t="e">
        <f>(BF93-BI93)*BJ93*(60/1)/BF$91</f>
        <v>#VALUE!</v>
      </c>
      <c r="BM93">
        <v>0.22</v>
      </c>
      <c r="BN93" cm="1">
        <f t="array" ref="BN93">numeng*InterpolateXY(BN$90,BM93,Tmax_h,Tmax_M,Tmax_table)</f>
        <v>2086.046930463765</v>
      </c>
      <c r="BO93" cm="1">
        <f t="array" ref="BO93">1*BN$91/(S*Linterp(BN$90,atmos_h,atmos_qms)*BM93^2)</f>
        <v>3.4867106224076263</v>
      </c>
      <c r="BP93" t="e" cm="1">
        <f t="array" ref="BP93">InterpolateXY(BO93,BM93,CD_CL,CD_M,CD_table)</f>
        <v>#VALUE!</v>
      </c>
      <c r="BQ93" t="e" cm="1">
        <f t="array" ref="BQ93">BP93*S*Linterp(BN$90,atmos_h,atmos_qms)*BM93^2</f>
        <v>#VALUE!</v>
      </c>
      <c r="BR93" cm="1">
        <f t="array" ref="BR93">BM93*Linterp(BN$90,atmos_h,atmos_aspeed)</f>
        <v>214.03624964768764</v>
      </c>
      <c r="BS93" s="162" t="e">
        <f>(BN93-BQ93)*BR93*(60/1)/BN$91</f>
        <v>#VALUE!</v>
      </c>
      <c r="BU93">
        <v>0.22</v>
      </c>
      <c r="BV93" cm="1">
        <f t="array" ref="BV93">numeng*InterpolateXY(BV$90,BU93,Tmax_h,Tmax_M,Tmax_table)</f>
        <v>1678.875902785469</v>
      </c>
      <c r="BW93" cm="1">
        <f t="array" ref="BW93">1*BV$91/(S*Linterp(BV$90,atmos_h,atmos_qms)*BU93^2)</f>
        <v>4.4327452487242986</v>
      </c>
      <c r="BX93" t="e" cm="1">
        <f t="array" ref="BX93">InterpolateXY(BW93,BU93,CD_CL,CD_M,CD_table)</f>
        <v>#VALUE!</v>
      </c>
      <c r="BY93" t="e" cm="1">
        <f t="array" ref="BY93">BX93*S*Linterp(BV$90,atmos_h,atmos_qms)*BU93^2</f>
        <v>#VALUE!</v>
      </c>
      <c r="BZ93" cm="1">
        <f t="array" ref="BZ93">BU93*Linterp(BV$90,atmos_h,atmos_aspeed)</f>
        <v>212.98211229271544</v>
      </c>
      <c r="CA93" s="162" t="e">
        <f>(BV93-BY93)*BZ93*(60/1)/BV$91</f>
        <v>#VALUE!</v>
      </c>
      <c r="CC93">
        <v>0.22</v>
      </c>
      <c r="CD93" cm="1">
        <f t="array" ref="CD93">numeng*InterpolateXY(CD$90,CC93,Tmax_h,Tmax_M,Tmax_table)</f>
        <v>1303.194774369839</v>
      </c>
      <c r="CE93" cm="1">
        <f t="array" ref="CE93">1*CD$91/(S*Linterp(CD$90,atmos_h,atmos_qms)*CC93^2)</f>
        <v>5.6369187037586501</v>
      </c>
      <c r="CF93" t="e" cm="1">
        <f t="array" ref="CF93">InterpolateXY(CE93,CC93,CD_CL,CD_M,CD_table)</f>
        <v>#VALUE!</v>
      </c>
      <c r="CG93" t="e" cm="1">
        <f t="array" ref="CG93">CF93*S*Linterp(CD$90,atmos_h,atmos_qms)*CC93^2</f>
        <v>#VALUE!</v>
      </c>
      <c r="CH93" cm="1">
        <f t="array" ref="CH93">CC93*Linterp(CD$90,atmos_h,atmos_aspeed)</f>
        <v>212.98211229271544</v>
      </c>
      <c r="CI93" s="162" t="e">
        <f>(CD93-CG93)*CH93*(60/1)/CD$91</f>
        <v>#VALUE!</v>
      </c>
      <c r="CK93">
        <v>0.22</v>
      </c>
      <c r="CL93" cm="1">
        <f t="array" ref="CL93">numeng*InterpolateXY(CL$90,CK93,Tmax_h,Tmax_M,Tmax_table)</f>
        <v>998.01063442154077</v>
      </c>
      <c r="CM93" cm="1">
        <f t="array" ref="CM93">1*CL$91/(S*Linterp(CL$90,atmos_h,atmos_qms)*CK93^2)</f>
        <v>7.1682108241904032</v>
      </c>
      <c r="CN93" t="e" cm="1">
        <f t="array" ref="CN93">InterpolateXY(CM93,CK93,CD_CL,CD_M,CD_table)</f>
        <v>#VALUE!</v>
      </c>
      <c r="CO93" t="e" cm="1">
        <f t="array" ref="CO93">CN93*S*Linterp(CL$90,atmos_h,atmos_qms)*CK93^2</f>
        <v>#VALUE!</v>
      </c>
      <c r="CP93" cm="1">
        <f t="array" ref="CP93">CK93*Linterp(CL$90,atmos_h,atmos_aspeed)</f>
        <v>212.98211229271544</v>
      </c>
      <c r="CQ93" s="162" t="e">
        <f>(CL93-CO93)*CP93*(60/1)/CL$91</f>
        <v>#VALUE!</v>
      </c>
    </row>
    <row r="94" spans="2:95">
      <c r="I94">
        <v>0.23</v>
      </c>
      <c r="J94" cm="1">
        <f t="array" ref="J94">numeng*InterpolateXY(J$90,I94,Tmax_h,Tmax_M,Tmax_table)</f>
        <v>6052</v>
      </c>
      <c r="K94" cm="1">
        <f t="array" ref="K94">1*J$91/(S*Linterp(J$90,atmos_h,atmos_qms)*I94^2)</f>
        <v>0.75064838068335016</v>
      </c>
      <c r="L94" cm="1">
        <f t="array" ref="L94">InterpolateXY(K94,I94,CD_CL,CD_M,CD_table)</f>
        <v>0.1629156967494016</v>
      </c>
      <c r="M94" cm="1">
        <f t="array" ref="M94">L94*S*Linterp(J$90,atmos_h,atmos_qms)*I94^2</f>
        <v>2170.3330206493201</v>
      </c>
      <c r="N94" cm="1">
        <f t="array" ref="N94">I94*Linterp(J$90,atmos_h,atmos_aspeed)</f>
        <v>256.7835</v>
      </c>
      <c r="O94" s="162">
        <f t="shared" ref="O94:O157" si="18">(J94-M94)*N94*(60/1)/J$91</f>
        <v>5980.4881967525716</v>
      </c>
      <c r="Q94">
        <v>0.23</v>
      </c>
      <c r="R94" cm="1">
        <f t="array" ref="R94">numeng*InterpolateXY(R$90,Q94,Tmax_h,Tmax_M,Tmax_table)</f>
        <v>5333.7252509320151</v>
      </c>
      <c r="S94" cm="1">
        <f t="array" ref="S94">1*R$91/(S*Linterp(R$90,atmos_h,atmos_qms)*Q94^2)</f>
        <v>0.9021705690361288</v>
      </c>
      <c r="T94" t="e" cm="1">
        <f t="array" ref="T94">InterpolateXY(S94,Q94,CD_CL,CD_M,CD_table)</f>
        <v>#VALUE!</v>
      </c>
      <c r="U94" t="e" cm="1">
        <f t="array" ref="U94">T94*S*Linterp(R$90,atmos_h,atmos_qms)*Q94^2</f>
        <v>#VALUE!</v>
      </c>
      <c r="V94" cm="1">
        <f t="array" ref="V94">Q94*Linterp(R$90,atmos_h,atmos_aspeed)</f>
        <v>252.33125806515716</v>
      </c>
      <c r="W94" s="162" t="e">
        <f t="shared" ref="W94:W157" si="19">(R94-U94)*V94*(60/1)/R$91</f>
        <v>#VALUE!</v>
      </c>
      <c r="Y94">
        <v>0.23</v>
      </c>
      <c r="Z94" cm="1">
        <f t="array" ref="Z94">numeng*InterpolateXY(Z$90,Y94,Tmax_h,Tmax_M,Tmax_table)</f>
        <v>4673.0703927065406</v>
      </c>
      <c r="AA94" cm="1">
        <f t="array" ref="AA94">1*Z$91/(S*Linterp(Z$90,atmos_h,atmos_qms)*Y94^2)</f>
        <v>1.0915299326260086</v>
      </c>
      <c r="AB94" t="e" cm="1">
        <f t="array" ref="AB94">InterpolateXY(AA94,Y94,CD_CL,CD_M,CD_table)</f>
        <v>#VALUE!</v>
      </c>
      <c r="AC94" t="e" cm="1">
        <f t="array" ref="AC94">AB94*S*Linterp(Z$90,atmos_h,atmos_qms)*Y94^2</f>
        <v>#VALUE!</v>
      </c>
      <c r="AD94" cm="1">
        <f t="array" ref="AD94">Y94*Linterp(Z$90,atmos_h,atmos_aspeed)</f>
        <v>247.79903494816091</v>
      </c>
      <c r="AE94" s="162" t="e">
        <f t="shared" ref="AE94:AE157" si="20">(Z94-AC94)*AD94*(60/1)/Z$91</f>
        <v>#VALUE!</v>
      </c>
      <c r="AG94">
        <v>0.23</v>
      </c>
      <c r="AH94" cm="1">
        <f t="array" ref="AH94">numeng*InterpolateXY(AH$90,AG94,Tmax_h,Tmax_M,Tmax_table)</f>
        <v>4039.6731897990549</v>
      </c>
      <c r="AI94" cm="1">
        <f t="array" ref="AI94">1*AH$91/(S*Linterp(AH$90,atmos_h,atmos_qms)*AG94^2)</f>
        <v>1.3301338773194231</v>
      </c>
      <c r="AJ94" t="e" cm="1">
        <f t="array" ref="AJ94">InterpolateXY(AI94,AG94,CD_CL,CD_M,CD_table)</f>
        <v>#VALUE!</v>
      </c>
      <c r="AK94" t="e" cm="1">
        <f t="array" ref="AK94">AJ94*S*Linterp(AH$90,atmos_h,atmos_qms)*AG94^2</f>
        <v>#VALUE!</v>
      </c>
      <c r="AL94" cm="1">
        <f t="array" ref="AL94">AG94*Linterp(AH$90,atmos_h,atmos_aspeed)</f>
        <v>243.18235882920206</v>
      </c>
      <c r="AM94" s="162" t="e">
        <f t="shared" ref="AM94:AM157" si="21">(AH94-AK94)*AL94*(60/1)/AH$91</f>
        <v>#VALUE!</v>
      </c>
      <c r="AO94">
        <v>0.23</v>
      </c>
      <c r="AP94" cm="1">
        <f t="array" ref="AP94">numeng*InterpolateXY(AP$90,AO94,Tmax_h,Tmax_M,Tmax_table)</f>
        <v>3469.6316548988366</v>
      </c>
      <c r="AQ94" cm="1">
        <f t="array" ref="AQ94">1*AP$91/(S*Linterp(AP$90,atmos_h,atmos_qms)*AO94^2)</f>
        <v>1.6334699061869908</v>
      </c>
      <c r="AR94" t="e" cm="1">
        <f t="array" ref="AR94">InterpolateXY(AQ94,AO94,CD_CL,CD_M,CD_table)</f>
        <v>#VALUE!</v>
      </c>
      <c r="AS94" t="e" cm="1">
        <f t="array" ref="AS94">AR94*S*Linterp(AP$90,atmos_h,atmos_qms)*AO94^2</f>
        <v>#VALUE!</v>
      </c>
      <c r="AT94" cm="1">
        <f t="array" ref="AT94">AO94*Linterp(AP$90,atmos_h,atmos_aspeed)</f>
        <v>238.47632496797186</v>
      </c>
      <c r="AU94" s="162" t="e">
        <f t="shared" ref="AU94:AU157" si="22">(AP94-AS94)*AT94*(60/1)/AP$91</f>
        <v>#VALUE!</v>
      </c>
      <c r="AW94">
        <v>0.23</v>
      </c>
      <c r="AX94" cm="1">
        <f t="array" ref="AX94">numeng*InterpolateXY(AX$90,AW94,Tmax_h,Tmax_M,Tmax_table)</f>
        <v>2959.3417587840636</v>
      </c>
      <c r="AY94" cm="1">
        <f t="array" ref="AY94">1*AX$91/(S*Linterp(AX$90,atmos_h,atmos_qms)*AW94^2)</f>
        <v>2.0228145708887331</v>
      </c>
      <c r="AZ94" t="e" cm="1">
        <f t="array" ref="AZ94">InterpolateXY(AY94,AW94,CD_CL,CD_M,CD_table)</f>
        <v>#VALUE!</v>
      </c>
      <c r="BA94" t="e" cm="1">
        <f t="array" ref="BA94">AZ94*S*Linterp(AX$90,atmos_h,atmos_qms)*AW94^2</f>
        <v>#VALUE!</v>
      </c>
      <c r="BB94" cm="1">
        <f t="array" ref="BB94">AW94*Linterp(AX$90,atmos_h,atmos_aspeed)</f>
        <v>233.67553465162891</v>
      </c>
      <c r="BC94" s="162" t="e">
        <f t="shared" ref="BC94:BC157" si="23">(AX94-BA94)*BB94*(60/1)/AX$91</f>
        <v>#VALUE!</v>
      </c>
      <c r="BE94">
        <v>0.23</v>
      </c>
      <c r="BF94" cm="1">
        <f t="array" ref="BF94">numeng*InterpolateXY(BF$90,BE94,Tmax_h,Tmax_M,Tmax_table)</f>
        <v>2505.1551376482662</v>
      </c>
      <c r="BG94" cm="1">
        <f t="array" ref="BG94">1*BF$91/(S*Linterp(BF$90,atmos_h,atmos_qms)*BE94^2)</f>
        <v>2.5277724910026347</v>
      </c>
      <c r="BH94" t="e" cm="1">
        <f t="array" ref="BH94">InterpolateXY(BG94,BE94,CD_CL,CD_M,CD_table)</f>
        <v>#VALUE!</v>
      </c>
      <c r="BI94" t="e" cm="1">
        <f t="array" ref="BI94">BH94*S*Linterp(BF$90,atmos_h,atmos_qms)*BE94^2</f>
        <v>#VALUE!</v>
      </c>
      <c r="BJ94" cm="1">
        <f t="array" ref="BJ94">BE94*Linterp(BF$90,atmos_h,atmos_aspeed)</f>
        <v>228.7740226057573</v>
      </c>
      <c r="BK94" s="162" t="e">
        <f t="shared" ref="BK94:BK157" si="24">(BF94-BI94)*BJ94*(60/1)/BF$91</f>
        <v>#VALUE!</v>
      </c>
      <c r="BM94">
        <v>0.23</v>
      </c>
      <c r="BN94" cm="1">
        <f t="array" ref="BN94">numeng*InterpolateXY(BN$90,BM94,Tmax_h,Tmax_M,Tmax_table)</f>
        <v>2103.3996678532435</v>
      </c>
      <c r="BO94" cm="1">
        <f t="array" ref="BO94">1*BN$91/(S*Linterp(BN$90,atmos_h,atmos_qms)*BM94^2)</f>
        <v>3.1901095297642552</v>
      </c>
      <c r="BP94" t="e" cm="1">
        <f t="array" ref="BP94">InterpolateXY(BO94,BM94,CD_CL,CD_M,CD_table)</f>
        <v>#VALUE!</v>
      </c>
      <c r="BQ94" t="e" cm="1">
        <f t="array" ref="BQ94">BP94*S*Linterp(BN$90,atmos_h,atmos_qms)*BM94^2</f>
        <v>#VALUE!</v>
      </c>
      <c r="BR94" cm="1">
        <f t="array" ref="BR94">BM94*Linterp(BN$90,atmos_h,atmos_aspeed)</f>
        <v>223.76517008621892</v>
      </c>
      <c r="BS94" s="162" t="e">
        <f t="shared" ref="BS94:BS157" si="25">(BN94-BQ94)*BR94*(60/1)/BN$91</f>
        <v>#VALUE!</v>
      </c>
      <c r="BU94">
        <v>0.23</v>
      </c>
      <c r="BV94" cm="1">
        <f t="array" ref="BV94">numeng*InterpolateXY(BV$90,BU94,Tmax_h,Tmax_M,Tmax_table)</f>
        <v>1693.6460720181858</v>
      </c>
      <c r="BW94" cm="1">
        <f t="array" ref="BW94">1*BV$91/(S*Linterp(BV$90,atmos_h,atmos_qms)*BU94^2)</f>
        <v>4.0556686207609847</v>
      </c>
      <c r="BX94" t="e" cm="1">
        <f t="array" ref="BX94">InterpolateXY(BW94,BU94,CD_CL,CD_M,CD_table)</f>
        <v>#VALUE!</v>
      </c>
      <c r="BY94" t="e" cm="1">
        <f t="array" ref="BY94">BX94*S*Linterp(BV$90,atmos_h,atmos_qms)*BU94^2</f>
        <v>#VALUE!</v>
      </c>
      <c r="BZ94" cm="1">
        <f t="array" ref="BZ94">BU94*Linterp(BV$90,atmos_h,atmos_aspeed)</f>
        <v>222.66311739692978</v>
      </c>
      <c r="CA94" s="162" t="e">
        <f t="shared" ref="CA94:CA157" si="26">(BV94-BY94)*BZ94*(60/1)/BV$91</f>
        <v>#VALUE!</v>
      </c>
      <c r="CC94">
        <v>0.23</v>
      </c>
      <c r="CD94" cm="1">
        <f t="array" ref="CD94">numeng*InterpolateXY(CD$90,CC94,Tmax_h,Tmax_M,Tmax_table)</f>
        <v>1314.0353726117746</v>
      </c>
      <c r="CE94" cm="1">
        <f t="array" ref="CE94">1*CD$91/(S*Linterp(CD$90,atmos_h,atmos_qms)*CC94^2)</f>
        <v>5.1574076609058341</v>
      </c>
      <c r="CF94" t="e" cm="1">
        <f t="array" ref="CF94">InterpolateXY(CE94,CC94,CD_CL,CD_M,CD_table)</f>
        <v>#VALUE!</v>
      </c>
      <c r="CG94" t="e" cm="1">
        <f t="array" ref="CG94">CF94*S*Linterp(CD$90,atmos_h,atmos_qms)*CC94^2</f>
        <v>#VALUE!</v>
      </c>
      <c r="CH94" cm="1">
        <f t="array" ref="CH94">CC94*Linterp(CD$90,atmos_h,atmos_aspeed)</f>
        <v>222.66311739692978</v>
      </c>
      <c r="CI94" s="162" t="e">
        <f t="shared" ref="CI94:CI157" si="27">(CD94-CG94)*CH94*(60/1)/CD$91</f>
        <v>#VALUE!</v>
      </c>
      <c r="CK94">
        <v>0.23</v>
      </c>
      <c r="CL94" cm="1">
        <f t="array" ref="CL94">numeng*InterpolateXY(CL$90,CK94,Tmax_h,Tmax_M,Tmax_table)</f>
        <v>1005.3176067296912</v>
      </c>
      <c r="CM94" cm="1">
        <f t="array" ref="CM94">1*CL$91/(S*Linterp(CL$90,atmos_h,atmos_qms)*CK94^2)</f>
        <v>6.558438636877419</v>
      </c>
      <c r="CN94" t="e" cm="1">
        <f t="array" ref="CN94">InterpolateXY(CM94,CK94,CD_CL,CD_M,CD_table)</f>
        <v>#VALUE!</v>
      </c>
      <c r="CO94" t="e" cm="1">
        <f t="array" ref="CO94">CN94*S*Linterp(CL$90,atmos_h,atmos_qms)*CK94^2</f>
        <v>#VALUE!</v>
      </c>
      <c r="CP94" cm="1">
        <f t="array" ref="CP94">CK94*Linterp(CL$90,atmos_h,atmos_aspeed)</f>
        <v>222.66311739692978</v>
      </c>
      <c r="CQ94" s="162" t="e">
        <f t="shared" ref="CQ94:CQ157" si="28">(CL94-CO94)*CP94*(60/1)/CL$91</f>
        <v>#VALUE!</v>
      </c>
    </row>
    <row r="95" spans="2:95">
      <c r="I95">
        <v>0.24</v>
      </c>
      <c r="J95" cm="1">
        <f t="array" ref="J95">numeng*InterpolateXY(J$90,I95,Tmax_h,Tmax_M,Tmax_table)</f>
        <v>6076</v>
      </c>
      <c r="K95" cm="1">
        <f t="array" ref="K95">1*J$91/(S*Linterp(J$90,atmos_h,atmos_qms)*I95^2)</f>
        <v>0.68939755795397961</v>
      </c>
      <c r="L95" cm="1">
        <f t="array" ref="L95">InterpolateXY(K95,I95,CD_CL,CD_M,CD_table)</f>
        <v>0.1286761303838431</v>
      </c>
      <c r="M95" cm="1">
        <f t="array" ref="M95">L95*S*Linterp(J$90,atmos_h,atmos_qms)*I95^2</f>
        <v>1866.5011051929605</v>
      </c>
      <c r="N95" cm="1">
        <f t="array" ref="N95">I95*Linterp(J$90,atmos_h,atmos_aspeed)</f>
        <v>267.94799999999998</v>
      </c>
      <c r="O95" s="162">
        <f t="shared" si="18"/>
        <v>6767.5608591945384</v>
      </c>
      <c r="Q95">
        <v>0.24</v>
      </c>
      <c r="R95" cm="1">
        <f t="array" ref="R95">numeng*InterpolateXY(R$90,Q95,Tmax_h,Tmax_M,Tmax_table)</f>
        <v>5359.5752925358856</v>
      </c>
      <c r="S95" cm="1">
        <f t="array" ref="S95">1*R$91/(S*Linterp(R$90,atmos_h,atmos_qms)*Q95^2)</f>
        <v>0.82855595663213932</v>
      </c>
      <c r="T95" t="e" cm="1">
        <f t="array" ref="T95">InterpolateXY(S95,Q95,CD_CL,CD_M,CD_table)</f>
        <v>#VALUE!</v>
      </c>
      <c r="U95" t="e" cm="1">
        <f t="array" ref="U95">T95*S*Linterp(R$90,atmos_h,atmos_qms)*Q95^2</f>
        <v>#VALUE!</v>
      </c>
      <c r="V95" cm="1">
        <f t="array" ref="V95">Q95*Linterp(R$90,atmos_h,atmos_aspeed)</f>
        <v>263.3021823288596</v>
      </c>
      <c r="W95" s="162" t="e">
        <f t="shared" si="19"/>
        <v>#VALUE!</v>
      </c>
      <c r="Y95">
        <v>0.24</v>
      </c>
      <c r="Z95" cm="1">
        <f t="array" ref="Z95">numeng*InterpolateXY(Z$90,Y95,Tmax_h,Tmax_M,Tmax_table)</f>
        <v>4699.6554960784488</v>
      </c>
      <c r="AA95" cm="1">
        <f t="array" ref="AA95">1*Z$91/(S*Linterp(Z$90,atmos_h,atmos_qms)*Y95^2)</f>
        <v>1.0024641221513171</v>
      </c>
      <c r="AB95" t="e" cm="1">
        <f t="array" ref="AB95">InterpolateXY(AA95,Y95,CD_CL,CD_M,CD_table)</f>
        <v>#VALUE!</v>
      </c>
      <c r="AC95" t="e" cm="1">
        <f t="array" ref="AC95">AB95*S*Linterp(Z$90,atmos_h,atmos_qms)*Y95^2</f>
        <v>#VALUE!</v>
      </c>
      <c r="AD95" cm="1">
        <f t="array" ref="AD95">Y95*Linterp(Z$90,atmos_h,atmos_aspeed)</f>
        <v>258.57290603286356</v>
      </c>
      <c r="AE95" s="162" t="e">
        <f t="shared" si="20"/>
        <v>#VALUE!</v>
      </c>
      <c r="AG95">
        <v>0.24</v>
      </c>
      <c r="AH95" cm="1">
        <f t="array" ref="AH95">numeng*InterpolateXY(AH$90,AG95,Tmax_h,Tmax_M,Tmax_table)</f>
        <v>4064.842493162289</v>
      </c>
      <c r="AI95" cm="1">
        <f t="array" ref="AI95">1*AH$91/(S*Linterp(AH$90,atmos_h,atmos_qms)*AG95^2)</f>
        <v>1.2215986477464842</v>
      </c>
      <c r="AJ95" t="e" cm="1">
        <f t="array" ref="AJ95">InterpolateXY(AI95,AG95,CD_CL,CD_M,CD_table)</f>
        <v>#VALUE!</v>
      </c>
      <c r="AK95" t="e" cm="1">
        <f t="array" ref="AK95">AJ95*S*Linterp(AH$90,atmos_h,atmos_qms)*AG95^2</f>
        <v>#VALUE!</v>
      </c>
      <c r="AL95" cm="1">
        <f t="array" ref="AL95">AG95*Linterp(AH$90,atmos_h,atmos_aspeed)</f>
        <v>253.7555048652543</v>
      </c>
      <c r="AM95" s="162" t="e">
        <f t="shared" si="21"/>
        <v>#VALUE!</v>
      </c>
      <c r="AO95">
        <v>0.24</v>
      </c>
      <c r="AP95" cm="1">
        <f t="array" ref="AP95">numeng*InterpolateXY(AP$90,AO95,Tmax_h,Tmax_M,Tmax_table)</f>
        <v>3493.0751120265313</v>
      </c>
      <c r="AQ95" cm="1">
        <f t="array" ref="AQ95">1*AP$91/(S*Linterp(AP$90,atmos_h,atmos_qms)*AO95^2)</f>
        <v>1.5001832992585384</v>
      </c>
      <c r="AR95" t="e" cm="1">
        <f t="array" ref="AR95">InterpolateXY(AQ95,AO95,CD_CL,CD_M,CD_table)</f>
        <v>#VALUE!</v>
      </c>
      <c r="AS95" t="e" cm="1">
        <f t="array" ref="AS95">AR95*S*Linterp(AP$90,atmos_h,atmos_qms)*AO95^2</f>
        <v>#VALUE!</v>
      </c>
      <c r="AT95" cm="1">
        <f t="array" ref="AT95">AO95*Linterp(AP$90,atmos_h,atmos_aspeed)</f>
        <v>248.84486083614453</v>
      </c>
      <c r="AU95" s="162" t="e">
        <f t="shared" si="22"/>
        <v>#VALUE!</v>
      </c>
      <c r="AW95">
        <v>0.24</v>
      </c>
      <c r="AX95" cm="1">
        <f t="array" ref="AX95">numeng*InterpolateXY(AX$90,AW95,Tmax_h,Tmax_M,Tmax_table)</f>
        <v>2980.8512082725001</v>
      </c>
      <c r="AY95" cm="1">
        <f t="array" ref="AY95">1*AX$91/(S*Linterp(AX$90,atmos_h,atmos_qms)*AW95^2)</f>
        <v>1.8577585208335761</v>
      </c>
      <c r="AZ95" t="e" cm="1">
        <f t="array" ref="AZ95">InterpolateXY(AY95,AW95,CD_CL,CD_M,CD_table)</f>
        <v>#VALUE!</v>
      </c>
      <c r="BA95" t="e" cm="1">
        <f t="array" ref="BA95">AZ95*S*Linterp(AX$90,atmos_h,atmos_qms)*AW95^2</f>
        <v>#VALUE!</v>
      </c>
      <c r="BB95" cm="1">
        <f t="array" ref="BB95">AW95*Linterp(AX$90,atmos_h,atmos_aspeed)</f>
        <v>243.83534050604754</v>
      </c>
      <c r="BC95" s="162" t="e">
        <f t="shared" si="23"/>
        <v>#VALUE!</v>
      </c>
      <c r="BE95">
        <v>0.24</v>
      </c>
      <c r="BF95" cm="1">
        <f t="array" ref="BF95">numeng*InterpolateXY(BF$90,BE95,Tmax_h,Tmax_M,Tmax_table)</f>
        <v>2524.6097474388439</v>
      </c>
      <c r="BG95" cm="1">
        <f t="array" ref="BG95">1*BF$91/(S*Linterp(BF$90,atmos_h,atmos_qms)*BE95^2)</f>
        <v>2.3215132773270724</v>
      </c>
      <c r="BH95" t="e" cm="1">
        <f t="array" ref="BH95">InterpolateXY(BG95,BE95,CD_CL,CD_M,CD_table)</f>
        <v>#VALUE!</v>
      </c>
      <c r="BI95" t="e" cm="1">
        <f t="array" ref="BI95">BH95*S*Linterp(BF$90,atmos_h,atmos_qms)*BE95^2</f>
        <v>#VALUE!</v>
      </c>
      <c r="BJ95" cm="1">
        <f t="array" ref="BJ95">BE95*Linterp(BF$90,atmos_h,atmos_aspeed)</f>
        <v>238.7207192407902</v>
      </c>
      <c r="BK95" s="162" t="e">
        <f t="shared" si="24"/>
        <v>#VALUE!</v>
      </c>
      <c r="BM95">
        <v>0.24</v>
      </c>
      <c r="BN95" cm="1">
        <f t="array" ref="BN95">numeng*InterpolateXY(BN$90,BM95,Tmax_h,Tmax_M,Tmax_table)</f>
        <v>2120.7524052427225</v>
      </c>
      <c r="BO95" cm="1">
        <f t="array" ref="BO95">1*BN$91/(S*Linterp(BN$90,atmos_h,atmos_qms)*BM95^2)</f>
        <v>2.9298054535508529</v>
      </c>
      <c r="BP95" t="e" cm="1">
        <f t="array" ref="BP95">InterpolateXY(BO95,BM95,CD_CL,CD_M,CD_table)</f>
        <v>#VALUE!</v>
      </c>
      <c r="BQ95" t="e" cm="1">
        <f t="array" ref="BQ95">BP95*S*Linterp(BN$90,atmos_h,atmos_qms)*BM95^2</f>
        <v>#VALUE!</v>
      </c>
      <c r="BR95" cm="1">
        <f t="array" ref="BR95">BM95*Linterp(BN$90,atmos_h,atmos_aspeed)</f>
        <v>233.49409052475013</v>
      </c>
      <c r="BS95" s="162" t="e">
        <f t="shared" si="25"/>
        <v>#VALUE!</v>
      </c>
      <c r="BU95">
        <v>0.24</v>
      </c>
      <c r="BV95" cm="1">
        <f t="array" ref="BV95">numeng*InterpolateXY(BV$90,BU95,Tmax_h,Tmax_M,Tmax_table)</f>
        <v>1708.4162412509024</v>
      </c>
      <c r="BW95" cm="1">
        <f t="array" ref="BW95">1*BV$91/(S*Linterp(BV$90,atmos_h,atmos_qms)*BU95^2)</f>
        <v>3.7247373270530568</v>
      </c>
      <c r="BX95" t="e" cm="1">
        <f t="array" ref="BX95">InterpolateXY(BW95,BU95,CD_CL,CD_M,CD_table)</f>
        <v>#VALUE!</v>
      </c>
      <c r="BY95" t="e" cm="1">
        <f t="array" ref="BY95">BX95*S*Linterp(BV$90,atmos_h,atmos_qms)*BU95^2</f>
        <v>#VALUE!</v>
      </c>
      <c r="BZ95" cm="1">
        <f t="array" ref="BZ95">BU95*Linterp(BV$90,atmos_h,atmos_aspeed)</f>
        <v>232.34412250114411</v>
      </c>
      <c r="CA95" s="162" t="e">
        <f t="shared" si="26"/>
        <v>#VALUE!</v>
      </c>
      <c r="CC95">
        <v>0.24</v>
      </c>
      <c r="CD95" cm="1">
        <f t="array" ref="CD95">numeng*InterpolateXY(CD$90,CC95,Tmax_h,Tmax_M,Tmax_table)</f>
        <v>1324.8759708537102</v>
      </c>
      <c r="CE95" cm="1">
        <f t="array" ref="CE95">1*CD$91/(S*Linterp(CD$90,atmos_h,atmos_qms)*CC95^2)</f>
        <v>4.7365775219083108</v>
      </c>
      <c r="CF95" t="e" cm="1">
        <f t="array" ref="CF95">InterpolateXY(CE95,CC95,CD_CL,CD_M,CD_table)</f>
        <v>#VALUE!</v>
      </c>
      <c r="CG95" t="e" cm="1">
        <f t="array" ref="CG95">CF95*S*Linterp(CD$90,atmos_h,atmos_qms)*CC95^2</f>
        <v>#VALUE!</v>
      </c>
      <c r="CH95" cm="1">
        <f t="array" ref="CH95">CC95*Linterp(CD$90,atmos_h,atmos_aspeed)</f>
        <v>232.34412250114411</v>
      </c>
      <c r="CI95" s="162" t="e">
        <f t="shared" si="27"/>
        <v>#VALUE!</v>
      </c>
      <c r="CK95">
        <v>0.24</v>
      </c>
      <c r="CL95" cm="1">
        <f t="array" ref="CL95">numeng*InterpolateXY(CL$90,CK95,Tmax_h,Tmax_M,Tmax_table)</f>
        <v>1012.6245790378416</v>
      </c>
      <c r="CM95" cm="1">
        <f t="array" ref="CM95">1*CL$91/(S*Linterp(CL$90,atmos_h,atmos_qms)*CK95^2)</f>
        <v>6.0232882619933239</v>
      </c>
      <c r="CN95" t="e" cm="1">
        <f t="array" ref="CN95">InterpolateXY(CM95,CK95,CD_CL,CD_M,CD_table)</f>
        <v>#VALUE!</v>
      </c>
      <c r="CO95" t="e" cm="1">
        <f t="array" ref="CO95">CN95*S*Linterp(CL$90,atmos_h,atmos_qms)*CK95^2</f>
        <v>#VALUE!</v>
      </c>
      <c r="CP95" cm="1">
        <f t="array" ref="CP95">CK95*Linterp(CL$90,atmos_h,atmos_aspeed)</f>
        <v>232.34412250114411</v>
      </c>
      <c r="CQ95" s="162" t="e">
        <f t="shared" si="28"/>
        <v>#VALUE!</v>
      </c>
    </row>
    <row r="96" spans="2:95">
      <c r="I96">
        <v>0.25</v>
      </c>
      <c r="J96" cm="1">
        <f t="array" ref="J96">numeng*InterpolateXY(J$90,I96,Tmax_h,Tmax_M,Tmax_table)</f>
        <v>6100</v>
      </c>
      <c r="K96" cm="1">
        <f t="array" ref="K96">1*J$91/(S*Linterp(J$90,atmos_h,atmos_qms)*I96^2)</f>
        <v>0.63534878941038764</v>
      </c>
      <c r="L96" cm="1">
        <f t="array" ref="L96">InterpolateXY(K96,I96,CD_CL,CD_M,CD_table)</f>
        <v>0.10498276976174978</v>
      </c>
      <c r="M96" cm="1">
        <f t="array" ref="M96">L96*S*Linterp(J$90,atmos_h,atmos_qms)*I96^2</f>
        <v>1652.3643628750003</v>
      </c>
      <c r="N96" cm="1">
        <f t="array" ref="N96">I96*Linterp(J$90,atmos_h,atmos_aspeed)</f>
        <v>279.11250000000001</v>
      </c>
      <c r="O96" s="162">
        <f t="shared" si="18"/>
        <v>7448.3442106023085</v>
      </c>
      <c r="Q96">
        <v>0.25</v>
      </c>
      <c r="R96" cm="1">
        <f t="array" ref="R96">numeng*InterpolateXY(R$90,Q96,Tmax_h,Tmax_M,Tmax_table)</f>
        <v>5385.4253341397562</v>
      </c>
      <c r="S96" cm="1">
        <f t="array" ref="S96">1*R$91/(S*Linterp(R$90,atmos_h,atmos_qms)*Q96^2)</f>
        <v>0.7635971696321795</v>
      </c>
      <c r="T96" cm="1">
        <f t="array" ref="T96">InterpolateXY(S96,Q96,CD_CL,CD_M,CD_table)</f>
        <v>0.17043703336185667</v>
      </c>
      <c r="U96" cm="1">
        <f t="array" ref="U96">T96*S*Linterp(R$90,atmos_h,atmos_qms)*Q96^2</f>
        <v>2232.0280920364758</v>
      </c>
      <c r="V96" cm="1">
        <f t="array" ref="V96">Q96*Linterp(R$90,atmos_h,atmos_aspeed)</f>
        <v>274.2731065925621</v>
      </c>
      <c r="W96" s="162">
        <f t="shared" si="19"/>
        <v>5189.3523474725062</v>
      </c>
      <c r="Y96">
        <v>0.25</v>
      </c>
      <c r="Z96" cm="1">
        <f t="array" ref="Z96">numeng*InterpolateXY(Z$90,Y96,Tmax_h,Tmax_M,Tmax_table)</f>
        <v>4726.240599450357</v>
      </c>
      <c r="AA96" cm="1">
        <f t="array" ref="AA96">1*Z$91/(S*Linterp(Z$90,atmos_h,atmos_qms)*Y96^2)</f>
        <v>0.92387093497465378</v>
      </c>
      <c r="AB96" t="e" cm="1">
        <f t="array" ref="AB96">InterpolateXY(AA96,Y96,CD_CL,CD_M,CD_table)</f>
        <v>#VALUE!</v>
      </c>
      <c r="AC96" t="e" cm="1">
        <f t="array" ref="AC96">AB96*S*Linterp(Z$90,atmos_h,atmos_qms)*Y96^2</f>
        <v>#VALUE!</v>
      </c>
      <c r="AD96" cm="1">
        <f t="array" ref="AD96">Y96*Linterp(Z$90,atmos_h,atmos_aspeed)</f>
        <v>269.34677711756621</v>
      </c>
      <c r="AE96" s="162" t="e">
        <f t="shared" si="20"/>
        <v>#VALUE!</v>
      </c>
      <c r="AG96">
        <v>0.25</v>
      </c>
      <c r="AH96" cm="1">
        <f t="array" ref="AH96">numeng*InterpolateXY(AH$90,AG96,Tmax_h,Tmax_M,Tmax_table)</f>
        <v>4090.0117965255231</v>
      </c>
      <c r="AI96" cm="1">
        <f t="array" ref="AI96">1*AH$91/(S*Linterp(AH$90,atmos_h,atmos_qms)*AG96^2)</f>
        <v>1.12582531376316</v>
      </c>
      <c r="AJ96" t="e" cm="1">
        <f t="array" ref="AJ96">InterpolateXY(AI96,AG96,CD_CL,CD_M,CD_table)</f>
        <v>#VALUE!</v>
      </c>
      <c r="AK96" t="e" cm="1">
        <f t="array" ref="AK96">AJ96*S*Linterp(AH$90,atmos_h,atmos_qms)*AG96^2</f>
        <v>#VALUE!</v>
      </c>
      <c r="AL96" cm="1">
        <f t="array" ref="AL96">AG96*Linterp(AH$90,atmos_h,atmos_aspeed)</f>
        <v>264.32865090130656</v>
      </c>
      <c r="AM96" s="162" t="e">
        <f t="shared" si="21"/>
        <v>#VALUE!</v>
      </c>
      <c r="AO96">
        <v>0.25</v>
      </c>
      <c r="AP96" cm="1">
        <f t="array" ref="AP96">numeng*InterpolateXY(AP$90,AO96,Tmax_h,Tmax_M,Tmax_table)</f>
        <v>3516.5185691542265</v>
      </c>
      <c r="AQ96" cm="1">
        <f t="array" ref="AQ96">1*AP$91/(S*Linterp(AP$90,atmos_h,atmos_qms)*AO96^2)</f>
        <v>1.3825689285966691</v>
      </c>
      <c r="AR96" t="e" cm="1">
        <f t="array" ref="AR96">InterpolateXY(AQ96,AO96,CD_CL,CD_M,CD_table)</f>
        <v>#VALUE!</v>
      </c>
      <c r="AS96" t="e" cm="1">
        <f t="array" ref="AS96">AR96*S*Linterp(AP$90,atmos_h,atmos_qms)*AO96^2</f>
        <v>#VALUE!</v>
      </c>
      <c r="AT96" cm="1">
        <f t="array" ref="AT96">AO96*Linterp(AP$90,atmos_h,atmos_aspeed)</f>
        <v>259.21339670431723</v>
      </c>
      <c r="AU96" s="162" t="e">
        <f t="shared" si="22"/>
        <v>#VALUE!</v>
      </c>
      <c r="AW96">
        <v>0.25</v>
      </c>
      <c r="AX96" cm="1">
        <f t="array" ref="AX96">numeng*InterpolateXY(AX$90,AW96,Tmax_h,Tmax_M,Tmax_table)</f>
        <v>3002.3606577609371</v>
      </c>
      <c r="AY96" cm="1">
        <f t="array" ref="AY96">1*AX$91/(S*Linterp(AX$90,atmos_h,atmos_qms)*AW96^2)</f>
        <v>1.7121102528002234</v>
      </c>
      <c r="AZ96" t="e" cm="1">
        <f t="array" ref="AZ96">InterpolateXY(AY96,AW96,CD_CL,CD_M,CD_table)</f>
        <v>#VALUE!</v>
      </c>
      <c r="BA96" t="e" cm="1">
        <f t="array" ref="BA96">AZ96*S*Linterp(AX$90,atmos_h,atmos_qms)*AW96^2</f>
        <v>#VALUE!</v>
      </c>
      <c r="BB96" cm="1">
        <f t="array" ref="BB96">AW96*Linterp(AX$90,atmos_h,atmos_aspeed)</f>
        <v>253.99514636046621</v>
      </c>
      <c r="BC96" s="162" t="e">
        <f t="shared" si="23"/>
        <v>#VALUE!</v>
      </c>
      <c r="BE96">
        <v>0.25</v>
      </c>
      <c r="BF96" cm="1">
        <f t="array" ref="BF96">numeng*InterpolateXY(BF$90,BE96,Tmax_h,Tmax_M,Tmax_table)</f>
        <v>2544.0643572294221</v>
      </c>
      <c r="BG96" cm="1">
        <f t="array" ref="BG96">1*BF$91/(S*Linterp(BF$90,atmos_h,atmos_qms)*BE96^2)</f>
        <v>2.1395066363846298</v>
      </c>
      <c r="BH96" t="e" cm="1">
        <f t="array" ref="BH96">InterpolateXY(BG96,BE96,CD_CL,CD_M,CD_table)</f>
        <v>#VALUE!</v>
      </c>
      <c r="BI96" t="e" cm="1">
        <f t="array" ref="BI96">BH96*S*Linterp(BF$90,atmos_h,atmos_qms)*BE96^2</f>
        <v>#VALUE!</v>
      </c>
      <c r="BJ96" cm="1">
        <f t="array" ref="BJ96">BE96*Linterp(BF$90,atmos_h,atmos_aspeed)</f>
        <v>248.66741587582314</v>
      </c>
      <c r="BK96" s="162" t="e">
        <f t="shared" si="24"/>
        <v>#VALUE!</v>
      </c>
      <c r="BM96">
        <v>0.25</v>
      </c>
      <c r="BN96" cm="1">
        <f t="array" ref="BN96">numeng*InterpolateXY(BN$90,BM96,Tmax_h,Tmax_M,Tmax_table)</f>
        <v>2138.105142632201</v>
      </c>
      <c r="BO96" cm="1">
        <f t="array" ref="BO96">1*BN$91/(S*Linterp(BN$90,atmos_h,atmos_qms)*BM96^2)</f>
        <v>2.7001087059924656</v>
      </c>
      <c r="BP96" t="e" cm="1">
        <f t="array" ref="BP96">InterpolateXY(BO96,BM96,CD_CL,CD_M,CD_table)</f>
        <v>#VALUE!</v>
      </c>
      <c r="BQ96" t="e" cm="1">
        <f t="array" ref="BQ96">BP96*S*Linterp(BN$90,atmos_h,atmos_qms)*BM96^2</f>
        <v>#VALUE!</v>
      </c>
      <c r="BR96" cm="1">
        <f t="array" ref="BR96">BM96*Linterp(BN$90,atmos_h,atmos_aspeed)</f>
        <v>243.22301096328141</v>
      </c>
      <c r="BS96" s="162" t="e">
        <f t="shared" si="25"/>
        <v>#VALUE!</v>
      </c>
      <c r="BU96">
        <v>0.25</v>
      </c>
      <c r="BV96" cm="1">
        <f t="array" ref="BV96">numeng*InterpolateXY(BV$90,BU96,Tmax_h,Tmax_M,Tmax_table)</f>
        <v>1723.1864104836191</v>
      </c>
      <c r="BW96" cm="1">
        <f t="array" ref="BW96">1*BV$91/(S*Linterp(BV$90,atmos_h,atmos_qms)*BU96^2)</f>
        <v>3.4327179206120975</v>
      </c>
      <c r="BX96" t="e" cm="1">
        <f t="array" ref="BX96">InterpolateXY(BW96,BU96,CD_CL,CD_M,CD_table)</f>
        <v>#VALUE!</v>
      </c>
      <c r="BY96" t="e" cm="1">
        <f t="array" ref="BY96">BX96*S*Linterp(BV$90,atmos_h,atmos_qms)*BU96^2</f>
        <v>#VALUE!</v>
      </c>
      <c r="BZ96" cm="1">
        <f t="array" ref="BZ96">BU96*Linterp(BV$90,atmos_h,atmos_aspeed)</f>
        <v>242.02512760535845</v>
      </c>
      <c r="CA96" s="162" t="e">
        <f t="shared" si="26"/>
        <v>#VALUE!</v>
      </c>
      <c r="CC96">
        <v>0.25</v>
      </c>
      <c r="CD96" cm="1">
        <f t="array" ref="CD96">numeng*InterpolateXY(CD$90,CC96,Tmax_h,Tmax_M,Tmax_table)</f>
        <v>1335.7165690956458</v>
      </c>
      <c r="CE96" cm="1">
        <f t="array" ref="CE96">1*CD$91/(S*Linterp(CD$90,atmos_h,atmos_qms)*CC96^2)</f>
        <v>4.3652298441906989</v>
      </c>
      <c r="CF96" t="e" cm="1">
        <f t="array" ref="CF96">InterpolateXY(CE96,CC96,CD_CL,CD_M,CD_table)</f>
        <v>#VALUE!</v>
      </c>
      <c r="CG96" t="e" cm="1">
        <f t="array" ref="CG96">CF96*S*Linterp(CD$90,atmos_h,atmos_qms)*CC96^2</f>
        <v>#VALUE!</v>
      </c>
      <c r="CH96" cm="1">
        <f t="array" ref="CH96">CC96*Linterp(CD$90,atmos_h,atmos_aspeed)</f>
        <v>242.02512760535845</v>
      </c>
      <c r="CI96" s="162" t="e">
        <f t="shared" si="27"/>
        <v>#VALUE!</v>
      </c>
      <c r="CK96">
        <v>0.25</v>
      </c>
      <c r="CL96" cm="1">
        <f t="array" ref="CL96">numeng*InterpolateXY(CL$90,CK96,Tmax_h,Tmax_M,Tmax_table)</f>
        <v>1019.9315513459919</v>
      </c>
      <c r="CM96" cm="1">
        <f t="array" ref="CM96">1*CL$91/(S*Linterp(CL$90,atmos_h,atmos_qms)*CK96^2)</f>
        <v>5.5510624622530473</v>
      </c>
      <c r="CN96" t="e" cm="1">
        <f t="array" ref="CN96">InterpolateXY(CM96,CK96,CD_CL,CD_M,CD_table)</f>
        <v>#VALUE!</v>
      </c>
      <c r="CO96" t="e" cm="1">
        <f t="array" ref="CO96">CN96*S*Linterp(CL$90,atmos_h,atmos_qms)*CK96^2</f>
        <v>#VALUE!</v>
      </c>
      <c r="CP96" cm="1">
        <f t="array" ref="CP96">CK96*Linterp(CL$90,atmos_h,atmos_aspeed)</f>
        <v>242.02512760535845</v>
      </c>
      <c r="CQ96" s="162" t="e">
        <f t="shared" si="28"/>
        <v>#VALUE!</v>
      </c>
    </row>
    <row r="97" spans="9:95">
      <c r="I97">
        <v>0.26</v>
      </c>
      <c r="J97" cm="1">
        <f t="array" ref="J97">numeng*InterpolateXY(J$90,I97,Tmax_h,Tmax_M,Tmax_table)</f>
        <v>6124</v>
      </c>
      <c r="K97" cm="1">
        <f t="array" ref="K97">1*J$91/(S*Linterp(J$90,atmos_h,atmos_qms)*I97^2)</f>
        <v>0.58741567068268086</v>
      </c>
      <c r="L97" cm="1">
        <f t="array" ref="L97">InterpolateXY(K97,I97,CD_CL,CD_M,CD_table)</f>
        <v>8.5541104923679112E-2</v>
      </c>
      <c r="M97" cm="1">
        <f t="array" ref="M97">L97*S*Linterp(J$90,atmos_h,atmos_qms)*I97^2</f>
        <v>1456.2278330822403</v>
      </c>
      <c r="N97" cm="1">
        <f t="array" ref="N97">I97*Linterp(J$90,atmos_h,atmos_aspeed)</f>
        <v>290.27700000000004</v>
      </c>
      <c r="O97" s="162">
        <f t="shared" si="18"/>
        <v>8129.6814077783201</v>
      </c>
      <c r="Q97">
        <v>0.26</v>
      </c>
      <c r="R97" cm="1">
        <f t="array" ref="R97">numeng*InterpolateXY(R$90,Q97,Tmax_h,Tmax_M,Tmax_table)</f>
        <v>5411.2753757436276</v>
      </c>
      <c r="S97" cm="1">
        <f t="array" ref="S97">1*R$91/(S*Linterp(R$90,atmos_h,atmos_qms)*Q97^2)</f>
        <v>0.70598850742620145</v>
      </c>
      <c r="T97" cm="1">
        <f t="array" ref="T97">InterpolateXY(S97,Q97,CD_CL,CD_M,CD_table)</f>
        <v>0.13677693864303736</v>
      </c>
      <c r="U97" cm="1">
        <f t="array" ref="U97">T97*S*Linterp(R$90,atmos_h,atmos_qms)*Q97^2</f>
        <v>1937.3819432511791</v>
      </c>
      <c r="V97" cm="1">
        <f t="array" ref="V97">Q97*Linterp(R$90,atmos_h,atmos_aspeed)</f>
        <v>285.2440308562646</v>
      </c>
      <c r="W97" s="162">
        <f t="shared" si="19"/>
        <v>5945.4441926955051</v>
      </c>
      <c r="Y97">
        <v>0.26</v>
      </c>
      <c r="Z97" cm="1">
        <f t="array" ref="Z97">numeng*InterpolateXY(Z$90,Y97,Tmax_h,Tmax_M,Tmax_table)</f>
        <v>4752.8257028222661</v>
      </c>
      <c r="AA97" cm="1">
        <f t="array" ref="AA97">1*Z$91/(S*Linterp(Z$90,atmos_h,atmos_qms)*Y97^2)</f>
        <v>0.8541706129573351</v>
      </c>
      <c r="AB97" t="e" cm="1">
        <f t="array" ref="AB97">InterpolateXY(AA97,Y97,CD_CL,CD_M,CD_table)</f>
        <v>#VALUE!</v>
      </c>
      <c r="AC97" t="e" cm="1">
        <f t="array" ref="AC97">AB97*S*Linterp(Z$90,atmos_h,atmos_qms)*Y97^2</f>
        <v>#VALUE!</v>
      </c>
      <c r="AD97" cm="1">
        <f t="array" ref="AD97">Y97*Linterp(Z$90,atmos_h,atmos_aspeed)</f>
        <v>280.12064820226885</v>
      </c>
      <c r="AE97" s="162" t="e">
        <f t="shared" si="20"/>
        <v>#VALUE!</v>
      </c>
      <c r="AG97">
        <v>0.26</v>
      </c>
      <c r="AH97" cm="1">
        <f t="array" ref="AH97">numeng*InterpolateXY(AH$90,AG97,Tmax_h,Tmax_M,Tmax_table)</f>
        <v>4115.1810998887568</v>
      </c>
      <c r="AI97" cm="1">
        <f t="array" ref="AI97">1*AH$91/(S*Linterp(AH$90,atmos_h,atmos_qms)*AG97^2)</f>
        <v>1.0408887886123888</v>
      </c>
      <c r="AJ97" t="e" cm="1">
        <f t="array" ref="AJ97">InterpolateXY(AI97,AG97,CD_CL,CD_M,CD_table)</f>
        <v>#VALUE!</v>
      </c>
      <c r="AK97" t="e" cm="1">
        <f t="array" ref="AK97">AJ97*S*Linterp(AH$90,atmos_h,atmos_qms)*AG97^2</f>
        <v>#VALUE!</v>
      </c>
      <c r="AL97" cm="1">
        <f t="array" ref="AL97">AG97*Linterp(AH$90,atmos_h,atmos_aspeed)</f>
        <v>274.90179693735882</v>
      </c>
      <c r="AM97" s="162" t="e">
        <f t="shared" si="21"/>
        <v>#VALUE!</v>
      </c>
      <c r="AO97">
        <v>0.26</v>
      </c>
      <c r="AP97" cm="1">
        <f t="array" ref="AP97">numeng*InterpolateXY(AP$90,AO97,Tmax_h,Tmax_M,Tmax_table)</f>
        <v>3539.9620262819212</v>
      </c>
      <c r="AQ97" cm="1">
        <f t="array" ref="AQ97">1*AP$91/(S*Linterp(AP$90,atmos_h,atmos_qms)*AO97^2)</f>
        <v>1.2782626928593464</v>
      </c>
      <c r="AR97" t="e" cm="1">
        <f t="array" ref="AR97">InterpolateXY(AQ97,AO97,CD_CL,CD_M,CD_table)</f>
        <v>#VALUE!</v>
      </c>
      <c r="AS97" t="e" cm="1">
        <f t="array" ref="AS97">AR97*S*Linterp(AP$90,atmos_h,atmos_qms)*AO97^2</f>
        <v>#VALUE!</v>
      </c>
      <c r="AT97" cm="1">
        <f t="array" ref="AT97">AO97*Linterp(AP$90,atmos_h,atmos_aspeed)</f>
        <v>269.5819325724899</v>
      </c>
      <c r="AU97" s="162" t="e">
        <f t="shared" si="22"/>
        <v>#VALUE!</v>
      </c>
      <c r="AW97">
        <v>0.26</v>
      </c>
      <c r="AX97" cm="1">
        <f t="array" ref="AX97">numeng*InterpolateXY(AX$90,AW97,Tmax_h,Tmax_M,Tmax_table)</f>
        <v>3023.8701072493736</v>
      </c>
      <c r="AY97" cm="1">
        <f t="array" ref="AY97">1*AX$91/(S*Linterp(AX$90,atmos_h,atmos_qms)*AW97^2)</f>
        <v>1.5829421715978396</v>
      </c>
      <c r="AZ97" t="e" cm="1">
        <f t="array" ref="AZ97">InterpolateXY(AY97,AW97,CD_CL,CD_M,CD_table)</f>
        <v>#VALUE!</v>
      </c>
      <c r="BA97" t="e" cm="1">
        <f t="array" ref="BA97">AZ97*S*Linterp(AX$90,atmos_h,atmos_qms)*AW97^2</f>
        <v>#VALUE!</v>
      </c>
      <c r="BB97" cm="1">
        <f t="array" ref="BB97">AW97*Linterp(AX$90,atmos_h,atmos_aspeed)</f>
        <v>264.15495221488487</v>
      </c>
      <c r="BC97" s="162" t="e">
        <f t="shared" si="23"/>
        <v>#VALUE!</v>
      </c>
      <c r="BE97">
        <v>0.26</v>
      </c>
      <c r="BF97" cm="1">
        <f t="array" ref="BF97">numeng*InterpolateXY(BF$90,BE97,Tmax_h,Tmax_M,Tmax_table)</f>
        <v>2563.5189670199998</v>
      </c>
      <c r="BG97" cm="1">
        <f t="array" ref="BG97">1*BF$91/(S*Linterp(BF$90,atmos_h,atmos_qms)*BE97^2)</f>
        <v>1.9780941534621206</v>
      </c>
      <c r="BH97" t="e" cm="1">
        <f t="array" ref="BH97">InterpolateXY(BG97,BE97,CD_CL,CD_M,CD_table)</f>
        <v>#VALUE!</v>
      </c>
      <c r="BI97" t="e" cm="1">
        <f t="array" ref="BI97">BH97*S*Linterp(BF$90,atmos_h,atmos_qms)*BE97^2</f>
        <v>#VALUE!</v>
      </c>
      <c r="BJ97" cm="1">
        <f t="array" ref="BJ97">BE97*Linterp(BF$90,atmos_h,atmos_aspeed)</f>
        <v>258.61411251085605</v>
      </c>
      <c r="BK97" s="162" t="e">
        <f t="shared" si="24"/>
        <v>#VALUE!</v>
      </c>
      <c r="BM97">
        <v>0.26</v>
      </c>
      <c r="BN97" cm="1">
        <f t="array" ref="BN97">numeng*InterpolateXY(BN$90,BM97,Tmax_h,Tmax_M,Tmax_table)</f>
        <v>2155.4578800216796</v>
      </c>
      <c r="BO97" cm="1">
        <f t="array" ref="BO97">1*BN$91/(S*Linterp(BN$90,atmos_h,atmos_qms)*BM97^2)</f>
        <v>2.4964022799486552</v>
      </c>
      <c r="BP97" t="e" cm="1">
        <f t="array" ref="BP97">InterpolateXY(BO97,BM97,CD_CL,CD_M,CD_table)</f>
        <v>#VALUE!</v>
      </c>
      <c r="BQ97" t="e" cm="1">
        <f t="array" ref="BQ97">BP97*S*Linterp(BN$90,atmos_h,atmos_qms)*BM97^2</f>
        <v>#VALUE!</v>
      </c>
      <c r="BR97" cm="1">
        <f t="array" ref="BR97">BM97*Linterp(BN$90,atmos_h,atmos_aspeed)</f>
        <v>252.95193140181269</v>
      </c>
      <c r="BS97" s="162" t="e">
        <f t="shared" si="25"/>
        <v>#VALUE!</v>
      </c>
      <c r="BU97">
        <v>0.26</v>
      </c>
      <c r="BV97" cm="1">
        <f t="array" ref="BV97">numeng*InterpolateXY(BV$90,BU97,Tmax_h,Tmax_M,Tmax_table)</f>
        <v>1737.9565797163359</v>
      </c>
      <c r="BW97" cm="1">
        <f t="array" ref="BW97">1*BV$91/(S*Linterp(BV$90,atmos_h,atmos_qms)*BU97^2)</f>
        <v>3.1737406810392907</v>
      </c>
      <c r="BX97" t="e" cm="1">
        <f t="array" ref="BX97">InterpolateXY(BW97,BU97,CD_CL,CD_M,CD_table)</f>
        <v>#VALUE!</v>
      </c>
      <c r="BY97" t="e" cm="1">
        <f t="array" ref="BY97">BX97*S*Linterp(BV$90,atmos_h,atmos_qms)*BU97^2</f>
        <v>#VALUE!</v>
      </c>
      <c r="BZ97" cm="1">
        <f t="array" ref="BZ97">BU97*Linterp(BV$90,atmos_h,atmos_aspeed)</f>
        <v>251.70613270957278</v>
      </c>
      <c r="CA97" s="162" t="e">
        <f t="shared" si="26"/>
        <v>#VALUE!</v>
      </c>
      <c r="CC97">
        <v>0.26</v>
      </c>
      <c r="CD97" cm="1">
        <f t="array" ref="CD97">numeng*InterpolateXY(CD$90,CC97,Tmax_h,Tmax_M,Tmax_table)</f>
        <v>1346.5571673375816</v>
      </c>
      <c r="CE97" cm="1">
        <f t="array" ref="CE97">1*CD$91/(S*Linterp(CD$90,atmos_h,atmos_qms)*CC97^2)</f>
        <v>4.0359003736970207</v>
      </c>
      <c r="CF97" t="e" cm="1">
        <f t="array" ref="CF97">InterpolateXY(CE97,CC97,CD_CL,CD_M,CD_table)</f>
        <v>#VALUE!</v>
      </c>
      <c r="CG97" t="e" cm="1">
        <f t="array" ref="CG97">CF97*S*Linterp(CD$90,atmos_h,atmos_qms)*CC97^2</f>
        <v>#VALUE!</v>
      </c>
      <c r="CH97" cm="1">
        <f t="array" ref="CH97">CC97*Linterp(CD$90,atmos_h,atmos_aspeed)</f>
        <v>251.70613270957278</v>
      </c>
      <c r="CI97" s="162" t="e">
        <f t="shared" si="27"/>
        <v>#VALUE!</v>
      </c>
      <c r="CK97">
        <v>0.26</v>
      </c>
      <c r="CL97" cm="1">
        <f t="array" ref="CL97">numeng*InterpolateXY(CL$90,CK97,Tmax_h,Tmax_M,Tmax_table)</f>
        <v>1027.2385236541425</v>
      </c>
      <c r="CM97" cm="1">
        <f t="array" ref="CM97">1*CL$91/(S*Linterp(CL$90,atmos_h,atmos_qms)*CK97^2)</f>
        <v>5.1322692883256726</v>
      </c>
      <c r="CN97" t="e" cm="1">
        <f t="array" ref="CN97">InterpolateXY(CM97,CK97,CD_CL,CD_M,CD_table)</f>
        <v>#VALUE!</v>
      </c>
      <c r="CO97" t="e" cm="1">
        <f t="array" ref="CO97">CN97*S*Linterp(CL$90,atmos_h,atmos_qms)*CK97^2</f>
        <v>#VALUE!</v>
      </c>
      <c r="CP97" cm="1">
        <f t="array" ref="CP97">CK97*Linterp(CL$90,atmos_h,atmos_aspeed)</f>
        <v>251.70613270957278</v>
      </c>
      <c r="CQ97" s="162" t="e">
        <f t="shared" si="28"/>
        <v>#VALUE!</v>
      </c>
    </row>
    <row r="98" spans="9:95">
      <c r="I98">
        <v>0.27</v>
      </c>
      <c r="J98" cm="1">
        <f t="array" ref="J98">numeng*InterpolateXY(J$90,I98,Tmax_h,Tmax_M,Tmax_table)</f>
        <v>6148</v>
      </c>
      <c r="K98" cm="1">
        <f t="array" ref="K98">1*J$91/(S*Linterp(J$90,atmos_h,atmos_qms)*I98^2)</f>
        <v>0.54470918159326787</v>
      </c>
      <c r="L98" cm="1">
        <f t="array" ref="L98">InterpolateXY(K98,I98,CD_CL,CD_M,CD_table)</f>
        <v>7.2153973838692834E-2</v>
      </c>
      <c r="M98" cm="1">
        <f t="array" ref="M98">L98*S*Linterp(J$90,atmos_h,atmos_qms)*I98^2</f>
        <v>1324.6329652025204</v>
      </c>
      <c r="N98" cm="1">
        <f t="array" ref="N98">I98*Linterp(J$90,atmos_h,atmos_aspeed)</f>
        <v>301.44150000000002</v>
      </c>
      <c r="O98" s="162">
        <f t="shared" si="18"/>
        <v>8723.7779641194265</v>
      </c>
      <c r="Q98">
        <v>0.27</v>
      </c>
      <c r="R98" cm="1">
        <f t="array" ref="R98">numeng*InterpolateXY(R$90,Q98,Tmax_h,Tmax_M,Tmax_table)</f>
        <v>5437.1254173474981</v>
      </c>
      <c r="S98" cm="1">
        <f t="array" ref="S98">1*R$91/(S*Linterp(R$90,atmos_h,atmos_qms)*Q98^2)</f>
        <v>0.65466149659823347</v>
      </c>
      <c r="T98" cm="1">
        <f t="array" ref="T98">InterpolateXY(S98,Q98,CD_CL,CD_M,CD_table)</f>
        <v>0.11340173551002626</v>
      </c>
      <c r="U98" cm="1">
        <f t="array" ref="U98">T98*S*Linterp(R$90,atmos_h,atmos_qms)*Q98^2</f>
        <v>1732.2194156718681</v>
      </c>
      <c r="V98" cm="1">
        <f t="array" ref="V98">Q98*Linterp(R$90,atmos_h,atmos_aspeed)</f>
        <v>296.2149551199671</v>
      </c>
      <c r="W98" s="162">
        <f t="shared" si="19"/>
        <v>6584.6913900602613</v>
      </c>
      <c r="Y98">
        <v>0.27</v>
      </c>
      <c r="Z98" cm="1">
        <f t="array" ref="Z98">numeng*InterpolateXY(Z$90,Y98,Tmax_h,Tmax_M,Tmax_table)</f>
        <v>4779.4108061941743</v>
      </c>
      <c r="AA98" cm="1">
        <f t="array" ref="AA98">1*Z$91/(S*Linterp(Z$90,atmos_h,atmos_qms)*Y98^2)</f>
        <v>0.79207041750227514</v>
      </c>
      <c r="AB98" cm="1">
        <f t="array" ref="AB98">InterpolateXY(AA98,Y98,CD_CL,CD_M,CD_table)</f>
        <v>0.18702374744658407</v>
      </c>
      <c r="AC98" cm="1">
        <f t="array" ref="AC98">AB98*S*Linterp(Z$90,atmos_h,atmos_qms)*Y98^2</f>
        <v>2361.2010158938538</v>
      </c>
      <c r="AD98" cm="1">
        <f t="array" ref="AD98">Y98*Linterp(Z$90,atmos_h,atmos_aspeed)</f>
        <v>290.8945192869715</v>
      </c>
      <c r="AE98" s="162">
        <f t="shared" si="20"/>
        <v>4220.6638469067584</v>
      </c>
      <c r="AG98">
        <v>0.27</v>
      </c>
      <c r="AH98" cm="1">
        <f t="array" ref="AH98">numeng*InterpolateXY(AH$90,AG98,Tmax_h,Tmax_M,Tmax_table)</f>
        <v>4140.3504032519913</v>
      </c>
      <c r="AI98" cm="1">
        <f t="array" ref="AI98">1*AH$91/(S*Linterp(AH$90,atmos_h,atmos_qms)*AG98^2)</f>
        <v>0.96521374636759238</v>
      </c>
      <c r="AJ98" t="e" cm="1">
        <f t="array" ref="AJ98">InterpolateXY(AI98,AG98,CD_CL,CD_M,CD_table)</f>
        <v>#VALUE!</v>
      </c>
      <c r="AK98" t="e" cm="1">
        <f t="array" ref="AK98">AJ98*S*Linterp(AH$90,atmos_h,atmos_qms)*AG98^2</f>
        <v>#VALUE!</v>
      </c>
      <c r="AL98" cm="1">
        <f t="array" ref="AL98">AG98*Linterp(AH$90,atmos_h,atmos_aspeed)</f>
        <v>285.47494297341109</v>
      </c>
      <c r="AM98" s="162" t="e">
        <f t="shared" si="21"/>
        <v>#VALUE!</v>
      </c>
      <c r="AO98">
        <v>0.27</v>
      </c>
      <c r="AP98" cm="1">
        <f t="array" ref="AP98">numeng*InterpolateXY(AP$90,AO98,Tmax_h,Tmax_M,Tmax_table)</f>
        <v>3563.405483409616</v>
      </c>
      <c r="AQ98" cm="1">
        <f t="array" ref="AQ98">1*AP$91/(S*Linterp(AP$90,atmos_h,atmos_qms)*AO98^2)</f>
        <v>1.1853300142289687</v>
      </c>
      <c r="AR98" t="e" cm="1">
        <f t="array" ref="AR98">InterpolateXY(AQ98,AO98,CD_CL,CD_M,CD_table)</f>
        <v>#VALUE!</v>
      </c>
      <c r="AS98" t="e" cm="1">
        <f t="array" ref="AS98">AR98*S*Linterp(AP$90,atmos_h,atmos_qms)*AO98^2</f>
        <v>#VALUE!</v>
      </c>
      <c r="AT98" cm="1">
        <f t="array" ref="AT98">AO98*Linterp(AP$90,atmos_h,atmos_aspeed)</f>
        <v>279.95046844066263</v>
      </c>
      <c r="AU98" s="162" t="e">
        <f t="shared" si="22"/>
        <v>#VALUE!</v>
      </c>
      <c r="AW98">
        <v>0.27</v>
      </c>
      <c r="AX98" cm="1">
        <f t="array" ref="AX98">numeng*InterpolateXY(AX$90,AW98,Tmax_h,Tmax_M,Tmax_table)</f>
        <v>3045.3795567378102</v>
      </c>
      <c r="AY98" cm="1">
        <f t="array" ref="AY98">1*AX$91/(S*Linterp(AX$90,atmos_h,atmos_qms)*AW98^2)</f>
        <v>1.4678585843623315</v>
      </c>
      <c r="AZ98" t="e" cm="1">
        <f t="array" ref="AZ98">InterpolateXY(AY98,AW98,CD_CL,CD_M,CD_table)</f>
        <v>#VALUE!</v>
      </c>
      <c r="BA98" t="e" cm="1">
        <f t="array" ref="BA98">AZ98*S*Linterp(AX$90,atmos_h,atmos_qms)*AW98^2</f>
        <v>#VALUE!</v>
      </c>
      <c r="BB98" cm="1">
        <f t="array" ref="BB98">AW98*Linterp(AX$90,atmos_h,atmos_aspeed)</f>
        <v>274.31475806930354</v>
      </c>
      <c r="BC98" s="162" t="e">
        <f t="shared" si="23"/>
        <v>#VALUE!</v>
      </c>
      <c r="BE98">
        <v>0.27</v>
      </c>
      <c r="BF98" cm="1">
        <f t="array" ref="BF98">numeng*InterpolateXY(BF$90,BE98,Tmax_h,Tmax_M,Tmax_table)</f>
        <v>2582.9735768105779</v>
      </c>
      <c r="BG98" cm="1">
        <f t="array" ref="BG98">1*BF$91/(S*Linterp(BF$90,atmos_h,atmos_qms)*BE98^2)</f>
        <v>1.8342820956658348</v>
      </c>
      <c r="BH98" t="e" cm="1">
        <f t="array" ref="BH98">InterpolateXY(BG98,BE98,CD_CL,CD_M,CD_table)</f>
        <v>#VALUE!</v>
      </c>
      <c r="BI98" t="e" cm="1">
        <f t="array" ref="BI98">BH98*S*Linterp(BF$90,atmos_h,atmos_qms)*BE98^2</f>
        <v>#VALUE!</v>
      </c>
      <c r="BJ98" cm="1">
        <f t="array" ref="BJ98">BE98*Linterp(BF$90,atmos_h,atmos_aspeed)</f>
        <v>268.56080914588898</v>
      </c>
      <c r="BK98" s="162" t="e">
        <f t="shared" si="24"/>
        <v>#VALUE!</v>
      </c>
      <c r="BM98">
        <v>0.27</v>
      </c>
      <c r="BN98" cm="1">
        <f t="array" ref="BN98">numeng*InterpolateXY(BN$90,BM98,Tmax_h,Tmax_M,Tmax_table)</f>
        <v>2172.8106174111585</v>
      </c>
      <c r="BO98" cm="1">
        <f t="array" ref="BO98">1*BN$91/(S*Linterp(BN$90,atmos_h,atmos_qms)*BM98^2)</f>
        <v>2.3149080126821548</v>
      </c>
      <c r="BP98" t="e" cm="1">
        <f t="array" ref="BP98">InterpolateXY(BO98,BM98,CD_CL,CD_M,CD_table)</f>
        <v>#VALUE!</v>
      </c>
      <c r="BQ98" t="e" cm="1">
        <f t="array" ref="BQ98">BP98*S*Linterp(BN$90,atmos_h,atmos_qms)*BM98^2</f>
        <v>#VALUE!</v>
      </c>
      <c r="BR98" cm="1">
        <f t="array" ref="BR98">BM98*Linterp(BN$90,atmos_h,atmos_aspeed)</f>
        <v>262.68085184034396</v>
      </c>
      <c r="BS98" s="162" t="e">
        <f t="shared" si="25"/>
        <v>#VALUE!</v>
      </c>
      <c r="BU98">
        <v>0.27</v>
      </c>
      <c r="BV98" cm="1">
        <f t="array" ref="BV98">numeng*InterpolateXY(BV$90,BU98,Tmax_h,Tmax_M,Tmax_table)</f>
        <v>1752.7267489490528</v>
      </c>
      <c r="BW98" cm="1">
        <f t="array" ref="BW98">1*BV$91/(S*Linterp(BV$90,atmos_h,atmos_qms)*BU98^2)</f>
        <v>2.9430023324863659</v>
      </c>
      <c r="BX98" t="e" cm="1">
        <f t="array" ref="BX98">InterpolateXY(BW98,BU98,CD_CL,CD_M,CD_table)</f>
        <v>#VALUE!</v>
      </c>
      <c r="BY98" t="e" cm="1">
        <f t="array" ref="BY98">BX98*S*Linterp(BV$90,atmos_h,atmos_qms)*BU98^2</f>
        <v>#VALUE!</v>
      </c>
      <c r="BZ98" cm="1">
        <f t="array" ref="BZ98">BU98*Linterp(BV$90,atmos_h,atmos_aspeed)</f>
        <v>261.38713781378715</v>
      </c>
      <c r="CA98" s="162" t="e">
        <f t="shared" si="26"/>
        <v>#VALUE!</v>
      </c>
      <c r="CC98">
        <v>0.27</v>
      </c>
      <c r="CD98" cm="1">
        <f t="array" ref="CD98">numeng*InterpolateXY(CD$90,CC98,Tmax_h,Tmax_M,Tmax_table)</f>
        <v>1357.3977655795172</v>
      </c>
      <c r="CE98" cm="1">
        <f t="array" ref="CE98">1*CD$91/(S*Linterp(CD$90,atmos_h,atmos_qms)*CC98^2)</f>
        <v>3.7424810049645907</v>
      </c>
      <c r="CF98" t="e" cm="1">
        <f t="array" ref="CF98">InterpolateXY(CE98,CC98,CD_CL,CD_M,CD_table)</f>
        <v>#VALUE!</v>
      </c>
      <c r="CG98" t="e" cm="1">
        <f t="array" ref="CG98">CF98*S*Linterp(CD$90,atmos_h,atmos_qms)*CC98^2</f>
        <v>#VALUE!</v>
      </c>
      <c r="CH98" cm="1">
        <f t="array" ref="CH98">CC98*Linterp(CD$90,atmos_h,atmos_aspeed)</f>
        <v>261.38713781378715</v>
      </c>
      <c r="CI98" s="162" t="e">
        <f t="shared" si="27"/>
        <v>#VALUE!</v>
      </c>
      <c r="CK98">
        <v>0.27</v>
      </c>
      <c r="CL98" cm="1">
        <f t="array" ref="CL98">numeng*InterpolateXY(CL$90,CK98,Tmax_h,Tmax_M,Tmax_table)</f>
        <v>1034.5454959622928</v>
      </c>
      <c r="CM98" cm="1">
        <f t="array" ref="CM98">1*CL$91/(S*Linterp(CL$90,atmos_h,atmos_qms)*CK98^2)</f>
        <v>4.7591413428095395</v>
      </c>
      <c r="CN98" t="e" cm="1">
        <f t="array" ref="CN98">InterpolateXY(CM98,CK98,CD_CL,CD_M,CD_table)</f>
        <v>#VALUE!</v>
      </c>
      <c r="CO98" t="e" cm="1">
        <f t="array" ref="CO98">CN98*S*Linterp(CL$90,atmos_h,atmos_qms)*CK98^2</f>
        <v>#VALUE!</v>
      </c>
      <c r="CP98" cm="1">
        <f t="array" ref="CP98">CK98*Linterp(CL$90,atmos_h,atmos_aspeed)</f>
        <v>261.38713781378715</v>
      </c>
      <c r="CQ98" s="162" t="e">
        <f t="shared" si="28"/>
        <v>#VALUE!</v>
      </c>
    </row>
    <row r="99" spans="9:95">
      <c r="I99">
        <v>0.28000000000000003</v>
      </c>
      <c r="J99" cm="1">
        <f t="array" ref="J99">numeng*InterpolateXY(J$90,I99,Tmax_h,Tmax_M,Tmax_table)</f>
        <v>6172</v>
      </c>
      <c r="K99" cm="1">
        <f t="array" ref="K99">1*J$91/(S*Linterp(J$90,atmos_h,atmos_qms)*I99^2)</f>
        <v>0.50649616502741357</v>
      </c>
      <c r="L99" cm="1">
        <f t="array" ref="L99">InterpolateXY(K99,I99,CD_CL,CD_M,CD_table)</f>
        <v>6.0173299653580446E-2</v>
      </c>
      <c r="M99" cm="1">
        <f t="array" ref="M99">L99*S*Linterp(J$90,atmos_h,atmos_qms)*I99^2</f>
        <v>1188.0307060236801</v>
      </c>
      <c r="N99" cm="1">
        <f t="array" ref="N99">I99*Linterp(J$90,atmos_h,atmos_aspeed)</f>
        <v>312.60600000000005</v>
      </c>
      <c r="O99" s="162">
        <f t="shared" si="18"/>
        <v>9348.1122306765701</v>
      </c>
      <c r="Q99">
        <v>0.28000000000000003</v>
      </c>
      <c r="R99" cm="1">
        <f t="array" ref="R99">numeng*InterpolateXY(R$90,Q99,Tmax_h,Tmax_M,Tmax_table)</f>
        <v>5462.9754589513695</v>
      </c>
      <c r="S99" cm="1">
        <f t="array" ref="S99">1*R$91/(S*Linterp(R$90,atmos_h,atmos_qms)*Q99^2)</f>
        <v>0.60873498854606134</v>
      </c>
      <c r="T99" cm="1">
        <f t="array" ref="T99">InterpolateXY(S99,Q99,CD_CL,CD_M,CD_table)</f>
        <v>9.3265924983174875E-2</v>
      </c>
      <c r="U99" cm="1">
        <f t="array" ref="U99">T99*S*Linterp(R$90,atmos_h,atmos_qms)*Q99^2</f>
        <v>1532.1268982079825</v>
      </c>
      <c r="V99" cm="1">
        <f t="array" ref="V99">Q99*Linterp(R$90,atmos_h,atmos_aspeed)</f>
        <v>307.1858793836696</v>
      </c>
      <c r="W99" s="162">
        <f t="shared" si="19"/>
        <v>7245.007031135935</v>
      </c>
      <c r="Y99">
        <v>0.28000000000000003</v>
      </c>
      <c r="Z99" cm="1">
        <f t="array" ref="Z99">numeng*InterpolateXY(Z$90,Y99,Tmax_h,Tmax_M,Tmax_table)</f>
        <v>4805.9959095660824</v>
      </c>
      <c r="AA99" cm="1">
        <f t="array" ref="AA99">1*Z$91/(S*Linterp(Z$90,atmos_h,atmos_qms)*Y99^2)</f>
        <v>0.7365042530091308</v>
      </c>
      <c r="AB99" cm="1">
        <f t="array" ref="AB99">InterpolateXY(AA99,Y99,CD_CL,CD_M,CD_table)</f>
        <v>0.15455635212212021</v>
      </c>
      <c r="AC99" cm="1">
        <f t="array" ref="AC99">AB99*S*Linterp(Z$90,atmos_h,atmos_qms)*Y99^2</f>
        <v>2098.5126900578007</v>
      </c>
      <c r="AD99" cm="1">
        <f t="array" ref="AD99">Y99*Linterp(Z$90,atmos_h,atmos_aspeed)</f>
        <v>301.66839037167421</v>
      </c>
      <c r="AE99" s="162">
        <f t="shared" si="20"/>
        <v>4900.5726287242896</v>
      </c>
      <c r="AG99">
        <v>0.28000000000000003</v>
      </c>
      <c r="AH99" cm="1">
        <f t="array" ref="AH99">numeng*InterpolateXY(AH$90,AG99,Tmax_h,Tmax_M,Tmax_table)</f>
        <v>4165.519706615225</v>
      </c>
      <c r="AI99" cm="1">
        <f t="array" ref="AI99">1*AH$91/(S*Linterp(AH$90,atmos_h,atmos_qms)*AG99^2)</f>
        <v>0.89750104732394753</v>
      </c>
      <c r="AJ99" t="e" cm="1">
        <f t="array" ref="AJ99">InterpolateXY(AI99,AG99,CD_CL,CD_M,CD_table)</f>
        <v>#VALUE!</v>
      </c>
      <c r="AK99" t="e" cm="1">
        <f t="array" ref="AK99">AJ99*S*Linterp(AH$90,atmos_h,atmos_qms)*AG99^2</f>
        <v>#VALUE!</v>
      </c>
      <c r="AL99" cm="1">
        <f t="array" ref="AL99">AG99*Linterp(AH$90,atmos_h,atmos_aspeed)</f>
        <v>296.04808900946335</v>
      </c>
      <c r="AM99" s="162" t="e">
        <f t="shared" si="21"/>
        <v>#VALUE!</v>
      </c>
      <c r="AO99">
        <v>0.28000000000000003</v>
      </c>
      <c r="AP99" cm="1">
        <f t="array" ref="AP99">numeng*InterpolateXY(AP$90,AO99,Tmax_h,Tmax_M,Tmax_table)</f>
        <v>3586.8489405373111</v>
      </c>
      <c r="AQ99" cm="1">
        <f t="array" ref="AQ99">1*AP$91/(S*Linterp(AP$90,atmos_h,atmos_qms)*AO99^2)</f>
        <v>1.1021754851695384</v>
      </c>
      <c r="AR99" t="e" cm="1">
        <f t="array" ref="AR99">InterpolateXY(AQ99,AO99,CD_CL,CD_M,CD_table)</f>
        <v>#VALUE!</v>
      </c>
      <c r="AS99" t="e" cm="1">
        <f t="array" ref="AS99">AR99*S*Linterp(AP$90,atmos_h,atmos_qms)*AO99^2</f>
        <v>#VALUE!</v>
      </c>
      <c r="AT99" cm="1">
        <f t="array" ref="AT99">AO99*Linterp(AP$90,atmos_h,atmos_aspeed)</f>
        <v>290.3190043088353</v>
      </c>
      <c r="AU99" s="162" t="e">
        <f t="shared" si="22"/>
        <v>#VALUE!</v>
      </c>
      <c r="AW99">
        <v>0.28000000000000003</v>
      </c>
      <c r="AX99" cm="1">
        <f t="array" ref="AX99">numeng*InterpolateXY(AX$90,AW99,Tmax_h,Tmax_M,Tmax_table)</f>
        <v>3066.8890062262467</v>
      </c>
      <c r="AY99" cm="1">
        <f t="array" ref="AY99">1*AX$91/(S*Linterp(AX$90,atmos_h,atmos_qms)*AW99^2)</f>
        <v>1.3648838112246677</v>
      </c>
      <c r="AZ99" t="e" cm="1">
        <f t="array" ref="AZ99">InterpolateXY(AY99,AW99,CD_CL,CD_M,CD_table)</f>
        <v>#VALUE!</v>
      </c>
      <c r="BA99" t="e" cm="1">
        <f t="array" ref="BA99">AZ99*S*Linterp(AX$90,atmos_h,atmos_qms)*AW99^2</f>
        <v>#VALUE!</v>
      </c>
      <c r="BB99" cm="1">
        <f t="array" ref="BB99">AW99*Linterp(AX$90,atmos_h,atmos_aspeed)</f>
        <v>284.4745639237222</v>
      </c>
      <c r="BC99" s="162" t="e">
        <f t="shared" si="23"/>
        <v>#VALUE!</v>
      </c>
      <c r="BE99">
        <v>0.28000000000000003</v>
      </c>
      <c r="BF99" cm="1">
        <f t="array" ref="BF99">numeng*InterpolateXY(BF$90,BE99,Tmax_h,Tmax_M,Tmax_table)</f>
        <v>2602.4281866011556</v>
      </c>
      <c r="BG99" cm="1">
        <f t="array" ref="BG99">1*BF$91/(S*Linterp(BF$90,atmos_h,atmos_qms)*BE99^2)</f>
        <v>1.705601591505604</v>
      </c>
      <c r="BH99" t="e" cm="1">
        <f t="array" ref="BH99">InterpolateXY(BG99,BE99,CD_CL,CD_M,CD_table)</f>
        <v>#VALUE!</v>
      </c>
      <c r="BI99" t="e" cm="1">
        <f t="array" ref="BI99">BH99*S*Linterp(BF$90,atmos_h,atmos_qms)*BE99^2</f>
        <v>#VALUE!</v>
      </c>
      <c r="BJ99" cm="1">
        <f t="array" ref="BJ99">BE99*Linterp(BF$90,atmos_h,atmos_aspeed)</f>
        <v>278.50750578092192</v>
      </c>
      <c r="BK99" s="162" t="e">
        <f t="shared" si="24"/>
        <v>#VALUE!</v>
      </c>
      <c r="BM99">
        <v>0.28000000000000003</v>
      </c>
      <c r="BN99" cm="1">
        <f t="array" ref="BN99">numeng*InterpolateXY(BN$90,BM99,Tmax_h,Tmax_M,Tmax_table)</f>
        <v>2190.1633548006371</v>
      </c>
      <c r="BO99" cm="1">
        <f t="array" ref="BO99">1*BN$91/(S*Linterp(BN$90,atmos_h,atmos_qms)*BM99^2)</f>
        <v>2.1525101291394018</v>
      </c>
      <c r="BP99" t="e" cm="1">
        <f t="array" ref="BP99">InterpolateXY(BO99,BM99,CD_CL,CD_M,CD_table)</f>
        <v>#VALUE!</v>
      </c>
      <c r="BQ99" t="e" cm="1">
        <f t="array" ref="BQ99">BP99*S*Linterp(BN$90,atmos_h,atmos_qms)*BM99^2</f>
        <v>#VALUE!</v>
      </c>
      <c r="BR99" cm="1">
        <f t="array" ref="BR99">BM99*Linterp(BN$90,atmos_h,atmos_aspeed)</f>
        <v>272.40977227887521</v>
      </c>
      <c r="BS99" s="162" t="e">
        <f t="shared" si="25"/>
        <v>#VALUE!</v>
      </c>
      <c r="BU99">
        <v>0.28000000000000003</v>
      </c>
      <c r="BV99" cm="1">
        <f t="array" ref="BV99">numeng*InterpolateXY(BV$90,BU99,Tmax_h,Tmax_M,Tmax_table)</f>
        <v>1767.4969181817694</v>
      </c>
      <c r="BW99" cm="1">
        <f t="array" ref="BW99">1*BV$91/(S*Linterp(BV$90,atmos_h,atmos_qms)*BU99^2)</f>
        <v>2.7365417096716333</v>
      </c>
      <c r="BX99" t="e" cm="1">
        <f t="array" ref="BX99">InterpolateXY(BW99,BU99,CD_CL,CD_M,CD_table)</f>
        <v>#VALUE!</v>
      </c>
      <c r="BY99" t="e" cm="1">
        <f t="array" ref="BY99">BX99*S*Linterp(BV$90,atmos_h,atmos_qms)*BU99^2</f>
        <v>#VALUE!</v>
      </c>
      <c r="BZ99" cm="1">
        <f t="array" ref="BZ99">BU99*Linterp(BV$90,atmos_h,atmos_aspeed)</f>
        <v>271.06814291800151</v>
      </c>
      <c r="CA99" s="162" t="e">
        <f t="shared" si="26"/>
        <v>#VALUE!</v>
      </c>
      <c r="CC99">
        <v>0.28000000000000003</v>
      </c>
      <c r="CD99" cm="1">
        <f t="array" ref="CD99">numeng*InterpolateXY(CD$90,CC99,Tmax_h,Tmax_M,Tmax_table)</f>
        <v>1368.238363821453</v>
      </c>
      <c r="CE99" cm="1">
        <f t="array" ref="CE99">1*CD$91/(S*Linterp(CD$90,atmos_h,atmos_qms)*CC99^2)</f>
        <v>3.4799345058918192</v>
      </c>
      <c r="CF99" t="e" cm="1">
        <f t="array" ref="CF99">InterpolateXY(CE99,CC99,CD_CL,CD_M,CD_table)</f>
        <v>#VALUE!</v>
      </c>
      <c r="CG99" t="e" cm="1">
        <f t="array" ref="CG99">CF99*S*Linterp(CD$90,atmos_h,atmos_qms)*CC99^2</f>
        <v>#VALUE!</v>
      </c>
      <c r="CH99" cm="1">
        <f t="array" ref="CH99">CC99*Linterp(CD$90,atmos_h,atmos_aspeed)</f>
        <v>271.06814291800151</v>
      </c>
      <c r="CI99" s="162" t="e">
        <f t="shared" si="27"/>
        <v>#VALUE!</v>
      </c>
      <c r="CK99">
        <v>0.28000000000000003</v>
      </c>
      <c r="CL99" cm="1">
        <f t="array" ref="CL99">numeng*InterpolateXY(CL$90,CK99,Tmax_h,Tmax_M,Tmax_table)</f>
        <v>1041.8524682704431</v>
      </c>
      <c r="CM99" cm="1">
        <f t="array" ref="CM99">1*CL$91/(S*Linterp(CL$90,atmos_h,atmos_qms)*CK99^2)</f>
        <v>4.4252730088114207</v>
      </c>
      <c r="CN99" t="e" cm="1">
        <f t="array" ref="CN99">InterpolateXY(CM99,CK99,CD_CL,CD_M,CD_table)</f>
        <v>#VALUE!</v>
      </c>
      <c r="CO99" t="e" cm="1">
        <f t="array" ref="CO99">CN99*S*Linterp(CL$90,atmos_h,atmos_qms)*CK99^2</f>
        <v>#VALUE!</v>
      </c>
      <c r="CP99" cm="1">
        <f t="array" ref="CP99">CK99*Linterp(CL$90,atmos_h,atmos_aspeed)</f>
        <v>271.06814291800151</v>
      </c>
      <c r="CQ99" s="162" t="e">
        <f t="shared" si="28"/>
        <v>#VALUE!</v>
      </c>
    </row>
    <row r="100" spans="9:95">
      <c r="I100">
        <v>0.28999999999999998</v>
      </c>
      <c r="J100" cm="1">
        <f t="array" ref="J100">numeng*InterpolateXY(J$90,I100,Tmax_h,Tmax_M,Tmax_table)</f>
        <v>6196</v>
      </c>
      <c r="K100" cm="1">
        <f t="array" ref="K100">1*J$91/(S*Linterp(J$90,atmos_h,atmos_qms)*I100^2)</f>
        <v>0.47216764968072805</v>
      </c>
      <c r="L100" cm="1">
        <f t="array" ref="L100">InterpolateXY(K100,I100,CD_CL,CD_M,CD_table)</f>
        <v>5.2525697585826335E-2</v>
      </c>
      <c r="M100" cm="1">
        <f t="array" ref="M100">L100*S*Linterp(J$90,atmos_h,atmos_qms)*I100^2</f>
        <v>1112.4374493115599</v>
      </c>
      <c r="N100" cm="1">
        <f t="array" ref="N100">I100*Linterp(J$90,atmos_h,atmos_aspeed)</f>
        <v>323.77049999999997</v>
      </c>
      <c r="O100" s="162">
        <f t="shared" si="18"/>
        <v>9875.4455329060293</v>
      </c>
      <c r="Q100">
        <v>0.28999999999999998</v>
      </c>
      <c r="R100" cm="1">
        <f t="array" ref="R100">numeng*InterpolateXY(R$90,Q100,Tmax_h,Tmax_M,Tmax_table)</f>
        <v>5488.8255005552401</v>
      </c>
      <c r="S100" cm="1">
        <f t="array" ref="S100">1*R$91/(S*Linterp(R$90,atmos_h,atmos_qms)*Q100^2)</f>
        <v>0.56747708801440222</v>
      </c>
      <c r="T100" cm="1">
        <f t="array" ref="T100">InterpolateXY(S100,Q100,CD_CL,CD_M,CD_table)</f>
        <v>7.9240328548507905E-2</v>
      </c>
      <c r="U100" cm="1">
        <f t="array" ref="U100">T100*S*Linterp(R$90,atmos_h,atmos_qms)*Q100^2</f>
        <v>1396.3617249423971</v>
      </c>
      <c r="V100" cm="1">
        <f t="array" ref="V100">Q100*Linterp(R$90,atmos_h,atmos_aspeed)</f>
        <v>318.15680364737199</v>
      </c>
      <c r="W100" s="162">
        <f t="shared" si="19"/>
        <v>7812.2711633498284</v>
      </c>
      <c r="Y100">
        <v>0.28999999999999998</v>
      </c>
      <c r="Z100" cm="1">
        <f t="array" ref="Z100">numeng*InterpolateXY(Z$90,Y100,Tmax_h,Tmax_M,Tmax_table)</f>
        <v>4832.5810129379906</v>
      </c>
      <c r="AA100" cm="1">
        <f t="array" ref="AA100">1*Z$91/(S*Linterp(Z$90,atmos_h,atmos_qms)*Y100^2)</f>
        <v>0.68658660446986763</v>
      </c>
      <c r="AB100" cm="1">
        <f t="array" ref="AB100">InterpolateXY(AA100,Y100,CD_CL,CD_M,CD_table)</f>
        <v>0.12734493275780201</v>
      </c>
      <c r="AC100" cm="1">
        <f t="array" ref="AC100">AB100*S*Linterp(Z$90,atmos_h,atmos_qms)*Y100^2</f>
        <v>1854.7541115534657</v>
      </c>
      <c r="AD100" cm="1">
        <f t="array" ref="AD100">Y100*Linterp(Z$90,atmos_h,atmos_aspeed)</f>
        <v>312.4422614563768</v>
      </c>
      <c r="AE100" s="162">
        <f t="shared" si="20"/>
        <v>5582.393827765296</v>
      </c>
      <c r="AG100">
        <v>0.28999999999999998</v>
      </c>
      <c r="AH100" cm="1">
        <f t="array" ref="AH100">numeng*InterpolateXY(AH$90,AG100,Tmax_h,Tmax_M,Tmax_table)</f>
        <v>4190.6890099784596</v>
      </c>
      <c r="AI100" cm="1">
        <f t="array" ref="AI100">1*AH$91/(S*Linterp(AH$90,atmos_h,atmos_qms)*AG100^2)</f>
        <v>0.83667160654218187</v>
      </c>
      <c r="AJ100" t="e" cm="1">
        <f t="array" ref="AJ100">InterpolateXY(AI100,AG100,CD_CL,CD_M,CD_table)</f>
        <v>#VALUE!</v>
      </c>
      <c r="AK100" t="e" cm="1">
        <f t="array" ref="AK100">AJ100*S*Linterp(AH$90,atmos_h,atmos_qms)*AG100^2</f>
        <v>#VALUE!</v>
      </c>
      <c r="AL100" cm="1">
        <f t="array" ref="AL100">AG100*Linterp(AH$90,atmos_h,atmos_aspeed)</f>
        <v>306.62123504551556</v>
      </c>
      <c r="AM100" s="162" t="e">
        <f t="shared" si="21"/>
        <v>#VALUE!</v>
      </c>
      <c r="AO100">
        <v>0.28999999999999998</v>
      </c>
      <c r="AP100" cm="1">
        <f t="array" ref="AP100">numeng*InterpolateXY(AP$90,AO100,Tmax_h,Tmax_M,Tmax_table)</f>
        <v>3610.2923976650059</v>
      </c>
      <c r="AQ100" cm="1">
        <f t="array" ref="AQ100">1*AP$91/(S*Linterp(AP$90,atmos_h,atmos_qms)*AO100^2)</f>
        <v>1.0274739362341476</v>
      </c>
      <c r="AR100" t="e" cm="1">
        <f t="array" ref="AR100">InterpolateXY(AQ100,AO100,CD_CL,CD_M,CD_table)</f>
        <v>#VALUE!</v>
      </c>
      <c r="AS100" t="e" cm="1">
        <f t="array" ref="AS100">AR100*S*Linterp(AP$90,atmos_h,atmos_qms)*AO100^2</f>
        <v>#VALUE!</v>
      </c>
      <c r="AT100" cm="1">
        <f t="array" ref="AT100">AO100*Linterp(AP$90,atmos_h,atmos_aspeed)</f>
        <v>300.68754017700797</v>
      </c>
      <c r="AU100" s="162" t="e">
        <f t="shared" si="22"/>
        <v>#VALUE!</v>
      </c>
      <c r="AW100">
        <v>0.28999999999999998</v>
      </c>
      <c r="AX100" cm="1">
        <f t="array" ref="AX100">numeng*InterpolateXY(AX$90,AW100,Tmax_h,Tmax_M,Tmax_table)</f>
        <v>3088.3984557146832</v>
      </c>
      <c r="AY100" cm="1">
        <f t="array" ref="AY100">1*AX$91/(S*Linterp(AX$90,atmos_h,atmos_qms)*AW100^2)</f>
        <v>1.2723768228301304</v>
      </c>
      <c r="AZ100" t="e" cm="1">
        <f t="array" ref="AZ100">InterpolateXY(AY100,AW100,CD_CL,CD_M,CD_table)</f>
        <v>#VALUE!</v>
      </c>
      <c r="BA100" t="e" cm="1">
        <f t="array" ref="BA100">AZ100*S*Linterp(AX$90,atmos_h,atmos_qms)*AW100^2</f>
        <v>#VALUE!</v>
      </c>
      <c r="BB100" cm="1">
        <f t="array" ref="BB100">AW100*Linterp(AX$90,atmos_h,atmos_aspeed)</f>
        <v>294.63436977814081</v>
      </c>
      <c r="BC100" s="162" t="e">
        <f t="shared" si="23"/>
        <v>#VALUE!</v>
      </c>
      <c r="BE100">
        <v>0.28999999999999998</v>
      </c>
      <c r="BF100" cm="1">
        <f t="array" ref="BF100">numeng*InterpolateXY(BF$90,BE100,Tmax_h,Tmax_M,Tmax_table)</f>
        <v>2621.8827963917333</v>
      </c>
      <c r="BG100" cm="1">
        <f t="array" ref="BG100">1*BF$91/(S*Linterp(BF$90,atmos_h,atmos_qms)*BE100^2)</f>
        <v>1.5900019592632506</v>
      </c>
      <c r="BH100" t="e" cm="1">
        <f t="array" ref="BH100">InterpolateXY(BG100,BE100,CD_CL,CD_M,CD_table)</f>
        <v>#VALUE!</v>
      </c>
      <c r="BI100" t="e" cm="1">
        <f t="array" ref="BI100">BH100*S*Linterp(BF$90,atmos_h,atmos_qms)*BE100^2</f>
        <v>#VALUE!</v>
      </c>
      <c r="BJ100" cm="1">
        <f t="array" ref="BJ100">BE100*Linterp(BF$90,atmos_h,atmos_aspeed)</f>
        <v>288.4542024159548</v>
      </c>
      <c r="BK100" s="162" t="e">
        <f t="shared" si="24"/>
        <v>#VALUE!</v>
      </c>
      <c r="BM100">
        <v>0.28999999999999998</v>
      </c>
      <c r="BN100" cm="1">
        <f t="array" ref="BN100">numeng*InterpolateXY(BN$90,BM100,Tmax_h,Tmax_M,Tmax_table)</f>
        <v>2207.5160921901161</v>
      </c>
      <c r="BO100" cm="1">
        <f t="array" ref="BO100">1*BN$91/(S*Linterp(BN$90,atmos_h,atmos_qms)*BM100^2)</f>
        <v>2.0066206197922605</v>
      </c>
      <c r="BP100" t="e" cm="1">
        <f t="array" ref="BP100">InterpolateXY(BO100,BM100,CD_CL,CD_M,CD_table)</f>
        <v>#VALUE!</v>
      </c>
      <c r="BQ100" t="e" cm="1">
        <f t="array" ref="BQ100">BP100*S*Linterp(BN$90,atmos_h,atmos_qms)*BM100^2</f>
        <v>#VALUE!</v>
      </c>
      <c r="BR100" cm="1">
        <f t="array" ref="BR100">BM100*Linterp(BN$90,atmos_h,atmos_aspeed)</f>
        <v>282.1386927174064</v>
      </c>
      <c r="BS100" s="162" t="e">
        <f t="shared" si="25"/>
        <v>#VALUE!</v>
      </c>
      <c r="BU100">
        <v>0.28999999999999998</v>
      </c>
      <c r="BV100" cm="1">
        <f t="array" ref="BV100">numeng*InterpolateXY(BV$90,BU100,Tmax_h,Tmax_M,Tmax_table)</f>
        <v>1782.267087414486</v>
      </c>
      <c r="BW100" cm="1">
        <f t="array" ref="BW100">1*BV$91/(S*Linterp(BV$90,atmos_h,atmos_qms)*BU100^2)</f>
        <v>2.551068609253937</v>
      </c>
      <c r="BX100" t="e" cm="1">
        <f t="array" ref="BX100">InterpolateXY(BW100,BU100,CD_CL,CD_M,CD_table)</f>
        <v>#VALUE!</v>
      </c>
      <c r="BY100" t="e" cm="1">
        <f t="array" ref="BY100">BX100*S*Linterp(BV$90,atmos_h,atmos_qms)*BU100^2</f>
        <v>#VALUE!</v>
      </c>
      <c r="BZ100" cm="1">
        <f t="array" ref="BZ100">BU100*Linterp(BV$90,atmos_h,atmos_aspeed)</f>
        <v>280.74914802221576</v>
      </c>
      <c r="CA100" s="162" t="e">
        <f t="shared" si="26"/>
        <v>#VALUE!</v>
      </c>
      <c r="CC100">
        <v>0.28999999999999998</v>
      </c>
      <c r="CD100" cm="1">
        <f t="array" ref="CD100">numeng*InterpolateXY(CD$90,CC100,Tmax_h,Tmax_M,Tmax_table)</f>
        <v>1379.0789620633886</v>
      </c>
      <c r="CE100" cm="1">
        <f t="array" ref="CE100">1*CD$91/(S*Linterp(CD$90,atmos_h,atmos_qms)*CC100^2)</f>
        <v>3.244076875884883</v>
      </c>
      <c r="CF100" t="e" cm="1">
        <f t="array" ref="CF100">InterpolateXY(CE100,CC100,CD_CL,CD_M,CD_table)</f>
        <v>#VALUE!</v>
      </c>
      <c r="CG100" t="e" cm="1">
        <f t="array" ref="CG100">CF100*S*Linterp(CD$90,atmos_h,atmos_qms)*CC100^2</f>
        <v>#VALUE!</v>
      </c>
      <c r="CH100" cm="1">
        <f t="array" ref="CH100">CC100*Linterp(CD$90,atmos_h,atmos_aspeed)</f>
        <v>280.74914802221576</v>
      </c>
      <c r="CI100" s="162" t="e">
        <f t="shared" si="27"/>
        <v>#VALUE!</v>
      </c>
      <c r="CK100">
        <v>0.28999999999999998</v>
      </c>
      <c r="CL100" cm="1">
        <f t="array" ref="CL100">numeng*InterpolateXY(CL$90,CK100,Tmax_h,Tmax_M,Tmax_table)</f>
        <v>1049.1594405785936</v>
      </c>
      <c r="CM100" cm="1">
        <f t="array" ref="CM100">1*CL$91/(S*Linterp(CL$90,atmos_h,atmos_qms)*CK100^2)</f>
        <v>4.12534368478972</v>
      </c>
      <c r="CN100" t="e" cm="1">
        <f t="array" ref="CN100">InterpolateXY(CM100,CK100,CD_CL,CD_M,CD_table)</f>
        <v>#VALUE!</v>
      </c>
      <c r="CO100" t="e" cm="1">
        <f t="array" ref="CO100">CN100*S*Linterp(CL$90,atmos_h,atmos_qms)*CK100^2</f>
        <v>#VALUE!</v>
      </c>
      <c r="CP100" cm="1">
        <f t="array" ref="CP100">CK100*Linterp(CL$90,atmos_h,atmos_aspeed)</f>
        <v>280.74914802221576</v>
      </c>
      <c r="CQ100" s="162" t="e">
        <f t="shared" si="28"/>
        <v>#VALUE!</v>
      </c>
    </row>
    <row r="101" spans="9:95">
      <c r="I101">
        <v>0.3</v>
      </c>
      <c r="J101" cm="1">
        <f t="array" ref="J101">numeng*InterpolateXY(J$90,I101,Tmax_h,Tmax_M,Tmax_table)</f>
        <v>6220</v>
      </c>
      <c r="K101" cm="1">
        <f t="array" ref="K101">1*J$91/(S*Linterp(J$90,atmos_h,atmos_qms)*I101^2)</f>
        <v>0.44121443709054697</v>
      </c>
      <c r="L101" cm="1">
        <f t="array" ref="L101">InterpolateXY(K101,I101,CD_CL,CD_M,CD_table)</f>
        <v>4.628410185519994E-2</v>
      </c>
      <c r="M101" cm="1">
        <f t="array" ref="M101">L101*S*Linterp(J$90,atmos_h,atmos_qms)*I101^2</f>
        <v>1049.0160331200002</v>
      </c>
      <c r="N101" cm="1">
        <f t="array" ref="N101">I101*Linterp(J$90,atmos_h,atmos_aspeed)</f>
        <v>334.935</v>
      </c>
      <c r="O101" s="162">
        <f t="shared" si="18"/>
        <v>10391.661089681716</v>
      </c>
      <c r="Q101">
        <v>0.3</v>
      </c>
      <c r="R101" cm="1">
        <f t="array" ref="R101">numeng*InterpolateXY(R$90,Q101,Tmax_h,Tmax_M,Tmax_table)</f>
        <v>5514.6755421591106</v>
      </c>
      <c r="S101" cm="1">
        <f t="array" ref="S101">1*R$91/(S*Linterp(R$90,atmos_h,atmos_qms)*Q101^2)</f>
        <v>0.5302758122445691</v>
      </c>
      <c r="T101" cm="1">
        <f t="array" ref="T101">InterpolateXY(S101,Q101,CD_CL,CD_M,CD_table)</f>
        <v>6.7576329232550122E-2</v>
      </c>
      <c r="U101" cm="1">
        <f t="array" ref="U101">T101*S*Linterp(R$90,atmos_h,atmos_qms)*Q101^2</f>
        <v>1274.3619013379241</v>
      </c>
      <c r="V101" cm="1">
        <f t="array" ref="V101">Q101*Linterp(R$90,atmos_h,atmos_aspeed)</f>
        <v>329.12772791107449</v>
      </c>
      <c r="W101" s="162">
        <f t="shared" si="19"/>
        <v>8373.6287654028783</v>
      </c>
      <c r="Y101">
        <v>0.3</v>
      </c>
      <c r="Z101" cm="1">
        <f t="array" ref="Z101">numeng*InterpolateXY(Z$90,Y101,Tmax_h,Tmax_M,Tmax_table)</f>
        <v>4859.1661163098988</v>
      </c>
      <c r="AA101" cm="1">
        <f t="array" ref="AA101">1*Z$91/(S*Linterp(Z$90,atmos_h,atmos_qms)*Y101^2)</f>
        <v>0.64157703817684297</v>
      </c>
      <c r="AB101" cm="1">
        <f t="array" ref="AB101">InterpolateXY(AA101,Y101,CD_CL,CD_M,CD_table)</f>
        <v>0.10761074272145722</v>
      </c>
      <c r="AC101" cm="1">
        <f t="array" ref="AC101">AB101*S*Linterp(Z$90,atmos_h,atmos_qms)*Y101^2</f>
        <v>1677.2848203428944</v>
      </c>
      <c r="AD101" cm="1">
        <f t="array" ref="AD101">Y101*Linterp(Z$90,atmos_h,atmos_aspeed)</f>
        <v>323.21613254107945</v>
      </c>
      <c r="AE101" s="162">
        <f t="shared" si="20"/>
        <v>6170.6122001235181</v>
      </c>
      <c r="AG101">
        <v>0.3</v>
      </c>
      <c r="AH101" cm="1">
        <f t="array" ref="AH101">numeng*InterpolateXY(AH$90,AG101,Tmax_h,Tmax_M,Tmax_table)</f>
        <v>4215.8583133416932</v>
      </c>
      <c r="AI101" cm="1">
        <f t="array" ref="AI101">1*AH$91/(S*Linterp(AH$90,atmos_h,atmos_qms)*AG101^2)</f>
        <v>0.78182313455774999</v>
      </c>
      <c r="AJ101" cm="1">
        <f t="array" ref="AJ101">InterpolateXY(AI101,AG101,CD_CL,CD_M,CD_table)</f>
        <v>0.18097993258846717</v>
      </c>
      <c r="AK101" cm="1">
        <f t="array" ref="AK101">AJ101*S*Linterp(AH$90,atmos_h,atmos_qms)*AG101^2</f>
        <v>2314.84493856582</v>
      </c>
      <c r="AL101" cm="1">
        <f t="array" ref="AL101">AG101*Linterp(AH$90,atmos_h,atmos_aspeed)</f>
        <v>317.19438108156788</v>
      </c>
      <c r="AM101" s="162">
        <f t="shared" si="21"/>
        <v>3617.9445650388943</v>
      </c>
      <c r="AO101">
        <v>0.3</v>
      </c>
      <c r="AP101" cm="1">
        <f t="array" ref="AP101">numeng*InterpolateXY(AP$90,AO101,Tmax_h,Tmax_M,Tmax_table)</f>
        <v>3633.7358547927006</v>
      </c>
      <c r="AQ101" cm="1">
        <f t="array" ref="AQ101">1*AP$91/(S*Linterp(AP$90,atmos_h,atmos_qms)*AO101^2)</f>
        <v>0.96011731152546453</v>
      </c>
      <c r="AR101" t="e" cm="1">
        <f t="array" ref="AR101">InterpolateXY(AQ101,AO101,CD_CL,CD_M,CD_table)</f>
        <v>#VALUE!</v>
      </c>
      <c r="AS101" t="e" cm="1">
        <f t="array" ref="AS101">AR101*S*Linterp(AP$90,atmos_h,atmos_qms)*AO101^2</f>
        <v>#VALUE!</v>
      </c>
      <c r="AT101" cm="1">
        <f t="array" ref="AT101">AO101*Linterp(AP$90,atmos_h,atmos_aspeed)</f>
        <v>311.05607604518065</v>
      </c>
      <c r="AU101" s="162" t="e">
        <f t="shared" si="22"/>
        <v>#VALUE!</v>
      </c>
      <c r="AW101">
        <v>0.3</v>
      </c>
      <c r="AX101" cm="1">
        <f t="array" ref="AX101">numeng*InterpolateXY(AX$90,AW101,Tmax_h,Tmax_M,Tmax_table)</f>
        <v>3109.9079052031198</v>
      </c>
      <c r="AY101" cm="1">
        <f t="array" ref="AY101">1*AX$91/(S*Linterp(AX$90,atmos_h,atmos_qms)*AW101^2)</f>
        <v>1.1889654533334886</v>
      </c>
      <c r="AZ101" t="e" cm="1">
        <f t="array" ref="AZ101">InterpolateXY(AY101,AW101,CD_CL,CD_M,CD_table)</f>
        <v>#VALUE!</v>
      </c>
      <c r="BA101" t="e" cm="1">
        <f t="array" ref="BA101">AZ101*S*Linterp(AX$90,atmos_h,atmos_qms)*AW101^2</f>
        <v>#VALUE!</v>
      </c>
      <c r="BB101" cm="1">
        <f t="array" ref="BB101">AW101*Linterp(AX$90,atmos_h,atmos_aspeed)</f>
        <v>304.79417563255942</v>
      </c>
      <c r="BC101" s="162" t="e">
        <f t="shared" si="23"/>
        <v>#VALUE!</v>
      </c>
      <c r="BE101">
        <v>0.3</v>
      </c>
      <c r="BF101" cm="1">
        <f t="array" ref="BF101">numeng*InterpolateXY(BF$90,BE101,Tmax_h,Tmax_M,Tmax_table)</f>
        <v>2641.3374061823115</v>
      </c>
      <c r="BG101" cm="1">
        <f t="array" ref="BG101">1*BF$91/(S*Linterp(BF$90,atmos_h,atmos_qms)*BE101^2)</f>
        <v>1.4857684974893264</v>
      </c>
      <c r="BH101" t="e" cm="1">
        <f t="array" ref="BH101">InterpolateXY(BG101,BE101,CD_CL,CD_M,CD_table)</f>
        <v>#VALUE!</v>
      </c>
      <c r="BI101" t="e" cm="1">
        <f t="array" ref="BI101">BH101*S*Linterp(BF$90,atmos_h,atmos_qms)*BE101^2</f>
        <v>#VALUE!</v>
      </c>
      <c r="BJ101" cm="1">
        <f t="array" ref="BJ101">BE101*Linterp(BF$90,atmos_h,atmos_aspeed)</f>
        <v>298.40089905098773</v>
      </c>
      <c r="BK101" s="162" t="e">
        <f t="shared" si="24"/>
        <v>#VALUE!</v>
      </c>
      <c r="BM101">
        <v>0.3</v>
      </c>
      <c r="BN101" cm="1">
        <f t="array" ref="BN101">numeng*InterpolateXY(BN$90,BM101,Tmax_h,Tmax_M,Tmax_table)</f>
        <v>2224.8688295795946</v>
      </c>
      <c r="BO101" cm="1">
        <f t="array" ref="BO101">1*BN$91/(S*Linterp(BN$90,atmos_h,atmos_qms)*BM101^2)</f>
        <v>1.8750754902725457</v>
      </c>
      <c r="BP101" t="e" cm="1">
        <f t="array" ref="BP101">InterpolateXY(BO101,BM101,CD_CL,CD_M,CD_table)</f>
        <v>#VALUE!</v>
      </c>
      <c r="BQ101" t="e" cm="1">
        <f t="array" ref="BQ101">BP101*S*Linterp(BN$90,atmos_h,atmos_qms)*BM101^2</f>
        <v>#VALUE!</v>
      </c>
      <c r="BR101" cm="1">
        <f t="array" ref="BR101">BM101*Linterp(BN$90,atmos_h,atmos_aspeed)</f>
        <v>291.8676131559377</v>
      </c>
      <c r="BS101" s="162" t="e">
        <f t="shared" si="25"/>
        <v>#VALUE!</v>
      </c>
      <c r="BU101">
        <v>0.3</v>
      </c>
      <c r="BV101" cm="1">
        <f t="array" ref="BV101">numeng*InterpolateXY(BV$90,BU101,Tmax_h,Tmax_M,Tmax_table)</f>
        <v>1797.0372566472029</v>
      </c>
      <c r="BW101" cm="1">
        <f t="array" ref="BW101">1*BV$91/(S*Linterp(BV$90,atmos_h,atmos_qms)*BU101^2)</f>
        <v>2.383831889313957</v>
      </c>
      <c r="BX101" t="e" cm="1">
        <f t="array" ref="BX101">InterpolateXY(BW101,BU101,CD_CL,CD_M,CD_table)</f>
        <v>#VALUE!</v>
      </c>
      <c r="BY101" t="e" cm="1">
        <f t="array" ref="BY101">BX101*S*Linterp(BV$90,atmos_h,atmos_qms)*BU101^2</f>
        <v>#VALUE!</v>
      </c>
      <c r="BZ101" cm="1">
        <f t="array" ref="BZ101">BU101*Linterp(BV$90,atmos_h,atmos_aspeed)</f>
        <v>290.43015312643013</v>
      </c>
      <c r="CA101" s="162" t="e">
        <f t="shared" si="26"/>
        <v>#VALUE!</v>
      </c>
      <c r="CC101">
        <v>0.3</v>
      </c>
      <c r="CD101" cm="1">
        <f t="array" ref="CD101">numeng*InterpolateXY(CD$90,CC101,Tmax_h,Tmax_M,Tmax_table)</f>
        <v>1389.9195603053242</v>
      </c>
      <c r="CE101" cm="1">
        <f t="array" ref="CE101">1*CD$91/(S*Linterp(CD$90,atmos_h,atmos_qms)*CC101^2)</f>
        <v>3.0314096140213187</v>
      </c>
      <c r="CF101" t="e" cm="1">
        <f t="array" ref="CF101">InterpolateXY(CE101,CC101,CD_CL,CD_M,CD_table)</f>
        <v>#VALUE!</v>
      </c>
      <c r="CG101" t="e" cm="1">
        <f t="array" ref="CG101">CF101*S*Linterp(CD$90,atmos_h,atmos_qms)*CC101^2</f>
        <v>#VALUE!</v>
      </c>
      <c r="CH101" cm="1">
        <f t="array" ref="CH101">CC101*Linterp(CD$90,atmos_h,atmos_aspeed)</f>
        <v>290.43015312643013</v>
      </c>
      <c r="CI101" s="162" t="e">
        <f t="shared" si="27"/>
        <v>#VALUE!</v>
      </c>
      <c r="CK101">
        <v>0.3</v>
      </c>
      <c r="CL101" cm="1">
        <f t="array" ref="CL101">numeng*InterpolateXY(CL$90,CK101,Tmax_h,Tmax_M,Tmax_table)</f>
        <v>1056.4664128867439</v>
      </c>
      <c r="CM101" cm="1">
        <f t="array" ref="CM101">1*CL$91/(S*Linterp(CL$90,atmos_h,atmos_qms)*CK101^2)</f>
        <v>3.8549044876757277</v>
      </c>
      <c r="CN101" t="e" cm="1">
        <f t="array" ref="CN101">InterpolateXY(CM101,CK101,CD_CL,CD_M,CD_table)</f>
        <v>#VALUE!</v>
      </c>
      <c r="CO101" t="e" cm="1">
        <f t="array" ref="CO101">CN101*S*Linterp(CL$90,atmos_h,atmos_qms)*CK101^2</f>
        <v>#VALUE!</v>
      </c>
      <c r="CP101" cm="1">
        <f t="array" ref="CP101">CK101*Linterp(CL$90,atmos_h,atmos_aspeed)</f>
        <v>290.43015312643013</v>
      </c>
      <c r="CQ101" s="162" t="e">
        <f t="shared" si="28"/>
        <v>#VALUE!</v>
      </c>
    </row>
    <row r="102" spans="9:95">
      <c r="I102">
        <v>0.31</v>
      </c>
      <c r="J102" cm="1">
        <f t="array" ref="J102">numeng*InterpolateXY(J$90,I102,Tmax_h,Tmax_M,Tmax_table)</f>
        <v>6244</v>
      </c>
      <c r="K102" cm="1">
        <f t="array" ref="K102">1*J$91/(S*Linterp(J$90,atmos_h,atmos_qms)*I102^2)</f>
        <v>0.41320810965816052</v>
      </c>
      <c r="L102" cm="1">
        <f t="array" ref="L102">InterpolateXY(K102,I102,CD_CL,CD_M,CD_table)</f>
        <v>4.0634830041290267E-2</v>
      </c>
      <c r="M102" cm="1">
        <f t="array" ref="M102">L102*S*Linterp(J$90,atmos_h,atmos_qms)*I102^2</f>
        <v>983.39865775884027</v>
      </c>
      <c r="N102" cm="1">
        <f t="array" ref="N102">I102*Linterp(J$90,atmos_h,atmos_aspeed)</f>
        <v>346.09950000000003</v>
      </c>
      <c r="O102" s="162">
        <f t="shared" si="18"/>
        <v>10924.148965493967</v>
      </c>
      <c r="Q102">
        <v>0.31</v>
      </c>
      <c r="R102" cm="1">
        <f t="array" ref="R102">numeng*InterpolateXY(R$90,Q102,Tmax_h,Tmax_M,Tmax_table)</f>
        <v>5540.5255837629811</v>
      </c>
      <c r="S102" cm="1">
        <f t="array" ref="S102">1*R$91/(S*Linterp(R$90,atmos_h,atmos_qms)*Q102^2)</f>
        <v>0.49661626536952358</v>
      </c>
      <c r="T102" cm="1">
        <f t="array" ref="T102">InterpolateXY(S102,Q102,CD_CL,CD_M,CD_table)</f>
        <v>5.739986933927424E-2</v>
      </c>
      <c r="U102" cm="1">
        <f t="array" ref="U102">T102*S*Linterp(R$90,atmos_h,atmos_qms)*Q102^2</f>
        <v>1155.8193587671558</v>
      </c>
      <c r="V102" cm="1">
        <f t="array" ref="V102">Q102*Linterp(R$90,atmos_h,atmos_aspeed)</f>
        <v>340.09865217477699</v>
      </c>
      <c r="W102" s="162">
        <f t="shared" si="19"/>
        <v>8947.3960638206081</v>
      </c>
      <c r="Y102">
        <v>0.31</v>
      </c>
      <c r="Z102" cm="1">
        <f t="array" ref="Z102">numeng*InterpolateXY(Z$90,Y102,Tmax_h,Tmax_M,Tmax_table)</f>
        <v>4885.751219681807</v>
      </c>
      <c r="AA102" cm="1">
        <f t="array" ref="AA102">1*Z$91/(S*Linterp(Z$90,atmos_h,atmos_qms)*Y102^2)</f>
        <v>0.60085258518122642</v>
      </c>
      <c r="AB102" cm="1">
        <f t="array" ref="AB102">InterpolateXY(AA102,Y102,CD_CL,CD_M,CD_table)</f>
        <v>8.9753432309377171E-2</v>
      </c>
      <c r="AC102" cm="1">
        <f t="array" ref="AC102">AB102*S*Linterp(Z$90,atmos_h,atmos_qms)*Y102^2</f>
        <v>1493.7679311524664</v>
      </c>
      <c r="AD102" cm="1">
        <f t="array" ref="AD102">Y102*Linterp(Z$90,atmos_h,atmos_aspeed)</f>
        <v>333.99000362578209</v>
      </c>
      <c r="AE102" s="162">
        <f t="shared" si="20"/>
        <v>6797.3310650070398</v>
      </c>
      <c r="AG102">
        <v>0.31</v>
      </c>
      <c r="AH102" cm="1">
        <f t="array" ref="AH102">numeng*InterpolateXY(AH$90,AG102,Tmax_h,Tmax_M,Tmax_table)</f>
        <v>4241.0276167049269</v>
      </c>
      <c r="AI102" cm="1">
        <f t="array" ref="AI102">1*AH$91/(S*Linterp(AH$90,atmos_h,atmos_qms)*AG102^2)</f>
        <v>0.73219648397708104</v>
      </c>
      <c r="AJ102" cm="1">
        <f t="array" ref="AJ102">InterpolateXY(AI102,AG102,CD_CL,CD_M,CD_table)</f>
        <v>0.15198086655595977</v>
      </c>
      <c r="AK102" cm="1">
        <f t="array" ref="AK102">AJ102*S*Linterp(AH$90,atmos_h,atmos_qms)*AG102^2</f>
        <v>2075.6841897197232</v>
      </c>
      <c r="AL102" cm="1">
        <f t="array" ref="AL102">AG102*Linterp(AH$90,atmos_h,atmos_aspeed)</f>
        <v>327.76752711762015</v>
      </c>
      <c r="AM102" s="162">
        <f t="shared" si="21"/>
        <v>4258.3755625399999</v>
      </c>
      <c r="AO102">
        <v>0.31</v>
      </c>
      <c r="AP102" cm="1">
        <f t="array" ref="AP102">numeng*InterpolateXY(AP$90,AO102,Tmax_h,Tmax_M,Tmax_table)</f>
        <v>3657.1793119203953</v>
      </c>
      <c r="AQ102" cm="1">
        <f t="array" ref="AQ102">1*AP$91/(S*Linterp(AP$90,atmos_h,atmos_qms)*AO102^2)</f>
        <v>0.89917334065860366</v>
      </c>
      <c r="AR102" t="e" cm="1">
        <f t="array" ref="AR102">InterpolateXY(AQ102,AO102,CD_CL,CD_M,CD_table)</f>
        <v>#VALUE!</v>
      </c>
      <c r="AS102" t="e" cm="1">
        <f t="array" ref="AS102">AR102*S*Linterp(AP$90,atmos_h,atmos_qms)*AO102^2</f>
        <v>#VALUE!</v>
      </c>
      <c r="AT102" cm="1">
        <f t="array" ref="AT102">AO102*Linterp(AP$90,atmos_h,atmos_aspeed)</f>
        <v>321.42461191335337</v>
      </c>
      <c r="AU102" s="162" t="e">
        <f t="shared" si="22"/>
        <v>#VALUE!</v>
      </c>
      <c r="AW102">
        <v>0.31</v>
      </c>
      <c r="AX102" cm="1">
        <f t="array" ref="AX102">numeng*InterpolateXY(AX$90,AW102,Tmax_h,Tmax_M,Tmax_table)</f>
        <v>3131.4173546915563</v>
      </c>
      <c r="AY102" cm="1">
        <f t="array" ref="AY102">1*AX$91/(S*Linterp(AX$90,atmos_h,atmos_qms)*AW102^2)</f>
        <v>1.113495221644266</v>
      </c>
      <c r="AZ102" t="e" cm="1">
        <f t="array" ref="AZ102">InterpolateXY(AY102,AW102,CD_CL,CD_M,CD_table)</f>
        <v>#VALUE!</v>
      </c>
      <c r="BA102" t="e" cm="1">
        <f t="array" ref="BA102">AZ102*S*Linterp(AX$90,atmos_h,atmos_qms)*AW102^2</f>
        <v>#VALUE!</v>
      </c>
      <c r="BB102" cm="1">
        <f t="array" ref="BB102">AW102*Linterp(AX$90,atmos_h,atmos_aspeed)</f>
        <v>314.95398148697808</v>
      </c>
      <c r="BC102" s="162" t="e">
        <f t="shared" si="23"/>
        <v>#VALUE!</v>
      </c>
      <c r="BE102">
        <v>0.31</v>
      </c>
      <c r="BF102" cm="1">
        <f t="array" ref="BF102">numeng*InterpolateXY(BF$90,BE102,Tmax_h,Tmax_M,Tmax_table)</f>
        <v>2660.7920159728897</v>
      </c>
      <c r="BG102" cm="1">
        <f t="array" ref="BG102">1*BF$91/(S*Linterp(BF$90,atmos_h,atmos_qms)*BE102^2)</f>
        <v>1.3914585304270484</v>
      </c>
      <c r="BH102" t="e" cm="1">
        <f t="array" ref="BH102">InterpolateXY(BG102,BE102,CD_CL,CD_M,CD_table)</f>
        <v>#VALUE!</v>
      </c>
      <c r="BI102" t="e" cm="1">
        <f t="array" ref="BI102">BH102*S*Linterp(BF$90,atmos_h,atmos_qms)*BE102^2</f>
        <v>#VALUE!</v>
      </c>
      <c r="BJ102" cm="1">
        <f t="array" ref="BJ102">BE102*Linterp(BF$90,atmos_h,atmos_aspeed)</f>
        <v>308.34759568602067</v>
      </c>
      <c r="BK102" s="162" t="e">
        <f t="shared" si="24"/>
        <v>#VALUE!</v>
      </c>
      <c r="BM102">
        <v>0.31</v>
      </c>
      <c r="BN102" cm="1">
        <f t="array" ref="BN102">numeng*InterpolateXY(BN$90,BM102,Tmax_h,Tmax_M,Tmax_table)</f>
        <v>2242.2215669690736</v>
      </c>
      <c r="BO102" cm="1">
        <f t="array" ref="BO102">1*BN$91/(S*Linterp(BN$90,atmos_h,atmos_qms)*BM102^2)</f>
        <v>1.7560540491626335</v>
      </c>
      <c r="BP102" t="e" cm="1">
        <f t="array" ref="BP102">InterpolateXY(BO102,BM102,CD_CL,CD_M,CD_table)</f>
        <v>#VALUE!</v>
      </c>
      <c r="BQ102" t="e" cm="1">
        <f t="array" ref="BQ102">BP102*S*Linterp(BN$90,atmos_h,atmos_qms)*BM102^2</f>
        <v>#VALUE!</v>
      </c>
      <c r="BR102" cm="1">
        <f t="array" ref="BR102">BM102*Linterp(BN$90,atmos_h,atmos_aspeed)</f>
        <v>301.59653359446895</v>
      </c>
      <c r="BS102" s="162" t="e">
        <f t="shared" si="25"/>
        <v>#VALUE!</v>
      </c>
      <c r="BU102">
        <v>0.31</v>
      </c>
      <c r="BV102" cm="1">
        <f t="array" ref="BV102">numeng*InterpolateXY(BV$90,BU102,Tmax_h,Tmax_M,Tmax_table)</f>
        <v>1811.8074258799197</v>
      </c>
      <c r="BW102" cm="1">
        <f t="array" ref="BW102">1*BV$91/(S*Linterp(BV$90,atmos_h,atmos_qms)*BU102^2)</f>
        <v>2.2325168578382524</v>
      </c>
      <c r="BX102" t="e" cm="1">
        <f t="array" ref="BX102">InterpolateXY(BW102,BU102,CD_CL,CD_M,CD_table)</f>
        <v>#VALUE!</v>
      </c>
      <c r="BY102" t="e" cm="1">
        <f t="array" ref="BY102">BX102*S*Linterp(BV$90,atmos_h,atmos_qms)*BU102^2</f>
        <v>#VALUE!</v>
      </c>
      <c r="BZ102" cm="1">
        <f t="array" ref="BZ102">BU102*Linterp(BV$90,atmos_h,atmos_aspeed)</f>
        <v>300.11115823064449</v>
      </c>
      <c r="CA102" s="162" t="e">
        <f t="shared" si="26"/>
        <v>#VALUE!</v>
      </c>
      <c r="CC102">
        <v>0.31</v>
      </c>
      <c r="CD102" cm="1">
        <f t="array" ref="CD102">numeng*InterpolateXY(CD$90,CC102,Tmax_h,Tmax_M,Tmax_table)</f>
        <v>1400.7601585472598</v>
      </c>
      <c r="CE102" cm="1">
        <f t="array" ref="CE102">1*CD$91/(S*Linterp(CD$90,atmos_h,atmos_qms)*CC102^2)</f>
        <v>2.8389892326942627</v>
      </c>
      <c r="CF102" t="e" cm="1">
        <f t="array" ref="CF102">InterpolateXY(CE102,CC102,CD_CL,CD_M,CD_table)</f>
        <v>#VALUE!</v>
      </c>
      <c r="CG102" t="e" cm="1">
        <f t="array" ref="CG102">CF102*S*Linterp(CD$90,atmos_h,atmos_qms)*CC102^2</f>
        <v>#VALUE!</v>
      </c>
      <c r="CH102" cm="1">
        <f t="array" ref="CH102">CC102*Linterp(CD$90,atmos_h,atmos_aspeed)</f>
        <v>300.11115823064449</v>
      </c>
      <c r="CI102" s="162" t="e">
        <f t="shared" si="27"/>
        <v>#VALUE!</v>
      </c>
      <c r="CK102">
        <v>0.31</v>
      </c>
      <c r="CL102" cm="1">
        <f t="array" ref="CL102">numeng*InterpolateXY(CL$90,CK102,Tmax_h,Tmax_M,Tmax_table)</f>
        <v>1063.7733851948942</v>
      </c>
      <c r="CM102" cm="1">
        <f t="array" ref="CM102">1*CL$91/(S*Linterp(CL$90,atmos_h,atmos_qms)*CK102^2)</f>
        <v>3.610212319363324</v>
      </c>
      <c r="CN102" t="e" cm="1">
        <f t="array" ref="CN102">InterpolateXY(CM102,CK102,CD_CL,CD_M,CD_table)</f>
        <v>#VALUE!</v>
      </c>
      <c r="CO102" t="e" cm="1">
        <f t="array" ref="CO102">CN102*S*Linterp(CL$90,atmos_h,atmos_qms)*CK102^2</f>
        <v>#VALUE!</v>
      </c>
      <c r="CP102" cm="1">
        <f t="array" ref="CP102">CK102*Linterp(CL$90,atmos_h,atmos_aspeed)</f>
        <v>300.11115823064449</v>
      </c>
      <c r="CQ102" s="162" t="e">
        <f t="shared" si="28"/>
        <v>#VALUE!</v>
      </c>
    </row>
    <row r="103" spans="9:95">
      <c r="I103">
        <v>0.32</v>
      </c>
      <c r="J103" cm="1">
        <f t="array" ref="J103">numeng*InterpolateXY(J$90,I103,Tmax_h,Tmax_M,Tmax_table)</f>
        <v>6268</v>
      </c>
      <c r="K103" cm="1">
        <f t="array" ref="K103">1*J$91/(S*Linterp(J$90,atmos_h,atmos_qms)*I103^2)</f>
        <v>0.38778612634911352</v>
      </c>
      <c r="L103" cm="1">
        <f t="array" ref="L103">InterpolateXY(K103,I103,CD_CL,CD_M,CD_table)</f>
        <v>3.6228683409986848E-2</v>
      </c>
      <c r="M103" cm="1">
        <f t="array" ref="M103">L103*S*Linterp(J$90,atmos_h,atmos_qms)*I103^2</f>
        <v>934.24392850432025</v>
      </c>
      <c r="N103" cm="1">
        <f t="array" ref="N103">I103*Linterp(J$90,atmos_h,atmos_aspeed)</f>
        <v>357.26400000000001</v>
      </c>
      <c r="O103" s="162">
        <f t="shared" si="18"/>
        <v>11433.354174760996</v>
      </c>
      <c r="Q103">
        <v>0.32</v>
      </c>
      <c r="R103" cm="1">
        <f t="array" ref="R103">numeng*InterpolateXY(R$90,Q103,Tmax_h,Tmax_M,Tmax_table)</f>
        <v>5566.3756253668525</v>
      </c>
      <c r="S103" cm="1">
        <f t="array" ref="S103">1*R$91/(S*Linterp(R$90,atmos_h,atmos_qms)*Q103^2)</f>
        <v>0.46606272560557832</v>
      </c>
      <c r="T103" cm="1">
        <f t="array" ref="T103">InterpolateXY(S103,Q103,CD_CL,CD_M,CD_table)</f>
        <v>5.123860784672124E-2</v>
      </c>
      <c r="U103" cm="1">
        <f t="array" ref="U103">T103*S*Linterp(R$90,atmos_h,atmos_qms)*Q103^2</f>
        <v>1099.3929578930474</v>
      </c>
      <c r="V103" cm="1">
        <f t="array" ref="V103">Q103*Linterp(R$90,atmos_h,atmos_aspeed)</f>
        <v>351.06957643847949</v>
      </c>
      <c r="W103" s="162">
        <f t="shared" si="19"/>
        <v>9409.3302781683469</v>
      </c>
      <c r="Y103">
        <v>0.32</v>
      </c>
      <c r="Z103" cm="1">
        <f t="array" ref="Z103">numeng*InterpolateXY(Z$90,Y103,Tmax_h,Tmax_M,Tmax_table)</f>
        <v>4912.3363230537152</v>
      </c>
      <c r="AA103" cm="1">
        <f t="array" ref="AA103">1*Z$91/(S*Linterp(Z$90,atmos_h,atmos_qms)*Y103^2)</f>
        <v>0.56388606871011582</v>
      </c>
      <c r="AB103" cm="1">
        <f t="array" ref="AB103">InterpolateXY(AA103,Y103,CD_CL,CD_M,CD_table)</f>
        <v>7.8056339506266254E-2</v>
      </c>
      <c r="AC103" cm="1">
        <f t="array" ref="AC103">AB103*S*Linterp(Z$90,atmos_h,atmos_qms)*Y103^2</f>
        <v>1384.2572788652044</v>
      </c>
      <c r="AD103" cm="1">
        <f t="array" ref="AD103">Y103*Linterp(Z$90,atmos_h,atmos_aspeed)</f>
        <v>344.76387471048474</v>
      </c>
      <c r="AE103" s="162">
        <f t="shared" si="20"/>
        <v>7298.1252093557669</v>
      </c>
      <c r="AG103">
        <v>0.32</v>
      </c>
      <c r="AH103" cm="1">
        <f t="array" ref="AH103">numeng*InterpolateXY(AH$90,AG103,Tmax_h,Tmax_M,Tmax_table)</f>
        <v>4266.1969200681615</v>
      </c>
      <c r="AI103" cm="1">
        <f t="array" ref="AI103">1*AH$91/(S*Linterp(AH$90,atmos_h,atmos_qms)*AG103^2)</f>
        <v>0.68714923935739736</v>
      </c>
      <c r="AJ103" cm="1">
        <f t="array" ref="AJ103">InterpolateXY(AI103,AG103,CD_CL,CD_M,CD_table)</f>
        <v>0.12753136683854002</v>
      </c>
      <c r="AK103" cm="1">
        <f t="array" ref="AK103">AJ103*S*Linterp(AH$90,atmos_h,atmos_qms)*AG103^2</f>
        <v>1855.9485994309446</v>
      </c>
      <c r="AL103" cm="1">
        <f t="array" ref="AL103">AG103*Linterp(AH$90,atmos_h,atmos_aspeed)</f>
        <v>338.34067315367241</v>
      </c>
      <c r="AM103" s="162">
        <f t="shared" si="21"/>
        <v>4892.910235631427</v>
      </c>
      <c r="AO103">
        <v>0.32</v>
      </c>
      <c r="AP103" cm="1">
        <f t="array" ref="AP103">numeng*InterpolateXY(AP$90,AO103,Tmax_h,Tmax_M,Tmax_table)</f>
        <v>3680.62276904809</v>
      </c>
      <c r="AQ103" cm="1">
        <f t="array" ref="AQ103">1*AP$91/(S*Linterp(AP$90,atmos_h,atmos_qms)*AO103^2)</f>
        <v>0.84385310583292794</v>
      </c>
      <c r="AR103" t="e" cm="1">
        <f t="array" ref="AR103">InterpolateXY(AQ103,AO103,CD_CL,CD_M,CD_table)</f>
        <v>#VALUE!</v>
      </c>
      <c r="AS103" t="e" cm="1">
        <f t="array" ref="AS103">AR103*S*Linterp(AP$90,atmos_h,atmos_qms)*AO103^2</f>
        <v>#VALUE!</v>
      </c>
      <c r="AT103" cm="1">
        <f t="array" ref="AT103">AO103*Linterp(AP$90,atmos_h,atmos_aspeed)</f>
        <v>331.79314778152605</v>
      </c>
      <c r="AU103" s="162" t="e">
        <f t="shared" si="22"/>
        <v>#VALUE!</v>
      </c>
      <c r="AW103">
        <v>0.32</v>
      </c>
      <c r="AX103" cm="1">
        <f t="array" ref="AX103">numeng*InterpolateXY(AX$90,AW103,Tmax_h,Tmax_M,Tmax_table)</f>
        <v>3152.9268041799928</v>
      </c>
      <c r="AY103" cm="1">
        <f t="array" ref="AY103">1*AX$91/(S*Linterp(AX$90,atmos_h,atmos_qms)*AW103^2)</f>
        <v>1.0449891679688863</v>
      </c>
      <c r="AZ103" t="e" cm="1">
        <f t="array" ref="AZ103">InterpolateXY(AY103,AW103,CD_CL,CD_M,CD_table)</f>
        <v>#VALUE!</v>
      </c>
      <c r="BA103" t="e" cm="1">
        <f t="array" ref="BA103">AZ103*S*Linterp(AX$90,atmos_h,atmos_qms)*AW103^2</f>
        <v>#VALUE!</v>
      </c>
      <c r="BB103" cm="1">
        <f t="array" ref="BB103">AW103*Linterp(AX$90,atmos_h,atmos_aspeed)</f>
        <v>325.11378734139674</v>
      </c>
      <c r="BC103" s="162" t="e">
        <f t="shared" si="23"/>
        <v>#VALUE!</v>
      </c>
      <c r="BE103">
        <v>0.32</v>
      </c>
      <c r="BF103" cm="1">
        <f t="array" ref="BF103">numeng*InterpolateXY(BF$90,BE103,Tmax_h,Tmax_M,Tmax_table)</f>
        <v>2680.2466257634674</v>
      </c>
      <c r="BG103" cm="1">
        <f t="array" ref="BG103">1*BF$91/(S*Linterp(BF$90,atmos_h,atmos_qms)*BE103^2)</f>
        <v>1.3058512184964781</v>
      </c>
      <c r="BH103" t="e" cm="1">
        <f t="array" ref="BH103">InterpolateXY(BG103,BE103,CD_CL,CD_M,CD_table)</f>
        <v>#VALUE!</v>
      </c>
      <c r="BI103" t="e" cm="1">
        <f t="array" ref="BI103">BH103*S*Linterp(BF$90,atmos_h,atmos_qms)*BE103^2</f>
        <v>#VALUE!</v>
      </c>
      <c r="BJ103" cm="1">
        <f t="array" ref="BJ103">BE103*Linterp(BF$90,atmos_h,atmos_aspeed)</f>
        <v>318.2942923210536</v>
      </c>
      <c r="BK103" s="162" t="e">
        <f t="shared" si="24"/>
        <v>#VALUE!</v>
      </c>
      <c r="BM103">
        <v>0.32</v>
      </c>
      <c r="BN103" cm="1">
        <f t="array" ref="BN103">numeng*InterpolateXY(BN$90,BM103,Tmax_h,Tmax_M,Tmax_table)</f>
        <v>2259.5743043585521</v>
      </c>
      <c r="BO103" cm="1">
        <f t="array" ref="BO103">1*BN$91/(S*Linterp(BN$90,atmos_h,atmos_qms)*BM103^2)</f>
        <v>1.6480155676223545</v>
      </c>
      <c r="BP103" t="e" cm="1">
        <f t="array" ref="BP103">InterpolateXY(BO103,BM103,CD_CL,CD_M,CD_table)</f>
        <v>#VALUE!</v>
      </c>
      <c r="BQ103" t="e" cm="1">
        <f t="array" ref="BQ103">BP103*S*Linterp(BN$90,atmos_h,atmos_qms)*BM103^2</f>
        <v>#VALUE!</v>
      </c>
      <c r="BR103" cm="1">
        <f t="array" ref="BR103">BM103*Linterp(BN$90,atmos_h,atmos_aspeed)</f>
        <v>311.3254540330002</v>
      </c>
      <c r="BS103" s="162" t="e">
        <f t="shared" si="25"/>
        <v>#VALUE!</v>
      </c>
      <c r="BU103">
        <v>0.32</v>
      </c>
      <c r="BV103" cm="1">
        <f t="array" ref="BV103">numeng*InterpolateXY(BV$90,BU103,Tmax_h,Tmax_M,Tmax_table)</f>
        <v>1826.5775951126363</v>
      </c>
      <c r="BW103" cm="1">
        <f t="array" ref="BW103">1*BV$91/(S*Linterp(BV$90,atmos_h,atmos_qms)*BU103^2)</f>
        <v>2.0951647464673444</v>
      </c>
      <c r="BX103" t="e" cm="1">
        <f t="array" ref="BX103">InterpolateXY(BW103,BU103,CD_CL,CD_M,CD_table)</f>
        <v>#VALUE!</v>
      </c>
      <c r="BY103" t="e" cm="1">
        <f t="array" ref="BY103">BX103*S*Linterp(BV$90,atmos_h,atmos_qms)*BU103^2</f>
        <v>#VALUE!</v>
      </c>
      <c r="BZ103" cm="1">
        <f t="array" ref="BZ103">BU103*Linterp(BV$90,atmos_h,atmos_aspeed)</f>
        <v>309.7921633348588</v>
      </c>
      <c r="CA103" s="162" t="e">
        <f t="shared" si="26"/>
        <v>#VALUE!</v>
      </c>
      <c r="CC103">
        <v>0.32</v>
      </c>
      <c r="CD103" cm="1">
        <f t="array" ref="CD103">numeng*InterpolateXY(CD$90,CC103,Tmax_h,Tmax_M,Tmax_table)</f>
        <v>1411.6007567891957</v>
      </c>
      <c r="CE103" cm="1">
        <f t="array" ref="CE103">1*CD$91/(S*Linterp(CD$90,atmos_h,atmos_qms)*CC103^2)</f>
        <v>2.6643248560734243</v>
      </c>
      <c r="CF103" t="e" cm="1">
        <f t="array" ref="CF103">InterpolateXY(CE103,CC103,CD_CL,CD_M,CD_table)</f>
        <v>#VALUE!</v>
      </c>
      <c r="CG103" t="e" cm="1">
        <f t="array" ref="CG103">CF103*S*Linterp(CD$90,atmos_h,atmos_qms)*CC103^2</f>
        <v>#VALUE!</v>
      </c>
      <c r="CH103" cm="1">
        <f t="array" ref="CH103">CC103*Linterp(CD$90,atmos_h,atmos_aspeed)</f>
        <v>309.7921633348588</v>
      </c>
      <c r="CI103" s="162" t="e">
        <f t="shared" si="27"/>
        <v>#VALUE!</v>
      </c>
      <c r="CK103">
        <v>0.32</v>
      </c>
      <c r="CL103" cm="1">
        <f t="array" ref="CL103">numeng*InterpolateXY(CL$90,CK103,Tmax_h,Tmax_M,Tmax_table)</f>
        <v>1071.0803575030448</v>
      </c>
      <c r="CM103" cm="1">
        <f t="array" ref="CM103">1*CL$91/(S*Linterp(CL$90,atmos_h,atmos_qms)*CK103^2)</f>
        <v>3.3880996473712446</v>
      </c>
      <c r="CN103" t="e" cm="1">
        <f t="array" ref="CN103">InterpolateXY(CM103,CK103,CD_CL,CD_M,CD_table)</f>
        <v>#VALUE!</v>
      </c>
      <c r="CO103" t="e" cm="1">
        <f t="array" ref="CO103">CN103*S*Linterp(CL$90,atmos_h,atmos_qms)*CK103^2</f>
        <v>#VALUE!</v>
      </c>
      <c r="CP103" cm="1">
        <f t="array" ref="CP103">CK103*Linterp(CL$90,atmos_h,atmos_aspeed)</f>
        <v>309.7921633348588</v>
      </c>
      <c r="CQ103" s="162" t="e">
        <f t="shared" si="28"/>
        <v>#VALUE!</v>
      </c>
    </row>
    <row r="104" spans="9:95">
      <c r="I104">
        <v>0.33</v>
      </c>
      <c r="J104" cm="1">
        <f t="array" ref="J104">numeng*InterpolateXY(J$90,I104,Tmax_h,Tmax_M,Tmax_table)</f>
        <v>6292</v>
      </c>
      <c r="K104" cm="1">
        <f t="array" ref="K104">1*J$91/(S*Linterp(J$90,atmos_h,atmos_qms)*I104^2)</f>
        <v>0.36464003065334455</v>
      </c>
      <c r="L104" cm="1">
        <f t="array" ref="L104">InterpolateXY(K104,I104,CD_CL,CD_M,CD_table)</f>
        <v>3.2927724345111591E-2</v>
      </c>
      <c r="M104" cm="1">
        <f t="array" ref="M104">L104*S*Linterp(J$90,atmos_h,atmos_qms)*I104^2</f>
        <v>903.02000814648011</v>
      </c>
      <c r="N104" cm="1">
        <f t="array" ref="N104">I104*Linterp(J$90,atmos_h,atmos_aspeed)</f>
        <v>368.42850000000004</v>
      </c>
      <c r="O104" s="162">
        <f t="shared" si="18"/>
        <v>11912.722889571627</v>
      </c>
      <c r="Q104">
        <v>0.33</v>
      </c>
      <c r="R104" cm="1">
        <f t="array" ref="R104">numeng*InterpolateXY(R$90,Q104,Tmax_h,Tmax_M,Tmax_table)</f>
        <v>5592.2256669707231</v>
      </c>
      <c r="S104" cm="1">
        <f t="array" ref="S104">1*R$91/(S*Linterp(R$90,atmos_h,atmos_qms)*Q104^2)</f>
        <v>0.43824447292939589</v>
      </c>
      <c r="T104" cm="1">
        <f t="array" ref="T104">InterpolateXY(S104,Q104,CD_CL,CD_M,CD_table)</f>
        <v>4.5627139058808573E-2</v>
      </c>
      <c r="U104" cm="1">
        <f t="array" ref="U104">T104*S*Linterp(R$90,atmos_h,atmos_qms)*Q104^2</f>
        <v>1041.1343867914429</v>
      </c>
      <c r="V104" cm="1">
        <f t="array" ref="V104">Q104*Linterp(R$90,atmos_h,atmos_aspeed)</f>
        <v>362.04050070218199</v>
      </c>
      <c r="W104" s="162">
        <f t="shared" si="19"/>
        <v>9886.0761949046446</v>
      </c>
      <c r="Y104">
        <v>0.33</v>
      </c>
      <c r="Z104" cm="1">
        <f t="array" ref="Z104">numeng*InterpolateXY(Z$90,Y104,Tmax_h,Tmax_M,Tmax_table)</f>
        <v>4938.9214264256234</v>
      </c>
      <c r="AA104" cm="1">
        <f t="array" ref="AA104">1*Z$91/(S*Linterp(Z$90,atmos_h,atmos_qms)*Y104^2)</f>
        <v>0.53022895717094454</v>
      </c>
      <c r="AB104" cm="1">
        <f t="array" ref="AB104">InterpolateXY(AA104,Y104,CD_CL,CD_M,CD_table)</f>
        <v>6.7501663594505629E-2</v>
      </c>
      <c r="AC104" cm="1">
        <f t="array" ref="AC104">AB104*S*Linterp(Z$90,atmos_h,atmos_qms)*Y104^2</f>
        <v>1273.0663363740669</v>
      </c>
      <c r="AD104" cm="1">
        <f t="array" ref="AD104">Y104*Linterp(Z$90,atmos_h,atmos_aspeed)</f>
        <v>355.53774579518739</v>
      </c>
      <c r="AE104" s="162">
        <f t="shared" si="20"/>
        <v>7820.0991307724653</v>
      </c>
      <c r="AG104">
        <v>0.33</v>
      </c>
      <c r="AH104" cm="1">
        <f t="array" ref="AH104">numeng*InterpolateXY(AH$90,AG104,Tmax_h,Tmax_M,Tmax_table)</f>
        <v>4291.3662234313952</v>
      </c>
      <c r="AI104" cm="1">
        <f t="array" ref="AI104">1*AH$91/(S*Linterp(AH$90,atmos_h,atmos_qms)*AG104^2)</f>
        <v>0.64613482194855365</v>
      </c>
      <c r="AJ104" cm="1">
        <f t="array" ref="AJ104">InterpolateXY(AI104,AG104,CD_CL,CD_M,CD_table)</f>
        <v>0.1095470520134665</v>
      </c>
      <c r="AK104" cm="1">
        <f t="array" ref="AK104">AJ104*S*Linterp(AH$90,atmos_h,atmos_qms)*AG104^2</f>
        <v>1695.4209600266497</v>
      </c>
      <c r="AL104" cm="1">
        <f t="array" ref="AL104">AG104*Linterp(AH$90,atmos_h,atmos_aspeed)</f>
        <v>348.91381918972468</v>
      </c>
      <c r="AM104" s="162">
        <f t="shared" si="21"/>
        <v>5434.5670575721542</v>
      </c>
      <c r="AO104">
        <v>0.33</v>
      </c>
      <c r="AP104" cm="1">
        <f t="array" ref="AP104">numeng*InterpolateXY(AP$90,AO104,Tmax_h,Tmax_M,Tmax_table)</f>
        <v>3704.0662261757852</v>
      </c>
      <c r="AQ104" cm="1">
        <f t="array" ref="AQ104">1*AP$91/(S*Linterp(AP$90,atmos_h,atmos_qms)*AO104^2)</f>
        <v>0.79348538142600367</v>
      </c>
      <c r="AR104" cm="1">
        <f t="array" ref="AR104">InterpolateXY(AQ104,AO104,CD_CL,CD_M,CD_table)</f>
        <v>0.18773000375241095</v>
      </c>
      <c r="AS104" cm="1">
        <f t="array" ref="AS104">AR104*S*Linterp(AP$90,atmos_h,atmos_qms)*AO104^2</f>
        <v>2365.8911449009183</v>
      </c>
      <c r="AT104" cm="1">
        <f t="array" ref="AT104">AO104*Linterp(AP$90,atmos_h,atmos_aspeed)</f>
        <v>342.16168364969877</v>
      </c>
      <c r="AU104" s="162">
        <f t="shared" si="22"/>
        <v>2747.2334329624855</v>
      </c>
      <c r="AW104">
        <v>0.33</v>
      </c>
      <c r="AX104" cm="1">
        <f t="array" ref="AX104">numeng*InterpolateXY(AX$90,AW104,Tmax_h,Tmax_M,Tmax_table)</f>
        <v>3174.4362536684293</v>
      </c>
      <c r="AY104" cm="1">
        <f t="array" ref="AY104">1*AX$91/(S*Linterp(AX$90,atmos_h,atmos_qms)*AW104^2)</f>
        <v>0.98261607713511434</v>
      </c>
      <c r="AZ104" t="e" cm="1">
        <f t="array" ref="AZ104">InterpolateXY(AY104,AW104,CD_CL,CD_M,CD_table)</f>
        <v>#VALUE!</v>
      </c>
      <c r="BA104" t="e" cm="1">
        <f t="array" ref="BA104">AZ104*S*Linterp(AX$90,atmos_h,atmos_qms)*AW104^2</f>
        <v>#VALUE!</v>
      </c>
      <c r="BB104" cm="1">
        <f t="array" ref="BB104">AW104*Linterp(AX$90,atmos_h,atmos_aspeed)</f>
        <v>335.27359319581541</v>
      </c>
      <c r="BC104" s="162" t="e">
        <f t="shared" si="23"/>
        <v>#VALUE!</v>
      </c>
      <c r="BE104">
        <v>0.33</v>
      </c>
      <c r="BF104" cm="1">
        <f t="array" ref="BF104">numeng*InterpolateXY(BF$90,BE104,Tmax_h,Tmax_M,Tmax_table)</f>
        <v>2699.7012355540455</v>
      </c>
      <c r="BG104" cm="1">
        <f t="array" ref="BG104">1*BF$91/(S*Linterp(BF$90,atmos_h,atmos_qms)*BE104^2)</f>
        <v>1.2279078491647324</v>
      </c>
      <c r="BH104" t="e" cm="1">
        <f t="array" ref="BH104">InterpolateXY(BG104,BE104,CD_CL,CD_M,CD_table)</f>
        <v>#VALUE!</v>
      </c>
      <c r="BI104" t="e" cm="1">
        <f t="array" ref="BI104">BH104*S*Linterp(BF$90,atmos_h,atmos_qms)*BE104^2</f>
        <v>#VALUE!</v>
      </c>
      <c r="BJ104" cm="1">
        <f t="array" ref="BJ104">BE104*Linterp(BF$90,atmos_h,atmos_aspeed)</f>
        <v>328.24098895608654</v>
      </c>
      <c r="BK104" s="162" t="e">
        <f t="shared" si="24"/>
        <v>#VALUE!</v>
      </c>
      <c r="BM104">
        <v>0.33</v>
      </c>
      <c r="BN104" cm="1">
        <f t="array" ref="BN104">numeng*InterpolateXY(BN$90,BM104,Tmax_h,Tmax_M,Tmax_table)</f>
        <v>2276.9270417480311</v>
      </c>
      <c r="BO104" cm="1">
        <f t="array" ref="BO104">1*BN$91/(S*Linterp(BN$90,atmos_h,atmos_qms)*BM104^2)</f>
        <v>1.5496491655145004</v>
      </c>
      <c r="BP104" t="e" cm="1">
        <f t="array" ref="BP104">InterpolateXY(BO104,BM104,CD_CL,CD_M,CD_table)</f>
        <v>#VALUE!</v>
      </c>
      <c r="BQ104" t="e" cm="1">
        <f t="array" ref="BQ104">BP104*S*Linterp(BN$90,atmos_h,atmos_qms)*BM104^2</f>
        <v>#VALUE!</v>
      </c>
      <c r="BR104" cm="1">
        <f t="array" ref="BR104">BM104*Linterp(BN$90,atmos_h,atmos_aspeed)</f>
        <v>321.0543744715315</v>
      </c>
      <c r="BS104" s="162" t="e">
        <f t="shared" si="25"/>
        <v>#VALUE!</v>
      </c>
      <c r="BU104">
        <v>0.33</v>
      </c>
      <c r="BV104" cm="1">
        <f t="array" ref="BV104">numeng*InterpolateXY(BV$90,BU104,Tmax_h,Tmax_M,Tmax_table)</f>
        <v>1841.3477643453532</v>
      </c>
      <c r="BW104" cm="1">
        <f t="array" ref="BW104">1*BV$91/(S*Linterp(BV$90,atmos_h,atmos_qms)*BU104^2)</f>
        <v>1.9701089994330214</v>
      </c>
      <c r="BX104" t="e" cm="1">
        <f t="array" ref="BX104">InterpolateXY(BW104,BU104,CD_CL,CD_M,CD_table)</f>
        <v>#VALUE!</v>
      </c>
      <c r="BY104" t="e" cm="1">
        <f t="array" ref="BY104">BX104*S*Linterp(BV$90,atmos_h,atmos_qms)*BU104^2</f>
        <v>#VALUE!</v>
      </c>
      <c r="BZ104" cm="1">
        <f t="array" ref="BZ104">BU104*Linterp(BV$90,atmos_h,atmos_aspeed)</f>
        <v>319.47316843907316</v>
      </c>
      <c r="CA104" s="162" t="e">
        <f t="shared" si="26"/>
        <v>#VALUE!</v>
      </c>
      <c r="CC104">
        <v>0.33</v>
      </c>
      <c r="CD104" cm="1">
        <f t="array" ref="CD104">numeng*InterpolateXY(CD$90,CC104,Tmax_h,Tmax_M,Tmax_table)</f>
        <v>1422.4413550311313</v>
      </c>
      <c r="CE104" cm="1">
        <f t="array" ref="CE104">1*CD$91/(S*Linterp(CD$90,atmos_h,atmos_qms)*CC104^2)</f>
        <v>2.5052972016705111</v>
      </c>
      <c r="CF104" t="e" cm="1">
        <f t="array" ref="CF104">InterpolateXY(CE104,CC104,CD_CL,CD_M,CD_table)</f>
        <v>#VALUE!</v>
      </c>
      <c r="CG104" t="e" cm="1">
        <f t="array" ref="CG104">CF104*S*Linterp(CD$90,atmos_h,atmos_qms)*CC104^2</f>
        <v>#VALUE!</v>
      </c>
      <c r="CH104" cm="1">
        <f t="array" ref="CH104">CC104*Linterp(CD$90,atmos_h,atmos_aspeed)</f>
        <v>319.47316843907316</v>
      </c>
      <c r="CI104" s="162" t="e">
        <f t="shared" si="27"/>
        <v>#VALUE!</v>
      </c>
      <c r="CK104">
        <v>0.33</v>
      </c>
      <c r="CL104" cm="1">
        <f t="array" ref="CL104">numeng*InterpolateXY(CL$90,CK104,Tmax_h,Tmax_M,Tmax_table)</f>
        <v>1078.3873298111951</v>
      </c>
      <c r="CM104" cm="1">
        <f t="array" ref="CM104">1*CL$91/(S*Linterp(CL$90,atmos_h,atmos_qms)*CK104^2)</f>
        <v>3.185871477417956</v>
      </c>
      <c r="CN104" t="e" cm="1">
        <f t="array" ref="CN104">InterpolateXY(CM104,CK104,CD_CL,CD_M,CD_table)</f>
        <v>#VALUE!</v>
      </c>
      <c r="CO104" t="e" cm="1">
        <f t="array" ref="CO104">CN104*S*Linterp(CL$90,atmos_h,atmos_qms)*CK104^2</f>
        <v>#VALUE!</v>
      </c>
      <c r="CP104" cm="1">
        <f t="array" ref="CP104">CK104*Linterp(CL$90,atmos_h,atmos_aspeed)</f>
        <v>319.47316843907316</v>
      </c>
      <c r="CQ104" s="162" t="e">
        <f t="shared" si="28"/>
        <v>#VALUE!</v>
      </c>
    </row>
    <row r="105" spans="9:95">
      <c r="I105">
        <v>0.34</v>
      </c>
      <c r="J105" cm="1">
        <f t="array" ref="J105">numeng*InterpolateXY(J$90,I105,Tmax_h,Tmax_M,Tmax_table)</f>
        <v>6316</v>
      </c>
      <c r="K105" cm="1">
        <f t="array" ref="K105">1*J$91/(S*Linterp(J$90,atmos_h,atmos_qms)*I105^2)</f>
        <v>0.34350604963796905</v>
      </c>
      <c r="L105" cm="1">
        <f t="array" ref="L105">InterpolateXY(K105,I105,CD_CL,CD_M,CD_table)</f>
        <v>3.0304866533084982E-2</v>
      </c>
      <c r="M105" cm="1">
        <f t="array" ref="M105">L105*S*Linterp(J$90,atmos_h,atmos_qms)*I105^2</f>
        <v>882.22220729516005</v>
      </c>
      <c r="N105" cm="1">
        <f t="array" ref="N105">I105*Linterp(J$90,atmos_h,atmos_aspeed)</f>
        <v>379.59300000000002</v>
      </c>
      <c r="O105" s="162">
        <f t="shared" si="18"/>
        <v>12375.744081997251</v>
      </c>
      <c r="Q105">
        <v>0.34</v>
      </c>
      <c r="R105" cm="1">
        <f t="array" ref="R105">numeng*InterpolateXY(R$90,Q105,Tmax_h,Tmax_M,Tmax_table)</f>
        <v>5618.0757085745945</v>
      </c>
      <c r="S105" cm="1">
        <f t="array" ref="S105">1*R$91/(S*Linterp(R$90,atmos_h,atmos_qms)*Q105^2)</f>
        <v>0.41284449050182709</v>
      </c>
      <c r="T105" cm="1">
        <f t="array" ref="T105">InterpolateXY(S105,Q105,CD_CL,CD_M,CD_table)</f>
        <v>4.0501742590867244E-2</v>
      </c>
      <c r="U105" cm="1">
        <f t="array" ref="U105">T105*S*Linterp(R$90,atmos_h,atmos_qms)*Q105^2</f>
        <v>981.04113104757539</v>
      </c>
      <c r="V105" cm="1">
        <f t="array" ref="V105">Q105*Linterp(R$90,atmos_h,atmos_aspeed)</f>
        <v>373.01142496588449</v>
      </c>
      <c r="W105" s="162">
        <f t="shared" si="19"/>
        <v>10378.001252276588</v>
      </c>
      <c r="Y105">
        <v>0.34</v>
      </c>
      <c r="Z105" cm="1">
        <f t="array" ref="Z105">numeng*InterpolateXY(Z$90,Y105,Tmax_h,Tmax_M,Tmax_table)</f>
        <v>4965.5065297975316</v>
      </c>
      <c r="AA105" cm="1">
        <f t="array" ref="AA105">1*Z$91/(S*Linterp(Z$90,atmos_h,atmos_qms)*Y105^2)</f>
        <v>0.49949769408231703</v>
      </c>
      <c r="AB105" cm="1">
        <f t="array" ref="AB105">InterpolateXY(AA105,Y105,CD_CL,CD_M,CD_table)</f>
        <v>5.7919036510545724E-2</v>
      </c>
      <c r="AC105" cm="1">
        <f t="array" ref="AC105">AB105*S*Linterp(Z$90,atmos_h,atmos_qms)*Y105^2</f>
        <v>1159.545623467897</v>
      </c>
      <c r="AD105" cm="1">
        <f t="array" ref="AD105">Y105*Linterp(Z$90,atmos_h,atmos_aspeed)</f>
        <v>366.31161687989004</v>
      </c>
      <c r="AE105" s="162">
        <f t="shared" si="20"/>
        <v>8365.0061602755613</v>
      </c>
      <c r="AG105">
        <v>0.34</v>
      </c>
      <c r="AH105" cm="1">
        <f t="array" ref="AH105">numeng*InterpolateXY(AH$90,AG105,Tmax_h,Tmax_M,Tmax_table)</f>
        <v>4316.5355267946288</v>
      </c>
      <c r="AI105" cm="1">
        <f t="array" ref="AI105">1*AH$91/(S*Linterp(AH$90,atmos_h,atmos_qms)*AG105^2)</f>
        <v>0.6086858314030924</v>
      </c>
      <c r="AJ105" cm="1">
        <f t="array" ref="AJ105">InterpolateXY(AI105,AG105,CD_CL,CD_M,CD_table)</f>
        <v>9.312439415455448E-2</v>
      </c>
      <c r="AK105" cm="1">
        <f t="array" ref="AK105">AJ105*S*Linterp(AH$90,atmos_h,atmos_qms)*AG105^2</f>
        <v>1529.9254451166014</v>
      </c>
      <c r="AL105" cm="1">
        <f t="array" ref="AL105">AG105*Linterp(AH$90,atmos_h,atmos_aspeed)</f>
        <v>359.48696522577694</v>
      </c>
      <c r="AM105" s="162">
        <f t="shared" si="21"/>
        <v>6010.5000091799302</v>
      </c>
      <c r="AO105">
        <v>0.34</v>
      </c>
      <c r="AP105" cm="1">
        <f t="array" ref="AP105">numeng*InterpolateXY(AP$90,AO105,Tmax_h,Tmax_M,Tmax_table)</f>
        <v>3727.50968330348</v>
      </c>
      <c r="AQ105" cm="1">
        <f t="array" ref="AQ105">1*AP$91/(S*Linterp(AP$90,atmos_h,atmos_qms)*AO105^2)</f>
        <v>0.7474961767931817</v>
      </c>
      <c r="AR105" cm="1">
        <f t="array" ref="AR105">InterpolateXY(AQ105,AO105,CD_CL,CD_M,CD_table)</f>
        <v>0.16085499374784337</v>
      </c>
      <c r="AS105" cm="1">
        <f t="array" ref="AS105">AR105*S*Linterp(AP$90,atmos_h,atmos_qms)*AO105^2</f>
        <v>2151.9172771949707</v>
      </c>
      <c r="AT105" cm="1">
        <f t="array" ref="AT105">AO105*Linterp(AP$90,atmos_h,atmos_aspeed)</f>
        <v>352.53021951787144</v>
      </c>
      <c r="AU105" s="162">
        <f t="shared" si="22"/>
        <v>3332.6636207767438</v>
      </c>
      <c r="AW105">
        <v>0.34</v>
      </c>
      <c r="AX105" cm="1">
        <f t="array" ref="AX105">numeng*InterpolateXY(AX$90,AW105,Tmax_h,Tmax_M,Tmax_table)</f>
        <v>3195.9457031568663</v>
      </c>
      <c r="AY105" cm="1">
        <f t="array" ref="AY105">1*AX$91/(S*Linterp(AX$90,atmos_h,atmos_qms)*AW105^2)</f>
        <v>0.92566514532884037</v>
      </c>
      <c r="AZ105" t="e" cm="1">
        <f t="array" ref="AZ105">InterpolateXY(AY105,AW105,CD_CL,CD_M,CD_table)</f>
        <v>#VALUE!</v>
      </c>
      <c r="BA105" t="e" cm="1">
        <f t="array" ref="BA105">AZ105*S*Linterp(AX$90,atmos_h,atmos_qms)*AW105^2</f>
        <v>#VALUE!</v>
      </c>
      <c r="BB105" cm="1">
        <f t="array" ref="BB105">AW105*Linterp(AX$90,atmos_h,atmos_aspeed)</f>
        <v>345.43339905023407</v>
      </c>
      <c r="BC105" s="162" t="e">
        <f t="shared" si="23"/>
        <v>#VALUE!</v>
      </c>
      <c r="BE105">
        <v>0.34</v>
      </c>
      <c r="BF105" cm="1">
        <f t="array" ref="BF105">numeng*InterpolateXY(BF$90,BE105,Tmax_h,Tmax_M,Tmax_table)</f>
        <v>2719.1558453446232</v>
      </c>
      <c r="BG105" cm="1">
        <f t="array" ref="BG105">1*BF$91/(S*Linterp(BF$90,atmos_h,atmos_qms)*BE105^2)</f>
        <v>1.1567401797062227</v>
      </c>
      <c r="BH105" t="e" cm="1">
        <f t="array" ref="BH105">InterpolateXY(BG105,BE105,CD_CL,CD_M,CD_table)</f>
        <v>#VALUE!</v>
      </c>
      <c r="BI105" t="e" cm="1">
        <f t="array" ref="BI105">BH105*S*Linterp(BF$90,atmos_h,atmos_qms)*BE105^2</f>
        <v>#VALUE!</v>
      </c>
      <c r="BJ105" cm="1">
        <f t="array" ref="BJ105">BE105*Linterp(BF$90,atmos_h,atmos_aspeed)</f>
        <v>338.18768559111948</v>
      </c>
      <c r="BK105" s="162" t="e">
        <f t="shared" si="24"/>
        <v>#VALUE!</v>
      </c>
      <c r="BM105">
        <v>0.34</v>
      </c>
      <c r="BN105" cm="1">
        <f t="array" ref="BN105">numeng*InterpolateXY(BN$90,BM105,Tmax_h,Tmax_M,Tmax_table)</f>
        <v>2294.2797791375096</v>
      </c>
      <c r="BO105" cm="1">
        <f t="array" ref="BO105">1*BN$91/(S*Linterp(BN$90,atmos_h,atmos_qms)*BM105^2)</f>
        <v>1.459833859208729</v>
      </c>
      <c r="BP105" t="e" cm="1">
        <f t="array" ref="BP105">InterpolateXY(BO105,BM105,CD_CL,CD_M,CD_table)</f>
        <v>#VALUE!</v>
      </c>
      <c r="BQ105" t="e" cm="1">
        <f t="array" ref="BQ105">BP105*S*Linterp(BN$90,atmos_h,atmos_qms)*BM105^2</f>
        <v>#VALUE!</v>
      </c>
      <c r="BR105" cm="1">
        <f t="array" ref="BR105">BM105*Linterp(BN$90,atmos_h,atmos_aspeed)</f>
        <v>330.78329491006275</v>
      </c>
      <c r="BS105" s="162" t="e">
        <f t="shared" si="25"/>
        <v>#VALUE!</v>
      </c>
      <c r="BU105">
        <v>0.34</v>
      </c>
      <c r="BV105" cm="1">
        <f t="array" ref="BV105">numeng*InterpolateXY(BV$90,BU105,Tmax_h,Tmax_M,Tmax_table)</f>
        <v>1856.1179335780698</v>
      </c>
      <c r="BW105" cm="1">
        <f t="array" ref="BW105">1*BV$91/(S*Linterp(BV$90,atmos_h,atmos_qms)*BU105^2)</f>
        <v>1.8559244812997928</v>
      </c>
      <c r="BX105" t="e" cm="1">
        <f t="array" ref="BX105">InterpolateXY(BW105,BU105,CD_CL,CD_M,CD_table)</f>
        <v>#VALUE!</v>
      </c>
      <c r="BY105" t="e" cm="1">
        <f t="array" ref="BY105">BX105*S*Linterp(BV$90,atmos_h,atmos_qms)*BU105^2</f>
        <v>#VALUE!</v>
      </c>
      <c r="BZ105" cm="1">
        <f t="array" ref="BZ105">BU105*Linterp(BV$90,atmos_h,atmos_aspeed)</f>
        <v>329.15417354328753</v>
      </c>
      <c r="CA105" s="162" t="e">
        <f t="shared" si="26"/>
        <v>#VALUE!</v>
      </c>
      <c r="CC105">
        <v>0.34</v>
      </c>
      <c r="CD105" cm="1">
        <f t="array" ref="CD105">numeng*InterpolateXY(CD$90,CC105,Tmax_h,Tmax_M,Tmax_table)</f>
        <v>1433.2819532730671</v>
      </c>
      <c r="CE105" cm="1">
        <f t="array" ref="CE105">1*CD$91/(S*Linterp(CD$90,atmos_h,atmos_qms)*CC105^2)</f>
        <v>2.3600939901550051</v>
      </c>
      <c r="CF105" t="e" cm="1">
        <f t="array" ref="CF105">InterpolateXY(CE105,CC105,CD_CL,CD_M,CD_table)</f>
        <v>#VALUE!</v>
      </c>
      <c r="CG105" t="e" cm="1">
        <f t="array" ref="CG105">CF105*S*Linterp(CD$90,atmos_h,atmos_qms)*CC105^2</f>
        <v>#VALUE!</v>
      </c>
      <c r="CH105" cm="1">
        <f t="array" ref="CH105">CC105*Linterp(CD$90,atmos_h,atmos_aspeed)</f>
        <v>329.15417354328753</v>
      </c>
      <c r="CI105" s="162" t="e">
        <f t="shared" si="27"/>
        <v>#VALUE!</v>
      </c>
      <c r="CK105">
        <v>0.34</v>
      </c>
      <c r="CL105" cm="1">
        <f t="array" ref="CL105">numeng*InterpolateXY(CL$90,CK105,Tmax_h,Tmax_M,Tmax_table)</f>
        <v>1085.6943021193456</v>
      </c>
      <c r="CM105" cm="1">
        <f t="array" ref="CM105">1*CL$91/(S*Linterp(CL$90,atmos_h,atmos_qms)*CK105^2)</f>
        <v>3.001223217048576</v>
      </c>
      <c r="CN105" t="e" cm="1">
        <f t="array" ref="CN105">InterpolateXY(CM105,CK105,CD_CL,CD_M,CD_table)</f>
        <v>#VALUE!</v>
      </c>
      <c r="CO105" t="e" cm="1">
        <f t="array" ref="CO105">CN105*S*Linterp(CL$90,atmos_h,atmos_qms)*CK105^2</f>
        <v>#VALUE!</v>
      </c>
      <c r="CP105" cm="1">
        <f t="array" ref="CP105">CK105*Linterp(CL$90,atmos_h,atmos_aspeed)</f>
        <v>329.15417354328753</v>
      </c>
      <c r="CQ105" s="162" t="e">
        <f t="shared" si="28"/>
        <v>#VALUE!</v>
      </c>
    </row>
    <row r="106" spans="9:95">
      <c r="I106">
        <v>0.35</v>
      </c>
      <c r="J106" cm="1">
        <f t="array" ref="J106">numeng*InterpolateXY(J$90,I106,Tmax_h,Tmax_M,Tmax_table)</f>
        <v>6340</v>
      </c>
      <c r="K106" cm="1">
        <f t="array" ref="K106">1*J$91/(S*Linterp(J$90,atmos_h,atmos_qms)*I106^2)</f>
        <v>0.32415754561754473</v>
      </c>
      <c r="L106" cm="1">
        <f t="array" ref="L106">InterpolateXY(K106,I106,CD_CL,CD_M,CD_table)</f>
        <v>2.8712800581425509E-2</v>
      </c>
      <c r="M106" cm="1">
        <f t="array" ref="M106">L106*S*Linterp(J$90,atmos_h,atmos_qms)*I106^2</f>
        <v>885.76684299374995</v>
      </c>
      <c r="N106" cm="1">
        <f t="array" ref="N106">I106*Linterp(J$90,atmos_h,atmos_aspeed)</f>
        <v>390.75749999999999</v>
      </c>
      <c r="O106" s="162">
        <f t="shared" si="18"/>
        <v>12787.695077093216</v>
      </c>
      <c r="Q106">
        <v>0.35</v>
      </c>
      <c r="R106" cm="1">
        <f t="array" ref="R106">numeng*InterpolateXY(R$90,Q106,Tmax_h,Tmax_M,Tmax_table)</f>
        <v>5643.925750178465</v>
      </c>
      <c r="S106" cm="1">
        <f t="array" ref="S106">1*R$91/(S*Linterp(R$90,atmos_h,atmos_qms)*Q106^2)</f>
        <v>0.38959039266947937</v>
      </c>
      <c r="T106" cm="1">
        <f t="array" ref="T106">InterpolateXY(S106,Q106,CD_CL,CD_M,CD_table)</f>
        <v>3.6424438160898701E-2</v>
      </c>
      <c r="U106" cm="1">
        <f t="array" ref="U106">T106*S*Linterp(R$90,atmos_h,atmos_qms)*Q106^2</f>
        <v>934.94189913970638</v>
      </c>
      <c r="V106" cm="1">
        <f t="array" ref="V106">Q106*Linterp(R$90,atmos_h,atmos_aspeed)</f>
        <v>383.98234922958693</v>
      </c>
      <c r="W106" s="162">
        <f t="shared" si="19"/>
        <v>10849.0000896363</v>
      </c>
      <c r="Y106">
        <v>0.35</v>
      </c>
      <c r="Z106" cm="1">
        <f t="array" ref="Z106">numeng*InterpolateXY(Z$90,Y106,Tmax_h,Tmax_M,Tmax_table)</f>
        <v>4992.0916331694398</v>
      </c>
      <c r="AA106" cm="1">
        <f t="array" ref="AA106">1*Z$91/(S*Linterp(Z$90,atmos_h,atmos_qms)*Y106^2)</f>
        <v>0.47136272192584378</v>
      </c>
      <c r="AB106" cm="1">
        <f t="array" ref="AB106">InterpolateXY(AA106,Y106,CD_CL,CD_M,CD_table)</f>
        <v>5.2243907107094603E-2</v>
      </c>
      <c r="AC106" cm="1">
        <f t="array" ref="AC106">AB106*S*Linterp(Z$90,atmos_h,atmos_qms)*Y106^2</f>
        <v>1108.3589065686397</v>
      </c>
      <c r="AD106" cm="1">
        <f t="array" ref="AD106">Y106*Linterp(Z$90,atmos_h,atmos_aspeed)</f>
        <v>377.08548796459269</v>
      </c>
      <c r="AE106" s="162">
        <f t="shared" si="20"/>
        <v>8786.9955020059242</v>
      </c>
      <c r="AG106">
        <v>0.35</v>
      </c>
      <c r="AH106" cm="1">
        <f t="array" ref="AH106">numeng*InterpolateXY(AH$90,AG106,Tmax_h,Tmax_M,Tmax_table)</f>
        <v>4341.7048301578625</v>
      </c>
      <c r="AI106" cm="1">
        <f t="array" ref="AI106">1*AH$91/(S*Linterp(AH$90,atmos_h,atmos_qms)*AG106^2)</f>
        <v>0.57440067028732655</v>
      </c>
      <c r="AJ106" cm="1">
        <f t="array" ref="AJ106">InterpolateXY(AI106,AG106,CD_CL,CD_M,CD_table)</f>
        <v>8.1287409799933208E-2</v>
      </c>
      <c r="AK106" cm="1">
        <f t="array" ref="AK106">AJ106*S*Linterp(AH$90,atmos_h,atmos_qms)*AG106^2</f>
        <v>1415.1691320149687</v>
      </c>
      <c r="AL106" cm="1">
        <f t="array" ref="AL106">AG106*Linterp(AH$90,atmos_h,atmos_aspeed)</f>
        <v>370.06011126182915</v>
      </c>
      <c r="AM106" s="162">
        <f t="shared" si="21"/>
        <v>6497.9647563988456</v>
      </c>
      <c r="AO106">
        <v>0.35</v>
      </c>
      <c r="AP106" cm="1">
        <f t="array" ref="AP106">numeng*InterpolateXY(AP$90,AO106,Tmax_h,Tmax_M,Tmax_table)</f>
        <v>3750.9531404311747</v>
      </c>
      <c r="AQ106" cm="1">
        <f t="array" ref="AQ106">1*AP$91/(S*Linterp(AP$90,atmos_h,atmos_qms)*AO106^2)</f>
        <v>0.70539231050850471</v>
      </c>
      <c r="AR106" cm="1">
        <f t="array" ref="AR106">InterpolateXY(AQ106,AO106,CD_CL,CD_M,CD_table)</f>
        <v>0.13624879445752103</v>
      </c>
      <c r="AS106" cm="1">
        <f t="array" ref="AS106">AR106*S*Linterp(AP$90,atmos_h,atmos_qms)*AO106^2</f>
        <v>1931.532176177278</v>
      </c>
      <c r="AT106" cm="1">
        <f t="array" ref="AT106">AO106*Linterp(AP$90,atmos_h,atmos_aspeed)</f>
        <v>362.89875538604412</v>
      </c>
      <c r="AU106" s="162">
        <f t="shared" si="22"/>
        <v>3961.5936207060927</v>
      </c>
      <c r="AW106">
        <v>0.35</v>
      </c>
      <c r="AX106" cm="1">
        <f t="array" ref="AX106">numeng*InterpolateXY(AX$90,AW106,Tmax_h,Tmax_M,Tmax_table)</f>
        <v>3217.4551526453024</v>
      </c>
      <c r="AY106" cm="1">
        <f t="array" ref="AY106">1*AX$91/(S*Linterp(AX$90,atmos_h,atmos_qms)*AW106^2)</f>
        <v>0.87352563918378767</v>
      </c>
      <c r="AZ106" t="e" cm="1">
        <f t="array" ref="AZ106">InterpolateXY(AY106,AW106,CD_CL,CD_M,CD_table)</f>
        <v>#VALUE!</v>
      </c>
      <c r="BA106" t="e" cm="1">
        <f t="array" ref="BA106">AZ106*S*Linterp(AX$90,atmos_h,atmos_qms)*AW106^2</f>
        <v>#VALUE!</v>
      </c>
      <c r="BB106" cm="1">
        <f t="array" ref="BB106">AW106*Linterp(AX$90,atmos_h,atmos_aspeed)</f>
        <v>355.59320490465268</v>
      </c>
      <c r="BC106" s="162" t="e">
        <f t="shared" si="23"/>
        <v>#VALUE!</v>
      </c>
      <c r="BE106">
        <v>0.35</v>
      </c>
      <c r="BF106" cm="1">
        <f t="array" ref="BF106">numeng*InterpolateXY(BF$90,BE106,Tmax_h,Tmax_M,Tmax_table)</f>
        <v>2738.6104551352009</v>
      </c>
      <c r="BG106" cm="1">
        <f t="array" ref="BG106">1*BF$91/(S*Linterp(BF$90,atmos_h,atmos_qms)*BE106^2)</f>
        <v>1.0915850185635867</v>
      </c>
      <c r="BH106" t="e" cm="1">
        <f t="array" ref="BH106">InterpolateXY(BG106,BE106,CD_CL,CD_M,CD_table)</f>
        <v>#VALUE!</v>
      </c>
      <c r="BI106" t="e" cm="1">
        <f t="array" ref="BI106">BH106*S*Linterp(BF$90,atmos_h,atmos_qms)*BE106^2</f>
        <v>#VALUE!</v>
      </c>
      <c r="BJ106" cm="1">
        <f t="array" ref="BJ106">BE106*Linterp(BF$90,atmos_h,atmos_aspeed)</f>
        <v>348.13438222615235</v>
      </c>
      <c r="BK106" s="162" t="e">
        <f t="shared" si="24"/>
        <v>#VALUE!</v>
      </c>
      <c r="BM106">
        <v>0.35</v>
      </c>
      <c r="BN106" cm="1">
        <f t="array" ref="BN106">numeng*InterpolateXY(BN$90,BM106,Tmax_h,Tmax_M,Tmax_table)</f>
        <v>2311.6325165269882</v>
      </c>
      <c r="BO106" cm="1">
        <f t="array" ref="BO106">1*BN$91/(S*Linterp(BN$90,atmos_h,atmos_qms)*BM106^2)</f>
        <v>1.3776064826492174</v>
      </c>
      <c r="BP106" t="e" cm="1">
        <f t="array" ref="BP106">InterpolateXY(BO106,BM106,CD_CL,CD_M,CD_table)</f>
        <v>#VALUE!</v>
      </c>
      <c r="BQ106" t="e" cm="1">
        <f t="array" ref="BQ106">BP106*S*Linterp(BN$90,atmos_h,atmos_qms)*BM106^2</f>
        <v>#VALUE!</v>
      </c>
      <c r="BR106" cm="1">
        <f t="array" ref="BR106">BM106*Linterp(BN$90,atmos_h,atmos_aspeed)</f>
        <v>340.51221534859394</v>
      </c>
      <c r="BS106" s="162" t="e">
        <f t="shared" si="25"/>
        <v>#VALUE!</v>
      </c>
      <c r="BU106">
        <v>0.35</v>
      </c>
      <c r="BV106" cm="1">
        <f t="array" ref="BV106">numeng*InterpolateXY(BV$90,BU106,Tmax_h,Tmax_M,Tmax_table)</f>
        <v>1870.8881028107864</v>
      </c>
      <c r="BW106" cm="1">
        <f t="array" ref="BW106">1*BV$91/(S*Linterp(BV$90,atmos_h,atmos_qms)*BU106^2)</f>
        <v>1.7513866941898459</v>
      </c>
      <c r="BX106" t="e" cm="1">
        <f t="array" ref="BX106">InterpolateXY(BW106,BU106,CD_CL,CD_M,CD_table)</f>
        <v>#VALUE!</v>
      </c>
      <c r="BY106" t="e" cm="1">
        <f t="array" ref="BY106">BX106*S*Linterp(BV$90,atmos_h,atmos_qms)*BU106^2</f>
        <v>#VALUE!</v>
      </c>
      <c r="BZ106" cm="1">
        <f t="array" ref="BZ106">BU106*Linterp(BV$90,atmos_h,atmos_aspeed)</f>
        <v>338.83517864750183</v>
      </c>
      <c r="CA106" s="162" t="e">
        <f t="shared" si="26"/>
        <v>#VALUE!</v>
      </c>
      <c r="CC106">
        <v>0.35</v>
      </c>
      <c r="CD106" cm="1">
        <f t="array" ref="CD106">numeng*InterpolateXY(CD$90,CC106,Tmax_h,Tmax_M,Tmax_table)</f>
        <v>1444.1225515150027</v>
      </c>
      <c r="CE106" cm="1">
        <f t="array" ref="CE106">1*CD$91/(S*Linterp(CD$90,atmos_h,atmos_qms)*CC106^2)</f>
        <v>2.2271580837707652</v>
      </c>
      <c r="CF106" t="e" cm="1">
        <f t="array" ref="CF106">InterpolateXY(CE106,CC106,CD_CL,CD_M,CD_table)</f>
        <v>#VALUE!</v>
      </c>
      <c r="CG106" t="e" cm="1">
        <f t="array" ref="CG106">CF106*S*Linterp(CD$90,atmos_h,atmos_qms)*CC106^2</f>
        <v>#VALUE!</v>
      </c>
      <c r="CH106" cm="1">
        <f t="array" ref="CH106">CC106*Linterp(CD$90,atmos_h,atmos_aspeed)</f>
        <v>338.83517864750183</v>
      </c>
      <c r="CI106" s="162" t="e">
        <f t="shared" si="27"/>
        <v>#VALUE!</v>
      </c>
      <c r="CK106">
        <v>0.35</v>
      </c>
      <c r="CL106" cm="1">
        <f t="array" ref="CL106">numeng*InterpolateXY(CL$90,CK106,Tmax_h,Tmax_M,Tmax_table)</f>
        <v>1093.0012744274959</v>
      </c>
      <c r="CM106" cm="1">
        <f t="array" ref="CM106">1*CL$91/(S*Linterp(CL$90,atmos_h,atmos_qms)*CK106^2)</f>
        <v>2.8321747256393102</v>
      </c>
      <c r="CN106" t="e" cm="1">
        <f t="array" ref="CN106">InterpolateXY(CM106,CK106,CD_CL,CD_M,CD_table)</f>
        <v>#VALUE!</v>
      </c>
      <c r="CO106" t="e" cm="1">
        <f t="array" ref="CO106">CN106*S*Linterp(CL$90,atmos_h,atmos_qms)*CK106^2</f>
        <v>#VALUE!</v>
      </c>
      <c r="CP106" cm="1">
        <f t="array" ref="CP106">CK106*Linterp(CL$90,atmos_h,atmos_aspeed)</f>
        <v>338.83517864750183</v>
      </c>
      <c r="CQ106" s="162" t="e">
        <f t="shared" si="28"/>
        <v>#VALUE!</v>
      </c>
    </row>
    <row r="107" spans="9:95">
      <c r="I107">
        <v>0.36</v>
      </c>
      <c r="J107" cm="1">
        <f t="array" ref="J107">numeng*InterpolateXY(J$90,I107,Tmax_h,Tmax_M,Tmax_table)</f>
        <v>6364</v>
      </c>
      <c r="K107" cm="1">
        <f t="array" ref="K107">1*J$91/(S*Linterp(J$90,atmos_h,atmos_qms)*I107^2)</f>
        <v>0.30639891464621316</v>
      </c>
      <c r="L107" cm="1">
        <f t="array" ref="L107">InterpolateXY(K107,I107,CD_CL,CD_M,CD_table)</f>
        <v>2.7249911815004819E-2</v>
      </c>
      <c r="M107" cm="1">
        <f t="array" ref="M107">L107*S*Linterp(J$90,atmos_h,atmos_qms)*I107^2</f>
        <v>889.36058557744002</v>
      </c>
      <c r="N107" cm="1">
        <f t="array" ref="N107">I107*Linterp(J$90,atmos_h,atmos_aspeed)</f>
        <v>401.92200000000003</v>
      </c>
      <c r="O107" s="162">
        <f t="shared" si="18"/>
        <v>13202.268136341263</v>
      </c>
      <c r="Q107">
        <v>0.36</v>
      </c>
      <c r="R107" cm="1">
        <f t="array" ref="R107">numeng*InterpolateXY(R$90,Q107,Tmax_h,Tmax_M,Tmax_table)</f>
        <v>5669.7757917823355</v>
      </c>
      <c r="S107" cm="1">
        <f t="array" ref="S107">1*R$91/(S*Linterp(R$90,atmos_h,atmos_qms)*Q107^2)</f>
        <v>0.36824709183650634</v>
      </c>
      <c r="T107" cm="1">
        <f t="array" ref="T107">InterpolateXY(S107,Q107,CD_CL,CD_M,CD_table)</f>
        <v>3.3379025267824769E-2</v>
      </c>
      <c r="U107" cm="1">
        <f t="array" ref="U107">T107*S*Linterp(R$90,atmos_h,atmos_qms)*Q107^2</f>
        <v>906.43011194897167</v>
      </c>
      <c r="V107" cm="1">
        <f t="array" ref="V107">Q107*Linterp(R$90,atmos_h,atmos_aspeed)</f>
        <v>394.95327349328943</v>
      </c>
      <c r="W107" s="162">
        <f t="shared" si="19"/>
        <v>11287.79381418183</v>
      </c>
      <c r="Y107">
        <v>0.36</v>
      </c>
      <c r="Z107" cm="1">
        <f t="array" ref="Z107">numeng*InterpolateXY(Z$90,Y107,Tmax_h,Tmax_M,Tmax_table)</f>
        <v>5018.6767365413489</v>
      </c>
      <c r="AA107" cm="1">
        <f t="array" ref="AA107">1*Z$91/(S*Linterp(Z$90,atmos_h,atmos_qms)*Y107^2)</f>
        <v>0.44553960984502983</v>
      </c>
      <c r="AB107" cm="1">
        <f t="array" ref="AB107">InterpolateXY(AA107,Y107,CD_CL,CD_M,CD_table)</f>
        <v>4.7033461578850994E-2</v>
      </c>
      <c r="AC107" cm="1">
        <f t="array" ref="AC107">AB107*S*Linterp(Z$90,atmos_h,atmos_qms)*Y107^2</f>
        <v>1055.6516309562342</v>
      </c>
      <c r="AD107" cm="1">
        <f t="array" ref="AD107">Y107*Linterp(Z$90,atmos_h,atmos_aspeed)</f>
        <v>387.85935904929534</v>
      </c>
      <c r="AE107" s="162">
        <f t="shared" si="20"/>
        <v>9222.5782640910529</v>
      </c>
      <c r="AG107">
        <v>0.36</v>
      </c>
      <c r="AH107" cm="1">
        <f t="array" ref="AH107">numeng*InterpolateXY(AH$90,AG107,Tmax_h,Tmax_M,Tmax_table)</f>
        <v>4366.8741335210971</v>
      </c>
      <c r="AI107" cm="1">
        <f t="array" ref="AI107">1*AH$91/(S*Linterp(AH$90,atmos_h,atmos_qms)*AG107^2)</f>
        <v>0.54293273233177075</v>
      </c>
      <c r="AJ107" cm="1">
        <f t="array" ref="AJ107">InterpolateXY(AI107,AG107,CD_CL,CD_M,CD_table)</f>
        <v>7.141794521984425E-2</v>
      </c>
      <c r="AK107" cm="1">
        <f t="array" ref="AK107">AJ107*S*Linterp(AH$90,atmos_h,atmos_qms)*AG107^2</f>
        <v>1315.4105650090512</v>
      </c>
      <c r="AL107" cm="1">
        <f t="array" ref="AL107">AG107*Linterp(AH$90,atmos_h,atmos_aspeed)</f>
        <v>380.63325729788141</v>
      </c>
      <c r="AM107" s="162">
        <f t="shared" si="21"/>
        <v>6968.9311056513416</v>
      </c>
      <c r="AO107">
        <v>0.36</v>
      </c>
      <c r="AP107" cm="1">
        <f t="array" ref="AP107">numeng*InterpolateXY(AP$90,AO107,Tmax_h,Tmax_M,Tmax_table)</f>
        <v>3774.3965975588694</v>
      </c>
      <c r="AQ107" cm="1">
        <f t="array" ref="AQ107">1*AP$91/(S*Linterp(AP$90,atmos_h,atmos_qms)*AO107^2)</f>
        <v>0.66674813300379487</v>
      </c>
      <c r="AR107" cm="1">
        <f t="array" ref="AR107">InterpolateXY(AQ107,AO107,CD_CL,CD_M,CD_table)</f>
        <v>0.11851568225566214</v>
      </c>
      <c r="AS107" cm="1">
        <f t="array" ref="AS107">AR107*S*Linterp(AP$90,atmos_h,atmos_qms)*AO107^2</f>
        <v>1777.5180220112832</v>
      </c>
      <c r="AT107" cm="1">
        <f t="array" ref="AT107">AO107*Linterp(AP$90,atmos_h,atmos_aspeed)</f>
        <v>373.26729125421679</v>
      </c>
      <c r="AU107" s="162">
        <f t="shared" si="22"/>
        <v>4472.2167411493583</v>
      </c>
      <c r="AW107">
        <v>0.36</v>
      </c>
      <c r="AX107" cm="1">
        <f t="array" ref="AX107">numeng*InterpolateXY(AX$90,AW107,Tmax_h,Tmax_M,Tmax_table)</f>
        <v>3238.9646021337389</v>
      </c>
      <c r="AY107" cm="1">
        <f t="array" ref="AY107">1*AX$91/(S*Linterp(AX$90,atmos_h,atmos_qms)*AW107^2)</f>
        <v>0.82567045370381154</v>
      </c>
      <c r="AZ107" t="e" cm="1">
        <f t="array" ref="AZ107">InterpolateXY(AY107,AW107,CD_CL,CD_M,CD_table)</f>
        <v>#VALUE!</v>
      </c>
      <c r="BA107" t="e" cm="1">
        <f t="array" ref="BA107">AZ107*S*Linterp(AX$90,atmos_h,atmos_qms)*AW107^2</f>
        <v>#VALUE!</v>
      </c>
      <c r="BB107" cm="1">
        <f t="array" ref="BB107">AW107*Linterp(AX$90,atmos_h,atmos_aspeed)</f>
        <v>365.75301075907134</v>
      </c>
      <c r="BC107" s="162" t="e">
        <f t="shared" si="23"/>
        <v>#VALUE!</v>
      </c>
      <c r="BE107">
        <v>0.36</v>
      </c>
      <c r="BF107" cm="1">
        <f t="array" ref="BF107">numeng*InterpolateXY(BF$90,BE107,Tmax_h,Tmax_M,Tmax_table)</f>
        <v>2758.0650649257791</v>
      </c>
      <c r="BG107" cm="1">
        <f t="array" ref="BG107">1*BF$91/(S*Linterp(BF$90,atmos_h,atmos_qms)*BE107^2)</f>
        <v>1.031783678812032</v>
      </c>
      <c r="BH107" t="e" cm="1">
        <f t="array" ref="BH107">InterpolateXY(BG107,BE107,CD_CL,CD_M,CD_table)</f>
        <v>#VALUE!</v>
      </c>
      <c r="BI107" t="e" cm="1">
        <f t="array" ref="BI107">BH107*S*Linterp(BF$90,atmos_h,atmos_qms)*BE107^2</f>
        <v>#VALUE!</v>
      </c>
      <c r="BJ107" cm="1">
        <f t="array" ref="BJ107">BE107*Linterp(BF$90,atmos_h,atmos_aspeed)</f>
        <v>358.08107886118529</v>
      </c>
      <c r="BK107" s="162" t="e">
        <f t="shared" si="24"/>
        <v>#VALUE!</v>
      </c>
      <c r="BM107">
        <v>0.36</v>
      </c>
      <c r="BN107" cm="1">
        <f t="array" ref="BN107">numeng*InterpolateXY(BN$90,BM107,Tmax_h,Tmax_M,Tmax_table)</f>
        <v>2328.9852539164672</v>
      </c>
      <c r="BO107" cm="1">
        <f t="array" ref="BO107">1*BN$91/(S*Linterp(BN$90,atmos_h,atmos_qms)*BM107^2)</f>
        <v>1.3021357571337122</v>
      </c>
      <c r="BP107" t="e" cm="1">
        <f t="array" ref="BP107">InterpolateXY(BO107,BM107,CD_CL,CD_M,CD_table)</f>
        <v>#VALUE!</v>
      </c>
      <c r="BQ107" t="e" cm="1">
        <f t="array" ref="BQ107">BP107*S*Linterp(BN$90,atmos_h,atmos_qms)*BM107^2</f>
        <v>#VALUE!</v>
      </c>
      <c r="BR107" cm="1">
        <f t="array" ref="BR107">BM107*Linterp(BN$90,atmos_h,atmos_aspeed)</f>
        <v>350.24113578712524</v>
      </c>
      <c r="BS107" s="162" t="e">
        <f t="shared" si="25"/>
        <v>#VALUE!</v>
      </c>
      <c r="BU107">
        <v>0.36</v>
      </c>
      <c r="BV107" cm="1">
        <f t="array" ref="BV107">numeng*InterpolateXY(BV$90,BU107,Tmax_h,Tmax_M,Tmax_table)</f>
        <v>1885.6582720435033</v>
      </c>
      <c r="BW107" cm="1">
        <f t="array" ref="BW107">1*BV$91/(S*Linterp(BV$90,atmos_h,atmos_qms)*BU107^2)</f>
        <v>1.655438812023581</v>
      </c>
      <c r="BX107" t="e" cm="1">
        <f t="array" ref="BX107">InterpolateXY(BW107,BU107,CD_CL,CD_M,CD_table)</f>
        <v>#VALUE!</v>
      </c>
      <c r="BY107" t="e" cm="1">
        <f t="array" ref="BY107">BX107*S*Linterp(BV$90,atmos_h,atmos_qms)*BU107^2</f>
        <v>#VALUE!</v>
      </c>
      <c r="BZ107" cm="1">
        <f t="array" ref="BZ107">BU107*Linterp(BV$90,atmos_h,atmos_aspeed)</f>
        <v>348.51618375171614</v>
      </c>
      <c r="CA107" s="162" t="e">
        <f t="shared" si="26"/>
        <v>#VALUE!</v>
      </c>
      <c r="CC107">
        <v>0.36</v>
      </c>
      <c r="CD107" cm="1">
        <f t="array" ref="CD107">numeng*InterpolateXY(CD$90,CC107,Tmax_h,Tmax_M,Tmax_table)</f>
        <v>1454.9631497569383</v>
      </c>
      <c r="CE107" cm="1">
        <f t="array" ref="CE107">1*CD$91/(S*Linterp(CD$90,atmos_h,atmos_qms)*CC107^2)</f>
        <v>2.1051455652925823</v>
      </c>
      <c r="CF107" t="e" cm="1">
        <f t="array" ref="CF107">InterpolateXY(CE107,CC107,CD_CL,CD_M,CD_table)</f>
        <v>#VALUE!</v>
      </c>
      <c r="CG107" t="e" cm="1">
        <f t="array" ref="CG107">CF107*S*Linterp(CD$90,atmos_h,atmos_qms)*CC107^2</f>
        <v>#VALUE!</v>
      </c>
      <c r="CH107" cm="1">
        <f t="array" ref="CH107">CC107*Linterp(CD$90,atmos_h,atmos_aspeed)</f>
        <v>348.51618375171614</v>
      </c>
      <c r="CI107" s="162" t="e">
        <f t="shared" si="27"/>
        <v>#VALUE!</v>
      </c>
      <c r="CK107">
        <v>0.36</v>
      </c>
      <c r="CL107" cm="1">
        <f t="array" ref="CL107">numeng*InterpolateXY(CL$90,CK107,Tmax_h,Tmax_M,Tmax_table)</f>
        <v>1100.3082467356462</v>
      </c>
      <c r="CM107" cm="1">
        <f t="array" ref="CM107">1*CL$91/(S*Linterp(CL$90,atmos_h,atmos_qms)*CK107^2)</f>
        <v>2.6770170053303666</v>
      </c>
      <c r="CN107" t="e" cm="1">
        <f t="array" ref="CN107">InterpolateXY(CM107,CK107,CD_CL,CD_M,CD_table)</f>
        <v>#VALUE!</v>
      </c>
      <c r="CO107" t="e" cm="1">
        <f t="array" ref="CO107">CN107*S*Linterp(CL$90,atmos_h,atmos_qms)*CK107^2</f>
        <v>#VALUE!</v>
      </c>
      <c r="CP107" cm="1">
        <f t="array" ref="CP107">CK107*Linterp(CL$90,atmos_h,atmos_aspeed)</f>
        <v>348.51618375171614</v>
      </c>
      <c r="CQ107" s="162" t="e">
        <f t="shared" si="28"/>
        <v>#VALUE!</v>
      </c>
    </row>
    <row r="108" spans="9:95">
      <c r="I108">
        <v>0.37</v>
      </c>
      <c r="J108" cm="1">
        <f t="array" ref="J108">numeng*InterpolateXY(J$90,I108,Tmax_h,Tmax_M,Tmax_table)</f>
        <v>6388</v>
      </c>
      <c r="K108" cm="1">
        <f t="array" ref="K108">1*J$91/(S*Linterp(J$90,atmos_h,atmos_qms)*I108^2)</f>
        <v>0.29006062336120692</v>
      </c>
      <c r="L108" cm="1">
        <f t="array" ref="L108">InterpolateXY(K108,I108,CD_CL,CD_M,CD_table)</f>
        <v>2.6088788960075434E-2</v>
      </c>
      <c r="M108" cm="1">
        <f t="array" ref="M108">L108*S*Linterp(J$90,atmos_h,atmos_qms)*I108^2</f>
        <v>899.42539107032007</v>
      </c>
      <c r="N108" cm="1">
        <f t="array" ref="N108">I108*Linterp(J$90,atmos_h,atmos_aspeed)</f>
        <v>413.0865</v>
      </c>
      <c r="O108" s="162">
        <f t="shared" si="18"/>
        <v>13603.536451149779</v>
      </c>
      <c r="Q108">
        <v>0.37</v>
      </c>
      <c r="R108" cm="1">
        <f t="array" ref="R108">numeng*InterpolateXY(R$90,Q108,Tmax_h,Tmax_M,Tmax_table)</f>
        <v>5695.625833386207</v>
      </c>
      <c r="S108" cm="1">
        <f t="array" ref="S108">1*R$91/(S*Linterp(R$90,atmos_h,atmos_qms)*Q108^2)</f>
        <v>0.34861083346976784</v>
      </c>
      <c r="T108" cm="1">
        <f t="array" ref="T108">InterpolateXY(S108,Q108,CD_CL,CD_M,CD_table)</f>
        <v>3.0659630219418636E-2</v>
      </c>
      <c r="U108" cm="1">
        <f t="array" ref="U108">T108*S*Linterp(R$90,atmos_h,atmos_qms)*Q108^2</f>
        <v>879.48013302568495</v>
      </c>
      <c r="V108" cm="1">
        <f t="array" ref="V108">Q108*Linterp(R$90,atmos_h,atmos_aspeed)</f>
        <v>405.92419775699193</v>
      </c>
      <c r="W108" s="162">
        <f t="shared" si="19"/>
        <v>11729.940478197785</v>
      </c>
      <c r="Y108">
        <v>0.37</v>
      </c>
      <c r="Z108" cm="1">
        <f t="array" ref="Z108">numeng*InterpolateXY(Z$90,Y108,Tmax_h,Tmax_M,Tmax_table)</f>
        <v>5045.2618399132571</v>
      </c>
      <c r="AA108" cm="1">
        <f t="array" ref="AA108">1*Z$91/(S*Linterp(Z$90,atmos_h,atmos_qms)*Y108^2)</f>
        <v>0.42178183663926855</v>
      </c>
      <c r="AB108" cm="1">
        <f t="array" ref="AB108">InterpolateXY(AA108,Y108,CD_CL,CD_M,CD_table)</f>
        <v>4.2238149164492977E-2</v>
      </c>
      <c r="AC108" cm="1">
        <f t="array" ref="AC108">AB108*S*Linterp(Z$90,atmos_h,atmos_qms)*Y108^2</f>
        <v>1001.4217184183161</v>
      </c>
      <c r="AD108" cm="1">
        <f t="array" ref="AD108">Y108*Linterp(Z$90,atmos_h,atmos_aspeed)</f>
        <v>398.63323013399798</v>
      </c>
      <c r="AE108" s="162">
        <f t="shared" si="20"/>
        <v>9672.0542986619239</v>
      </c>
      <c r="AG108">
        <v>0.37</v>
      </c>
      <c r="AH108" cm="1">
        <f t="array" ref="AH108">numeng*InterpolateXY(AH$90,AG108,Tmax_h,Tmax_M,Tmax_table)</f>
        <v>4392.0434368843307</v>
      </c>
      <c r="AI108" cm="1">
        <f t="array" ref="AI108">1*AH$91/(S*Linterp(AH$90,atmos_h,atmos_qms)*AG108^2)</f>
        <v>0.51398160781736668</v>
      </c>
      <c r="AJ108" cm="1">
        <f t="array" ref="AJ108">InterpolateXY(AI108,AG108,CD_CL,CD_M,CD_table)</f>
        <v>6.2336243246835774E-2</v>
      </c>
      <c r="AK108" cm="1">
        <f t="array" ref="AK108">AJ108*S*Linterp(AH$90,atmos_h,atmos_qms)*AG108^2</f>
        <v>1212.8107756919142</v>
      </c>
      <c r="AL108" cm="1">
        <f t="array" ref="AL108">AG108*Linterp(AH$90,atmos_h,atmos_aspeed)</f>
        <v>391.20640333393368</v>
      </c>
      <c r="AM108" s="162">
        <f t="shared" si="21"/>
        <v>7462.4170484811348</v>
      </c>
      <c r="AO108">
        <v>0.37</v>
      </c>
      <c r="AP108" cm="1">
        <f t="array" ref="AP108">numeng*InterpolateXY(AP$90,AO108,Tmax_h,Tmax_M,Tmax_table)</f>
        <v>3797.8400546865641</v>
      </c>
      <c r="AQ108" cm="1">
        <f t="array" ref="AQ108">1*AP$91/(S*Linterp(AP$90,atmos_h,atmos_qms)*AO108^2)</f>
        <v>0.63119472634983065</v>
      </c>
      <c r="AR108" cm="1">
        <f t="array" ref="AR108">InterpolateXY(AQ108,AO108,CD_CL,CD_M,CD_table)</f>
        <v>0.10292329014122582</v>
      </c>
      <c r="AS108" cm="1">
        <f t="array" ref="AS108">AR108*S*Linterp(AP$90,atmos_h,atmos_qms)*AO108^2</f>
        <v>1630.6107425267376</v>
      </c>
      <c r="AT108" cm="1">
        <f t="array" ref="AT108">AO108*Linterp(AP$90,atmos_h,atmos_aspeed)</f>
        <v>383.63582712238951</v>
      </c>
      <c r="AU108" s="162">
        <f t="shared" si="22"/>
        <v>4988.5608584059346</v>
      </c>
      <c r="AW108">
        <v>0.37</v>
      </c>
      <c r="AX108" cm="1">
        <f t="array" ref="AX108">numeng*InterpolateXY(AX$90,AW108,Tmax_h,Tmax_M,Tmax_table)</f>
        <v>3260.4740516221759</v>
      </c>
      <c r="AY108" cm="1">
        <f t="array" ref="AY108">1*AX$91/(S*Linterp(AX$90,atmos_h,atmos_qms)*AW108^2)</f>
        <v>0.7816427377648939</v>
      </c>
      <c r="AZ108" cm="1">
        <f t="array" ref="AZ108">InterpolateXY(AY108,AW108,CD_CL,CD_M,CD_table)</f>
        <v>0.18073459139555853</v>
      </c>
      <c r="BA108" cm="1">
        <f t="array" ref="BA108">AZ108*S*Linterp(AX$90,atmos_h,atmos_qms)*AW108^2</f>
        <v>2312.2403965828275</v>
      </c>
      <c r="BB108" cm="1">
        <f t="array" ref="BB108">AW108*Linterp(AX$90,atmos_h,atmos_aspeed)</f>
        <v>375.91281661349001</v>
      </c>
      <c r="BC108" s="162">
        <f t="shared" si="23"/>
        <v>2138.7191044412752</v>
      </c>
      <c r="BE108">
        <v>0.37</v>
      </c>
      <c r="BF108" cm="1">
        <f t="array" ref="BF108">numeng*InterpolateXY(BF$90,BE108,Tmax_h,Tmax_M,Tmax_table)</f>
        <v>2777.5196747163568</v>
      </c>
      <c r="BG108" cm="1">
        <f t="array" ref="BG108">1*BF$91/(S*Linterp(BF$90,atmos_h,atmos_qms)*BE108^2)</f>
        <v>0.97676526496741689</v>
      </c>
      <c r="BH108" t="e" cm="1">
        <f t="array" ref="BH108">InterpolateXY(BG108,BE108,CD_CL,CD_M,CD_table)</f>
        <v>#VALUE!</v>
      </c>
      <c r="BI108" t="e" cm="1">
        <f t="array" ref="BI108">BH108*S*Linterp(BF$90,atmos_h,atmos_qms)*BE108^2</f>
        <v>#VALUE!</v>
      </c>
      <c r="BJ108" cm="1">
        <f t="array" ref="BJ108">BE108*Linterp(BF$90,atmos_h,atmos_aspeed)</f>
        <v>368.02777549621823</v>
      </c>
      <c r="BK108" s="162" t="e">
        <f t="shared" si="24"/>
        <v>#VALUE!</v>
      </c>
      <c r="BM108">
        <v>0.37</v>
      </c>
      <c r="BN108" cm="1">
        <f t="array" ref="BN108">numeng*InterpolateXY(BN$90,BM108,Tmax_h,Tmax_M,Tmax_table)</f>
        <v>2346.3379913059457</v>
      </c>
      <c r="BO108" cm="1">
        <f t="array" ref="BO108">1*BN$91/(S*Linterp(BN$90,atmos_h,atmos_qms)*BM108^2)</f>
        <v>1.232701198864347</v>
      </c>
      <c r="BP108" t="e" cm="1">
        <f t="array" ref="BP108">InterpolateXY(BO108,BM108,CD_CL,CD_M,CD_table)</f>
        <v>#VALUE!</v>
      </c>
      <c r="BQ108" t="e" cm="1">
        <f t="array" ref="BQ108">BP108*S*Linterp(BN$90,atmos_h,atmos_qms)*BM108^2</f>
        <v>#VALUE!</v>
      </c>
      <c r="BR108" cm="1">
        <f t="array" ref="BR108">BM108*Linterp(BN$90,atmos_h,atmos_aspeed)</f>
        <v>359.97005622565649</v>
      </c>
      <c r="BS108" s="162" t="e">
        <f t="shared" si="25"/>
        <v>#VALUE!</v>
      </c>
      <c r="BU108">
        <v>0.37</v>
      </c>
      <c r="BV108" cm="1">
        <f t="array" ref="BV108">numeng*InterpolateXY(BV$90,BU108,Tmax_h,Tmax_M,Tmax_table)</f>
        <v>1900.4284412762199</v>
      </c>
      <c r="BW108" cm="1">
        <f t="array" ref="BW108">1*BV$91/(S*Linterp(BV$90,atmos_h,atmos_qms)*BU108^2)</f>
        <v>1.5671648651443104</v>
      </c>
      <c r="BX108" t="e" cm="1">
        <f t="array" ref="BX108">InterpolateXY(BW108,BU108,CD_CL,CD_M,CD_table)</f>
        <v>#VALUE!</v>
      </c>
      <c r="BY108" t="e" cm="1">
        <f t="array" ref="BY108">BX108*S*Linterp(BV$90,atmos_h,atmos_qms)*BU108^2</f>
        <v>#VALUE!</v>
      </c>
      <c r="BZ108" cm="1">
        <f t="array" ref="BZ108">BU108*Linterp(BV$90,atmos_h,atmos_aspeed)</f>
        <v>358.19718885593051</v>
      </c>
      <c r="CA108" s="162" t="e">
        <f t="shared" si="26"/>
        <v>#VALUE!</v>
      </c>
      <c r="CC108">
        <v>0.37</v>
      </c>
      <c r="CD108" cm="1">
        <f t="array" ref="CD108">numeng*InterpolateXY(CD$90,CC108,Tmax_h,Tmax_M,Tmax_table)</f>
        <v>1465.8037479988741</v>
      </c>
      <c r="CE108" cm="1">
        <f t="array" ref="CE108">1*CD$91/(S*Linterp(CD$90,atmos_h,atmos_qms)*CC108^2)</f>
        <v>1.9928916381440371</v>
      </c>
      <c r="CF108" t="e" cm="1">
        <f t="array" ref="CF108">InterpolateXY(CE108,CC108,CD_CL,CD_M,CD_table)</f>
        <v>#VALUE!</v>
      </c>
      <c r="CG108" t="e" cm="1">
        <f t="array" ref="CG108">CF108*S*Linterp(CD$90,atmos_h,atmos_qms)*CC108^2</f>
        <v>#VALUE!</v>
      </c>
      <c r="CH108" cm="1">
        <f t="array" ref="CH108">CC108*Linterp(CD$90,atmos_h,atmos_aspeed)</f>
        <v>358.19718885593051</v>
      </c>
      <c r="CI108" s="162" t="e">
        <f t="shared" si="27"/>
        <v>#VALUE!</v>
      </c>
      <c r="CK108">
        <v>0.37</v>
      </c>
      <c r="CL108" cm="1">
        <f t="array" ref="CL108">numeng*InterpolateXY(CL$90,CK108,Tmax_h,Tmax_M,Tmax_table)</f>
        <v>1107.6152190437967</v>
      </c>
      <c r="CM108" cm="1">
        <f t="array" ref="CM108">1*CL$91/(S*Linterp(CL$90,atmos_h,atmos_qms)*CK108^2)</f>
        <v>2.5342688377707487</v>
      </c>
      <c r="CN108" t="e" cm="1">
        <f t="array" ref="CN108">InterpolateXY(CM108,CK108,CD_CL,CD_M,CD_table)</f>
        <v>#VALUE!</v>
      </c>
      <c r="CO108" t="e" cm="1">
        <f t="array" ref="CO108">CN108*S*Linterp(CL$90,atmos_h,atmos_qms)*CK108^2</f>
        <v>#VALUE!</v>
      </c>
      <c r="CP108" cm="1">
        <f t="array" ref="CP108">CK108*Linterp(CL$90,atmos_h,atmos_aspeed)</f>
        <v>358.19718885593051</v>
      </c>
      <c r="CQ108" s="162" t="e">
        <f t="shared" si="28"/>
        <v>#VALUE!</v>
      </c>
    </row>
    <row r="109" spans="9:95">
      <c r="I109">
        <v>0.38</v>
      </c>
      <c r="J109" cm="1">
        <f t="array" ref="J109">numeng*InterpolateXY(J$90,I109,Tmax_h,Tmax_M,Tmax_table)</f>
        <v>6412</v>
      </c>
      <c r="K109" cm="1">
        <f t="array" ref="K109">1*J$91/(S*Linterp(J$90,atmos_h,atmos_qms)*I109^2)</f>
        <v>0.27499514777111655</v>
      </c>
      <c r="L109" cm="1">
        <f t="array" ref="L109">InterpolateXY(K109,I109,CD_CL,CD_M,CD_table)</f>
        <v>2.5127196735694784E-2</v>
      </c>
      <c r="M109" cm="1">
        <f t="array" ref="M109">L109*S*Linterp(J$90,atmos_h,atmos_qms)*I109^2</f>
        <v>913.73236725647996</v>
      </c>
      <c r="N109" cm="1">
        <f t="array" ref="N109">I109*Linterp(J$90,atmos_h,atmos_aspeed)</f>
        <v>424.25100000000003</v>
      </c>
      <c r="O109" s="162">
        <f t="shared" si="18"/>
        <v>13995.873248754429</v>
      </c>
      <c r="Q109">
        <v>0.38</v>
      </c>
      <c r="R109" cm="1">
        <f t="array" ref="R109">numeng*InterpolateXY(R$90,Q109,Tmax_h,Tmax_M,Tmax_table)</f>
        <v>5721.4758749900775</v>
      </c>
      <c r="S109" cm="1">
        <f t="array" ref="S109">1*R$91/(S*Linterp(R$90,atmos_h,atmos_qms)*Q109^2)</f>
        <v>0.33050431511088102</v>
      </c>
      <c r="T109" cm="1">
        <f t="array" ref="T109">InterpolateXY(S109,Q109,CD_CL,CD_M,CD_table)</f>
        <v>2.9168475602759081E-2</v>
      </c>
      <c r="U109" cm="1">
        <f t="array" ref="U109">T109*S*Linterp(R$90,atmos_h,atmos_qms)*Q109^2</f>
        <v>882.54447125670174</v>
      </c>
      <c r="V109" cm="1">
        <f t="array" ref="V109">Q109*Linterp(R$90,atmos_h,atmos_aspeed)</f>
        <v>416.89512202069437</v>
      </c>
      <c r="W109" s="162">
        <f t="shared" si="19"/>
        <v>12103.961388055173</v>
      </c>
      <c r="Y109">
        <v>0.38</v>
      </c>
      <c r="Z109" cm="1">
        <f t="array" ref="Z109">numeng*InterpolateXY(Z$90,Y109,Tmax_h,Tmax_M,Tmax_table)</f>
        <v>5071.8469432851653</v>
      </c>
      <c r="AA109" cm="1">
        <f t="array" ref="AA109">1*Z$91/(S*Linterp(Z$90,atmos_h,atmos_qms)*Y109^2)</f>
        <v>0.39987488529027604</v>
      </c>
      <c r="AB109" cm="1">
        <f t="array" ref="AB109">InterpolateXY(AA109,Y109,CD_CL,CD_M,CD_table)</f>
        <v>3.7822264989896624E-2</v>
      </c>
      <c r="AC109" cm="1">
        <f t="array" ref="AC109">AB109*S*Linterp(Z$90,atmos_h,atmos_qms)*Y109^2</f>
        <v>945.85247489201004</v>
      </c>
      <c r="AD109" cm="1">
        <f t="array" ref="AD109">Y109*Linterp(Z$90,atmos_h,atmos_aspeed)</f>
        <v>409.40710121870063</v>
      </c>
      <c r="AE109" s="162">
        <f t="shared" si="20"/>
        <v>10135.268609695413</v>
      </c>
      <c r="AG109">
        <v>0.38</v>
      </c>
      <c r="AH109" cm="1">
        <f t="array" ref="AH109">numeng*InterpolateXY(AH$90,AG109,Tmax_h,Tmax_M,Tmax_table)</f>
        <v>4417.2127402475644</v>
      </c>
      <c r="AI109" cm="1">
        <f t="array" ref="AI109">1*AH$91/(S*Linterp(AH$90,atmos_h,atmos_qms)*AG109^2)</f>
        <v>0.48728588718973331</v>
      </c>
      <c r="AJ109" cm="1">
        <f t="array" ref="AJ109">InterpolateXY(AI109,AG109,CD_CL,CD_M,CD_table)</f>
        <v>5.5384463325136399E-2</v>
      </c>
      <c r="AK109" cm="1">
        <f t="array" ref="AK109">AJ109*S*Linterp(AH$90,atmos_h,atmos_qms)*AG109^2</f>
        <v>1136.5907525980019</v>
      </c>
      <c r="AL109" cm="1">
        <f t="array" ref="AL109">AG109*Linterp(AH$90,atmos_h,atmos_aspeed)</f>
        <v>401.779549369986</v>
      </c>
      <c r="AM109" s="162">
        <f t="shared" si="21"/>
        <v>7908.5209431066542</v>
      </c>
      <c r="AO109">
        <v>0.38</v>
      </c>
      <c r="AP109" cm="1">
        <f t="array" ref="AP109">numeng*InterpolateXY(AP$90,AO109,Tmax_h,Tmax_M,Tmax_table)</f>
        <v>3821.2835118142593</v>
      </c>
      <c r="AQ109" cm="1">
        <f t="array" ref="AQ109">1*AP$91/(S*Linterp(AP$90,atmos_h,atmos_qms)*AO109^2)</f>
        <v>0.59841106674024802</v>
      </c>
      <c r="AR109" cm="1">
        <f t="array" ref="AR109">InterpolateXY(AQ109,AO109,CD_CL,CD_M,CD_table)</f>
        <v>8.8742663889697621E-2</v>
      </c>
      <c r="AS109" cm="1">
        <f t="array" ref="AS109">AR109*S*Linterp(AP$90,atmos_h,atmos_qms)*AO109^2</f>
        <v>1482.9716364222606</v>
      </c>
      <c r="AT109" cm="1">
        <f t="array" ref="AT109">AO109*Linterp(AP$90,atmos_h,atmos_aspeed)</f>
        <v>394.00436299056219</v>
      </c>
      <c r="AU109" s="162">
        <f t="shared" si="22"/>
        <v>5527.8304856225486</v>
      </c>
      <c r="AW109">
        <v>0.38</v>
      </c>
      <c r="AX109" cm="1">
        <f t="array" ref="AX109">numeng*InterpolateXY(AX$90,AW109,Tmax_h,Tmax_M,Tmax_table)</f>
        <v>3281.9835011106125</v>
      </c>
      <c r="AY109" cm="1">
        <f t="array" ref="AY109">1*AX$91/(S*Linterp(AX$90,atmos_h,atmos_qms)*AW109^2)</f>
        <v>0.74104495013860083</v>
      </c>
      <c r="AZ109" cm="1">
        <f t="array" ref="AZ109">InterpolateXY(AY109,AW109,CD_CL,CD_M,CD_table)</f>
        <v>0.15700785409553336</v>
      </c>
      <c r="BA109" cm="1">
        <f t="array" ref="BA109">AZ109*S*Linterp(AX$90,atmos_h,atmos_qms)*AW109^2</f>
        <v>2118.7359021361322</v>
      </c>
      <c r="BB109" cm="1">
        <f t="array" ref="BB109">AW109*Linterp(AX$90,atmos_h,atmos_aspeed)</f>
        <v>386.07262246790862</v>
      </c>
      <c r="BC109" s="162">
        <f t="shared" si="23"/>
        <v>2694.5883066934539</v>
      </c>
      <c r="BE109">
        <v>0.38</v>
      </c>
      <c r="BF109" cm="1">
        <f t="array" ref="BF109">numeng*InterpolateXY(BF$90,BE109,Tmax_h,Tmax_M,Tmax_table)</f>
        <v>2796.974284506935</v>
      </c>
      <c r="BG109" cm="1">
        <f t="array" ref="BG109">1*BF$91/(S*Linterp(BF$90,atmos_h,atmos_qms)*BE109^2)</f>
        <v>0.92603299705013409</v>
      </c>
      <c r="BH109" t="e" cm="1">
        <f t="array" ref="BH109">InterpolateXY(BG109,BE109,CD_CL,CD_M,CD_table)</f>
        <v>#VALUE!</v>
      </c>
      <c r="BI109" t="e" cm="1">
        <f t="array" ref="BI109">BH109*S*Linterp(BF$90,atmos_h,atmos_qms)*BE109^2</f>
        <v>#VALUE!</v>
      </c>
      <c r="BJ109" cm="1">
        <f t="array" ref="BJ109">BE109*Linterp(BF$90,atmos_h,atmos_aspeed)</f>
        <v>377.97447213125116</v>
      </c>
      <c r="BK109" s="162" t="e">
        <f t="shared" si="24"/>
        <v>#VALUE!</v>
      </c>
      <c r="BM109">
        <v>0.38</v>
      </c>
      <c r="BN109" cm="1">
        <f t="array" ref="BN109">numeng*InterpolateXY(BN$90,BM109,Tmax_h,Tmax_M,Tmax_table)</f>
        <v>2363.6907286954247</v>
      </c>
      <c r="BO109" cm="1">
        <f t="array" ref="BO109">1*BN$91/(S*Linterp(BN$90,atmos_h,atmos_qms)*BM109^2)</f>
        <v>1.1686758595881517</v>
      </c>
      <c r="BP109" t="e" cm="1">
        <f t="array" ref="BP109">InterpolateXY(BO109,BM109,CD_CL,CD_M,CD_table)</f>
        <v>#VALUE!</v>
      </c>
      <c r="BQ109" t="e" cm="1">
        <f t="array" ref="BQ109">BP109*S*Linterp(BN$90,atmos_h,atmos_qms)*BM109^2</f>
        <v>#VALUE!</v>
      </c>
      <c r="BR109" cm="1">
        <f t="array" ref="BR109">BM109*Linterp(BN$90,atmos_h,atmos_aspeed)</f>
        <v>369.69897666418774</v>
      </c>
      <c r="BS109" s="162" t="e">
        <f t="shared" si="25"/>
        <v>#VALUE!</v>
      </c>
      <c r="BU109">
        <v>0.38</v>
      </c>
      <c r="BV109" cm="1">
        <f t="array" ref="BV109">numeng*InterpolateXY(BV$90,BU109,Tmax_h,Tmax_M,Tmax_table)</f>
        <v>1915.1986105089368</v>
      </c>
      <c r="BW109" cm="1">
        <f t="array" ref="BW109">1*BV$91/(S*Linterp(BV$90,atmos_h,atmos_qms)*BU109^2)</f>
        <v>1.4857677980488648</v>
      </c>
      <c r="BX109" t="e" cm="1">
        <f t="array" ref="BX109">InterpolateXY(BW109,BU109,CD_CL,CD_M,CD_table)</f>
        <v>#VALUE!</v>
      </c>
      <c r="BY109" t="e" cm="1">
        <f t="array" ref="BY109">BX109*S*Linterp(BV$90,atmos_h,atmos_qms)*BU109^2</f>
        <v>#VALUE!</v>
      </c>
      <c r="BZ109" cm="1">
        <f t="array" ref="BZ109">BU109*Linterp(BV$90,atmos_h,atmos_aspeed)</f>
        <v>367.87819396014487</v>
      </c>
      <c r="CA109" s="162" t="e">
        <f t="shared" si="26"/>
        <v>#VALUE!</v>
      </c>
      <c r="CC109">
        <v>0.38</v>
      </c>
      <c r="CD109" cm="1">
        <f t="array" ref="CD109">numeng*InterpolateXY(CD$90,CC109,Tmax_h,Tmax_M,Tmax_table)</f>
        <v>1476.6443462408097</v>
      </c>
      <c r="CE109" cm="1">
        <f t="array" ref="CE109">1*CD$91/(S*Linterp(CD$90,atmos_h,atmos_qms)*CC109^2)</f>
        <v>1.8893827234204894</v>
      </c>
      <c r="CF109" t="e" cm="1">
        <f t="array" ref="CF109">InterpolateXY(CE109,CC109,CD_CL,CD_M,CD_table)</f>
        <v>#VALUE!</v>
      </c>
      <c r="CG109" t="e" cm="1">
        <f t="array" ref="CG109">CF109*S*Linterp(CD$90,atmos_h,atmos_qms)*CC109^2</f>
        <v>#VALUE!</v>
      </c>
      <c r="CH109" cm="1">
        <f t="array" ref="CH109">CC109*Linterp(CD$90,atmos_h,atmos_aspeed)</f>
        <v>367.87819396014487</v>
      </c>
      <c r="CI109" s="162" t="e">
        <f t="shared" si="27"/>
        <v>#VALUE!</v>
      </c>
      <c r="CK109">
        <v>0.38</v>
      </c>
      <c r="CL109" cm="1">
        <f t="array" ref="CL109">numeng*InterpolateXY(CL$90,CK109,Tmax_h,Tmax_M,Tmax_table)</f>
        <v>1114.922191351947</v>
      </c>
      <c r="CM109" cm="1">
        <f t="array" ref="CM109">1*CL$91/(S*Linterp(CL$90,atmos_h,atmos_qms)*CK109^2)</f>
        <v>2.4026413011829324</v>
      </c>
      <c r="CN109" t="e" cm="1">
        <f t="array" ref="CN109">InterpolateXY(CM109,CK109,CD_CL,CD_M,CD_table)</f>
        <v>#VALUE!</v>
      </c>
      <c r="CO109" t="e" cm="1">
        <f t="array" ref="CO109">CN109*S*Linterp(CL$90,atmos_h,atmos_qms)*CK109^2</f>
        <v>#VALUE!</v>
      </c>
      <c r="CP109" cm="1">
        <f t="array" ref="CP109">CK109*Linterp(CL$90,atmos_h,atmos_aspeed)</f>
        <v>367.87819396014487</v>
      </c>
      <c r="CQ109" s="162" t="e">
        <f t="shared" si="28"/>
        <v>#VALUE!</v>
      </c>
    </row>
    <row r="110" spans="9:95">
      <c r="I110">
        <v>0.39</v>
      </c>
      <c r="J110" cm="1">
        <f t="array" ref="J110">numeng*InterpolateXY(J$90,I110,Tmax_h,Tmax_M,Tmax_table)</f>
        <v>6436</v>
      </c>
      <c r="K110" cm="1">
        <f t="array" ref="K110">1*J$91/(S*Linterp(J$90,atmos_h,atmos_qms)*I110^2)</f>
        <v>0.26107363141452483</v>
      </c>
      <c r="L110" cm="1">
        <f t="array" ref="L110">InterpolateXY(K110,I110,CD_CL,CD_M,CD_table)</f>
        <v>2.4237101963407802E-2</v>
      </c>
      <c r="M110" cm="1">
        <f t="array" ref="M110">L110*S*Linterp(J$90,atmos_h,atmos_qms)*I110^2</f>
        <v>928.36269339376008</v>
      </c>
      <c r="N110" cm="1">
        <f t="array" ref="N110">I110*Linterp(J$90,atmos_h,atmos_aspeed)</f>
        <v>435.41550000000001</v>
      </c>
      <c r="O110" s="162">
        <f t="shared" si="18"/>
        <v>14388.663910047657</v>
      </c>
      <c r="Q110">
        <v>0.39</v>
      </c>
      <c r="R110" cm="1">
        <f t="array" ref="R110">numeng*InterpolateXY(R$90,Q110,Tmax_h,Tmax_M,Tmax_table)</f>
        <v>5747.3259165939489</v>
      </c>
      <c r="S110" cm="1">
        <f t="array" ref="S110">1*R$91/(S*Linterp(R$90,atmos_h,atmos_qms)*Q110^2)</f>
        <v>0.31377266996720066</v>
      </c>
      <c r="T110" cm="1">
        <f t="array" ref="T110">InterpolateXY(S110,Q110,CD_CL,CD_M,CD_table)</f>
        <v>2.7789029434835053E-2</v>
      </c>
      <c r="U110" cm="1">
        <f t="array" ref="U110">T110*S*Linterp(R$90,atmos_h,atmos_qms)*Q110^2</f>
        <v>885.64212548339231</v>
      </c>
      <c r="V110" cm="1">
        <f t="array" ref="V110">Q110*Linterp(R$90,atmos_h,atmos_aspeed)</f>
        <v>427.86604628439687</v>
      </c>
      <c r="W110" s="162">
        <f t="shared" si="19"/>
        <v>12480.896531924469</v>
      </c>
      <c r="Y110">
        <v>0.39</v>
      </c>
      <c r="Z110" cm="1">
        <f t="array" ref="Z110">numeng*InterpolateXY(Z$90,Y110,Tmax_h,Tmax_M,Tmax_table)</f>
        <v>5098.4320466570734</v>
      </c>
      <c r="AA110" cm="1">
        <f t="array" ref="AA110">1*Z$91/(S*Linterp(Z$90,atmos_h,atmos_qms)*Y110^2)</f>
        <v>0.37963138353659343</v>
      </c>
      <c r="AB110" cm="1">
        <f t="array" ref="AB110">InterpolateXY(AA110,Y110,CD_CL,CD_M,CD_table)</f>
        <v>3.4932748616312112E-2</v>
      </c>
      <c r="AC110" cm="1">
        <f t="array" ref="AC110">AB110*S*Linterp(Z$90,atmos_h,atmos_qms)*Y110^2</f>
        <v>920.17546839472197</v>
      </c>
      <c r="AD110" cm="1">
        <f t="array" ref="AD110">Y110*Linterp(Z$90,atmos_h,atmos_aspeed)</f>
        <v>420.18097230340328</v>
      </c>
      <c r="AE110" s="162">
        <f t="shared" si="20"/>
        <v>10533.743469524194</v>
      </c>
      <c r="AG110">
        <v>0.39</v>
      </c>
      <c r="AH110" cm="1">
        <f t="array" ref="AH110">numeng*InterpolateXY(AH$90,AG110,Tmax_h,Tmax_M,Tmax_table)</f>
        <v>4442.382043610799</v>
      </c>
      <c r="AI110" cm="1">
        <f t="array" ref="AI110">1*AH$91/(S*Linterp(AH$90,atmos_h,atmos_qms)*AG110^2)</f>
        <v>0.46261723938328392</v>
      </c>
      <c r="AJ110" cm="1">
        <f t="array" ref="AJ110">InterpolateXY(AI110,AG110,CD_CL,CD_M,CD_table)</f>
        <v>5.0406065116040066E-2</v>
      </c>
      <c r="AK110" cm="1">
        <f t="array" ref="AK110">AJ110*S*Linterp(AH$90,atmos_h,atmos_qms)*AG110^2</f>
        <v>1089.5846679478809</v>
      </c>
      <c r="AL110" cm="1">
        <f t="array" ref="AL110">AG110*Linterp(AH$90,atmos_h,atmos_aspeed)</f>
        <v>412.35269540603826</v>
      </c>
      <c r="AM110" s="162">
        <f t="shared" si="21"/>
        <v>8295.2102100293741</v>
      </c>
      <c r="AO110">
        <v>0.39</v>
      </c>
      <c r="AP110" cm="1">
        <f t="array" ref="AP110">numeng*InterpolateXY(AP$90,AO110,Tmax_h,Tmax_M,Tmax_table)</f>
        <v>3844.7269689419541</v>
      </c>
      <c r="AQ110" cm="1">
        <f t="array" ref="AQ110">1*AP$91/(S*Linterp(AP$90,atmos_h,atmos_qms)*AO110^2)</f>
        <v>0.5681167523819316</v>
      </c>
      <c r="AR110" cm="1">
        <f t="array" ref="AR110">InterpolateXY(AQ110,AO110,CD_CL,CD_M,CD_table)</f>
        <v>7.9240543495544588E-2</v>
      </c>
      <c r="AS110" cm="1">
        <f t="array" ref="AS110">AR110*S*Linterp(AP$90,atmos_h,atmos_qms)*AO110^2</f>
        <v>1394.7932914020639</v>
      </c>
      <c r="AT110" cm="1">
        <f t="array" ref="AT110">AO110*Linterp(AP$90,atmos_h,atmos_aspeed)</f>
        <v>404.37289885873491</v>
      </c>
      <c r="AU110" s="162">
        <f t="shared" si="22"/>
        <v>5944.1206991906793</v>
      </c>
      <c r="AW110">
        <v>0.39</v>
      </c>
      <c r="AX110" cm="1">
        <f t="array" ref="AX110">numeng*InterpolateXY(AX$90,AW110,Tmax_h,Tmax_M,Tmax_table)</f>
        <v>3303.492950599049</v>
      </c>
      <c r="AY110" cm="1">
        <f t="array" ref="AY110">1*AX$91/(S*Linterp(AX$90,atmos_h,atmos_qms)*AW110^2)</f>
        <v>0.70352985404348423</v>
      </c>
      <c r="AZ110" cm="1">
        <f t="array" ref="AZ110">InterpolateXY(AY110,AW110,CD_CL,CD_M,CD_table)</f>
        <v>0.13508122863853092</v>
      </c>
      <c r="BA110" cm="1">
        <f t="array" ref="BA110">AZ110*S*Linterp(AX$90,atmos_h,atmos_qms)*AW110^2</f>
        <v>1920.0497016887321</v>
      </c>
      <c r="BB110" cm="1">
        <f t="array" ref="BB110">AW110*Linterp(AX$90,atmos_h,atmos_aspeed)</f>
        <v>396.23242832232728</v>
      </c>
      <c r="BC110" s="162">
        <f t="shared" si="23"/>
        <v>3288.9904677711884</v>
      </c>
      <c r="BE110">
        <v>0.39</v>
      </c>
      <c r="BF110" cm="1">
        <f t="array" ref="BF110">numeng*InterpolateXY(BF$90,BE110,Tmax_h,Tmax_M,Tmax_table)</f>
        <v>2816.4288942975127</v>
      </c>
      <c r="BG110" cm="1">
        <f t="array" ref="BG110">1*BF$91/(S*Linterp(BF$90,atmos_h,atmos_qms)*BE110^2)</f>
        <v>0.87915295709427588</v>
      </c>
      <c r="BH110" t="e" cm="1">
        <f t="array" ref="BH110">InterpolateXY(BG110,BE110,CD_CL,CD_M,CD_table)</f>
        <v>#VALUE!</v>
      </c>
      <c r="BI110" t="e" cm="1">
        <f t="array" ref="BI110">BH110*S*Linterp(BF$90,atmos_h,atmos_qms)*BE110^2</f>
        <v>#VALUE!</v>
      </c>
      <c r="BJ110" cm="1">
        <f t="array" ref="BJ110">BE110*Linterp(BF$90,atmos_h,atmos_aspeed)</f>
        <v>387.9211687662841</v>
      </c>
      <c r="BK110" s="162" t="e">
        <f t="shared" si="24"/>
        <v>#VALUE!</v>
      </c>
      <c r="BM110">
        <v>0.39</v>
      </c>
      <c r="BN110" cm="1">
        <f t="array" ref="BN110">numeng*InterpolateXY(BN$90,BM110,Tmax_h,Tmax_M,Tmax_table)</f>
        <v>2381.0434660849032</v>
      </c>
      <c r="BO110" cm="1">
        <f t="array" ref="BO110">1*BN$91/(S*Linterp(BN$90,atmos_h,atmos_qms)*BM110^2)</f>
        <v>1.1095121244216244</v>
      </c>
      <c r="BP110" t="e" cm="1">
        <f t="array" ref="BP110">InterpolateXY(BO110,BM110,CD_CL,CD_M,CD_table)</f>
        <v>#VALUE!</v>
      </c>
      <c r="BQ110" t="e" cm="1">
        <f t="array" ref="BQ110">BP110*S*Linterp(BN$90,atmos_h,atmos_qms)*BM110^2</f>
        <v>#VALUE!</v>
      </c>
      <c r="BR110" cm="1">
        <f t="array" ref="BR110">BM110*Linterp(BN$90,atmos_h,atmos_aspeed)</f>
        <v>379.42789710271899</v>
      </c>
      <c r="BS110" s="162" t="e">
        <f t="shared" si="25"/>
        <v>#VALUE!</v>
      </c>
      <c r="BU110">
        <v>0.39</v>
      </c>
      <c r="BV110" cm="1">
        <f t="array" ref="BV110">numeng*InterpolateXY(BV$90,BU110,Tmax_h,Tmax_M,Tmax_table)</f>
        <v>1929.9687797416534</v>
      </c>
      <c r="BW110" cm="1">
        <f t="array" ref="BW110">1*BV$91/(S*Linterp(BV$90,atmos_h,atmos_qms)*BU110^2)</f>
        <v>1.4105514137952404</v>
      </c>
      <c r="BX110" t="e" cm="1">
        <f t="array" ref="BX110">InterpolateXY(BW110,BU110,CD_CL,CD_M,CD_table)</f>
        <v>#VALUE!</v>
      </c>
      <c r="BY110" t="e" cm="1">
        <f t="array" ref="BY110">BX110*S*Linterp(BV$90,atmos_h,atmos_qms)*BU110^2</f>
        <v>#VALUE!</v>
      </c>
      <c r="BZ110" cm="1">
        <f t="array" ref="BZ110">BU110*Linterp(BV$90,atmos_h,atmos_aspeed)</f>
        <v>377.55919906435918</v>
      </c>
      <c r="CA110" s="162" t="e">
        <f t="shared" si="26"/>
        <v>#VALUE!</v>
      </c>
      <c r="CC110">
        <v>0.39</v>
      </c>
      <c r="CD110" cm="1">
        <f t="array" ref="CD110">numeng*InterpolateXY(CD$90,CC110,Tmax_h,Tmax_M,Tmax_table)</f>
        <v>1487.4849444827455</v>
      </c>
      <c r="CE110" cm="1">
        <f t="array" ref="CE110">1*CD$91/(S*Linterp(CD$90,atmos_h,atmos_qms)*CC110^2)</f>
        <v>1.7937334994208984</v>
      </c>
      <c r="CF110" t="e" cm="1">
        <f t="array" ref="CF110">InterpolateXY(CE110,CC110,CD_CL,CD_M,CD_table)</f>
        <v>#VALUE!</v>
      </c>
      <c r="CG110" t="e" cm="1">
        <f t="array" ref="CG110">CF110*S*Linterp(CD$90,atmos_h,atmos_qms)*CC110^2</f>
        <v>#VALUE!</v>
      </c>
      <c r="CH110" cm="1">
        <f t="array" ref="CH110">CC110*Linterp(CD$90,atmos_h,atmos_aspeed)</f>
        <v>377.55919906435918</v>
      </c>
      <c r="CI110" s="162" t="e">
        <f t="shared" si="27"/>
        <v>#VALUE!</v>
      </c>
      <c r="CK110">
        <v>0.39</v>
      </c>
      <c r="CL110" cm="1">
        <f t="array" ref="CL110">numeng*InterpolateXY(CL$90,CK110,Tmax_h,Tmax_M,Tmax_table)</f>
        <v>1122.2291636600976</v>
      </c>
      <c r="CM110" cm="1">
        <f t="array" ref="CM110">1*CL$91/(S*Linterp(CL$90,atmos_h,atmos_qms)*CK110^2)</f>
        <v>2.281008572589188</v>
      </c>
      <c r="CN110" t="e" cm="1">
        <f t="array" ref="CN110">InterpolateXY(CM110,CK110,CD_CL,CD_M,CD_table)</f>
        <v>#VALUE!</v>
      </c>
      <c r="CO110" t="e" cm="1">
        <f t="array" ref="CO110">CN110*S*Linterp(CL$90,atmos_h,atmos_qms)*CK110^2</f>
        <v>#VALUE!</v>
      </c>
      <c r="CP110" cm="1">
        <f t="array" ref="CP110">CK110*Linterp(CL$90,atmos_h,atmos_aspeed)</f>
        <v>377.55919906435918</v>
      </c>
      <c r="CQ110" s="162" t="e">
        <f t="shared" si="28"/>
        <v>#VALUE!</v>
      </c>
    </row>
    <row r="111" spans="9:95">
      <c r="I111">
        <v>0.4</v>
      </c>
      <c r="J111" cm="1">
        <f t="array" ref="J111">numeng*InterpolateXY(J$90,I111,Tmax_h,Tmax_M,Tmax_table)</f>
        <v>6460</v>
      </c>
      <c r="K111" cm="1">
        <f t="array" ref="K111">1*J$91/(S*Linterp(J$90,atmos_h,atmos_qms)*I111^2)</f>
        <v>0.24818312086343258</v>
      </c>
      <c r="L111" cm="1">
        <f t="array" ref="L111">InterpolateXY(K111,I111,CD_CL,CD_M,CD_table)</f>
        <v>2.3411445053964537E-2</v>
      </c>
      <c r="M111" cm="1">
        <f t="array" ref="M111">L111*S*Linterp(J$90,atmos_h,atmos_qms)*I111^2</f>
        <v>943.31334751999998</v>
      </c>
      <c r="N111" cm="1">
        <f t="array" ref="N111">I111*Linterp(J$90,atmos_h,atmos_aspeed)</f>
        <v>446.58000000000004</v>
      </c>
      <c r="O111" s="162">
        <f t="shared" si="18"/>
        <v>14781.851551587111</v>
      </c>
      <c r="Q111">
        <v>0.4</v>
      </c>
      <c r="R111" cm="1">
        <f t="array" ref="R111">numeng*InterpolateXY(R$90,Q111,Tmax_h,Tmax_M,Tmax_table)</f>
        <v>5773.1759581978195</v>
      </c>
      <c r="S111" cm="1">
        <f t="array" ref="S111">1*R$91/(S*Linterp(R$90,atmos_h,atmos_qms)*Q111^2)</f>
        <v>0.29828014438757006</v>
      </c>
      <c r="T111" cm="1">
        <f t="array" ref="T111">InterpolateXY(S111,Q111,CD_CL,CD_M,CD_table)</f>
        <v>2.6542509024223129E-2</v>
      </c>
      <c r="U111" cm="1">
        <f t="array" ref="U111">T111*S*Linterp(R$90,atmos_h,atmos_qms)*Q111^2</f>
        <v>889.85168887859811</v>
      </c>
      <c r="V111" cm="1">
        <f t="array" ref="V111">Q111*Linterp(R$90,atmos_h,atmos_aspeed)</f>
        <v>438.83697054809937</v>
      </c>
      <c r="W111" s="162">
        <f t="shared" si="19"/>
        <v>12857.899371312347</v>
      </c>
      <c r="Y111">
        <v>0.4</v>
      </c>
      <c r="Z111" cm="1">
        <f t="array" ref="Z111">numeng*InterpolateXY(Z$90,Y111,Tmax_h,Tmax_M,Tmax_table)</f>
        <v>5125.0171500289816</v>
      </c>
      <c r="AA111" cm="1">
        <f t="array" ref="AA111">1*Z$91/(S*Linterp(Z$90,atmos_h,atmos_qms)*Y111^2)</f>
        <v>0.36088708397447405</v>
      </c>
      <c r="AB111" cm="1">
        <f t="array" ref="AB111">InterpolateXY(AA111,Y111,CD_CL,CD_M,CD_table)</f>
        <v>3.2255744153381699E-2</v>
      </c>
      <c r="AC111" cm="1">
        <f t="array" ref="AC111">AB111*S*Linterp(Z$90,atmos_h,atmos_qms)*Y111^2</f>
        <v>893.7904842186922</v>
      </c>
      <c r="AD111" cm="1">
        <f t="array" ref="AD111">Y111*Linterp(Z$90,atmos_h,atmos_aspeed)</f>
        <v>430.95484338810593</v>
      </c>
      <c r="AE111" s="162">
        <f t="shared" si="20"/>
        <v>10940.805750623103</v>
      </c>
      <c r="AG111">
        <v>0.4</v>
      </c>
      <c r="AH111" cm="1">
        <f t="array" ref="AH111">numeng*InterpolateXY(AH$90,AG111,Tmax_h,Tmax_M,Tmax_table)</f>
        <v>4467.5513469740326</v>
      </c>
      <c r="AI111" cm="1">
        <f t="array" ref="AI111">1*AH$91/(S*Linterp(AH$90,atmos_h,atmos_qms)*AG111^2)</f>
        <v>0.43977551318873426</v>
      </c>
      <c r="AJ111" cm="1">
        <f t="array" ref="AJ111">InterpolateXY(AI111,AG111,CD_CL,CD_M,CD_table)</f>
        <v>4.5794878150935588E-2</v>
      </c>
      <c r="AK111" cm="1">
        <f t="array" ref="AK111">AJ111*S*Linterp(AH$90,atmos_h,atmos_qms)*AG111^2</f>
        <v>1041.3239659226374</v>
      </c>
      <c r="AL111" cm="1">
        <f t="array" ref="AL111">AG111*Linterp(AH$90,atmos_h,atmos_aspeed)</f>
        <v>422.92584144209053</v>
      </c>
      <c r="AM111" s="162">
        <f t="shared" si="21"/>
        <v>8694.2405886185497</v>
      </c>
      <c r="AO111">
        <v>0.4</v>
      </c>
      <c r="AP111" cm="1">
        <f t="array" ref="AP111">numeng*InterpolateXY(AP$90,AO111,Tmax_h,Tmax_M,Tmax_table)</f>
        <v>3868.1704260696488</v>
      </c>
      <c r="AQ111" cm="1">
        <f t="array" ref="AQ111">1*AP$91/(S*Linterp(AP$90,atmos_h,atmos_qms)*AO111^2)</f>
        <v>0.54006598773307379</v>
      </c>
      <c r="AR111" cm="1">
        <f t="array" ref="AR111">InterpolateXY(AQ111,AO111,CD_CL,CD_M,CD_table)</f>
        <v>7.0440654160452101E-2</v>
      </c>
      <c r="AS111" cm="1">
        <f t="array" ref="AS111">AR111*S*Linterp(AP$90,atmos_h,atmos_qms)*AO111^2</f>
        <v>1304.2971740569456</v>
      </c>
      <c r="AT111" cm="1">
        <f t="array" ref="AT111">AO111*Linterp(AP$90,atmos_h,atmos_aspeed)</f>
        <v>414.74143472690758</v>
      </c>
      <c r="AU111" s="162">
        <f t="shared" si="22"/>
        <v>6380.0668259861459</v>
      </c>
      <c r="AW111">
        <v>0.4</v>
      </c>
      <c r="AX111" cm="1">
        <f t="array" ref="AX111">numeng*InterpolateXY(AX$90,AW111,Tmax_h,Tmax_M,Tmax_table)</f>
        <v>3325.0024000874855</v>
      </c>
      <c r="AY111" cm="1">
        <f t="array" ref="AY111">1*AX$91/(S*Linterp(AX$90,atmos_h,atmos_qms)*AW111^2)</f>
        <v>0.66879306750008716</v>
      </c>
      <c r="AZ111" cm="1">
        <f t="array" ref="AZ111">InterpolateXY(AY111,AW111,CD_CL,CD_M,CD_table)</f>
        <v>0.11933136356503816</v>
      </c>
      <c r="BA111" cm="1">
        <f t="array" ref="BA111">AZ111*S*Linterp(AX$90,atmos_h,atmos_qms)*AW111^2</f>
        <v>1784.2793139452303</v>
      </c>
      <c r="BB111" cm="1">
        <f t="array" ref="BB111">AW111*Linterp(AX$90,atmos_h,atmos_aspeed)</f>
        <v>406.39223417674594</v>
      </c>
      <c r="BC111" s="162">
        <f t="shared" si="23"/>
        <v>3756.8273833502521</v>
      </c>
      <c r="BE111">
        <v>0.4</v>
      </c>
      <c r="BF111" cm="1">
        <f t="array" ref="BF111">numeng*InterpolateXY(BF$90,BE111,Tmax_h,Tmax_M,Tmax_table)</f>
        <v>2835.8835040880908</v>
      </c>
      <c r="BG111" cm="1">
        <f t="array" ref="BG111">1*BF$91/(S*Linterp(BF$90,atmos_h,atmos_qms)*BE111^2)</f>
        <v>0.83574477983774575</v>
      </c>
      <c r="BH111" t="e" cm="1">
        <f t="array" ref="BH111">InterpolateXY(BG111,BE111,CD_CL,CD_M,CD_table)</f>
        <v>#VALUE!</v>
      </c>
      <c r="BI111" t="e" cm="1">
        <f t="array" ref="BI111">BH111*S*Linterp(BF$90,atmos_h,atmos_qms)*BE111^2</f>
        <v>#VALUE!</v>
      </c>
      <c r="BJ111" cm="1">
        <f t="array" ref="BJ111">BE111*Linterp(BF$90,atmos_h,atmos_aspeed)</f>
        <v>397.86786540131703</v>
      </c>
      <c r="BK111" s="162" t="e">
        <f t="shared" si="24"/>
        <v>#VALUE!</v>
      </c>
      <c r="BM111">
        <v>0.4</v>
      </c>
      <c r="BN111" cm="1">
        <f t="array" ref="BN111">numeng*InterpolateXY(BN$90,BM111,Tmax_h,Tmax_M,Tmax_table)</f>
        <v>2398.3962034743822</v>
      </c>
      <c r="BO111" cm="1">
        <f t="array" ref="BO111">1*BN$91/(S*Linterp(BN$90,atmos_h,atmos_qms)*BM111^2)</f>
        <v>1.0547299632783067</v>
      </c>
      <c r="BP111" t="e" cm="1">
        <f t="array" ref="BP111">InterpolateXY(BO111,BM111,CD_CL,CD_M,CD_table)</f>
        <v>#VALUE!</v>
      </c>
      <c r="BQ111" t="e" cm="1">
        <f t="array" ref="BQ111">BP111*S*Linterp(BN$90,atmos_h,atmos_qms)*BM111^2</f>
        <v>#VALUE!</v>
      </c>
      <c r="BR111" cm="1">
        <f t="array" ref="BR111">BM111*Linterp(BN$90,atmos_h,atmos_aspeed)</f>
        <v>389.15681754125029</v>
      </c>
      <c r="BS111" s="162" t="e">
        <f t="shared" si="25"/>
        <v>#VALUE!</v>
      </c>
      <c r="BU111">
        <v>0.4</v>
      </c>
      <c r="BV111" cm="1">
        <f t="array" ref="BV111">numeng*InterpolateXY(BV$90,BU111,Tmax_h,Tmax_M,Tmax_table)</f>
        <v>1944.7389489743703</v>
      </c>
      <c r="BW111" cm="1">
        <f t="array" ref="BW111">1*BV$91/(S*Linterp(BV$90,atmos_h,atmos_qms)*BU111^2)</f>
        <v>1.3409054377391003</v>
      </c>
      <c r="BX111" t="e" cm="1">
        <f t="array" ref="BX111">InterpolateXY(BW111,BU111,CD_CL,CD_M,CD_table)</f>
        <v>#VALUE!</v>
      </c>
      <c r="BY111" t="e" cm="1">
        <f t="array" ref="BY111">BX111*S*Linterp(BV$90,atmos_h,atmos_qms)*BU111^2</f>
        <v>#VALUE!</v>
      </c>
      <c r="BZ111" cm="1">
        <f t="array" ref="BZ111">BU111*Linterp(BV$90,atmos_h,atmos_aspeed)</f>
        <v>387.24020416857354</v>
      </c>
      <c r="CA111" s="162" t="e">
        <f t="shared" si="26"/>
        <v>#VALUE!</v>
      </c>
      <c r="CC111">
        <v>0.4</v>
      </c>
      <c r="CD111" cm="1">
        <f t="array" ref="CD111">numeng*InterpolateXY(CD$90,CC111,Tmax_h,Tmax_M,Tmax_table)</f>
        <v>1498.3255427246811</v>
      </c>
      <c r="CE111" cm="1">
        <f t="array" ref="CE111">1*CD$91/(S*Linterp(CD$90,atmos_h,atmos_qms)*CC111^2)</f>
        <v>1.7051679078869912</v>
      </c>
      <c r="CF111" t="e" cm="1">
        <f t="array" ref="CF111">InterpolateXY(CE111,CC111,CD_CL,CD_M,CD_table)</f>
        <v>#VALUE!</v>
      </c>
      <c r="CG111" t="e" cm="1">
        <f t="array" ref="CG111">CF111*S*Linterp(CD$90,atmos_h,atmos_qms)*CC111^2</f>
        <v>#VALUE!</v>
      </c>
      <c r="CH111" cm="1">
        <f t="array" ref="CH111">CC111*Linterp(CD$90,atmos_h,atmos_aspeed)</f>
        <v>387.24020416857354</v>
      </c>
      <c r="CI111" s="162" t="e">
        <f t="shared" si="27"/>
        <v>#VALUE!</v>
      </c>
      <c r="CK111">
        <v>0.4</v>
      </c>
      <c r="CL111" cm="1">
        <f t="array" ref="CL111">numeng*InterpolateXY(CL$90,CK111,Tmax_h,Tmax_M,Tmax_table)</f>
        <v>1129.5361359682479</v>
      </c>
      <c r="CM111" cm="1">
        <f t="array" ref="CM111">1*CL$91/(S*Linterp(CL$90,atmos_h,atmos_qms)*CK111^2)</f>
        <v>2.1683837743175967</v>
      </c>
      <c r="CN111" t="e" cm="1">
        <f t="array" ref="CN111">InterpolateXY(CM111,CK111,CD_CL,CD_M,CD_table)</f>
        <v>#VALUE!</v>
      </c>
      <c r="CO111" t="e" cm="1">
        <f t="array" ref="CO111">CN111*S*Linterp(CL$90,atmos_h,atmos_qms)*CK111^2</f>
        <v>#VALUE!</v>
      </c>
      <c r="CP111" cm="1">
        <f t="array" ref="CP111">CK111*Linterp(CL$90,atmos_h,atmos_aspeed)</f>
        <v>387.24020416857354</v>
      </c>
      <c r="CQ111" s="162" t="e">
        <f t="shared" si="28"/>
        <v>#VALUE!</v>
      </c>
    </row>
    <row r="112" spans="9:95">
      <c r="I112">
        <v>0.41</v>
      </c>
      <c r="J112" cm="1">
        <f t="array" ref="J112">numeng*InterpolateXY(J$90,I112,Tmax_h,Tmax_M,Tmax_table)</f>
        <v>6484</v>
      </c>
      <c r="K112" cm="1">
        <f t="array" ref="K112">1*J$91/(S*Linterp(J$90,atmos_h,atmos_qms)*I112^2)</f>
        <v>0.2362242673298586</v>
      </c>
      <c r="L112" cm="1">
        <f t="array" ref="L112">InterpolateXY(K112,I112,CD_CL,CD_M,CD_table)</f>
        <v>2.2644016708116162E-2</v>
      </c>
      <c r="M112" cm="1">
        <f t="array" ref="M112">L112*S*Linterp(J$90,atmos_h,atmos_qms)*I112^2</f>
        <v>958.58130767303987</v>
      </c>
      <c r="N112" cm="1">
        <f t="array" ref="N112">I112*Linterp(J$90,atmos_h,atmos_aspeed)</f>
        <v>457.74450000000002</v>
      </c>
      <c r="O112" s="162">
        <f t="shared" si="18"/>
        <v>15175.380099659151</v>
      </c>
      <c r="Q112">
        <v>0.41</v>
      </c>
      <c r="R112" cm="1">
        <f t="array" ref="R112">numeng*InterpolateXY(R$90,Q112,Tmax_h,Tmax_M,Tmax_table)</f>
        <v>5799.02599980169</v>
      </c>
      <c r="S112" cm="1">
        <f t="array" ref="S112">1*R$91/(S*Linterp(R$90,atmos_h,atmos_qms)*Q112^2)</f>
        <v>0.28390733552653913</v>
      </c>
      <c r="T112" cm="1">
        <f t="array" ref="T112">InterpolateXY(S112,Q112,CD_CL,CD_M,CD_table)</f>
        <v>2.5624208470408697E-2</v>
      </c>
      <c r="U112" cm="1">
        <f t="array" ref="U112">T112*S*Linterp(R$90,atmos_h,atmos_qms)*Q112^2</f>
        <v>902.55535042395525</v>
      </c>
      <c r="V112" cm="1">
        <f t="array" ref="V112">Q112*Linterp(R$90,atmos_h,atmos_aspeed)</f>
        <v>449.80789481180182</v>
      </c>
      <c r="W112" s="162">
        <f t="shared" si="19"/>
        <v>13214.826928826251</v>
      </c>
      <c r="Y112">
        <v>0.41</v>
      </c>
      <c r="Z112" cm="1">
        <f t="array" ref="Z112">numeng*InterpolateXY(Z$90,Y112,Tmax_h,Tmax_M,Tmax_table)</f>
        <v>5151.6022534008898</v>
      </c>
      <c r="AA112" cm="1">
        <f t="array" ref="AA112">1*Z$91/(S*Linterp(Z$90,atmos_h,atmos_qms)*Y112^2)</f>
        <v>0.34349752192692368</v>
      </c>
      <c r="AB112" cm="1">
        <f t="array" ref="AB112">InterpolateXY(AA112,Y112,CD_CL,CD_M,CD_table)</f>
        <v>3.016417365656255E-2</v>
      </c>
      <c r="AC112" cm="1">
        <f t="array" ref="AC112">AB112*S*Linterp(Z$90,atmos_h,atmos_qms)*Y112^2</f>
        <v>878.14821741216917</v>
      </c>
      <c r="AD112" cm="1">
        <f t="array" ref="AD112">Y112*Linterp(Z$90,atmos_h,atmos_aspeed)</f>
        <v>441.72871447280858</v>
      </c>
      <c r="AE112" s="162">
        <f t="shared" si="20"/>
        <v>11326.244146055598</v>
      </c>
      <c r="AG112">
        <v>0.41</v>
      </c>
      <c r="AH112" cm="1">
        <f t="array" ref="AH112">numeng*InterpolateXY(AH$90,AG112,Tmax_h,Tmax_M,Tmax_table)</f>
        <v>4492.7206503372663</v>
      </c>
      <c r="AI112" cm="1">
        <f t="array" ref="AI112">1*AH$91/(S*Linterp(AH$90,atmos_h,atmos_qms)*AG112^2)</f>
        <v>0.41858466454608867</v>
      </c>
      <c r="AJ112" cm="1">
        <f t="array" ref="AJ112">InterpolateXY(AI112,AG112,CD_CL,CD_M,CD_table)</f>
        <v>4.1515517573763823E-2</v>
      </c>
      <c r="AK112" cm="1">
        <f t="array" ref="AK112">AJ112*S*Linterp(AH$90,atmos_h,atmos_qms)*AG112^2</f>
        <v>991.80694110671891</v>
      </c>
      <c r="AL112" cm="1">
        <f t="array" ref="AL112">AG112*Linterp(AH$90,atmos_h,atmos_aspeed)</f>
        <v>433.49898747814274</v>
      </c>
      <c r="AM112" s="162">
        <f t="shared" si="21"/>
        <v>9105.8552891987474</v>
      </c>
      <c r="AO112">
        <v>0.41</v>
      </c>
      <c r="AP112" cm="1">
        <f t="array" ref="AP112">numeng*InterpolateXY(AP$90,AO112,Tmax_h,Tmax_M,Tmax_table)</f>
        <v>3891.6138831973435</v>
      </c>
      <c r="AQ112" cm="1">
        <f t="array" ref="AQ112">1*AP$91/(S*Linterp(AP$90,atmos_h,atmos_qms)*AO112^2)</f>
        <v>0.51404258201839281</v>
      </c>
      <c r="AR112" cm="1">
        <f t="array" ref="AR112">InterpolateXY(AQ112,AO112,CD_CL,CD_M,CD_table)</f>
        <v>6.2275328171756954E-2</v>
      </c>
      <c r="AS112" cm="1">
        <f t="array" ref="AS112">AR112*S*Linterp(AP$90,atmos_h,atmos_qms)*AO112^2</f>
        <v>1211.4818956677152</v>
      </c>
      <c r="AT112" cm="1">
        <f t="array" ref="AT112">AO112*Linterp(AP$90,atmos_h,atmos_aspeed)</f>
        <v>425.10997059508026</v>
      </c>
      <c r="AU112" s="162">
        <f t="shared" si="22"/>
        <v>6836.1049824579268</v>
      </c>
      <c r="AW112">
        <v>0.41</v>
      </c>
      <c r="AX112" cm="1">
        <f t="array" ref="AX112">numeng*InterpolateXY(AX$90,AW112,Tmax_h,Tmax_M,Tmax_table)</f>
        <v>3346.511849575922</v>
      </c>
      <c r="AY112" cm="1">
        <f t="array" ref="AY112">1*AX$91/(S*Linterp(AX$90,atmos_h,atmos_qms)*AW112^2)</f>
        <v>0.6365668697204877</v>
      </c>
      <c r="AZ112" cm="1">
        <f t="array" ref="AZ112">InterpolateXY(AY112,AW112,CD_CL,CD_M,CD_table)</f>
        <v>0.10519628893757361</v>
      </c>
      <c r="BA112" cm="1">
        <f t="array" ref="BA112">AZ112*S*Linterp(AX$90,atmos_h,atmos_qms)*AW112^2</f>
        <v>1652.55676883977</v>
      </c>
      <c r="BB112" cm="1">
        <f t="array" ref="BB112">AW112*Linterp(AX$90,atmos_h,atmos_aspeed)</f>
        <v>416.55204003116455</v>
      </c>
      <c r="BC112" s="162">
        <f t="shared" si="23"/>
        <v>4233.7226676108012</v>
      </c>
      <c r="BE112">
        <v>0.41</v>
      </c>
      <c r="BF112" cm="1">
        <f t="array" ref="BF112">numeng*InterpolateXY(BF$90,BE112,Tmax_h,Tmax_M,Tmax_table)</f>
        <v>2855.3381138786685</v>
      </c>
      <c r="BG112" cm="1">
        <f t="array" ref="BG112">1*BF$91/(S*Linterp(BF$90,atmos_h,atmos_qms)*BE112^2)</f>
        <v>0.79547391299250081</v>
      </c>
      <c r="BH112" cm="1">
        <f t="array" ref="BH112">InterpolateXY(BG112,BE112,CD_CL,CD_M,CD_table)</f>
        <v>0.18873119006861366</v>
      </c>
      <c r="BI112" cm="1">
        <f t="array" ref="BI112">BH112*S*Linterp(BF$90,atmos_h,atmos_qms)*BE112^2</f>
        <v>2372.5629085512564</v>
      </c>
      <c r="BJ112" cm="1">
        <f t="array" ref="BJ112">BE112*Linterp(BF$90,atmos_h,atmos_aspeed)</f>
        <v>407.81456203634991</v>
      </c>
      <c r="BK112" s="162">
        <f t="shared" si="24"/>
        <v>1181.2965535356448</v>
      </c>
      <c r="BM112">
        <v>0.41</v>
      </c>
      <c r="BN112" cm="1">
        <f t="array" ref="BN112">numeng*InterpolateXY(BN$90,BM112,Tmax_h,Tmax_M,Tmax_table)</f>
        <v>2415.7489408638608</v>
      </c>
      <c r="BO112" cm="1">
        <f t="array" ref="BO112">1*BN$91/(S*Linterp(BN$90,atmos_h,atmos_qms)*BM112^2)</f>
        <v>1.0039071631441352</v>
      </c>
      <c r="BP112" t="e" cm="1">
        <f t="array" ref="BP112">InterpolateXY(BO112,BM112,CD_CL,CD_M,CD_table)</f>
        <v>#VALUE!</v>
      </c>
      <c r="BQ112" t="e" cm="1">
        <f t="array" ref="BQ112">BP112*S*Linterp(BN$90,atmos_h,atmos_qms)*BM112^2</f>
        <v>#VALUE!</v>
      </c>
      <c r="BR112" cm="1">
        <f t="array" ref="BR112">BM112*Linterp(BN$90,atmos_h,atmos_aspeed)</f>
        <v>398.88573797978148</v>
      </c>
      <c r="BS112" s="162" t="e">
        <f t="shared" si="25"/>
        <v>#VALUE!</v>
      </c>
      <c r="BU112">
        <v>0.41</v>
      </c>
      <c r="BV112" cm="1">
        <f t="array" ref="BV112">numeng*InterpolateXY(BV$90,BU112,Tmax_h,Tmax_M,Tmax_table)</f>
        <v>1959.5091182070869</v>
      </c>
      <c r="BW112" cm="1">
        <f t="array" ref="BW112">1*BV$91/(S*Linterp(BV$90,atmos_h,atmos_qms)*BU112^2)</f>
        <v>1.2762930995732071</v>
      </c>
      <c r="BX112" t="e" cm="1">
        <f t="array" ref="BX112">InterpolateXY(BW112,BU112,CD_CL,CD_M,CD_table)</f>
        <v>#VALUE!</v>
      </c>
      <c r="BY112" t="e" cm="1">
        <f t="array" ref="BY112">BX112*S*Linterp(BV$90,atmos_h,atmos_qms)*BU112^2</f>
        <v>#VALUE!</v>
      </c>
      <c r="BZ112" cm="1">
        <f t="array" ref="BZ112">BU112*Linterp(BV$90,atmos_h,atmos_aspeed)</f>
        <v>396.92120927278785</v>
      </c>
      <c r="CA112" s="162" t="e">
        <f t="shared" si="26"/>
        <v>#VALUE!</v>
      </c>
      <c r="CC112">
        <v>0.41</v>
      </c>
      <c r="CD112" cm="1">
        <f t="array" ref="CD112">numeng*InterpolateXY(CD$90,CC112,Tmax_h,Tmax_M,Tmax_table)</f>
        <v>1509.1661409666167</v>
      </c>
      <c r="CE112" cm="1">
        <f t="array" ref="CE112">1*CD$91/(S*Linterp(CD$90,atmos_h,atmos_qms)*CC112^2)</f>
        <v>1.623003362652699</v>
      </c>
      <c r="CF112" t="e" cm="1">
        <f t="array" ref="CF112">InterpolateXY(CE112,CC112,CD_CL,CD_M,CD_table)</f>
        <v>#VALUE!</v>
      </c>
      <c r="CG112" t="e" cm="1">
        <f t="array" ref="CG112">CF112*S*Linterp(CD$90,atmos_h,atmos_qms)*CC112^2</f>
        <v>#VALUE!</v>
      </c>
      <c r="CH112" cm="1">
        <f t="array" ref="CH112">CC112*Linterp(CD$90,atmos_h,atmos_aspeed)</f>
        <v>396.92120927278785</v>
      </c>
      <c r="CI112" s="162" t="e">
        <f t="shared" si="27"/>
        <v>#VALUE!</v>
      </c>
      <c r="CK112">
        <v>0.41</v>
      </c>
      <c r="CL112" cm="1">
        <f t="array" ref="CL112">numeng*InterpolateXY(CL$90,CK112,Tmax_h,Tmax_M,Tmax_table)</f>
        <v>1136.8431082763982</v>
      </c>
      <c r="CM112" cm="1">
        <f t="array" ref="CM112">1*CL$91/(S*Linterp(CL$90,atmos_h,atmos_qms)*CK112^2)</f>
        <v>2.0638988928662436</v>
      </c>
      <c r="CN112" t="e" cm="1">
        <f t="array" ref="CN112">InterpolateXY(CM112,CK112,CD_CL,CD_M,CD_table)</f>
        <v>#VALUE!</v>
      </c>
      <c r="CO112" t="e" cm="1">
        <f t="array" ref="CO112">CN112*S*Linterp(CL$90,atmos_h,atmos_qms)*CK112^2</f>
        <v>#VALUE!</v>
      </c>
      <c r="CP112" cm="1">
        <f t="array" ref="CP112">CK112*Linterp(CL$90,atmos_h,atmos_aspeed)</f>
        <v>396.92120927278785</v>
      </c>
      <c r="CQ112" s="162" t="e">
        <f t="shared" si="28"/>
        <v>#VALUE!</v>
      </c>
    </row>
    <row r="113" spans="9:95">
      <c r="I113">
        <v>0.42</v>
      </c>
      <c r="J113" cm="1">
        <f t="array" ref="J113">numeng*InterpolateXY(J$90,I113,Tmax_h,Tmax_M,Tmax_table)</f>
        <v>6508</v>
      </c>
      <c r="K113" cm="1">
        <f t="array" ref="K113">1*J$91/(S*Linterp(J$90,atmos_h,atmos_qms)*I113^2)</f>
        <v>0.22510940667885052</v>
      </c>
      <c r="L113" cm="1">
        <f t="array" ref="L113">InterpolateXY(K113,I113,CD_CL,CD_M,CD_table)</f>
        <v>2.1929337917428158E-2</v>
      </c>
      <c r="M113" cm="1">
        <f t="array" ref="M113">L113*S*Linterp(J$90,atmos_h,atmos_qms)*I113^2</f>
        <v>974.16355189071999</v>
      </c>
      <c r="N113" cm="1">
        <f t="array" ref="N113">I113*Linterp(J$90,atmos_h,atmos_aspeed)</f>
        <v>468.90899999999999</v>
      </c>
      <c r="O113" s="162">
        <f t="shared" si="18"/>
        <v>15569.194290278849</v>
      </c>
      <c r="Q113">
        <v>0.42</v>
      </c>
      <c r="R113" cm="1">
        <f t="array" ref="R113">numeng*InterpolateXY(R$90,Q113,Tmax_h,Tmax_M,Tmax_table)</f>
        <v>5824.8760414055614</v>
      </c>
      <c r="S113" cm="1">
        <f t="array" ref="S113">1*R$91/(S*Linterp(R$90,atmos_h,atmos_qms)*Q113^2)</f>
        <v>0.2705488837982496</v>
      </c>
      <c r="T113" cm="1">
        <f t="array" ref="T113">InterpolateXY(S113,Q113,CD_CL,CD_M,CD_table)</f>
        <v>2.4769305237390602E-2</v>
      </c>
      <c r="U113" cm="1">
        <f t="array" ref="U113">T113*S*Linterp(R$90,atmos_h,atmos_qms)*Q113^2</f>
        <v>915.52051110516754</v>
      </c>
      <c r="V113" cm="1">
        <f t="array" ref="V113">Q113*Linterp(R$90,atmos_h,atmos_aspeed)</f>
        <v>460.77881907550432</v>
      </c>
      <c r="W113" s="162">
        <f t="shared" si="19"/>
        <v>13572.76226204167</v>
      </c>
      <c r="Y113">
        <v>0.42</v>
      </c>
      <c r="Z113" cm="1">
        <f t="array" ref="Z113">numeng*InterpolateXY(Z$90,Y113,Tmax_h,Tmax_M,Tmax_table)</f>
        <v>5178.187356772798</v>
      </c>
      <c r="AA113" cm="1">
        <f t="array" ref="AA113">1*Z$91/(S*Linterp(Z$90,atmos_h,atmos_qms)*Y113^2)</f>
        <v>0.32733522355961381</v>
      </c>
      <c r="AB113" cm="1">
        <f t="array" ref="AB113">InterpolateXY(AA113,Y113,CD_CL,CD_M,CD_table)</f>
        <v>2.8830986914218624E-2</v>
      </c>
      <c r="AC113" cm="1">
        <f t="array" ref="AC113">AB113*S*Linterp(Z$90,atmos_h,atmos_qms)*Y113^2</f>
        <v>880.77862811998818</v>
      </c>
      <c r="AD113" cm="1">
        <f t="array" ref="AD113">Y113*Linterp(Z$90,atmos_h,atmos_aspeed)</f>
        <v>452.50258555751122</v>
      </c>
      <c r="AE113" s="162">
        <f t="shared" si="20"/>
        <v>11667.531365476883</v>
      </c>
      <c r="AG113">
        <v>0.42</v>
      </c>
      <c r="AH113" cm="1">
        <f t="array" ref="AH113">numeng*InterpolateXY(AH$90,AG113,Tmax_h,Tmax_M,Tmax_table)</f>
        <v>4517.8899537005009</v>
      </c>
      <c r="AI113" cm="1">
        <f t="array" ref="AI113">1*AH$91/(S*Linterp(AH$90,atmos_h,atmos_qms)*AG113^2)</f>
        <v>0.39888935436619899</v>
      </c>
      <c r="AJ113" cm="1">
        <f t="array" ref="AJ113">InterpolateXY(AI113,AG113,CD_CL,CD_M,CD_table)</f>
        <v>3.7602565981408709E-2</v>
      </c>
      <c r="AK113" cm="1">
        <f t="array" ref="AK113">AJ113*S*Linterp(AH$90,atmos_h,atmos_qms)*AG113^2</f>
        <v>942.68161257790314</v>
      </c>
      <c r="AL113" cm="1">
        <f t="array" ref="AL113">AG113*Linterp(AH$90,atmos_h,atmos_aspeed)</f>
        <v>444.072133514195</v>
      </c>
      <c r="AM113" s="162">
        <f t="shared" si="21"/>
        <v>9525.9023748003474</v>
      </c>
      <c r="AO113">
        <v>0.42</v>
      </c>
      <c r="AP113" cm="1">
        <f t="array" ref="AP113">numeng*InterpolateXY(AP$90,AO113,Tmax_h,Tmax_M,Tmax_table)</f>
        <v>3915.0573403250382</v>
      </c>
      <c r="AQ113" cm="1">
        <f t="array" ref="AQ113">1*AP$91/(S*Linterp(AP$90,atmos_h,atmos_qms)*AO113^2)</f>
        <v>0.48985577118646162</v>
      </c>
      <c r="AR113" cm="1">
        <f t="array" ref="AR113">InterpolateXY(AQ113,AO113,CD_CL,CD_M,CD_table)</f>
        <v>5.5821010008478791E-2</v>
      </c>
      <c r="AS113" cm="1">
        <f t="array" ref="AS113">AR113*S*Linterp(AP$90,atmos_h,atmos_qms)*AO113^2</f>
        <v>1139.5397031513335</v>
      </c>
      <c r="AT113" cm="1">
        <f t="array" ref="AT113">AO113*Linterp(AP$90,atmos_h,atmos_aspeed)</f>
        <v>435.47850646325293</v>
      </c>
      <c r="AU113" s="162">
        <f t="shared" si="22"/>
        <v>7252.06965179293</v>
      </c>
      <c r="AW113">
        <v>0.42</v>
      </c>
      <c r="AX113" cm="1">
        <f t="array" ref="AX113">numeng*InterpolateXY(AX$90,AW113,Tmax_h,Tmax_M,Tmax_table)</f>
        <v>3368.0212990643586</v>
      </c>
      <c r="AY113" cm="1">
        <f t="array" ref="AY113">1*AX$91/(S*Linterp(AX$90,atmos_h,atmos_qms)*AW113^2)</f>
        <v>0.60661502721096361</v>
      </c>
      <c r="AZ113" cm="1">
        <f t="array" ref="AZ113">InterpolateXY(AY113,AW113,CD_CL,CD_M,CD_table)</f>
        <v>9.2057381918402056E-2</v>
      </c>
      <c r="BA113" cm="1">
        <f t="array" ref="BA113">AZ113*S*Linterp(AX$90,atmos_h,atmos_qms)*AW113^2</f>
        <v>1517.5585468374343</v>
      </c>
      <c r="BB113" cm="1">
        <f t="array" ref="BB113">AW113*Linterp(AX$90,atmos_h,atmos_aspeed)</f>
        <v>426.71184588558322</v>
      </c>
      <c r="BC113" s="162">
        <f t="shared" si="23"/>
        <v>4737.6862604716043</v>
      </c>
      <c r="BE113">
        <v>0.42</v>
      </c>
      <c r="BF113" cm="1">
        <f t="array" ref="BF113">numeng*InterpolateXY(BF$90,BE113,Tmax_h,Tmax_M,Tmax_table)</f>
        <v>2874.7927236692467</v>
      </c>
      <c r="BG113" cm="1">
        <f t="array" ref="BG113">1*BF$91/(S*Linterp(BF$90,atmos_h,atmos_qms)*BE113^2)</f>
        <v>0.75804515178026854</v>
      </c>
      <c r="BH113" cm="1">
        <f t="array" ref="BH113">InterpolateXY(BG113,BE113,CD_CL,CD_M,CD_table)</f>
        <v>0.16685497914176267</v>
      </c>
      <c r="BI113" cm="1">
        <f t="array" ref="BI113">BH113*S*Linterp(BF$90,atmos_h,atmos_qms)*BE113^2</f>
        <v>2201.121908766303</v>
      </c>
      <c r="BJ113" cm="1">
        <f t="array" ref="BJ113">BE113*Linterp(BF$90,atmos_h,atmos_aspeed)</f>
        <v>417.76125867138285</v>
      </c>
      <c r="BK113" s="162">
        <f t="shared" si="24"/>
        <v>1688.6014053841795</v>
      </c>
      <c r="BM113">
        <v>0.42</v>
      </c>
      <c r="BN113" cm="1">
        <f t="array" ref="BN113">numeng*InterpolateXY(BN$90,BM113,Tmax_h,Tmax_M,Tmax_table)</f>
        <v>2433.1016782533397</v>
      </c>
      <c r="BO113" cm="1">
        <f t="array" ref="BO113">1*BN$91/(S*Linterp(BN$90,atmos_h,atmos_qms)*BM113^2)</f>
        <v>0.95667116850640099</v>
      </c>
      <c r="BP113" t="e" cm="1">
        <f t="array" ref="BP113">InterpolateXY(BO113,BM113,CD_CL,CD_M,CD_table)</f>
        <v>#VALUE!</v>
      </c>
      <c r="BQ113" t="e" cm="1">
        <f t="array" ref="BQ113">BP113*S*Linterp(BN$90,atmos_h,atmos_qms)*BM113^2</f>
        <v>#VALUE!</v>
      </c>
      <c r="BR113" cm="1">
        <f t="array" ref="BR113">BM113*Linterp(BN$90,atmos_h,atmos_aspeed)</f>
        <v>408.61465841831273</v>
      </c>
      <c r="BS113" s="162" t="e">
        <f t="shared" si="25"/>
        <v>#VALUE!</v>
      </c>
      <c r="BU113">
        <v>0.42</v>
      </c>
      <c r="BV113" cm="1">
        <f t="array" ref="BV113">numeng*InterpolateXY(BV$90,BU113,Tmax_h,Tmax_M,Tmax_table)</f>
        <v>1974.2792874398037</v>
      </c>
      <c r="BW113" cm="1">
        <f t="array" ref="BW113">1*BV$91/(S*Linterp(BV$90,atmos_h,atmos_qms)*BU113^2)</f>
        <v>1.2162407598540597</v>
      </c>
      <c r="BX113" t="e" cm="1">
        <f t="array" ref="BX113">InterpolateXY(BW113,BU113,CD_CL,CD_M,CD_table)</f>
        <v>#VALUE!</v>
      </c>
      <c r="BY113" t="e" cm="1">
        <f t="array" ref="BY113">BX113*S*Linterp(BV$90,atmos_h,atmos_qms)*BU113^2</f>
        <v>#VALUE!</v>
      </c>
      <c r="BZ113" cm="1">
        <f t="array" ref="BZ113">BU113*Linterp(BV$90,atmos_h,atmos_aspeed)</f>
        <v>406.60221437700216</v>
      </c>
      <c r="CA113" s="162" t="e">
        <f t="shared" si="26"/>
        <v>#VALUE!</v>
      </c>
      <c r="CC113">
        <v>0.42</v>
      </c>
      <c r="CD113" cm="1">
        <f t="array" ref="CD113">numeng*InterpolateXY(CD$90,CC113,Tmax_h,Tmax_M,Tmax_table)</f>
        <v>1520.0067392085523</v>
      </c>
      <c r="CE113" cm="1">
        <f t="array" ref="CE113">1*CD$91/(S*Linterp(CD$90,atmos_h,atmos_qms)*CC113^2)</f>
        <v>1.5466375581741423</v>
      </c>
      <c r="CF113" t="e" cm="1">
        <f t="array" ref="CF113">InterpolateXY(CE113,CC113,CD_CL,CD_M,CD_table)</f>
        <v>#VALUE!</v>
      </c>
      <c r="CG113" t="e" cm="1">
        <f t="array" ref="CG113">CF113*S*Linterp(CD$90,atmos_h,atmos_qms)*CC113^2</f>
        <v>#VALUE!</v>
      </c>
      <c r="CH113" cm="1">
        <f t="array" ref="CH113">CC113*Linterp(CD$90,atmos_h,atmos_aspeed)</f>
        <v>406.60221437700216</v>
      </c>
      <c r="CI113" s="162" t="e">
        <f t="shared" si="27"/>
        <v>#VALUE!</v>
      </c>
      <c r="CK113">
        <v>0.42</v>
      </c>
      <c r="CL113" cm="1">
        <f t="array" ref="CL113">numeng*InterpolateXY(CL$90,CK113,Tmax_h,Tmax_M,Tmax_table)</f>
        <v>1144.1500805845487</v>
      </c>
      <c r="CM113" cm="1">
        <f t="array" ref="CM113">1*CL$91/(S*Linterp(CL$90,atmos_h,atmos_qms)*CK113^2)</f>
        <v>1.9667880039161878</v>
      </c>
      <c r="CN113" t="e" cm="1">
        <f t="array" ref="CN113">InterpolateXY(CM113,CK113,CD_CL,CD_M,CD_table)</f>
        <v>#VALUE!</v>
      </c>
      <c r="CO113" t="e" cm="1">
        <f t="array" ref="CO113">CN113*S*Linterp(CL$90,atmos_h,atmos_qms)*CK113^2</f>
        <v>#VALUE!</v>
      </c>
      <c r="CP113" cm="1">
        <f t="array" ref="CP113">CK113*Linterp(CL$90,atmos_h,atmos_aspeed)</f>
        <v>406.60221437700216</v>
      </c>
      <c r="CQ113" s="162" t="e">
        <f t="shared" si="28"/>
        <v>#VALUE!</v>
      </c>
    </row>
    <row r="114" spans="9:95">
      <c r="I114">
        <v>0.43</v>
      </c>
      <c r="J114" cm="1">
        <f t="array" ref="J114">numeng*InterpolateXY(J$90,I114,Tmax_h,Tmax_M,Tmax_table)</f>
        <v>6532</v>
      </c>
      <c r="K114" cm="1">
        <f t="array" ref="K114">1*J$91/(S*Linterp(J$90,atmos_h,atmos_qms)*I114^2)</f>
        <v>0.21476094828636683</v>
      </c>
      <c r="L114" cm="1">
        <f t="array" ref="L114">InterpolateXY(K114,I114,CD_CL,CD_M,CD_table)</f>
        <v>2.1262559267897926E-2</v>
      </c>
      <c r="M114" cm="1">
        <f t="array" ref="M114">L114*S*Linterp(J$90,atmos_h,atmos_qms)*I114^2</f>
        <v>990.05705821087997</v>
      </c>
      <c r="N114" cm="1">
        <f t="array" ref="N114">I114*Linterp(J$90,atmos_h,atmos_aspeed)</f>
        <v>480.07350000000002</v>
      </c>
      <c r="O114" s="162">
        <f t="shared" si="18"/>
        <v>15963.239669189996</v>
      </c>
      <c r="Q114">
        <v>0.43</v>
      </c>
      <c r="R114" cm="1">
        <f t="array" ref="R114">numeng*InterpolateXY(R$90,Q114,Tmax_h,Tmax_M,Tmax_table)</f>
        <v>5850.7260830094319</v>
      </c>
      <c r="S114" cm="1">
        <f t="array" ref="S114">1*R$91/(S*Linterp(R$90,atmos_h,atmos_qms)*Q114^2)</f>
        <v>0.25811153651709695</v>
      </c>
      <c r="T114" cm="1">
        <f t="array" ref="T114">InterpolateXY(S114,Q114,CD_CL,CD_M,CD_table)</f>
        <v>2.3971971032318559E-2</v>
      </c>
      <c r="U114" cm="1">
        <f t="array" ref="U114">T114*S*Linterp(R$90,atmos_h,atmos_qms)*Q114^2</f>
        <v>928.74465650746652</v>
      </c>
      <c r="V114" cm="1">
        <f t="array" ref="V114">Q114*Linterp(R$90,atmos_h,atmos_aspeed)</f>
        <v>471.74974333920682</v>
      </c>
      <c r="W114" s="162">
        <f t="shared" si="19"/>
        <v>13931.660848035868</v>
      </c>
      <c r="Y114">
        <v>0.43</v>
      </c>
      <c r="Z114" cm="1">
        <f t="array" ref="Z114">numeng*InterpolateXY(Z$90,Y114,Tmax_h,Tmax_M,Tmax_table)</f>
        <v>5204.7724601447062</v>
      </c>
      <c r="AA114" cm="1">
        <f t="array" ref="AA114">1*Z$91/(S*Linterp(Z$90,atmos_h,atmos_qms)*Y114^2)</f>
        <v>0.31228736309310906</v>
      </c>
      <c r="AB114" cm="1">
        <f t="array" ref="AB114">InterpolateXY(AA114,Y114,CD_CL,CD_M,CD_table)</f>
        <v>2.758834825131511E-2</v>
      </c>
      <c r="AC114" cm="1">
        <f t="array" ref="AC114">AB114*S*Linterp(Z$90,atmos_h,atmos_qms)*Y114^2</f>
        <v>883.42826229217587</v>
      </c>
      <c r="AD114" cm="1">
        <f t="array" ref="AD114">Y114*Linterp(Z$90,atmos_h,atmos_aspeed)</f>
        <v>463.27645664221387</v>
      </c>
      <c r="AE114" s="162">
        <f t="shared" si="20"/>
        <v>12011.862167475063</v>
      </c>
      <c r="AG114">
        <v>0.43</v>
      </c>
      <c r="AH114" cm="1">
        <f t="array" ref="AH114">numeng*InterpolateXY(AH$90,AG114,Tmax_h,Tmax_M,Tmax_table)</f>
        <v>4543.0592570637345</v>
      </c>
      <c r="AI114" cm="1">
        <f t="array" ref="AI114">1*AH$91/(S*Linterp(AH$90,atmos_h,atmos_qms)*AG114^2)</f>
        <v>0.38055209361924014</v>
      </c>
      <c r="AJ114" cm="1">
        <f t="array" ref="AJ114">InterpolateXY(AI114,AG114,CD_CL,CD_M,CD_table)</f>
        <v>3.4983259270527291E-2</v>
      </c>
      <c r="AK114" cm="1">
        <f t="array" ref="AK114">AJ114*S*Linterp(AH$90,atmos_h,atmos_qms)*AG114^2</f>
        <v>919.2764895291748</v>
      </c>
      <c r="AL114" cm="1">
        <f t="array" ref="AL114">AG114*Linterp(AH$90,atmos_h,atmos_aspeed)</f>
        <v>454.64527955024727</v>
      </c>
      <c r="AM114" s="162">
        <f t="shared" si="21"/>
        <v>9885.2143762507112</v>
      </c>
      <c r="AO114">
        <v>0.43</v>
      </c>
      <c r="AP114" cm="1">
        <f t="array" ref="AP114">numeng*InterpolateXY(AP$90,AO114,Tmax_h,Tmax_M,Tmax_table)</f>
        <v>3938.500797452733</v>
      </c>
      <c r="AQ114" cm="1">
        <f t="array" ref="AQ114">1*AP$91/(S*Linterp(AP$90,atmos_h,atmos_qms)*AO114^2)</f>
        <v>0.46733671193776</v>
      </c>
      <c r="AR114" cm="1">
        <f t="array" ref="AR114">InterpolateXY(AQ114,AO114,CD_CL,CD_M,CD_table)</f>
        <v>5.127467909948976E-2</v>
      </c>
      <c r="AS114" cm="1">
        <f t="array" ref="AS114">AR114*S*Linterp(AP$90,atmos_h,atmos_qms)*AO114^2</f>
        <v>1097.1677976439082</v>
      </c>
      <c r="AT114" cm="1">
        <f t="array" ref="AT114">AO114*Linterp(AP$90,atmos_h,atmos_aspeed)</f>
        <v>445.84704233142565</v>
      </c>
      <c r="AU114" s="162">
        <f t="shared" si="22"/>
        <v>7600.7994854606513</v>
      </c>
      <c r="AW114">
        <v>0.43</v>
      </c>
      <c r="AX114" cm="1">
        <f t="array" ref="AX114">numeng*InterpolateXY(AX$90,AW114,Tmax_h,Tmax_M,Tmax_table)</f>
        <v>3389.5307485527951</v>
      </c>
      <c r="AY114" cm="1">
        <f t="array" ref="AY114">1*AX$91/(S*Linterp(AX$90,atmos_h,atmos_qms)*AW114^2)</f>
        <v>0.57872845213636548</v>
      </c>
      <c r="AZ114" cm="1">
        <f t="array" ref="AZ114">InterpolateXY(AY114,AW114,CD_CL,CD_M,CD_table)</f>
        <v>8.24820055186824E-2</v>
      </c>
      <c r="BA114" cm="1">
        <f t="array" ref="BA114">AZ114*S*Linterp(AX$90,atmos_h,atmos_qms)*AW114^2</f>
        <v>1425.2281050672659</v>
      </c>
      <c r="BB114" cm="1">
        <f t="array" ref="BB114">AW114*Linterp(AX$90,atmos_h,atmos_aspeed)</f>
        <v>436.87165174000188</v>
      </c>
      <c r="BC114" s="162">
        <f t="shared" si="23"/>
        <v>5148.8888422606515</v>
      </c>
      <c r="BE114">
        <v>0.43</v>
      </c>
      <c r="BF114" cm="1">
        <f t="array" ref="BF114">numeng*InterpolateXY(BF$90,BE114,Tmax_h,Tmax_M,Tmax_table)</f>
        <v>2894.2473334598244</v>
      </c>
      <c r="BG114" cm="1">
        <f t="array" ref="BG114">1*BF$91/(S*Linterp(BF$90,atmos_h,atmos_qms)*BE114^2)</f>
        <v>0.72319721348858501</v>
      </c>
      <c r="BH114" cm="1">
        <f t="array" ref="BH114">InterpolateXY(BG114,BE114,CD_CL,CD_M,CD_table)</f>
        <v>0.14648581809552411</v>
      </c>
      <c r="BI114" cm="1">
        <f t="array" ref="BI114">BH114*S*Linterp(BF$90,atmos_h,atmos_qms)*BE114^2</f>
        <v>2025.5307316368171</v>
      </c>
      <c r="BJ114" cm="1">
        <f t="array" ref="BJ114">BE114*Linterp(BF$90,atmos_h,atmos_aspeed)</f>
        <v>427.70795530641578</v>
      </c>
      <c r="BK114" s="162">
        <f t="shared" si="24"/>
        <v>2229.3420090387372</v>
      </c>
      <c r="BM114">
        <v>0.43</v>
      </c>
      <c r="BN114" cm="1">
        <f t="array" ref="BN114">numeng*InterpolateXY(BN$90,BM114,Tmax_h,Tmax_M,Tmax_table)</f>
        <v>2450.4544156428183</v>
      </c>
      <c r="BO114" cm="1">
        <f t="array" ref="BO114">1*BN$91/(S*Linterp(BN$90,atmos_h,atmos_qms)*BM114^2)</f>
        <v>0.91269223431329971</v>
      </c>
      <c r="BP114" t="e" cm="1">
        <f t="array" ref="BP114">InterpolateXY(BO114,BM114,CD_CL,CD_M,CD_table)</f>
        <v>#VALUE!</v>
      </c>
      <c r="BQ114" t="e" cm="1">
        <f t="array" ref="BQ114">BP114*S*Linterp(BN$90,atmos_h,atmos_qms)*BM114^2</f>
        <v>#VALUE!</v>
      </c>
      <c r="BR114" cm="1">
        <f t="array" ref="BR114">BM114*Linterp(BN$90,atmos_h,atmos_aspeed)</f>
        <v>418.34357885684403</v>
      </c>
      <c r="BS114" s="162" t="e">
        <f t="shared" si="25"/>
        <v>#VALUE!</v>
      </c>
      <c r="BU114">
        <v>0.43</v>
      </c>
      <c r="BV114" cm="1">
        <f t="array" ref="BV114">numeng*InterpolateXY(BV$90,BU114,Tmax_h,Tmax_M,Tmax_table)</f>
        <v>1989.0494566725204</v>
      </c>
      <c r="BW114" cm="1">
        <f t="array" ref="BW114">1*BV$91/(S*Linterp(BV$90,atmos_h,atmos_qms)*BU114^2)</f>
        <v>1.160329205182564</v>
      </c>
      <c r="BX114" t="e" cm="1">
        <f t="array" ref="BX114">InterpolateXY(BW114,BU114,CD_CL,CD_M,CD_table)</f>
        <v>#VALUE!</v>
      </c>
      <c r="BY114" t="e" cm="1">
        <f t="array" ref="BY114">BX114*S*Linterp(BV$90,atmos_h,atmos_qms)*BU114^2</f>
        <v>#VALUE!</v>
      </c>
      <c r="BZ114" cm="1">
        <f t="array" ref="BZ114">BU114*Linterp(BV$90,atmos_h,atmos_aspeed)</f>
        <v>416.28321948121652</v>
      </c>
      <c r="CA114" s="162" t="e">
        <f t="shared" si="26"/>
        <v>#VALUE!</v>
      </c>
      <c r="CC114">
        <v>0.43</v>
      </c>
      <c r="CD114" cm="1">
        <f t="array" ref="CD114">numeng*InterpolateXY(CD$90,CC114,Tmax_h,Tmax_M,Tmax_table)</f>
        <v>1530.8473374504881</v>
      </c>
      <c r="CE114" cm="1">
        <f t="array" ref="CE114">1*CD$91/(S*Linterp(CD$90,atmos_h,atmos_qms)*CC114^2)</f>
        <v>1.4755374000103769</v>
      </c>
      <c r="CF114" t="e" cm="1">
        <f t="array" ref="CF114">InterpolateXY(CE114,CC114,CD_CL,CD_M,CD_table)</f>
        <v>#VALUE!</v>
      </c>
      <c r="CG114" t="e" cm="1">
        <f t="array" ref="CG114">CF114*S*Linterp(CD$90,atmos_h,atmos_qms)*CC114^2</f>
        <v>#VALUE!</v>
      </c>
      <c r="CH114" cm="1">
        <f t="array" ref="CH114">CC114*Linterp(CD$90,atmos_h,atmos_aspeed)</f>
        <v>416.28321948121652</v>
      </c>
      <c r="CI114" s="162" t="e">
        <f t="shared" si="27"/>
        <v>#VALUE!</v>
      </c>
      <c r="CK114">
        <v>0.43</v>
      </c>
      <c r="CL114" cm="1">
        <f t="array" ref="CL114">numeng*InterpolateXY(CL$90,CK114,Tmax_h,Tmax_M,Tmax_table)</f>
        <v>1151.457052892699</v>
      </c>
      <c r="CM114" cm="1">
        <f t="array" ref="CM114">1*CL$91/(S*Linterp(CL$90,atmos_h,atmos_qms)*CK114^2)</f>
        <v>1.8763731957318308</v>
      </c>
      <c r="CN114" t="e" cm="1">
        <f t="array" ref="CN114">InterpolateXY(CM114,CK114,CD_CL,CD_M,CD_table)</f>
        <v>#VALUE!</v>
      </c>
      <c r="CO114" t="e" cm="1">
        <f t="array" ref="CO114">CN114*S*Linterp(CL$90,atmos_h,atmos_qms)*CK114^2</f>
        <v>#VALUE!</v>
      </c>
      <c r="CP114" cm="1">
        <f t="array" ref="CP114">CK114*Linterp(CL$90,atmos_h,atmos_aspeed)</f>
        <v>416.28321948121652</v>
      </c>
      <c r="CQ114" s="162" t="e">
        <f t="shared" si="28"/>
        <v>#VALUE!</v>
      </c>
    </row>
    <row r="115" spans="9:95">
      <c r="I115">
        <v>0.44</v>
      </c>
      <c r="J115" cm="1">
        <f t="array" ref="J115">numeng*InterpolateXY(J$90,I115,Tmax_h,Tmax_M,Tmax_table)</f>
        <v>6556</v>
      </c>
      <c r="K115" cm="1">
        <f t="array" ref="K115">1*J$91/(S*Linterp(J$90,atmos_h,atmos_qms)*I115^2)</f>
        <v>0.20511001724250633</v>
      </c>
      <c r="L115" cm="1">
        <f t="array" ref="L115">InterpolateXY(K115,I115,CD_CL,CD_M,CD_table)</f>
        <v>2.0639376077656646E-2</v>
      </c>
      <c r="M115" cm="1">
        <f t="array" ref="M115">L115*S*Linterp(J$90,atmos_h,atmos_qms)*I115^2</f>
        <v>1006.2588046713599</v>
      </c>
      <c r="N115" cm="1">
        <f t="array" ref="N115">I115*Linterp(J$90,atmos_h,atmos_aspeed)</f>
        <v>491.238</v>
      </c>
      <c r="O115" s="162">
        <f t="shared" si="18"/>
        <v>16357.462591865102</v>
      </c>
      <c r="Q115">
        <v>0.44</v>
      </c>
      <c r="R115" cm="1">
        <f t="array" ref="R115">numeng*InterpolateXY(R$90,Q115,Tmax_h,Tmax_M,Tmax_table)</f>
        <v>5876.5761246133025</v>
      </c>
      <c r="S115" cm="1">
        <f t="array" ref="S115">1*R$91/(S*Linterp(R$90,atmos_h,atmos_qms)*Q115^2)</f>
        <v>0.24651251602278523</v>
      </c>
      <c r="T115" cm="1">
        <f t="array" ref="T115">InterpolateXY(S115,Q115,CD_CL,CD_M,CD_table)</f>
        <v>2.3227032251424078E-2</v>
      </c>
      <c r="U115" cm="1">
        <f t="array" ref="U115">T115*S*Linterp(R$90,atmos_h,atmos_qms)*Q115^2</f>
        <v>942.2252722160847</v>
      </c>
      <c r="V115" cm="1">
        <f t="array" ref="V115">Q115*Linterp(R$90,atmos_h,atmos_aspeed)</f>
        <v>482.72066760290932</v>
      </c>
      <c r="W115" s="162">
        <f t="shared" si="19"/>
        <v>14291.478825937018</v>
      </c>
      <c r="Y115">
        <v>0.44</v>
      </c>
      <c r="Z115" cm="1">
        <f t="array" ref="Z115">numeng*InterpolateXY(Z$90,Y115,Tmax_h,Tmax_M,Tmax_table)</f>
        <v>5231.3575635166144</v>
      </c>
      <c r="AA115" cm="1">
        <f t="array" ref="AA115">1*Z$91/(S*Linterp(Z$90,atmos_h,atmos_qms)*Y115^2)</f>
        <v>0.29825378840865635</v>
      </c>
      <c r="AB115" cm="1">
        <f t="array" ref="AB115">InterpolateXY(AA115,Y115,CD_CL,CD_M,CD_table)</f>
        <v>2.6460861775541022E-2</v>
      </c>
      <c r="AC115" cm="1">
        <f t="array" ref="AC115">AB115*S*Linterp(Z$90,atmos_h,atmos_qms)*Y115^2</f>
        <v>887.19281376856577</v>
      </c>
      <c r="AD115" cm="1">
        <f t="array" ref="AD115">Y115*Linterp(Z$90,atmos_h,atmos_aspeed)</f>
        <v>474.05032772691652</v>
      </c>
      <c r="AE115" s="162">
        <f t="shared" si="20"/>
        <v>12356.116339906686</v>
      </c>
      <c r="AG115">
        <v>0.44</v>
      </c>
      <c r="AH115" cm="1">
        <f t="array" ref="AH115">numeng*InterpolateXY(AH$90,AG115,Tmax_h,Tmax_M,Tmax_table)</f>
        <v>4568.2285604269691</v>
      </c>
      <c r="AI115" cm="1">
        <f t="array" ref="AI115">1*AH$91/(S*Linterp(AH$90,atmos_h,atmos_qms)*AG115^2)</f>
        <v>0.36345083734606143</v>
      </c>
      <c r="AJ115" cm="1">
        <f t="array" ref="AJ115">InterpolateXY(AI115,AG115,CD_CL,CD_M,CD_table)</f>
        <v>3.2539156193804208E-2</v>
      </c>
      <c r="AK115" cm="1">
        <f t="array" ref="AK115">AJ115*S*Linterp(AH$90,atmos_h,atmos_qms)*AG115^2</f>
        <v>895.28356658652842</v>
      </c>
      <c r="AL115" cm="1">
        <f t="array" ref="AL115">AG115*Linterp(AH$90,atmos_h,atmos_aspeed)</f>
        <v>465.21842558629953</v>
      </c>
      <c r="AM115" s="162">
        <f t="shared" si="21"/>
        <v>10252.330123797181</v>
      </c>
      <c r="AO115">
        <v>0.44</v>
      </c>
      <c r="AP115" cm="1">
        <f t="array" ref="AP115">numeng*InterpolateXY(AP$90,AO115,Tmax_h,Tmax_M,Tmax_table)</f>
        <v>3961.9442545804282</v>
      </c>
      <c r="AQ115" cm="1">
        <f t="array" ref="AQ115">1*AP$91/(S*Linterp(AP$90,atmos_h,atmos_qms)*AO115^2)</f>
        <v>0.44633552705212715</v>
      </c>
      <c r="AR115" cm="1">
        <f t="array" ref="AR115">InterpolateXY(AQ115,AO115,CD_CL,CD_M,CD_table)</f>
        <v>4.7033440937477557E-2</v>
      </c>
      <c r="AS115" cm="1">
        <f t="array" ref="AS115">AR115*S*Linterp(AP$90,atmos_h,atmos_qms)*AO115^2</f>
        <v>1053.7687028436919</v>
      </c>
      <c r="AT115" cm="1">
        <f t="array" ref="AT115">AO115*Linterp(AP$90,atmos_h,atmos_aspeed)</f>
        <v>456.21557819959833</v>
      </c>
      <c r="AU115" s="162">
        <f t="shared" si="22"/>
        <v>7960.5299450490666</v>
      </c>
      <c r="AW115">
        <v>0.44</v>
      </c>
      <c r="AX115" cm="1">
        <f t="array" ref="AX115">numeng*InterpolateXY(AX$90,AW115,Tmax_h,Tmax_M,Tmax_table)</f>
        <v>3411.0401980412316</v>
      </c>
      <c r="AY115" cm="1">
        <f t="array" ref="AY115">1*AX$91/(S*Linterp(AX$90,atmos_h,atmos_qms)*AW115^2)</f>
        <v>0.55272154338850188</v>
      </c>
      <c r="AZ115" cm="1">
        <f t="array" ref="AZ115">InterpolateXY(AY115,AW115,CD_CL,CD_M,CD_table)</f>
        <v>7.4321843080601094E-2</v>
      </c>
      <c r="BA115" cm="1">
        <f t="array" ref="BA115">AZ115*S*Linterp(AX$90,atmos_h,atmos_qms)*AW115^2</f>
        <v>1344.6525464696983</v>
      </c>
      <c r="BB115" cm="1">
        <f t="array" ref="BB115">AW115*Linterp(AX$90,atmos_h,atmos_aspeed)</f>
        <v>447.03145759442054</v>
      </c>
      <c r="BC115" s="162">
        <f t="shared" si="23"/>
        <v>5542.4417030228051</v>
      </c>
      <c r="BE115">
        <v>0.44</v>
      </c>
      <c r="BF115" cm="1">
        <f t="array" ref="BF115">numeng*InterpolateXY(BF$90,BE115,Tmax_h,Tmax_M,Tmax_table)</f>
        <v>2913.7019432504026</v>
      </c>
      <c r="BG115" cm="1">
        <f t="array" ref="BG115">1*BF$91/(S*Linterp(BF$90,atmos_h,atmos_qms)*BE115^2)</f>
        <v>0.69069816515516202</v>
      </c>
      <c r="BH115" cm="1">
        <f t="array" ref="BH115">InterpolateXY(BG115,BE115,CD_CL,CD_M,CD_table)</f>
        <v>0.12884579633796098</v>
      </c>
      <c r="BI115" cm="1">
        <f t="array" ref="BI115">BH115*S*Linterp(BF$90,atmos_h,atmos_qms)*BE115^2</f>
        <v>1865.4428640188498</v>
      </c>
      <c r="BJ115" cm="1">
        <f t="array" ref="BJ115">BE115*Linterp(BF$90,atmos_h,atmos_aspeed)</f>
        <v>437.65465194144872</v>
      </c>
      <c r="BK115" s="162">
        <f t="shared" si="24"/>
        <v>2752.6527747932923</v>
      </c>
      <c r="BM115">
        <v>0.44</v>
      </c>
      <c r="BN115" cm="1">
        <f t="array" ref="BN115">numeng*InterpolateXY(BN$90,BM115,Tmax_h,Tmax_M,Tmax_table)</f>
        <v>2467.8071530322973</v>
      </c>
      <c r="BO115" cm="1">
        <f t="array" ref="BO115">1*BN$91/(S*Linterp(BN$90,atmos_h,atmos_qms)*BM115^2)</f>
        <v>0.87167765560190658</v>
      </c>
      <c r="BP115" t="e" cm="1">
        <f t="array" ref="BP115">InterpolateXY(BO115,BM115,CD_CL,CD_M,CD_table)</f>
        <v>#VALUE!</v>
      </c>
      <c r="BQ115" t="e" cm="1">
        <f t="array" ref="BQ115">BP115*S*Linterp(BN$90,atmos_h,atmos_qms)*BM115^2</f>
        <v>#VALUE!</v>
      </c>
      <c r="BR115" cm="1">
        <f t="array" ref="BR115">BM115*Linterp(BN$90,atmos_h,atmos_aspeed)</f>
        <v>428.07249929537528</v>
      </c>
      <c r="BS115" s="162" t="e">
        <f t="shared" si="25"/>
        <v>#VALUE!</v>
      </c>
      <c r="BU115">
        <v>0.44</v>
      </c>
      <c r="BV115" cm="1">
        <f t="array" ref="BV115">numeng*InterpolateXY(BV$90,BU115,Tmax_h,Tmax_M,Tmax_table)</f>
        <v>2003.8196259052372</v>
      </c>
      <c r="BW115" cm="1">
        <f t="array" ref="BW115">1*BV$91/(S*Linterp(BV$90,atmos_h,atmos_qms)*BU115^2)</f>
        <v>1.1081863121810747</v>
      </c>
      <c r="BX115" t="e" cm="1">
        <f t="array" ref="BX115">InterpolateXY(BW115,BU115,CD_CL,CD_M,CD_table)</f>
        <v>#VALUE!</v>
      </c>
      <c r="BY115" t="e" cm="1">
        <f t="array" ref="BY115">BX115*S*Linterp(BV$90,atmos_h,atmos_qms)*BU115^2</f>
        <v>#VALUE!</v>
      </c>
      <c r="BZ115" cm="1">
        <f t="array" ref="BZ115">BU115*Linterp(BV$90,atmos_h,atmos_aspeed)</f>
        <v>425.96422458543088</v>
      </c>
      <c r="CA115" s="162" t="e">
        <f t="shared" si="26"/>
        <v>#VALUE!</v>
      </c>
      <c r="CC115">
        <v>0.44</v>
      </c>
      <c r="CD115" cm="1">
        <f t="array" ref="CD115">numeng*InterpolateXY(CD$90,CC115,Tmax_h,Tmax_M,Tmax_table)</f>
        <v>1541.6879356924237</v>
      </c>
      <c r="CE115" cm="1">
        <f t="array" ref="CE115">1*CD$91/(S*Linterp(CD$90,atmos_h,atmos_qms)*CC115^2)</f>
        <v>1.4092296759396625</v>
      </c>
      <c r="CF115" t="e" cm="1">
        <f t="array" ref="CF115">InterpolateXY(CE115,CC115,CD_CL,CD_M,CD_table)</f>
        <v>#VALUE!</v>
      </c>
      <c r="CG115" t="e" cm="1">
        <f t="array" ref="CG115">CF115*S*Linterp(CD$90,atmos_h,atmos_qms)*CC115^2</f>
        <v>#VALUE!</v>
      </c>
      <c r="CH115" cm="1">
        <f t="array" ref="CH115">CC115*Linterp(CD$90,atmos_h,atmos_aspeed)</f>
        <v>425.96422458543088</v>
      </c>
      <c r="CI115" s="162" t="e">
        <f t="shared" si="27"/>
        <v>#VALUE!</v>
      </c>
      <c r="CK115">
        <v>0.44</v>
      </c>
      <c r="CL115" cm="1">
        <f t="array" ref="CL115">numeng*InterpolateXY(CL$90,CK115,Tmax_h,Tmax_M,Tmax_table)</f>
        <v>1158.7640252008496</v>
      </c>
      <c r="CM115" cm="1">
        <f t="array" ref="CM115">1*CL$91/(S*Linterp(CL$90,atmos_h,atmos_qms)*CK115^2)</f>
        <v>1.7920527060476008</v>
      </c>
      <c r="CN115" t="e" cm="1">
        <f t="array" ref="CN115">InterpolateXY(CM115,CK115,CD_CL,CD_M,CD_table)</f>
        <v>#VALUE!</v>
      </c>
      <c r="CO115" t="e" cm="1">
        <f t="array" ref="CO115">CN115*S*Linterp(CL$90,atmos_h,atmos_qms)*CK115^2</f>
        <v>#VALUE!</v>
      </c>
      <c r="CP115" cm="1">
        <f t="array" ref="CP115">CK115*Linterp(CL$90,atmos_h,atmos_aspeed)</f>
        <v>425.96422458543088</v>
      </c>
      <c r="CQ115" s="162" t="e">
        <f t="shared" si="28"/>
        <v>#VALUE!</v>
      </c>
    </row>
    <row r="116" spans="9:95">
      <c r="I116">
        <v>0.45</v>
      </c>
      <c r="J116" cm="1">
        <f t="array" ref="J116">numeng*InterpolateXY(J$90,I116,Tmax_h,Tmax_M,Tmax_table)</f>
        <v>6580</v>
      </c>
      <c r="K116" cm="1">
        <f t="array" ref="K116">1*J$91/(S*Linterp(J$90,atmos_h,atmos_qms)*I116^2)</f>
        <v>0.19609530537357639</v>
      </c>
      <c r="L116" cm="1">
        <f t="array" ref="L116">InterpolateXY(K116,I116,CD_CL,CD_M,CD_table)</f>
        <v>2.0153573951509116E-2</v>
      </c>
      <c r="M116" cm="1">
        <f t="array" ref="M116">L116*S*Linterp(J$90,atmos_h,atmos_qms)*I116^2</f>
        <v>1027.7438265600001</v>
      </c>
      <c r="N116" cm="1">
        <f t="array" ref="N116">I116*Linterp(J$90,atmos_h,atmos_aspeed)</f>
        <v>502.40250000000003</v>
      </c>
      <c r="O116" s="162">
        <f t="shared" si="18"/>
        <v>16736.80429306014</v>
      </c>
      <c r="Q116">
        <v>0.45</v>
      </c>
      <c r="R116" cm="1">
        <f t="array" ref="R116">numeng*InterpolateXY(R$90,Q116,Tmax_h,Tmax_M,Tmax_table)</f>
        <v>5902.4261662171739</v>
      </c>
      <c r="S116" cm="1">
        <f t="array" ref="S116">1*R$91/(S*Linterp(R$90,atmos_h,atmos_qms)*Q116^2)</f>
        <v>0.23567813877536403</v>
      </c>
      <c r="T116" cm="1">
        <f t="array" ref="T116">InterpolateXY(S116,Q116,CD_CL,CD_M,CD_table)</f>
        <v>2.2529883673460253E-2</v>
      </c>
      <c r="U116" cm="1">
        <f t="array" ref="U116">T116*S*Linterp(R$90,atmos_h,atmos_qms)*Q116^2</f>
        <v>955.95984381625442</v>
      </c>
      <c r="V116" cm="1">
        <f t="array" ref="V116">Q116*Linterp(R$90,atmos_h,atmos_aspeed)</f>
        <v>493.69159186661182</v>
      </c>
      <c r="W116" s="162">
        <f t="shared" si="19"/>
        <v>14652.172996924168</v>
      </c>
      <c r="Y116">
        <v>0.45</v>
      </c>
      <c r="Z116" cm="1">
        <f t="array" ref="Z116">numeng*InterpolateXY(Z$90,Y116,Tmax_h,Tmax_M,Tmax_table)</f>
        <v>5257.9426668885226</v>
      </c>
      <c r="AA116" cm="1">
        <f t="array" ref="AA116">1*Z$91/(S*Linterp(Z$90,atmos_h,atmos_qms)*Y116^2)</f>
        <v>0.28514535030081906</v>
      </c>
      <c r="AB116" cm="1">
        <f t="array" ref="AB116">InterpolateXY(AA116,Y116,CD_CL,CD_M,CD_table)</f>
        <v>2.5621584393801192E-2</v>
      </c>
      <c r="AC116" cm="1">
        <f t="array" ref="AC116">AB116*S*Linterp(Z$90,atmos_h,atmos_qms)*Y116^2</f>
        <v>898.54470243934395</v>
      </c>
      <c r="AD116" cm="1">
        <f t="array" ref="AD116">Y116*Linterp(Z$90,atmos_h,atmos_aspeed)</f>
        <v>484.82419881161917</v>
      </c>
      <c r="AE116" s="162">
        <f t="shared" si="20"/>
        <v>12681.249752490459</v>
      </c>
      <c r="AG116">
        <v>0.45</v>
      </c>
      <c r="AH116" cm="1">
        <f t="array" ref="AH116">numeng*InterpolateXY(AH$90,AG116,Tmax_h,Tmax_M,Tmax_table)</f>
        <v>4593.3978637902028</v>
      </c>
      <c r="AI116" cm="1">
        <f t="array" ref="AI116">1*AH$91/(S*Linterp(AH$90,atmos_h,atmos_qms)*AG116^2)</f>
        <v>0.34747694869233325</v>
      </c>
      <c r="AJ116" cm="1">
        <f t="array" ref="AJ116">InterpolateXY(AI116,AG116,CD_CL,CD_M,CD_table)</f>
        <v>3.0407502081252077E-2</v>
      </c>
      <c r="AK116" cm="1">
        <f t="array" ref="AK116">AJ116*S*Linterp(AH$90,atmos_h,atmos_qms)*AG116^2</f>
        <v>875.09408021698198</v>
      </c>
      <c r="AL116" cm="1">
        <f t="array" ref="AL116">AG116*Linterp(AH$90,atmos_h,atmos_aspeed)</f>
        <v>475.7915716223518</v>
      </c>
      <c r="AM116" s="162">
        <f t="shared" si="21"/>
        <v>10614.825605733839</v>
      </c>
      <c r="AO116">
        <v>0.45</v>
      </c>
      <c r="AP116" cm="1">
        <f t="array" ref="AP116">numeng*InterpolateXY(AP$90,AO116,Tmax_h,Tmax_M,Tmax_table)</f>
        <v>3985.3877117081229</v>
      </c>
      <c r="AQ116" cm="1">
        <f t="array" ref="AQ116">1*AP$91/(S*Linterp(AP$90,atmos_h,atmos_qms)*AO116^2)</f>
        <v>0.42671880512242871</v>
      </c>
      <c r="AR116" cm="1">
        <f t="array" ref="AR116">InterpolateXY(AQ116,AO116,CD_CL,CD_M,CD_table)</f>
        <v>4.3070479829608169E-2</v>
      </c>
      <c r="AS116" cm="1">
        <f t="array" ref="AS116">AR116*S*Linterp(AP$90,atmos_h,atmos_qms)*AO116^2</f>
        <v>1009.3410300314968</v>
      </c>
      <c r="AT116" cm="1">
        <f t="array" ref="AT116">AO116*Linterp(AP$90,atmos_h,atmos_aspeed)</f>
        <v>466.58411406777105</v>
      </c>
      <c r="AU116" s="162">
        <f t="shared" si="22"/>
        <v>8331.456626366511</v>
      </c>
      <c r="AW116">
        <v>0.45</v>
      </c>
      <c r="AX116" cm="1">
        <f t="array" ref="AX116">numeng*InterpolateXY(AX$90,AW116,Tmax_h,Tmax_M,Tmax_table)</f>
        <v>3432.5496475296682</v>
      </c>
      <c r="AY116" cm="1">
        <f t="array" ref="AY116">1*AX$91/(S*Linterp(AX$90,atmos_h,atmos_qms)*AW116^2)</f>
        <v>0.52842909037043939</v>
      </c>
      <c r="AZ116" cm="1">
        <f t="array" ref="AZ116">InterpolateXY(AY116,AW116,CD_CL,CD_M,CD_table)</f>
        <v>6.6698305285947529E-2</v>
      </c>
      <c r="BA116" cm="1">
        <f t="array" ref="BA116">AZ116*S*Linterp(AX$90,atmos_h,atmos_qms)*AW116^2</f>
        <v>1262.1997255902527</v>
      </c>
      <c r="BB116" cm="1">
        <f t="array" ref="BB116">AW116*Linterp(AX$90,atmos_h,atmos_aspeed)</f>
        <v>457.19126344883921</v>
      </c>
      <c r="BC116" s="162">
        <f t="shared" si="23"/>
        <v>5953.5901376254242</v>
      </c>
      <c r="BE116">
        <v>0.45</v>
      </c>
      <c r="BF116" cm="1">
        <f t="array" ref="BF116">numeng*InterpolateXY(BF$90,BE116,Tmax_h,Tmax_M,Tmax_table)</f>
        <v>2933.1565530409807</v>
      </c>
      <c r="BG116" cm="1">
        <f t="array" ref="BG116">1*BF$91/(S*Linterp(BF$90,atmos_h,atmos_qms)*BE116^2)</f>
        <v>0.66034155443970055</v>
      </c>
      <c r="BH116" cm="1">
        <f t="array" ref="BH116">InterpolateXY(BG116,BE116,CD_CL,CD_M,CD_table)</f>
        <v>0.11552960084458884</v>
      </c>
      <c r="BI116" cm="1">
        <f t="array" ref="BI116">BH116*S*Linterp(BF$90,atmos_h,atmos_qms)*BE116^2</f>
        <v>1749.5430973235611</v>
      </c>
      <c r="BJ116" cm="1">
        <f t="array" ref="BJ116">BE116*Linterp(BF$90,atmos_h,atmos_aspeed)</f>
        <v>447.60134857648166</v>
      </c>
      <c r="BK116" s="162">
        <f t="shared" si="24"/>
        <v>3178.7218738343208</v>
      </c>
      <c r="BM116">
        <v>0.45</v>
      </c>
      <c r="BN116" cm="1">
        <f t="array" ref="BN116">numeng*InterpolateXY(BN$90,BM116,Tmax_h,Tmax_M,Tmax_table)</f>
        <v>2485.1598904217758</v>
      </c>
      <c r="BO116" cm="1">
        <f t="array" ref="BO116">1*BN$91/(S*Linterp(BN$90,atmos_h,atmos_qms)*BM116^2)</f>
        <v>0.83336688456557573</v>
      </c>
      <c r="BP116" t="e" cm="1">
        <f t="array" ref="BP116">InterpolateXY(BO116,BM116,CD_CL,CD_M,CD_table)</f>
        <v>#VALUE!</v>
      </c>
      <c r="BQ116" t="e" cm="1">
        <f t="array" ref="BQ116">BP116*S*Linterp(BN$90,atmos_h,atmos_qms)*BM116^2</f>
        <v>#VALUE!</v>
      </c>
      <c r="BR116" cm="1">
        <f t="array" ref="BR116">BM116*Linterp(BN$90,atmos_h,atmos_aspeed)</f>
        <v>437.80141973390653</v>
      </c>
      <c r="BS116" s="162" t="e">
        <f t="shared" si="25"/>
        <v>#VALUE!</v>
      </c>
      <c r="BU116">
        <v>0.45</v>
      </c>
      <c r="BV116" cm="1">
        <f t="array" ref="BV116">numeng*InterpolateXY(BV$90,BU116,Tmax_h,Tmax_M,Tmax_table)</f>
        <v>2018.5897951379538</v>
      </c>
      <c r="BW116" cm="1">
        <f t="array" ref="BW116">1*BV$91/(S*Linterp(BV$90,atmos_h,atmos_qms)*BU116^2)</f>
        <v>1.0594808396950917</v>
      </c>
      <c r="BX116" t="e" cm="1">
        <f t="array" ref="BX116">InterpolateXY(BW116,BU116,CD_CL,CD_M,CD_table)</f>
        <v>#VALUE!</v>
      </c>
      <c r="BY116" t="e" cm="1">
        <f t="array" ref="BY116">BX116*S*Linterp(BV$90,atmos_h,atmos_qms)*BU116^2</f>
        <v>#VALUE!</v>
      </c>
      <c r="BZ116" cm="1">
        <f t="array" ref="BZ116">BU116*Linterp(BV$90,atmos_h,atmos_aspeed)</f>
        <v>435.64522968964519</v>
      </c>
      <c r="CA116" s="162" t="e">
        <f t="shared" si="26"/>
        <v>#VALUE!</v>
      </c>
      <c r="CC116">
        <v>0.45</v>
      </c>
      <c r="CD116" cm="1">
        <f t="array" ref="CD116">numeng*InterpolateXY(CD$90,CC116,Tmax_h,Tmax_M,Tmax_table)</f>
        <v>1552.5285339343595</v>
      </c>
      <c r="CE116" cm="1">
        <f t="array" ref="CE116">1*CD$91/(S*Linterp(CD$90,atmos_h,atmos_qms)*CC116^2)</f>
        <v>1.3472931617872526</v>
      </c>
      <c r="CF116" t="e" cm="1">
        <f t="array" ref="CF116">InterpolateXY(CE116,CC116,CD_CL,CD_M,CD_table)</f>
        <v>#VALUE!</v>
      </c>
      <c r="CG116" t="e" cm="1">
        <f t="array" ref="CG116">CF116*S*Linterp(CD$90,atmos_h,atmos_qms)*CC116^2</f>
        <v>#VALUE!</v>
      </c>
      <c r="CH116" cm="1">
        <f t="array" ref="CH116">CC116*Linterp(CD$90,atmos_h,atmos_aspeed)</f>
        <v>435.64522968964519</v>
      </c>
      <c r="CI116" s="162" t="e">
        <f t="shared" si="27"/>
        <v>#VALUE!</v>
      </c>
      <c r="CK116">
        <v>0.45</v>
      </c>
      <c r="CL116" cm="1">
        <f t="array" ref="CL116">numeng*InterpolateXY(CL$90,CK116,Tmax_h,Tmax_M,Tmax_table)</f>
        <v>1166.0709975089999</v>
      </c>
      <c r="CM116" cm="1">
        <f t="array" ref="CM116">1*CL$91/(S*Linterp(CL$90,atmos_h,atmos_qms)*CK116^2)</f>
        <v>1.7132908834114342</v>
      </c>
      <c r="CN116" t="e" cm="1">
        <f t="array" ref="CN116">InterpolateXY(CM116,CK116,CD_CL,CD_M,CD_table)</f>
        <v>#VALUE!</v>
      </c>
      <c r="CO116" t="e" cm="1">
        <f t="array" ref="CO116">CN116*S*Linterp(CL$90,atmos_h,atmos_qms)*CK116^2</f>
        <v>#VALUE!</v>
      </c>
      <c r="CP116" cm="1">
        <f t="array" ref="CP116">CK116*Linterp(CL$90,atmos_h,atmos_aspeed)</f>
        <v>435.64522968964519</v>
      </c>
      <c r="CQ116" s="162" t="e">
        <f t="shared" si="28"/>
        <v>#VALUE!</v>
      </c>
    </row>
    <row r="117" spans="9:95">
      <c r="I117">
        <v>0.46</v>
      </c>
      <c r="J117" cm="1">
        <f t="array" ref="J117">numeng*InterpolateXY(J$90,I117,Tmax_h,Tmax_M,Tmax_table)</f>
        <v>6604</v>
      </c>
      <c r="K117" cm="1">
        <f t="array" ref="K117">1*J$91/(S*Linterp(J$90,atmos_h,atmos_qms)*I117^2)</f>
        <v>0.18766209517083754</v>
      </c>
      <c r="L117" cm="1">
        <f t="array" ref="L117">InterpolateXY(K117,I117,CD_CL,CD_M,CD_table)</f>
        <v>1.981732856890641E-2</v>
      </c>
      <c r="M117" cm="1">
        <f t="array" ref="M117">L117*S*Linterp(J$90,atmos_h,atmos_qms)*I117^2</f>
        <v>1056.0112606046403</v>
      </c>
      <c r="N117" cm="1">
        <f t="array" ref="N117">I117*Linterp(J$90,atmos_h,atmos_aspeed)</f>
        <v>513.56700000000001</v>
      </c>
      <c r="O117" s="162">
        <f t="shared" si="18"/>
        <v>17095.58359755034</v>
      </c>
      <c r="Q117">
        <v>0.46</v>
      </c>
      <c r="R117" cm="1">
        <f t="array" ref="R117">numeng*InterpolateXY(R$90,Q117,Tmax_h,Tmax_M,Tmax_table)</f>
        <v>5928.2762078210444</v>
      </c>
      <c r="S117" cm="1">
        <f t="array" ref="S117">1*R$91/(S*Linterp(R$90,atmos_h,atmos_qms)*Q117^2)</f>
        <v>0.2255426422590322</v>
      </c>
      <c r="T117" cm="1">
        <f t="array" ref="T117">InterpolateXY(S117,Q117,CD_CL,CD_M,CD_table)</f>
        <v>2.1876415141189515E-2</v>
      </c>
      <c r="U117" cm="1">
        <f t="array" ref="U117">T117*S*Linterp(R$90,atmos_h,atmos_qms)*Q117^2</f>
        <v>969.94585689320741</v>
      </c>
      <c r="V117" cm="1">
        <f t="array" ref="V117">Q117*Linterp(R$90,atmos_h,atmos_aspeed)</f>
        <v>504.66251613031432</v>
      </c>
      <c r="W117" s="162">
        <f t="shared" si="19"/>
        <v>15013.700824227277</v>
      </c>
      <c r="Y117">
        <v>0.46</v>
      </c>
      <c r="Z117" cm="1">
        <f t="array" ref="Z117">numeng*InterpolateXY(Z$90,Y117,Tmax_h,Tmax_M,Tmax_table)</f>
        <v>5284.5277702604308</v>
      </c>
      <c r="AA117" cm="1">
        <f t="array" ref="AA117">1*Z$91/(S*Linterp(Z$90,atmos_h,atmos_qms)*Y117^2)</f>
        <v>0.27288248315650215</v>
      </c>
      <c r="AB117" cm="1">
        <f t="array" ref="AB117">InterpolateXY(AA117,Y117,CD_CL,CD_M,CD_table)</f>
        <v>2.4835155197281387E-2</v>
      </c>
      <c r="AC117" cm="1">
        <f t="array" ref="AC117">AB117*S*Linterp(Z$90,atmos_h,atmos_qms)*Y117^2</f>
        <v>910.1044123465432</v>
      </c>
      <c r="AD117" cm="1">
        <f t="array" ref="AD117">Y117*Linterp(Z$90,atmos_h,atmos_aspeed)</f>
        <v>495.59806989632182</v>
      </c>
      <c r="AE117" s="162">
        <f t="shared" si="20"/>
        <v>13007.734638549056</v>
      </c>
      <c r="AG117">
        <v>0.46</v>
      </c>
      <c r="AH117" cm="1">
        <f t="array" ref="AH117">numeng*InterpolateXY(AH$90,AG117,Tmax_h,Tmax_M,Tmax_table)</f>
        <v>4618.5671671534365</v>
      </c>
      <c r="AI117" cm="1">
        <f t="array" ref="AI117">1*AH$91/(S*Linterp(AH$90,atmos_h,atmos_qms)*AG117^2)</f>
        <v>0.33253346932985578</v>
      </c>
      <c r="AJ117" cm="1">
        <f t="array" ref="AJ117">InterpolateXY(AI117,AG117,CD_CL,CD_M,CD_table)</f>
        <v>2.9173344383050782E-2</v>
      </c>
      <c r="AK117" cm="1">
        <f t="array" ref="AK117">AJ117*S*Linterp(AH$90,atmos_h,atmos_qms)*AG117^2</f>
        <v>877.30550677629242</v>
      </c>
      <c r="AL117" cm="1">
        <f t="array" ref="AL117">AG117*Linterp(AH$90,atmos_h,atmos_aspeed)</f>
        <v>486.36471765840412</v>
      </c>
      <c r="AM117" s="162">
        <f t="shared" si="21"/>
        <v>10917.70602681325</v>
      </c>
      <c r="AO117">
        <v>0.46</v>
      </c>
      <c r="AP117" cm="1">
        <f t="array" ref="AP117">numeng*InterpolateXY(AP$90,AO117,Tmax_h,Tmax_M,Tmax_table)</f>
        <v>4008.8311688358176</v>
      </c>
      <c r="AQ117" cm="1">
        <f t="array" ref="AQ117">1*AP$91/(S*Linterp(AP$90,atmos_h,atmos_qms)*AO117^2)</f>
        <v>0.40836747654674771</v>
      </c>
      <c r="AR117" cm="1">
        <f t="array" ref="AR117">InterpolateXY(AQ117,AO117,CD_CL,CD_M,CD_table)</f>
        <v>3.9361862785896283E-2</v>
      </c>
      <c r="AS117" cm="1">
        <f t="array" ref="AS117">AR117*S*Linterp(AP$90,atmos_h,atmos_qms)*AO117^2</f>
        <v>963.8833904881343</v>
      </c>
      <c r="AT117" cm="1">
        <f t="array" ref="AT117">AO117*Linterp(AP$90,atmos_h,atmos_aspeed)</f>
        <v>476.95264993594373</v>
      </c>
      <c r="AU117" s="162">
        <f t="shared" si="22"/>
        <v>8713.7754707969525</v>
      </c>
      <c r="AW117">
        <v>0.46</v>
      </c>
      <c r="AX117" cm="1">
        <f t="array" ref="AX117">numeng*InterpolateXY(AX$90,AW117,Tmax_h,Tmax_M,Tmax_table)</f>
        <v>3454.0590970181047</v>
      </c>
      <c r="AY117" cm="1">
        <f t="array" ref="AY117">1*AX$91/(S*Linterp(AX$90,atmos_h,atmos_qms)*AW117^2)</f>
        <v>0.50570364272218327</v>
      </c>
      <c r="AZ117" cm="1">
        <f t="array" ref="AZ117">InterpolateXY(AY117,AW117,CD_CL,CD_M,CD_table)</f>
        <v>5.9565240172043364E-2</v>
      </c>
      <c r="BA117" cm="1">
        <f t="array" ref="BA117">AZ117*S*Linterp(AX$90,atmos_h,atmos_qms)*AW117^2</f>
        <v>1177.8685210058204</v>
      </c>
      <c r="BB117" cm="1">
        <f t="array" ref="BB117">AW117*Linterp(AX$90,atmos_h,atmos_aspeed)</f>
        <v>467.35106930325782</v>
      </c>
      <c r="BC117" s="162">
        <f t="shared" si="23"/>
        <v>6382.6805978240382</v>
      </c>
      <c r="BE117">
        <v>0.46</v>
      </c>
      <c r="BF117" cm="1">
        <f t="array" ref="BF117">numeng*InterpolateXY(BF$90,BE117,Tmax_h,Tmax_M,Tmax_table)</f>
        <v>2952.6111628315584</v>
      </c>
      <c r="BG117" cm="1">
        <f t="array" ref="BG117">1*BF$91/(S*Linterp(BF$90,atmos_h,atmos_qms)*BE117^2)</f>
        <v>0.63194312275065867</v>
      </c>
      <c r="BH117" cm="1">
        <f t="array" ref="BH117">InterpolateXY(BG117,BE117,CD_CL,CD_M,CD_table)</f>
        <v>0.10307108776478849</v>
      </c>
      <c r="BI117" cm="1">
        <f t="array" ref="BI117">BH117*S*Linterp(BF$90,atmos_h,atmos_qms)*BE117^2</f>
        <v>1631.0184264076013</v>
      </c>
      <c r="BJ117" cm="1">
        <f t="array" ref="BJ117">BE117*Linterp(BF$90,atmos_h,atmos_aspeed)</f>
        <v>457.54804521151459</v>
      </c>
      <c r="BK117" s="162">
        <f t="shared" si="24"/>
        <v>3628.1530386991085</v>
      </c>
      <c r="BM117">
        <v>0.46</v>
      </c>
      <c r="BN117" cm="1">
        <f t="array" ref="BN117">numeng*InterpolateXY(BN$90,BM117,Tmax_h,Tmax_M,Tmax_table)</f>
        <v>2502.5126278112543</v>
      </c>
      <c r="BO117" cm="1">
        <f t="array" ref="BO117">1*BN$91/(S*Linterp(BN$90,atmos_h,atmos_qms)*BM117^2)</f>
        <v>0.7975273824410638</v>
      </c>
      <c r="BP117" cm="1">
        <f t="array" ref="BP117">InterpolateXY(BO117,BM117,CD_CL,CD_M,CD_table)</f>
        <v>0.18983029631594969</v>
      </c>
      <c r="BQ117" cm="1">
        <f t="array" ref="BQ117">BP117*S*Linterp(BN$90,atmos_h,atmos_qms)*BM117^2</f>
        <v>2380.2354689680878</v>
      </c>
      <c r="BR117" cm="1">
        <f t="array" ref="BR117">BM117*Linterp(BN$90,atmos_h,atmos_aspeed)</f>
        <v>447.53034017243783</v>
      </c>
      <c r="BS117" s="162">
        <f t="shared" si="25"/>
        <v>328.33643095440908</v>
      </c>
      <c r="BU117">
        <v>0.46</v>
      </c>
      <c r="BV117" cm="1">
        <f t="array" ref="BV117">numeng*InterpolateXY(BV$90,BU117,Tmax_h,Tmax_M,Tmax_table)</f>
        <v>2033.3599643706707</v>
      </c>
      <c r="BW117" cm="1">
        <f t="array" ref="BW117">1*BV$91/(S*Linterp(BV$90,atmos_h,atmos_qms)*BU117^2)</f>
        <v>1.0139171551902462</v>
      </c>
      <c r="BX117" t="e" cm="1">
        <f t="array" ref="BX117">InterpolateXY(BW117,BU117,CD_CL,CD_M,CD_table)</f>
        <v>#VALUE!</v>
      </c>
      <c r="BY117" t="e" cm="1">
        <f t="array" ref="BY117">BX117*S*Linterp(BV$90,atmos_h,atmos_qms)*BU117^2</f>
        <v>#VALUE!</v>
      </c>
      <c r="BZ117" cm="1">
        <f t="array" ref="BZ117">BU117*Linterp(BV$90,atmos_h,atmos_aspeed)</f>
        <v>445.32623479385956</v>
      </c>
      <c r="CA117" s="162" t="e">
        <f t="shared" si="26"/>
        <v>#VALUE!</v>
      </c>
      <c r="CC117">
        <v>0.46</v>
      </c>
      <c r="CD117" cm="1">
        <f t="array" ref="CD117">numeng*InterpolateXY(CD$90,CC117,Tmax_h,Tmax_M,Tmax_table)</f>
        <v>1563.3691321762951</v>
      </c>
      <c r="CE117" cm="1">
        <f t="array" ref="CE117">1*CD$91/(S*Linterp(CD$90,atmos_h,atmos_qms)*CC117^2)</f>
        <v>1.2893519152264585</v>
      </c>
      <c r="CF117" t="e" cm="1">
        <f t="array" ref="CF117">InterpolateXY(CE117,CC117,CD_CL,CD_M,CD_table)</f>
        <v>#VALUE!</v>
      </c>
      <c r="CG117" t="e" cm="1">
        <f t="array" ref="CG117">CF117*S*Linterp(CD$90,atmos_h,atmos_qms)*CC117^2</f>
        <v>#VALUE!</v>
      </c>
      <c r="CH117" cm="1">
        <f t="array" ref="CH117">CC117*Linterp(CD$90,atmos_h,atmos_aspeed)</f>
        <v>445.32623479385956</v>
      </c>
      <c r="CI117" s="162" t="e">
        <f t="shared" si="27"/>
        <v>#VALUE!</v>
      </c>
      <c r="CK117">
        <v>0.46</v>
      </c>
      <c r="CL117" cm="1">
        <f t="array" ref="CL117">numeng*InterpolateXY(CL$90,CK117,Tmax_h,Tmax_M,Tmax_table)</f>
        <v>1173.3779698171502</v>
      </c>
      <c r="CM117" cm="1">
        <f t="array" ref="CM117">1*CL$91/(S*Linterp(CL$90,atmos_h,atmos_qms)*CK117^2)</f>
        <v>1.6396096592193548</v>
      </c>
      <c r="CN117" t="e" cm="1">
        <f t="array" ref="CN117">InterpolateXY(CM117,CK117,CD_CL,CD_M,CD_table)</f>
        <v>#VALUE!</v>
      </c>
      <c r="CO117" t="e" cm="1">
        <f t="array" ref="CO117">CN117*S*Linterp(CL$90,atmos_h,atmos_qms)*CK117^2</f>
        <v>#VALUE!</v>
      </c>
      <c r="CP117" cm="1">
        <f t="array" ref="CP117">CK117*Linterp(CL$90,atmos_h,atmos_aspeed)</f>
        <v>445.32623479385956</v>
      </c>
      <c r="CQ117" s="162" t="e">
        <f t="shared" si="28"/>
        <v>#VALUE!</v>
      </c>
    </row>
    <row r="118" spans="9:95">
      <c r="I118">
        <v>0.47</v>
      </c>
      <c r="J118" cm="1">
        <f t="array" ref="J118">numeng*InterpolateXY(J$90,I118,Tmax_h,Tmax_M,Tmax_table)</f>
        <v>6628</v>
      </c>
      <c r="K118" cm="1">
        <f t="array" ref="K118">1*J$91/(S*Linterp(J$90,atmos_h,atmos_qms)*I118^2)</f>
        <v>0.17976142751538807</v>
      </c>
      <c r="L118" cm="1">
        <f t="array" ref="L118">InterpolateXY(K118,I118,CD_CL,CD_M,CD_table)</f>
        <v>1.9501053531827055E-2</v>
      </c>
      <c r="M118" cm="1">
        <f t="array" ref="M118">L118*S*Linterp(J$90,atmos_h,atmos_qms)*I118^2</f>
        <v>1084.8296990831202</v>
      </c>
      <c r="N118" cm="1">
        <f t="array" ref="N118">I118*Linterp(J$90,atmos_h,atmos_aspeed)</f>
        <v>524.73149999999998</v>
      </c>
      <c r="O118" s="162">
        <f t="shared" si="18"/>
        <v>17452.056400533394</v>
      </c>
      <c r="Q118">
        <v>0.47</v>
      </c>
      <c r="R118" cm="1">
        <f t="array" ref="R118">numeng*InterpolateXY(R$90,Q118,Tmax_h,Tmax_M,Tmax_table)</f>
        <v>5954.1262494249149</v>
      </c>
      <c r="S118" cm="1">
        <f t="array" ref="S118">1*R$91/(S*Linterp(R$90,atmos_h,atmos_qms)*Q118^2)</f>
        <v>0.21604718470806347</v>
      </c>
      <c r="T118" cm="1">
        <f t="array" ref="T118">InterpolateXY(S118,Q118,CD_CL,CD_M,CD_table)</f>
        <v>2.1262949044253968E-2</v>
      </c>
      <c r="U118" cm="1">
        <f t="array" ref="U118">T118*S*Linterp(R$90,atmos_h,atmos_qms)*Q118^2</f>
        <v>984.18079703217609</v>
      </c>
      <c r="V118" cm="1">
        <f t="array" ref="V118">Q118*Linterp(R$90,atmos_h,atmos_aspeed)</f>
        <v>515.6334403940167</v>
      </c>
      <c r="W118" s="162">
        <f t="shared" si="19"/>
        <v>15376.020433127194</v>
      </c>
      <c r="Y118">
        <v>0.47</v>
      </c>
      <c r="Z118" cm="1">
        <f t="array" ref="Z118">numeng*InterpolateXY(Z$90,Y118,Tmax_h,Tmax_M,Tmax_table)</f>
        <v>5311.112873632339</v>
      </c>
      <c r="AA118" cm="1">
        <f t="array" ref="AA118">1*Z$91/(S*Linterp(Z$90,atmos_h,atmos_qms)*Y118^2)</f>
        <v>0.26139399473026648</v>
      </c>
      <c r="AB118" cm="1">
        <f t="array" ref="AB118">InterpolateXY(AA118,Y118,CD_CL,CD_M,CD_table)</f>
        <v>2.4097124670641658E-2</v>
      </c>
      <c r="AC118" cm="1">
        <f t="array" ref="AC118">AB118*S*Linterp(Z$90,atmos_h,atmos_qms)*Y118^2</f>
        <v>921.86986527779948</v>
      </c>
      <c r="AD118" cm="1">
        <f t="array" ref="AD118">Y118*Linterp(Z$90,atmos_h,atmos_aspeed)</f>
        <v>506.37194098102441</v>
      </c>
      <c r="AE118" s="162">
        <f t="shared" si="20"/>
        <v>13335.537009467273</v>
      </c>
      <c r="AG118">
        <v>0.47</v>
      </c>
      <c r="AH118" cm="1">
        <f t="array" ref="AH118">numeng*InterpolateXY(AH$90,AG118,Tmax_h,Tmax_M,Tmax_table)</f>
        <v>4643.736470516671</v>
      </c>
      <c r="AI118" cm="1">
        <f t="array" ref="AI118">1*AH$91/(S*Linterp(AH$90,atmos_h,atmos_qms)*AG118^2)</f>
        <v>0.31853364468174511</v>
      </c>
      <c r="AJ118" cm="1">
        <f t="array" ref="AJ118">InterpolateXY(AI118,AG118,CD_CL,CD_M,CD_table)</f>
        <v>2.8015858630391792E-2</v>
      </c>
      <c r="AK118" cm="1">
        <f t="array" ref="AK118">AJ118*S*Linterp(AH$90,atmos_h,atmos_qms)*AG118^2</f>
        <v>879.525886767256</v>
      </c>
      <c r="AL118" cm="1">
        <f t="array" ref="AL118">AG118*Linterp(AH$90,atmos_h,atmos_aspeed)</f>
        <v>496.93786369445633</v>
      </c>
      <c r="AM118" s="162">
        <f t="shared" si="21"/>
        <v>11223.47259590698</v>
      </c>
      <c r="AO118">
        <v>0.47</v>
      </c>
      <c r="AP118" cm="1">
        <f t="array" ref="AP118">numeng*InterpolateXY(AP$90,AO118,Tmax_h,Tmax_M,Tmax_table)</f>
        <v>4032.2746259635123</v>
      </c>
      <c r="AQ118" cm="1">
        <f t="array" ref="AQ118">1*AP$91/(S*Linterp(AP$90,atmos_h,atmos_qms)*AO118^2)</f>
        <v>0.39117500243228526</v>
      </c>
      <c r="AR118" cm="1">
        <f t="array" ref="AR118">InterpolateXY(AQ118,AO118,CD_CL,CD_M,CD_table)</f>
        <v>3.6409056594776432E-2</v>
      </c>
      <c r="AS118" cm="1">
        <f t="array" ref="AS118">AR118*S*Linterp(AP$90,atmos_h,atmos_qms)*AO118^2</f>
        <v>930.76133107659564</v>
      </c>
      <c r="AT118" cm="1">
        <f t="array" ref="AT118">AO118*Linterp(AP$90,atmos_h,atmos_aspeed)</f>
        <v>487.3211858041164</v>
      </c>
      <c r="AU118" s="162">
        <f t="shared" si="22"/>
        <v>9068.5988199091462</v>
      </c>
      <c r="AW118">
        <v>0.47</v>
      </c>
      <c r="AX118" cm="1">
        <f t="array" ref="AX118">numeng*InterpolateXY(AX$90,AW118,Tmax_h,Tmax_M,Tmax_table)</f>
        <v>3475.5685465065412</v>
      </c>
      <c r="AY118" cm="1">
        <f t="array" ref="AY118">1*AX$91/(S*Linterp(AX$90,atmos_h,atmos_qms)*AW118^2)</f>
        <v>0.48441326754193742</v>
      </c>
      <c r="AZ118" cm="1">
        <f t="array" ref="AZ118">InterpolateXY(AY118,AW118,CD_CL,CD_M,CD_table)</f>
        <v>5.4627066775929427E-2</v>
      </c>
      <c r="BA118" cm="1">
        <f t="array" ref="BA118">AZ118*S*Linterp(AX$90,atmos_h,atmos_qms)*AW118^2</f>
        <v>1127.6955119979277</v>
      </c>
      <c r="BB118" cm="1">
        <f t="array" ref="BB118">AW118*Linterp(AX$90,atmos_h,atmos_aspeed)</f>
        <v>477.51087515767642</v>
      </c>
      <c r="BC118" s="162">
        <f t="shared" si="23"/>
        <v>6726.8094448039037</v>
      </c>
      <c r="BE118">
        <v>0.47</v>
      </c>
      <c r="BF118" cm="1">
        <f t="array" ref="BF118">numeng*InterpolateXY(BF$90,BE118,Tmax_h,Tmax_M,Tmax_table)</f>
        <v>2972.0657726221361</v>
      </c>
      <c r="BG118" cm="1">
        <f t="array" ref="BG118">1*BF$91/(S*Linterp(BF$90,atmos_h,atmos_qms)*BE118^2)</f>
        <v>0.60533800259863912</v>
      </c>
      <c r="BH118" cm="1">
        <f t="array" ref="BH118">InterpolateXY(BG118,BE118,CD_CL,CD_M,CD_table)</f>
        <v>9.1398045138203945E-2</v>
      </c>
      <c r="BI118" cm="1">
        <f t="array" ref="BI118">BH118*S*Linterp(BF$90,atmos_h,atmos_qms)*BE118^2</f>
        <v>1509.8679538678186</v>
      </c>
      <c r="BJ118" cm="1">
        <f t="array" ref="BJ118">BE118*Linterp(BF$90,atmos_h,atmos_aspeed)</f>
        <v>467.49474184654747</v>
      </c>
      <c r="BK118" s="162">
        <f t="shared" si="24"/>
        <v>4101.4187508428076</v>
      </c>
      <c r="BM118">
        <v>0.47</v>
      </c>
      <c r="BN118" cm="1">
        <f t="array" ref="BN118">numeng*InterpolateXY(BN$90,BM118,Tmax_h,Tmax_M,Tmax_table)</f>
        <v>2519.8653652007333</v>
      </c>
      <c r="BO118" cm="1">
        <f t="array" ref="BO118">1*BN$91/(S*Linterp(BN$90,atmos_h,atmos_qms)*BM118^2)</f>
        <v>0.76395108250126353</v>
      </c>
      <c r="BP118" cm="1">
        <f t="array" ref="BP118">InterpolateXY(BO118,BM118,CD_CL,CD_M,CD_table)</f>
        <v>0.17020369781095684</v>
      </c>
      <c r="BQ118" cm="1">
        <f t="array" ref="BQ118">BP118*S*Linterp(BN$90,atmos_h,atmos_qms)*BM118^2</f>
        <v>2227.9397426035498</v>
      </c>
      <c r="BR118" cm="1">
        <f t="array" ref="BR118">BM118*Linterp(BN$90,atmos_h,atmos_aspeed)</f>
        <v>457.25926061096902</v>
      </c>
      <c r="BS118" s="162">
        <f t="shared" si="25"/>
        <v>800.91416605310962</v>
      </c>
      <c r="BU118">
        <v>0.47</v>
      </c>
      <c r="BV118" cm="1">
        <f t="array" ref="BV118">numeng*InterpolateXY(BV$90,BU118,Tmax_h,Tmax_M,Tmax_table)</f>
        <v>2048.1301336033875</v>
      </c>
      <c r="BW118" cm="1">
        <f t="array" ref="BW118">1*BV$91/(S*Linterp(BV$90,atmos_h,atmos_qms)*BU118^2)</f>
        <v>0.97123073806363103</v>
      </c>
      <c r="BX118" t="e" cm="1">
        <f t="array" ref="BX118">InterpolateXY(BW118,BU118,CD_CL,CD_M,CD_table)</f>
        <v>#VALUE!</v>
      </c>
      <c r="BY118" t="e" cm="1">
        <f t="array" ref="BY118">BX118*S*Linterp(BV$90,atmos_h,atmos_qms)*BU118^2</f>
        <v>#VALUE!</v>
      </c>
      <c r="BZ118" cm="1">
        <f t="array" ref="BZ118">BU118*Linterp(BV$90,atmos_h,atmos_aspeed)</f>
        <v>455.00723989807386</v>
      </c>
      <c r="CA118" s="162" t="e">
        <f t="shared" si="26"/>
        <v>#VALUE!</v>
      </c>
      <c r="CC118">
        <v>0.47</v>
      </c>
      <c r="CD118" cm="1">
        <f t="array" ref="CD118">numeng*InterpolateXY(CD$90,CC118,Tmax_h,Tmax_M,Tmax_table)</f>
        <v>1574.2097304182307</v>
      </c>
      <c r="CE118" cm="1">
        <f t="array" ref="CE118">1*CD$91/(S*Linterp(CD$90,atmos_h,atmos_qms)*CC118^2)</f>
        <v>1.2350695575460331</v>
      </c>
      <c r="CF118" t="e" cm="1">
        <f t="array" ref="CF118">InterpolateXY(CE118,CC118,CD_CL,CD_M,CD_table)</f>
        <v>#VALUE!</v>
      </c>
      <c r="CG118" t="e" cm="1">
        <f t="array" ref="CG118">CF118*S*Linterp(CD$90,atmos_h,atmos_qms)*CC118^2</f>
        <v>#VALUE!</v>
      </c>
      <c r="CH118" cm="1">
        <f t="array" ref="CH118">CC118*Linterp(CD$90,atmos_h,atmos_aspeed)</f>
        <v>455.00723989807386</v>
      </c>
      <c r="CI118" s="162" t="e">
        <f t="shared" si="27"/>
        <v>#VALUE!</v>
      </c>
      <c r="CK118">
        <v>0.47</v>
      </c>
      <c r="CL118" cm="1">
        <f t="array" ref="CL118">numeng*InterpolateXY(CL$90,CK118,Tmax_h,Tmax_M,Tmax_table)</f>
        <v>1180.6849421253007</v>
      </c>
      <c r="CM118" cm="1">
        <f t="array" ref="CM118">1*CL$91/(S*Linterp(CL$90,atmos_h,atmos_qms)*CK118^2)</f>
        <v>1.5705812761014737</v>
      </c>
      <c r="CN118" t="e" cm="1">
        <f t="array" ref="CN118">InterpolateXY(CM118,CK118,CD_CL,CD_M,CD_table)</f>
        <v>#VALUE!</v>
      </c>
      <c r="CO118" t="e" cm="1">
        <f t="array" ref="CO118">CN118*S*Linterp(CL$90,atmos_h,atmos_qms)*CK118^2</f>
        <v>#VALUE!</v>
      </c>
      <c r="CP118" cm="1">
        <f t="array" ref="CP118">CK118*Linterp(CL$90,atmos_h,atmos_aspeed)</f>
        <v>455.00723989807386</v>
      </c>
      <c r="CQ118" s="162" t="e">
        <f t="shared" si="28"/>
        <v>#VALUE!</v>
      </c>
    </row>
    <row r="119" spans="9:95">
      <c r="I119">
        <v>0.48</v>
      </c>
      <c r="J119" cm="1">
        <f t="array" ref="J119">numeng*InterpolateXY(J$90,I119,Tmax_h,Tmax_M,Tmax_table)</f>
        <v>6652</v>
      </c>
      <c r="K119" cm="1">
        <f t="array" ref="K119">1*J$91/(S*Linterp(J$90,atmos_h,atmos_qms)*I119^2)</f>
        <v>0.1723493894884949</v>
      </c>
      <c r="L119" cm="1">
        <f t="array" ref="L119">InterpolateXY(K119,I119,CD_CL,CD_M,CD_table)</f>
        <v>1.9203102105818558E-2</v>
      </c>
      <c r="M119" cm="1">
        <f t="array" ref="M119">L119*S*Linterp(J$90,atmos_h,atmos_qms)*I119^2</f>
        <v>1114.1961200332801</v>
      </c>
      <c r="N119" cm="1">
        <f t="array" ref="N119">I119*Linterp(J$90,atmos_h,atmos_aspeed)</f>
        <v>535.89599999999996</v>
      </c>
      <c r="O119" s="162">
        <f t="shared" si="18"/>
        <v>17806.121688351872</v>
      </c>
      <c r="Q119">
        <v>0.48</v>
      </c>
      <c r="R119" cm="1">
        <f t="array" ref="R119">numeng*InterpolateXY(R$90,Q119,Tmax_h,Tmax_M,Tmax_table)</f>
        <v>5979.9762910287855</v>
      </c>
      <c r="S119" cm="1">
        <f t="array" ref="S119">1*R$91/(S*Linterp(R$90,atmos_h,atmos_qms)*Q119^2)</f>
        <v>0.20713898915803483</v>
      </c>
      <c r="T119" cm="1">
        <f t="array" ref="T119">InterpolateXY(S119,Q119,CD_CL,CD_M,CD_table)</f>
        <v>2.0686186822377176E-2</v>
      </c>
      <c r="U119" cm="1">
        <f t="array" ref="U119">T119*S*Linterp(R$90,atmos_h,atmos_qms)*Q119^2</f>
        <v>998.66214981839255</v>
      </c>
      <c r="V119" cm="1">
        <f t="array" ref="V119">Q119*Linterp(R$90,atmos_h,atmos_aspeed)</f>
        <v>526.6043646577192</v>
      </c>
      <c r="W119" s="162">
        <f t="shared" si="19"/>
        <v>15739.090610955667</v>
      </c>
      <c r="Y119">
        <v>0.48</v>
      </c>
      <c r="Z119" cm="1">
        <f t="array" ref="Z119">numeng*InterpolateXY(Z$90,Y119,Tmax_h,Tmax_M,Tmax_table)</f>
        <v>5337.6979770042472</v>
      </c>
      <c r="AA119" cm="1">
        <f t="array" ref="AA119">1*Z$91/(S*Linterp(Z$90,atmos_h,atmos_qms)*Y119^2)</f>
        <v>0.25061603053782927</v>
      </c>
      <c r="AB119" cm="1">
        <f t="array" ref="AB119">InterpolateXY(AA119,Y119,CD_CL,CD_M,CD_table)</f>
        <v>2.340350190861433E-2</v>
      </c>
      <c r="AC119" cm="1">
        <f t="array" ref="AC119">AB119*S*Linterp(Z$90,atmos_h,atmos_qms)*Y119^2</f>
        <v>933.8389830207484</v>
      </c>
      <c r="AD119" cm="1">
        <f t="array" ref="AD119">Y119*Linterp(Z$90,atmos_h,atmos_aspeed)</f>
        <v>517.14581206572711</v>
      </c>
      <c r="AE119" s="162">
        <f t="shared" si="20"/>
        <v>13664.623413999314</v>
      </c>
      <c r="AG119">
        <v>0.48</v>
      </c>
      <c r="AH119" cm="1">
        <f t="array" ref="AH119">numeng*InterpolateXY(AH$90,AG119,Tmax_h,Tmax_M,Tmax_table)</f>
        <v>4668.9057738799047</v>
      </c>
      <c r="AI119" cm="1">
        <f t="array" ref="AI119">1*AH$91/(S*Linterp(AH$90,atmos_h,atmos_qms)*AG119^2)</f>
        <v>0.30539966193662105</v>
      </c>
      <c r="AJ119" cm="1">
        <f t="array" ref="AJ119">InterpolateXY(AI119,AG119,CD_CL,CD_M,CD_table)</f>
        <v>2.6928722532350461E-2</v>
      </c>
      <c r="AK119" cm="1">
        <f t="array" ref="AK119">AJ119*S*Linterp(AH$90,atmos_h,atmos_qms)*AG119^2</f>
        <v>881.75351477431957</v>
      </c>
      <c r="AL119" cm="1">
        <f t="array" ref="AL119">AG119*Linterp(AH$90,atmos_h,atmos_aspeed)</f>
        <v>507.51100973050859</v>
      </c>
      <c r="AM119" s="162">
        <f t="shared" si="21"/>
        <v>11532.128802131112</v>
      </c>
      <c r="AO119">
        <v>0.48</v>
      </c>
      <c r="AP119" cm="1">
        <f t="array" ref="AP119">numeng*InterpolateXY(AP$90,AO119,Tmax_h,Tmax_M,Tmax_table)</f>
        <v>4055.7180830912075</v>
      </c>
      <c r="AQ119" cm="1">
        <f t="array" ref="AQ119">1*AP$91/(S*Linterp(AP$90,atmos_h,atmos_qms)*AO119^2)</f>
        <v>0.37504582481463461</v>
      </c>
      <c r="AR119" cm="1">
        <f t="array" ref="AR119">InterpolateXY(AQ119,AO119,CD_CL,CD_M,CD_table)</f>
        <v>3.4102745667474454E-2</v>
      </c>
      <c r="AS119" cm="1">
        <f t="array" ref="AS119">AR119*S*Linterp(AP$90,atmos_h,atmos_qms)*AO119^2</f>
        <v>909.29543567988378</v>
      </c>
      <c r="AT119" cm="1">
        <f t="array" ref="AT119">AO119*Linterp(AP$90,atmos_h,atmos_aspeed)</f>
        <v>497.68972167228907</v>
      </c>
      <c r="AU119" s="162">
        <f t="shared" si="22"/>
        <v>9395.6532699211712</v>
      </c>
      <c r="AW119">
        <v>0.48</v>
      </c>
      <c r="AX119" cm="1">
        <f t="array" ref="AX119">numeng*InterpolateXY(AX$90,AW119,Tmax_h,Tmax_M,Tmax_table)</f>
        <v>3497.0779959949778</v>
      </c>
      <c r="AY119" cm="1">
        <f t="array" ref="AY119">1*AX$91/(S*Linterp(AX$90,atmos_h,atmos_qms)*AW119^2)</f>
        <v>0.46443963020839402</v>
      </c>
      <c r="AZ119" cm="1">
        <f t="array" ref="AZ119">InterpolateXY(AY119,AW119,CD_CL,CD_M,CD_table)</f>
        <v>5.0592365671887192E-2</v>
      </c>
      <c r="BA119" cm="1">
        <f t="array" ref="BA119">AZ119*S*Linterp(AX$90,atmos_h,atmos_qms)*AW119^2</f>
        <v>1089.3206001646845</v>
      </c>
      <c r="BB119" cm="1">
        <f t="array" ref="BB119">AW119*Linterp(AX$90,atmos_h,atmos_aspeed)</f>
        <v>487.67068101209509</v>
      </c>
      <c r="BC119" s="162">
        <f t="shared" si="23"/>
        <v>7045.1561336188061</v>
      </c>
      <c r="BE119">
        <v>0.48</v>
      </c>
      <c r="BF119" cm="1">
        <f t="array" ref="BF119">numeng*InterpolateXY(BF$90,BE119,Tmax_h,Tmax_M,Tmax_table)</f>
        <v>2991.5203824127143</v>
      </c>
      <c r="BG119" cm="1">
        <f t="array" ref="BG119">1*BF$91/(S*Linterp(BF$90,atmos_h,atmos_qms)*BE119^2)</f>
        <v>0.58037831933176809</v>
      </c>
      <c r="BH119" cm="1">
        <f t="array" ref="BH119">InterpolateXY(BG119,BE119,CD_CL,CD_M,CD_table)</f>
        <v>8.2898413950843408E-2</v>
      </c>
      <c r="BI119" cm="1">
        <f t="array" ref="BI119">BH119*S*Linterp(BF$90,atmos_h,atmos_qms)*BE119^2</f>
        <v>1428.3513217084055</v>
      </c>
      <c r="BJ119" cm="1">
        <f t="array" ref="BJ119">BE119*Linterp(BF$90,atmos_h,atmos_aspeed)</f>
        <v>477.44143848158041</v>
      </c>
      <c r="BK119" s="162">
        <f t="shared" si="24"/>
        <v>4477.9301095953961</v>
      </c>
      <c r="BM119">
        <v>0.48</v>
      </c>
      <c r="BN119" cm="1">
        <f t="array" ref="BN119">numeng*InterpolateXY(BN$90,BM119,Tmax_h,Tmax_M,Tmax_table)</f>
        <v>2537.2181025902119</v>
      </c>
      <c r="BO119" cm="1">
        <f t="array" ref="BO119">1*BN$91/(S*Linterp(BN$90,atmos_h,atmos_qms)*BM119^2)</f>
        <v>0.73245136338771322</v>
      </c>
      <c r="BP119" cm="1">
        <f t="array" ref="BP119">InterpolateXY(BO119,BM119,CD_CL,CD_M,CD_table)</f>
        <v>0.15178970124829971</v>
      </c>
      <c r="BQ119" cm="1">
        <f t="array" ref="BQ119">BP119*S*Linterp(BN$90,atmos_h,atmos_qms)*BM119^2</f>
        <v>2072.3519517561726</v>
      </c>
      <c r="BR119" cm="1">
        <f t="array" ref="BR119">BM119*Linterp(BN$90,atmos_h,atmos_aspeed)</f>
        <v>466.98818104950027</v>
      </c>
      <c r="BS119" s="162">
        <f t="shared" si="25"/>
        <v>1302.5219892568239</v>
      </c>
      <c r="BU119">
        <v>0.48</v>
      </c>
      <c r="BV119" cm="1">
        <f t="array" ref="BV119">numeng*InterpolateXY(BV$90,BU119,Tmax_h,Tmax_M,Tmax_table)</f>
        <v>2062.9003028361039</v>
      </c>
      <c r="BW119" cm="1">
        <f t="array" ref="BW119">1*BV$91/(S*Linterp(BV$90,atmos_h,atmos_qms)*BU119^2)</f>
        <v>0.93118433176326421</v>
      </c>
      <c r="BX119" t="e" cm="1">
        <f t="array" ref="BX119">InterpolateXY(BW119,BU119,CD_CL,CD_M,CD_table)</f>
        <v>#VALUE!</v>
      </c>
      <c r="BY119" t="e" cm="1">
        <f t="array" ref="BY119">BX119*S*Linterp(BV$90,atmos_h,atmos_qms)*BU119^2</f>
        <v>#VALUE!</v>
      </c>
      <c r="BZ119" cm="1">
        <f t="array" ref="BZ119">BU119*Linterp(BV$90,atmos_h,atmos_aspeed)</f>
        <v>464.68824500228823</v>
      </c>
      <c r="CA119" s="162" t="e">
        <f t="shared" si="26"/>
        <v>#VALUE!</v>
      </c>
      <c r="CC119">
        <v>0.48</v>
      </c>
      <c r="CD119" cm="1">
        <f t="array" ref="CD119">numeng*InterpolateXY(CD$90,CC119,Tmax_h,Tmax_M,Tmax_table)</f>
        <v>1585.0503286601663</v>
      </c>
      <c r="CE119" cm="1">
        <f t="array" ref="CE119">1*CD$91/(S*Linterp(CD$90,atmos_h,atmos_qms)*CC119^2)</f>
        <v>1.1841443804770777</v>
      </c>
      <c r="CF119" t="e" cm="1">
        <f t="array" ref="CF119">InterpolateXY(CE119,CC119,CD_CL,CD_M,CD_table)</f>
        <v>#VALUE!</v>
      </c>
      <c r="CG119" t="e" cm="1">
        <f t="array" ref="CG119">CF119*S*Linterp(CD$90,atmos_h,atmos_qms)*CC119^2</f>
        <v>#VALUE!</v>
      </c>
      <c r="CH119" cm="1">
        <f t="array" ref="CH119">CC119*Linterp(CD$90,atmos_h,atmos_aspeed)</f>
        <v>464.68824500228823</v>
      </c>
      <c r="CI119" s="162" t="e">
        <f t="shared" si="27"/>
        <v>#VALUE!</v>
      </c>
      <c r="CK119">
        <v>0.48</v>
      </c>
      <c r="CL119" cm="1">
        <f t="array" ref="CL119">numeng*InterpolateXY(CL$90,CK119,Tmax_h,Tmax_M,Tmax_table)</f>
        <v>1187.991914433451</v>
      </c>
      <c r="CM119" cm="1">
        <f t="array" ref="CM119">1*CL$91/(S*Linterp(CL$90,atmos_h,atmos_qms)*CK119^2)</f>
        <v>1.505822065498331</v>
      </c>
      <c r="CN119" t="e" cm="1">
        <f t="array" ref="CN119">InterpolateXY(CM119,CK119,CD_CL,CD_M,CD_table)</f>
        <v>#VALUE!</v>
      </c>
      <c r="CO119" t="e" cm="1">
        <f t="array" ref="CO119">CN119*S*Linterp(CL$90,atmos_h,atmos_qms)*CK119^2</f>
        <v>#VALUE!</v>
      </c>
      <c r="CP119" cm="1">
        <f t="array" ref="CP119">CK119*Linterp(CL$90,atmos_h,atmos_aspeed)</f>
        <v>464.68824500228823</v>
      </c>
      <c r="CQ119" s="162" t="e">
        <f t="shared" si="28"/>
        <v>#VALUE!</v>
      </c>
    </row>
    <row r="120" spans="9:95">
      <c r="I120">
        <v>0.49</v>
      </c>
      <c r="J120" cm="1">
        <f t="array" ref="J120">numeng*InterpolateXY(J$90,I120,Tmax_h,Tmax_M,Tmax_table)</f>
        <v>6676</v>
      </c>
      <c r="K120" cm="1">
        <f t="array" ref="K120">1*J$91/(S*Linterp(J$90,atmos_h,atmos_qms)*I120^2)</f>
        <v>0.16538650286609424</v>
      </c>
      <c r="L120" cm="1">
        <f t="array" ref="L120">InterpolateXY(K120,I120,CD_CL,CD_M,CD_table)</f>
        <v>1.8921993857478534E-2</v>
      </c>
      <c r="M120" cm="1">
        <f t="array" ref="M120">L120*S*Linterp(J$90,atmos_h,atmos_qms)*I120^2</f>
        <v>1144.10750149296</v>
      </c>
      <c r="N120" cm="1">
        <f t="array" ref="N120">I120*Linterp(J$90,atmos_h,atmos_aspeed)</f>
        <v>547.06050000000005</v>
      </c>
      <c r="O120" s="162">
        <f t="shared" si="18"/>
        <v>18157.679257077067</v>
      </c>
      <c r="Q120">
        <v>0.49</v>
      </c>
      <c r="R120" cm="1">
        <f t="array" ref="R120">numeng*InterpolateXY(R$90,Q120,Tmax_h,Tmax_M,Tmax_table)</f>
        <v>6005.8263326326569</v>
      </c>
      <c r="S120" cm="1">
        <f t="array" ref="S120">1*R$91/(S*Linterp(R$90,atmos_h,atmos_qms)*Q120^2)</f>
        <v>0.19877060850483641</v>
      </c>
      <c r="T120" cm="1">
        <f t="array" ref="T120">InterpolateXY(S120,Q120,CD_CL,CD_M,CD_table)</f>
        <v>2.0173897818931367E-2</v>
      </c>
      <c r="U120" cm="1">
        <f t="array" ref="U120">T120*S*Linterp(R$90,atmos_h,atmos_qms)*Q120^2</f>
        <v>1014.9336449025612</v>
      </c>
      <c r="V120" cm="1">
        <f t="array" ref="V120">Q120*Linterp(R$90,atmos_h,atmos_aspeed)</f>
        <v>537.5752889214217</v>
      </c>
      <c r="W120" s="162">
        <f t="shared" si="19"/>
        <v>16097.883471493902</v>
      </c>
      <c r="Y120">
        <v>0.49</v>
      </c>
      <c r="Z120" cm="1">
        <f t="array" ref="Z120">numeng*InterpolateXY(Z$90,Y120,Tmax_h,Tmax_M,Tmax_table)</f>
        <v>5364.2830803761553</v>
      </c>
      <c r="AA120" cm="1">
        <f t="array" ref="AA120">1*Z$91/(S*Linterp(Z$90,atmos_h,atmos_qms)*Y120^2)</f>
        <v>0.24049118465604274</v>
      </c>
      <c r="AB120" cm="1">
        <f t="array" ref="AB120">InterpolateXY(AA120,Y120,CD_CL,CD_M,CD_table)</f>
        <v>2.2750699041002673E-2</v>
      </c>
      <c r="AC120" cm="1">
        <f t="array" ref="AC120">AB120*S*Linterp(Z$90,atmos_h,atmos_qms)*Y120^2</f>
        <v>946.00968736302593</v>
      </c>
      <c r="AD120" cm="1">
        <f t="array" ref="AD120">Y120*Linterp(Z$90,atmos_h,atmos_aspeed)</f>
        <v>527.91968315042971</v>
      </c>
      <c r="AE120" s="162">
        <f t="shared" si="20"/>
        <v>13994.96093826879</v>
      </c>
      <c r="AG120">
        <v>0.49</v>
      </c>
      <c r="AH120" cm="1">
        <f t="array" ref="AH120">numeng*InterpolateXY(AH$90,AG120,Tmax_h,Tmax_M,Tmax_table)</f>
        <v>4694.0750772431393</v>
      </c>
      <c r="AI120" cm="1">
        <f t="array" ref="AI120">1*AH$91/(S*Linterp(AH$90,atmos_h,atmos_qms)*AG120^2)</f>
        <v>0.29306156647312576</v>
      </c>
      <c r="AJ120" cm="1">
        <f t="array" ref="AJ120">InterpolateXY(AI120,AG120,CD_CL,CD_M,CD_table)</f>
        <v>2.6036347904570361E-2</v>
      </c>
      <c r="AK120" cm="1">
        <f t="array" ref="AK120">AJ120*S*Linterp(AH$90,atmos_h,atmos_qms)*AG120^2</f>
        <v>888.42587644319906</v>
      </c>
      <c r="AL120" cm="1">
        <f t="array" ref="AL120">AG120*Linterp(AH$90,atmos_h,atmos_aspeed)</f>
        <v>518.0841557665608</v>
      </c>
      <c r="AM120" s="162">
        <f t="shared" si="21"/>
        <v>11829.879320040745</v>
      </c>
      <c r="AO120">
        <v>0.49</v>
      </c>
      <c r="AP120" cm="1">
        <f t="array" ref="AP120">numeng*InterpolateXY(AP$90,AO120,Tmax_h,Tmax_M,Tmax_table)</f>
        <v>4079.1615402189022</v>
      </c>
      <c r="AQ120" cm="1">
        <f t="array" ref="AQ120">1*AP$91/(S*Linterp(AP$90,atmos_h,atmos_qms)*AO120^2)</f>
        <v>0.35989403597372688</v>
      </c>
      <c r="AR120" cm="1">
        <f t="array" ref="AR120">InterpolateXY(AQ120,AO120,CD_CL,CD_M,CD_table)</f>
        <v>3.1934979599275784E-2</v>
      </c>
      <c r="AS120" cm="1">
        <f t="array" ref="AS120">AR120*S*Linterp(AP$90,atmos_h,atmos_qms)*AO120^2</f>
        <v>887.34395147373652</v>
      </c>
      <c r="AT120" cm="1">
        <f t="array" ref="AT120">AO120*Linterp(AP$90,atmos_h,atmos_aspeed)</f>
        <v>508.0582575404618</v>
      </c>
      <c r="AU120" s="162">
        <f t="shared" si="22"/>
        <v>9729.7756951492029</v>
      </c>
      <c r="AW120">
        <v>0.49</v>
      </c>
      <c r="AX120" cm="1">
        <f t="array" ref="AX120">numeng*InterpolateXY(AX$90,AW120,Tmax_h,Tmax_M,Tmax_table)</f>
        <v>3518.5874454834143</v>
      </c>
      <c r="AY120" cm="1">
        <f t="array" ref="AY120">1*AX$91/(S*Linterp(AX$90,atmos_h,atmos_qms)*AW120^2)</f>
        <v>0.44567634652234062</v>
      </c>
      <c r="AZ120" cm="1">
        <f t="array" ref="AZ120">InterpolateXY(AY120,AW120,CD_CL,CD_M,CD_table)</f>
        <v>4.680094565099046E-2</v>
      </c>
      <c r="BA120" cm="1">
        <f t="array" ref="BA120">AZ120*S*Linterp(AX$90,atmos_h,atmos_qms)*AW120^2</f>
        <v>1050.1106019240906</v>
      </c>
      <c r="BB120" cm="1">
        <f t="array" ref="BB120">AW120*Linterp(AX$90,atmos_h,atmos_aspeed)</f>
        <v>497.83048686651375</v>
      </c>
      <c r="BC120" s="162">
        <f t="shared" si="23"/>
        <v>7373.2981730871188</v>
      </c>
      <c r="BE120">
        <v>0.49</v>
      </c>
      <c r="BF120" cm="1">
        <f t="array" ref="BF120">numeng*InterpolateXY(BF$90,BE120,Tmax_h,Tmax_M,Tmax_table)</f>
        <v>3010.974992203292</v>
      </c>
      <c r="BG120" cm="1">
        <f t="array" ref="BG120">1*BF$91/(S*Linterp(BF$90,atmos_h,atmos_qms)*BE120^2)</f>
        <v>0.55693113192019728</v>
      </c>
      <c r="BH120" cm="1">
        <f t="array" ref="BH120">InterpolateXY(BG120,BE120,CD_CL,CD_M,CD_table)</f>
        <v>7.553944429102176E-2</v>
      </c>
      <c r="BI120" cm="1">
        <f t="array" ref="BI120">BH120*S*Linterp(BF$90,atmos_h,atmos_qms)*BE120^2</f>
        <v>1356.3516198237203</v>
      </c>
      <c r="BJ120" cm="1">
        <f t="array" ref="BJ120">BE120*Linterp(BF$90,atmos_h,atmos_aspeed)</f>
        <v>487.38813511661334</v>
      </c>
      <c r="BK120" s="162">
        <f t="shared" si="24"/>
        <v>4838.6627987066468</v>
      </c>
      <c r="BM120">
        <v>0.49</v>
      </c>
      <c r="BN120" cm="1">
        <f t="array" ref="BN120">numeng*InterpolateXY(BN$90,BM120,Tmax_h,Tmax_M,Tmax_table)</f>
        <v>2554.5708399796908</v>
      </c>
      <c r="BO120" cm="1">
        <f t="array" ref="BO120">1*BN$91/(S*Linterp(BN$90,atmos_h,atmos_qms)*BM120^2)</f>
        <v>0.70286045033123323</v>
      </c>
      <c r="BP120" cm="1">
        <f t="array" ref="BP120">InterpolateXY(BO120,BM120,CD_CL,CD_M,CD_table)</f>
        <v>0.13449033595984422</v>
      </c>
      <c r="BQ120" cm="1">
        <f t="array" ref="BQ120">BP120*S*Linterp(BN$90,atmos_h,atmos_qms)*BM120^2</f>
        <v>1913.4713853434728</v>
      </c>
      <c r="BR120" cm="1">
        <f t="array" ref="BR120">BM120*Linterp(BN$90,atmos_h,atmos_aspeed)</f>
        <v>476.71710148803157</v>
      </c>
      <c r="BS120" s="162">
        <f t="shared" si="25"/>
        <v>1833.738442678414</v>
      </c>
      <c r="BU120">
        <v>0.49</v>
      </c>
      <c r="BV120" cm="1">
        <f t="array" ref="BV120">numeng*InterpolateXY(BV$90,BU120,Tmax_h,Tmax_M,Tmax_table)</f>
        <v>2077.6704720688208</v>
      </c>
      <c r="BW120" cm="1">
        <f t="array" ref="BW120">1*BV$91/(S*Linterp(BV$90,atmos_h,atmos_qms)*BU120^2)</f>
        <v>0.89356463989277846</v>
      </c>
      <c r="BX120" t="e" cm="1">
        <f t="array" ref="BX120">InterpolateXY(BW120,BU120,CD_CL,CD_M,CD_table)</f>
        <v>#VALUE!</v>
      </c>
      <c r="BY120" t="e" cm="1">
        <f t="array" ref="BY120">BX120*S*Linterp(BV$90,atmos_h,atmos_qms)*BU120^2</f>
        <v>#VALUE!</v>
      </c>
      <c r="BZ120" cm="1">
        <f t="array" ref="BZ120">BU120*Linterp(BV$90,atmos_h,atmos_aspeed)</f>
        <v>474.36925010650253</v>
      </c>
      <c r="CA120" s="162" t="e">
        <f t="shared" si="26"/>
        <v>#VALUE!</v>
      </c>
      <c r="CC120">
        <v>0.49</v>
      </c>
      <c r="CD120" cm="1">
        <f t="array" ref="CD120">numeng*InterpolateXY(CD$90,CC120,Tmax_h,Tmax_M,Tmax_table)</f>
        <v>1595.8909269021021</v>
      </c>
      <c r="CE120" cm="1">
        <f t="array" ref="CE120">1*CD$91/(S*Linterp(CD$90,atmos_h,atmos_qms)*CC120^2)</f>
        <v>1.1363051447810022</v>
      </c>
      <c r="CF120" t="e" cm="1">
        <f t="array" ref="CF120">InterpolateXY(CE120,CC120,CD_CL,CD_M,CD_table)</f>
        <v>#VALUE!</v>
      </c>
      <c r="CG120" t="e" cm="1">
        <f t="array" ref="CG120">CF120*S*Linterp(CD$90,atmos_h,atmos_qms)*CC120^2</f>
        <v>#VALUE!</v>
      </c>
      <c r="CH120" cm="1">
        <f t="array" ref="CH120">CC120*Linterp(CD$90,atmos_h,atmos_aspeed)</f>
        <v>474.36925010650253</v>
      </c>
      <c r="CI120" s="162" t="e">
        <f t="shared" si="27"/>
        <v>#VALUE!</v>
      </c>
      <c r="CK120">
        <v>0.49</v>
      </c>
      <c r="CL120" cm="1">
        <f t="array" ref="CL120">numeng*InterpolateXY(CL$90,CK120,Tmax_h,Tmax_M,Tmax_table)</f>
        <v>1195.2988867416016</v>
      </c>
      <c r="CM120" cm="1">
        <f t="array" ref="CM120">1*CL$91/(S*Linterp(CL$90,atmos_h,atmos_qms)*CK120^2)</f>
        <v>1.4449871049180154</v>
      </c>
      <c r="CN120" t="e" cm="1">
        <f t="array" ref="CN120">InterpolateXY(CM120,CK120,CD_CL,CD_M,CD_table)</f>
        <v>#VALUE!</v>
      </c>
      <c r="CO120" t="e" cm="1">
        <f t="array" ref="CO120">CN120*S*Linterp(CL$90,atmos_h,atmos_qms)*CK120^2</f>
        <v>#VALUE!</v>
      </c>
      <c r="CP120" cm="1">
        <f t="array" ref="CP120">CK120*Linterp(CL$90,atmos_h,atmos_aspeed)</f>
        <v>474.36925010650253</v>
      </c>
      <c r="CQ120" s="162" t="e">
        <f t="shared" si="28"/>
        <v>#VALUE!</v>
      </c>
    </row>
    <row r="121" spans="9:95">
      <c r="I121">
        <v>0.5</v>
      </c>
      <c r="J121" cm="1">
        <f t="array" ref="J121">numeng*InterpolateXY(J$90,I121,Tmax_h,Tmax_M,Tmax_table)</f>
        <v>6700</v>
      </c>
      <c r="K121" cm="1">
        <f t="array" ref="K121">1*J$91/(S*Linterp(J$90,atmos_h,atmos_qms)*I121^2)</f>
        <v>0.15883719735259691</v>
      </c>
      <c r="L121" cm="1">
        <f t="array" ref="L121">InterpolateXY(K121,I121,CD_CL,CD_M,CD_table)</f>
        <v>1.8656394900722385E-2</v>
      </c>
      <c r="M121" cm="1">
        <f t="array" ref="M121">L121*S*Linterp(J$90,atmos_h,atmos_qms)*I121^2</f>
        <v>1174.5608215000002</v>
      </c>
      <c r="N121" cm="1">
        <f t="array" ref="N121">I121*Linterp(J$90,atmos_h,atmos_aspeed)</f>
        <v>558.22500000000002</v>
      </c>
      <c r="O121" s="162">
        <f t="shared" si="18"/>
        <v>18506.629712508977</v>
      </c>
      <c r="Q121">
        <v>0.5</v>
      </c>
      <c r="R121" cm="1">
        <f t="array" ref="R121">numeng*InterpolateXY(R$90,Q121,Tmax_h,Tmax_M,Tmax_table)</f>
        <v>6031.6763742365274</v>
      </c>
      <c r="S121" cm="1">
        <f t="array" ref="S121">1*R$91/(S*Linterp(R$90,atmos_h,atmos_qms)*Q121^2)</f>
        <v>0.19089929240804487</v>
      </c>
      <c r="T121" cm="1">
        <f t="array" ref="T121">InterpolateXY(S121,Q121,CD_CL,CD_M,CD_table)</f>
        <v>1.9858723465301684E-2</v>
      </c>
      <c r="U121" cm="1">
        <f t="array" ref="U121">T121*S*Linterp(R$90,atmos_h,atmos_qms)*Q121^2</f>
        <v>1040.2722406562884</v>
      </c>
      <c r="V121" cm="1">
        <f t="array" ref="V121">Q121*Linterp(R$90,atmos_h,atmos_aspeed)</f>
        <v>548.5462131851242</v>
      </c>
      <c r="W121" s="162">
        <f t="shared" si="19"/>
        <v>16428.095015712097</v>
      </c>
      <c r="Y121">
        <v>0.5</v>
      </c>
      <c r="Z121" cm="1">
        <f t="array" ref="Z121">numeng*InterpolateXY(Z$90,Y121,Tmax_h,Tmax_M,Tmax_table)</f>
        <v>5390.8681837480635</v>
      </c>
      <c r="AA121" cm="1">
        <f t="array" ref="AA121">1*Z$91/(S*Linterp(Z$90,atmos_h,atmos_qms)*Y121^2)</f>
        <v>0.23096773374366344</v>
      </c>
      <c r="AB121" cm="1">
        <f t="array" ref="AB121">InterpolateXY(AA121,Y121,CD_CL,CD_M,CD_table)</f>
        <v>2.2135483358978966E-2</v>
      </c>
      <c r="AC121" cm="1">
        <f t="array" ref="AC121">AB121*S*Linterp(Z$90,atmos_h,atmos_qms)*Y121^2</f>
        <v>958.37990009226769</v>
      </c>
      <c r="AD121" cm="1">
        <f t="array" ref="AD121">Y121*Linterp(Z$90,atmos_h,atmos_aspeed)</f>
        <v>538.69355423513241</v>
      </c>
      <c r="AE121" s="162">
        <f t="shared" si="20"/>
        <v>14326.517205768734</v>
      </c>
      <c r="AG121">
        <v>0.5</v>
      </c>
      <c r="AH121" cm="1">
        <f t="array" ref="AH121">numeng*InterpolateXY(AH$90,AG121,Tmax_h,Tmax_M,Tmax_table)</f>
        <v>4719.2443806063729</v>
      </c>
      <c r="AI121" cm="1">
        <f t="array" ref="AI121">1*AH$91/(S*Linterp(AH$90,atmos_h,atmos_qms)*AG121^2)</f>
        <v>0.28145632844078999</v>
      </c>
      <c r="AJ121" cm="1">
        <f t="array" ref="AJ121">InterpolateXY(AI121,AG121,CD_CL,CD_M,CD_table)</f>
        <v>2.5291020527549377E-2</v>
      </c>
      <c r="AK121" cm="1">
        <f t="array" ref="AK121">AJ121*S*Linterp(AH$90,atmos_h,atmos_qms)*AG121^2</f>
        <v>898.57707828622711</v>
      </c>
      <c r="AL121" cm="1">
        <f t="array" ref="AL121">AG121*Linterp(AH$90,atmos_h,atmos_aspeed)</f>
        <v>528.65730180261312</v>
      </c>
      <c r="AM121" s="162">
        <f t="shared" si="21"/>
        <v>12118.942002780221</v>
      </c>
      <c r="AO121">
        <v>0.5</v>
      </c>
      <c r="AP121" cm="1">
        <f t="array" ref="AP121">numeng*InterpolateXY(AP$90,AO121,Tmax_h,Tmax_M,Tmax_table)</f>
        <v>4102.604997346597</v>
      </c>
      <c r="AQ121" cm="1">
        <f t="array" ref="AQ121">1*AP$91/(S*Linterp(AP$90,atmos_h,atmos_qms)*AO121^2)</f>
        <v>0.34564223214916728</v>
      </c>
      <c r="AR121" cm="1">
        <f t="array" ref="AR121">InterpolateXY(AQ121,AO121,CD_CL,CD_M,CD_table)</f>
        <v>3.015843136211984E-2</v>
      </c>
      <c r="AS121" cm="1">
        <f t="array" ref="AS121">AR121*S*Linterp(AP$90,atmos_h,atmos_qms)*AO121^2</f>
        <v>872.5331732351649</v>
      </c>
      <c r="AT121" cm="1">
        <f t="array" ref="AT121">AO121*Linterp(AP$90,atmos_h,atmos_aspeed)</f>
        <v>518.42679340863447</v>
      </c>
      <c r="AU121" s="162">
        <f t="shared" si="22"/>
        <v>10047.334669522012</v>
      </c>
      <c r="AW121">
        <v>0.5</v>
      </c>
      <c r="AX121" cm="1">
        <f t="array" ref="AX121">numeng*InterpolateXY(AX$90,AW121,Tmax_h,Tmax_M,Tmax_table)</f>
        <v>3540.0968949718508</v>
      </c>
      <c r="AY121" cm="1">
        <f t="array" ref="AY121">1*AX$91/(S*Linterp(AX$90,atmos_h,atmos_qms)*AW121^2)</f>
        <v>0.42802756320005586</v>
      </c>
      <c r="AZ121" cm="1">
        <f t="array" ref="AZ121">InterpolateXY(AY121,AW121,CD_CL,CD_M,CD_table)</f>
        <v>4.3233540203211226E-2</v>
      </c>
      <c r="BA121" cm="1">
        <f t="array" ref="BA121">AZ121*S*Linterp(AX$90,atmos_h,atmos_qms)*AW121^2</f>
        <v>1010.0643958530376</v>
      </c>
      <c r="BB121" cm="1">
        <f t="array" ref="BB121">AW121*Linterp(AX$90,atmos_h,atmos_aspeed)</f>
        <v>507.99029272093242</v>
      </c>
      <c r="BC121" s="162">
        <f t="shared" si="23"/>
        <v>7711.3916989250283</v>
      </c>
      <c r="BE121">
        <v>0.5</v>
      </c>
      <c r="BF121" cm="1">
        <f t="array" ref="BF121">numeng*InterpolateXY(BF$90,BE121,Tmax_h,Tmax_M,Tmax_table)</f>
        <v>3030.4296019938702</v>
      </c>
      <c r="BG121" cm="1">
        <f t="array" ref="BG121">1*BF$91/(S*Linterp(BF$90,atmos_h,atmos_qms)*BE121^2)</f>
        <v>0.53487665909615745</v>
      </c>
      <c r="BH121" cm="1">
        <f t="array" ref="BH121">InterpolateXY(BG121,BE121,CD_CL,CD_M,CD_table)</f>
        <v>6.8616394297097288E-2</v>
      </c>
      <c r="BI121" cm="1">
        <f t="array" ref="BI121">BH121*S*Linterp(BF$90,atmos_h,atmos_qms)*BE121^2</f>
        <v>1282.8451780462115</v>
      </c>
      <c r="BJ121" cm="1">
        <f t="array" ref="BJ121">BE121*Linterp(BF$90,atmos_h,atmos_aspeed)</f>
        <v>497.33483175164628</v>
      </c>
      <c r="BK121" s="162">
        <f t="shared" si="24"/>
        <v>5214.807632734839</v>
      </c>
      <c r="BM121">
        <v>0.5</v>
      </c>
      <c r="BN121" cm="1">
        <f t="array" ref="BN121">numeng*InterpolateXY(BN$90,BM121,Tmax_h,Tmax_M,Tmax_table)</f>
        <v>2571.9235773691694</v>
      </c>
      <c r="BO121" cm="1">
        <f t="array" ref="BO121">1*BN$91/(S*Linterp(BN$90,atmos_h,atmos_qms)*BM121^2)</f>
        <v>0.67502717649811639</v>
      </c>
      <c r="BP121" cm="1">
        <f t="array" ref="BP121">InterpolateXY(BO121,BM121,CD_CL,CD_M,CD_table)</f>
        <v>0.12186190330617498</v>
      </c>
      <c r="BQ121" cm="1">
        <f t="array" ref="BQ121">BP121*S*Linterp(BN$90,atmos_h,atmos_qms)*BM121^2</f>
        <v>1805.2888468634126</v>
      </c>
      <c r="BR121" cm="1">
        <f t="array" ref="BR121">BM121*Linterp(BN$90,atmos_h,atmos_aspeed)</f>
        <v>486.44602192656282</v>
      </c>
      <c r="BS121" s="162">
        <f t="shared" si="25"/>
        <v>2237.5584895516081</v>
      </c>
      <c r="BU121">
        <v>0.5</v>
      </c>
      <c r="BV121" cm="1">
        <f t="array" ref="BV121">numeng*InterpolateXY(BV$90,BU121,Tmax_h,Tmax_M,Tmax_table)</f>
        <v>2092.4406413015377</v>
      </c>
      <c r="BW121" cm="1">
        <f t="array" ref="BW121">1*BV$91/(S*Linterp(BV$90,atmos_h,atmos_qms)*BU121^2)</f>
        <v>0.85817948015302437</v>
      </c>
      <c r="BX121" t="e" cm="1">
        <f t="array" ref="BX121">InterpolateXY(BW121,BU121,CD_CL,CD_M,CD_table)</f>
        <v>#VALUE!</v>
      </c>
      <c r="BY121" t="e" cm="1">
        <f t="array" ref="BY121">BX121*S*Linterp(BV$90,atmos_h,atmos_qms)*BU121^2</f>
        <v>#VALUE!</v>
      </c>
      <c r="BZ121" cm="1">
        <f t="array" ref="BZ121">BU121*Linterp(BV$90,atmos_h,atmos_aspeed)</f>
        <v>484.0502552107169</v>
      </c>
      <c r="CA121" s="162" t="e">
        <f t="shared" si="26"/>
        <v>#VALUE!</v>
      </c>
      <c r="CC121">
        <v>0.5</v>
      </c>
      <c r="CD121" cm="1">
        <f t="array" ref="CD121">numeng*InterpolateXY(CD$90,CC121,Tmax_h,Tmax_M,Tmax_table)</f>
        <v>1606.7315251440377</v>
      </c>
      <c r="CE121" cm="1">
        <f t="array" ref="CE121">1*CD$91/(S*Linterp(CD$90,atmos_h,atmos_qms)*CC121^2)</f>
        <v>1.0913074610476747</v>
      </c>
      <c r="CF121" t="e" cm="1">
        <f t="array" ref="CF121">InterpolateXY(CE121,CC121,CD_CL,CD_M,CD_table)</f>
        <v>#VALUE!</v>
      </c>
      <c r="CG121" t="e" cm="1">
        <f t="array" ref="CG121">CF121*S*Linterp(CD$90,atmos_h,atmos_qms)*CC121^2</f>
        <v>#VALUE!</v>
      </c>
      <c r="CH121" cm="1">
        <f t="array" ref="CH121">CC121*Linterp(CD$90,atmos_h,atmos_aspeed)</f>
        <v>484.0502552107169</v>
      </c>
      <c r="CI121" s="162" t="e">
        <f t="shared" si="27"/>
        <v>#VALUE!</v>
      </c>
      <c r="CK121">
        <v>0.5</v>
      </c>
      <c r="CL121" cm="1">
        <f t="array" ref="CL121">numeng*InterpolateXY(CL$90,CK121,Tmax_h,Tmax_M,Tmax_table)</f>
        <v>1202.6058590497519</v>
      </c>
      <c r="CM121" cm="1">
        <f t="array" ref="CM121">1*CL$91/(S*Linterp(CL$90,atmos_h,atmos_qms)*CK121^2)</f>
        <v>1.3877656155632618</v>
      </c>
      <c r="CN121" t="e" cm="1">
        <f t="array" ref="CN121">InterpolateXY(CM121,CK121,CD_CL,CD_M,CD_table)</f>
        <v>#VALUE!</v>
      </c>
      <c r="CO121" t="e" cm="1">
        <f t="array" ref="CO121">CN121*S*Linterp(CL$90,atmos_h,atmos_qms)*CK121^2</f>
        <v>#VALUE!</v>
      </c>
      <c r="CP121" cm="1">
        <f t="array" ref="CP121">CK121*Linterp(CL$90,atmos_h,atmos_aspeed)</f>
        <v>484.0502552107169</v>
      </c>
      <c r="CQ121" s="162" t="e">
        <f t="shared" si="28"/>
        <v>#VALUE!</v>
      </c>
    </row>
    <row r="122" spans="9:95">
      <c r="I122">
        <v>0.51</v>
      </c>
      <c r="J122" cm="1">
        <f t="array" ref="J122">numeng*InterpolateXY(J$90,I122,Tmax_h,Tmax_M,Tmax_table)</f>
        <v>6724</v>
      </c>
      <c r="K122" cm="1">
        <f t="array" ref="K122">1*J$91/(S*Linterp(J$90,atmos_h,atmos_qms)*I122^2)</f>
        <v>0.15266935539465293</v>
      </c>
      <c r="L122" cm="1">
        <f t="array" ref="L122">InterpolateXY(K122,I122,CD_CL,CD_M,CD_table)</f>
        <v>1.8405100827299486E-2</v>
      </c>
      <c r="M122" cm="1">
        <f t="array" ref="M122">L122*S*Linterp(J$90,atmos_h,atmos_qms)*I122^2</f>
        <v>1205.55305809224</v>
      </c>
      <c r="N122" cm="1">
        <f t="array" ref="N122">I122*Linterp(J$90,atmos_h,atmos_aspeed)</f>
        <v>569.3895</v>
      </c>
      <c r="O122" s="162">
        <f t="shared" si="18"/>
        <v>18852.874470176332</v>
      </c>
      <c r="Q122">
        <v>0.51</v>
      </c>
      <c r="R122" cm="1">
        <f t="array" ref="R122">numeng*InterpolateXY(R$90,Q122,Tmax_h,Tmax_M,Tmax_table)</f>
        <v>6057.5264158403979</v>
      </c>
      <c r="S122" cm="1">
        <f t="array" ref="S122">1*R$91/(S*Linterp(R$90,atmos_h,atmos_qms)*Q122^2)</f>
        <v>0.18348644022303429</v>
      </c>
      <c r="T122" cm="1">
        <f t="array" ref="T122">InterpolateXY(S122,Q122,CD_CL,CD_M,CD_table)</f>
        <v>1.9560741508363788E-2</v>
      </c>
      <c r="U122" cm="1">
        <f t="array" ref="U122">T122*S*Linterp(R$90,atmos_h,atmos_qms)*Q122^2</f>
        <v>1066.0592403769463</v>
      </c>
      <c r="V122" cm="1">
        <f t="array" ref="V122">Q122*Linterp(R$90,atmos_h,atmos_aspeed)</f>
        <v>559.5171374488267</v>
      </c>
      <c r="W122" s="162">
        <f t="shared" si="19"/>
        <v>16756.868554110544</v>
      </c>
      <c r="Y122">
        <v>0.51</v>
      </c>
      <c r="Z122" cm="1">
        <f t="array" ref="Z122">numeng*InterpolateXY(Z$90,Y122,Tmax_h,Tmax_M,Tmax_table)</f>
        <v>5417.4532871199717</v>
      </c>
      <c r="AA122" cm="1">
        <f t="array" ref="AA122">1*Z$91/(S*Linterp(Z$90,atmos_h,atmos_qms)*Y122^2)</f>
        <v>0.22199897514769651</v>
      </c>
      <c r="AB122" cm="1">
        <f t="array" ref="AB122">InterpolateXY(AA122,Y122,CD_CL,CD_M,CD_table)</f>
        <v>2.1554935946731035E-2</v>
      </c>
      <c r="AC122" cm="1">
        <f t="array" ref="AC122">AB122*S*Linterp(Z$90,atmos_h,atmos_qms)*Y122^2</f>
        <v>970.94754299610975</v>
      </c>
      <c r="AD122" cm="1">
        <f t="array" ref="AD122">Y122*Linterp(Z$90,atmos_h,atmos_aspeed)</f>
        <v>549.46742531983512</v>
      </c>
      <c r="AE122" s="162">
        <f t="shared" si="20"/>
        <v>14659.260377361576</v>
      </c>
      <c r="AG122">
        <v>0.51</v>
      </c>
      <c r="AH122" cm="1">
        <f t="array" ref="AH122">numeng*InterpolateXY(AH$90,AG122,Tmax_h,Tmax_M,Tmax_table)</f>
        <v>4744.4136839696066</v>
      </c>
      <c r="AI122" cm="1">
        <f t="array" ref="AI122">1*AH$91/(S*Linterp(AH$90,atmos_h,atmos_qms)*AG122^2)</f>
        <v>0.27052703617915225</v>
      </c>
      <c r="AJ122" cm="1">
        <f t="array" ref="AJ122">InterpolateXY(AI122,AG122,CD_CL,CD_M,CD_table)</f>
        <v>2.4587939761197018E-2</v>
      </c>
      <c r="AK122" cm="1">
        <f t="array" ref="AK122">AJ122*S*Linterp(AH$90,atmos_h,atmos_qms)*AG122^2</f>
        <v>908.89029460678546</v>
      </c>
      <c r="AL122" cm="1">
        <f t="array" ref="AL122">AG122*Linterp(AH$90,atmos_h,atmos_aspeed)</f>
        <v>539.23044783866544</v>
      </c>
      <c r="AM122" s="162">
        <f t="shared" si="21"/>
        <v>12409.385969650739</v>
      </c>
      <c r="AO122">
        <v>0.51</v>
      </c>
      <c r="AP122" cm="1">
        <f t="array" ref="AP122">numeng*InterpolateXY(AP$90,AO122,Tmax_h,Tmax_M,Tmax_table)</f>
        <v>4126.0484544742922</v>
      </c>
      <c r="AQ122" cm="1">
        <f t="array" ref="AQ122">1*AP$91/(S*Linterp(AP$90,atmos_h,atmos_qms)*AO122^2)</f>
        <v>0.33222052301919192</v>
      </c>
      <c r="AR122" cm="1">
        <f t="array" ref="AR122">InterpolateXY(AQ122,AO122,CD_CL,CD_M,CD_table)</f>
        <v>2.9047917495309345E-2</v>
      </c>
      <c r="AS122" cm="1">
        <f t="array" ref="AS122">AR122*S*Linterp(AP$90,atmos_h,atmos_qms)*AO122^2</f>
        <v>874.35650366582831</v>
      </c>
      <c r="AT122" cm="1">
        <f t="array" ref="AT122">AO122*Linterp(AP$90,atmos_h,atmos_aspeed)</f>
        <v>528.79532927680714</v>
      </c>
      <c r="AU122" s="162">
        <f t="shared" si="22"/>
        <v>10316.877095007028</v>
      </c>
      <c r="AW122">
        <v>0.51</v>
      </c>
      <c r="AX122" cm="1">
        <f t="array" ref="AX122">numeng*InterpolateXY(AX$90,AW122,Tmax_h,Tmax_M,Tmax_table)</f>
        <v>3561.6063444602873</v>
      </c>
      <c r="AY122" cm="1">
        <f t="array" ref="AY122">1*AX$91/(S*Linterp(AX$90,atmos_h,atmos_qms)*AW122^2)</f>
        <v>0.41140673125726246</v>
      </c>
      <c r="AZ122" cm="1">
        <f t="array" ref="AZ122">InterpolateXY(AY122,AW122,CD_CL,CD_M,CD_table)</f>
        <v>3.9872752982709751E-2</v>
      </c>
      <c r="BA122" cm="1">
        <f t="array" ref="BA122">AZ122*S*Linterp(AX$90,atmos_h,atmos_qms)*AW122^2</f>
        <v>969.18086052841863</v>
      </c>
      <c r="BB122" cm="1">
        <f t="array" ref="BB122">AW122*Linterp(AX$90,atmos_h,atmos_aspeed)</f>
        <v>518.15009857535108</v>
      </c>
      <c r="BC122" s="162">
        <f t="shared" si="23"/>
        <v>8059.5931202912998</v>
      </c>
      <c r="BE122">
        <v>0.51</v>
      </c>
      <c r="BF122" cm="1">
        <f t="array" ref="BF122">numeng*InterpolateXY(BF$90,BE122,Tmax_h,Tmax_M,Tmax_table)</f>
        <v>3049.8842117844479</v>
      </c>
      <c r="BG122" cm="1">
        <f t="array" ref="BG122">1*BF$91/(S*Linterp(BF$90,atmos_h,atmos_qms)*BE122^2)</f>
        <v>0.514106746536099</v>
      </c>
      <c r="BH122" cm="1">
        <f t="array" ref="BH122">InterpolateXY(BG122,BE122,CD_CL,CD_M,CD_table)</f>
        <v>6.2095411665798989E-2</v>
      </c>
      <c r="BI122" cm="1">
        <f t="array" ref="BI122">BH122*S*Linterp(BF$90,atmos_h,atmos_qms)*BE122^2</f>
        <v>1207.8310989727274</v>
      </c>
      <c r="BJ122" cm="1">
        <f t="array" ref="BJ122">BE122*Linterp(BF$90,atmos_h,atmos_aspeed)</f>
        <v>507.28152838667921</v>
      </c>
      <c r="BK122" s="162">
        <f t="shared" si="24"/>
        <v>5606.6371106194174</v>
      </c>
      <c r="BM122">
        <v>0.51</v>
      </c>
      <c r="BN122" cm="1">
        <f t="array" ref="BN122">numeng*InterpolateXY(BN$90,BM122,Tmax_h,Tmax_M,Tmax_table)</f>
        <v>2589.2763147586484</v>
      </c>
      <c r="BO122" cm="1">
        <f t="array" ref="BO122">1*BN$91/(S*Linterp(BN$90,atmos_h,atmos_qms)*BM122^2)</f>
        <v>0.64881504853721306</v>
      </c>
      <c r="BP122" cm="1">
        <f t="array" ref="BP122">InterpolateXY(BO122,BM122,CD_CL,CD_M,CD_table)</f>
        <v>0.11036099125929931</v>
      </c>
      <c r="BQ122" cm="1">
        <f t="array" ref="BQ122">BP122*S*Linterp(BN$90,atmos_h,atmos_qms)*BM122^2</f>
        <v>1700.9622620207999</v>
      </c>
      <c r="BR122" cm="1">
        <f t="array" ref="BR122">BM122*Linterp(BN$90,atmos_h,atmos_aspeed)</f>
        <v>496.17494236509407</v>
      </c>
      <c r="BS122" s="162">
        <f t="shared" si="25"/>
        <v>2644.5550435158307</v>
      </c>
      <c r="BU122">
        <v>0.51</v>
      </c>
      <c r="BV122" cm="1">
        <f t="array" ref="BV122">numeng*InterpolateXY(BV$90,BU122,Tmax_h,Tmax_M,Tmax_table)</f>
        <v>2107.2108105342545</v>
      </c>
      <c r="BW122" cm="1">
        <f t="array" ref="BW122">1*BV$91/(S*Linterp(BV$90,atmos_h,atmos_qms)*BU122^2)</f>
        <v>0.82485532502213033</v>
      </c>
      <c r="BX122" t="e" cm="1">
        <f t="array" ref="BX122">InterpolateXY(BW122,BU122,CD_CL,CD_M,CD_table)</f>
        <v>#VALUE!</v>
      </c>
      <c r="BY122" t="e" cm="1">
        <f t="array" ref="BY122">BX122*S*Linterp(BV$90,atmos_h,atmos_qms)*BU122^2</f>
        <v>#VALUE!</v>
      </c>
      <c r="BZ122" cm="1">
        <f t="array" ref="BZ122">BU122*Linterp(BV$90,atmos_h,atmos_aspeed)</f>
        <v>493.73126031493126</v>
      </c>
      <c r="CA122" s="162" t="e">
        <f t="shared" si="26"/>
        <v>#VALUE!</v>
      </c>
      <c r="CC122">
        <v>0.51</v>
      </c>
      <c r="CD122" cm="1">
        <f t="array" ref="CD122">numeng*InterpolateXY(CD$90,CC122,Tmax_h,Tmax_M,Tmax_table)</f>
        <v>1617.5721233859733</v>
      </c>
      <c r="CE122" cm="1">
        <f t="array" ref="CE122">1*CD$91/(S*Linterp(CD$90,atmos_h,atmos_qms)*CC122^2)</f>
        <v>1.0489306622911136</v>
      </c>
      <c r="CF122" t="e" cm="1">
        <f t="array" ref="CF122">InterpolateXY(CE122,CC122,CD_CL,CD_M,CD_table)</f>
        <v>#VALUE!</v>
      </c>
      <c r="CG122" t="e" cm="1">
        <f t="array" ref="CG122">CF122*S*Linterp(CD$90,atmos_h,atmos_qms)*CC122^2</f>
        <v>#VALUE!</v>
      </c>
      <c r="CH122" cm="1">
        <f t="array" ref="CH122">CC122*Linterp(CD$90,atmos_h,atmos_aspeed)</f>
        <v>493.73126031493126</v>
      </c>
      <c r="CI122" s="162" t="e">
        <f t="shared" si="27"/>
        <v>#VALUE!</v>
      </c>
      <c r="CK122">
        <v>0.51</v>
      </c>
      <c r="CL122" cm="1">
        <f t="array" ref="CL122">numeng*InterpolateXY(CL$90,CK122,Tmax_h,Tmax_M,Tmax_table)</f>
        <v>1209.9128313579022</v>
      </c>
      <c r="CM122" cm="1">
        <f t="array" ref="CM122">1*CL$91/(S*Linterp(CL$90,atmos_h,atmos_qms)*CK122^2)</f>
        <v>1.3338769853549231</v>
      </c>
      <c r="CN122" t="e" cm="1">
        <f t="array" ref="CN122">InterpolateXY(CM122,CK122,CD_CL,CD_M,CD_table)</f>
        <v>#VALUE!</v>
      </c>
      <c r="CO122" t="e" cm="1">
        <f t="array" ref="CO122">CN122*S*Linterp(CL$90,atmos_h,atmos_qms)*CK122^2</f>
        <v>#VALUE!</v>
      </c>
      <c r="CP122" cm="1">
        <f t="array" ref="CP122">CK122*Linterp(CL$90,atmos_h,atmos_aspeed)</f>
        <v>493.73126031493126</v>
      </c>
      <c r="CQ122" s="162" t="e">
        <f t="shared" si="28"/>
        <v>#VALUE!</v>
      </c>
    </row>
    <row r="123" spans="9:95">
      <c r="I123">
        <v>0.52</v>
      </c>
      <c r="J123" cm="1">
        <f t="array" ref="J123">numeng*InterpolateXY(J$90,I123,Tmax_h,Tmax_M,Tmax_table)</f>
        <v>6748</v>
      </c>
      <c r="K123" cm="1">
        <f t="array" ref="K123">1*J$91/(S*Linterp(J$90,atmos_h,atmos_qms)*I123^2)</f>
        <v>0.14685391767067021</v>
      </c>
      <c r="L123" cm="1">
        <f t="array" ref="L123">InterpolateXY(K123,I123,CD_CL,CD_M,CD_table)</f>
        <v>1.8167021912650134E-2</v>
      </c>
      <c r="M123" cm="1">
        <f t="array" ref="M123">L123*S*Linterp(J$90,atmos_h,atmos_qms)*I123^2</f>
        <v>1237.0811893075204</v>
      </c>
      <c r="N123" cm="1">
        <f t="array" ref="N123">I123*Linterp(J$90,atmos_h,atmos_aspeed)</f>
        <v>580.55400000000009</v>
      </c>
      <c r="O123" s="162">
        <f t="shared" si="18"/>
        <v>19196.315755336575</v>
      </c>
      <c r="Q123">
        <v>0.52</v>
      </c>
      <c r="R123" cm="1">
        <f t="array" ref="R123">numeng*InterpolateXY(R$90,Q123,Tmax_h,Tmax_M,Tmax_table)</f>
        <v>6083.3764574442694</v>
      </c>
      <c r="S123" cm="1">
        <f t="array" ref="S123">1*R$91/(S*Linterp(R$90,atmos_h,atmos_qms)*Q123^2)</f>
        <v>0.17649712685655036</v>
      </c>
      <c r="T123" cm="1">
        <f t="array" ref="T123">InterpolateXY(S123,Q123,CD_CL,CD_M,CD_table)</f>
        <v>1.9278642257120639E-2</v>
      </c>
      <c r="U123" cm="1">
        <f t="array" ref="U123">T123*S*Linterp(R$90,atmos_h,atmos_qms)*Q123^2</f>
        <v>1092.2921296497666</v>
      </c>
      <c r="V123" cm="1">
        <f t="array" ref="V123">Q123*Linterp(R$90,atmos_h,atmos_aspeed)</f>
        <v>570.4880617125292</v>
      </c>
      <c r="W123" s="162">
        <f t="shared" si="19"/>
        <v>17084.124144043602</v>
      </c>
      <c r="Y123">
        <v>0.52</v>
      </c>
      <c r="Z123" cm="1">
        <f t="array" ref="Z123">numeng*InterpolateXY(Z$90,Y123,Tmax_h,Tmax_M,Tmax_table)</f>
        <v>5444.0383904918799</v>
      </c>
      <c r="AA123" cm="1">
        <f t="array" ref="AA123">1*Z$91/(S*Linterp(Z$90,atmos_h,atmos_qms)*Y123^2)</f>
        <v>0.21354265323933377</v>
      </c>
      <c r="AB123" cm="1">
        <f t="array" ref="AB123">InterpolateXY(AA123,Y123,CD_CL,CD_M,CD_table)</f>
        <v>2.1006415827458359E-2</v>
      </c>
      <c r="AC123" cm="1">
        <f t="array" ref="AC123">AB123*S*Linterp(Z$90,atmos_h,atmos_qms)*Y123^2</f>
        <v>983.71053786218727</v>
      </c>
      <c r="AD123" cm="1">
        <f t="array" ref="AD123">Y123*Linterp(Z$90,atmos_h,atmos_aspeed)</f>
        <v>560.24129640453771</v>
      </c>
      <c r="AE123" s="162">
        <f t="shared" si="20"/>
        <v>14993.15915127916</v>
      </c>
      <c r="AG123">
        <v>0.52</v>
      </c>
      <c r="AH123" cm="1">
        <f t="array" ref="AH123">numeng*InterpolateXY(AH$90,AG123,Tmax_h,Tmax_M,Tmax_table)</f>
        <v>4769.5829873328412</v>
      </c>
      <c r="AI123" cm="1">
        <f t="array" ref="AI123">1*AH$91/(S*Linterp(AH$90,atmos_h,atmos_qms)*AG123^2)</f>
        <v>0.26022219715309719</v>
      </c>
      <c r="AJ123" cm="1">
        <f t="array" ref="AJ123">InterpolateXY(AI123,AG123,CD_CL,CD_M,CD_table)</f>
        <v>2.3923887322068575E-2</v>
      </c>
      <c r="AK123" cm="1">
        <f t="array" ref="AK123">AJ123*S*Linterp(AH$90,atmos_h,atmos_qms)*AG123^2</f>
        <v>919.36381998932131</v>
      </c>
      <c r="AL123" cm="1">
        <f t="array" ref="AL123">AG123*Linterp(AH$90,atmos_h,atmos_aspeed)</f>
        <v>549.80359387471765</v>
      </c>
      <c r="AM123" s="162">
        <f t="shared" si="21"/>
        <v>12701.186012464741</v>
      </c>
      <c r="AO123">
        <v>0.52</v>
      </c>
      <c r="AP123" cm="1">
        <f t="array" ref="AP123">numeng*InterpolateXY(AP$90,AO123,Tmax_h,Tmax_M,Tmax_table)</f>
        <v>4149.4919116019864</v>
      </c>
      <c r="AQ123" cm="1">
        <f t="array" ref="AQ123">1*AP$91/(S*Linterp(AP$90,atmos_h,atmos_qms)*AO123^2)</f>
        <v>0.31956567321483659</v>
      </c>
      <c r="AR123" cm="1">
        <f t="array" ref="AR123">InterpolateXY(AQ123,AO123,CD_CL,CD_M,CD_table)</f>
        <v>2.7999710948705472E-2</v>
      </c>
      <c r="AS123" cm="1">
        <f t="array" ref="AS123">AR123*S*Linterp(AP$90,atmos_h,atmos_qms)*AO123^2</f>
        <v>876.18018127628864</v>
      </c>
      <c r="AT123" cm="1">
        <f t="array" ref="AT123">AO123*Linterp(AP$90,atmos_h,atmos_aspeed)</f>
        <v>539.16386514497981</v>
      </c>
      <c r="AU123" s="162">
        <f t="shared" si="22"/>
        <v>10589.108426080831</v>
      </c>
      <c r="AW123">
        <v>0.52</v>
      </c>
      <c r="AX123" cm="1">
        <f t="array" ref="AX123">numeng*InterpolateXY(AX$90,AW123,Tmax_h,Tmax_M,Tmax_table)</f>
        <v>3583.1157939487239</v>
      </c>
      <c r="AY123" cm="1">
        <f t="array" ref="AY123">1*AX$91/(S*Linterp(AX$90,atmos_h,atmos_qms)*AW123^2)</f>
        <v>0.39573554289945989</v>
      </c>
      <c r="AZ123" cm="1">
        <f t="array" ref="AZ123">InterpolateXY(AY123,AW123,CD_CL,CD_M,CD_table)</f>
        <v>3.6955513205998443E-2</v>
      </c>
      <c r="BA123" cm="1">
        <f t="array" ref="BA123">AZ123*S*Linterp(AX$90,atmos_h,atmos_qms)*AW123^2</f>
        <v>933.8436708321475</v>
      </c>
      <c r="BB123" cm="1">
        <f t="array" ref="BB123">AW123*Linterp(AX$90,atmos_h,atmos_aspeed)</f>
        <v>528.30990442976974</v>
      </c>
      <c r="BC123" s="162">
        <f t="shared" si="23"/>
        <v>8397.8202130330301</v>
      </c>
      <c r="BE123">
        <v>0.52</v>
      </c>
      <c r="BF123" cm="1">
        <f t="array" ref="BF123">numeng*InterpolateXY(BF$90,BE123,Tmax_h,Tmax_M,Tmax_table)</f>
        <v>3069.338821575026</v>
      </c>
      <c r="BG123" cm="1">
        <f t="array" ref="BG123">1*BF$91/(S*Linterp(BF$90,atmos_h,atmos_qms)*BE123^2)</f>
        <v>0.49452353836553015</v>
      </c>
      <c r="BH123" cm="1">
        <f t="array" ref="BH123">InterpolateXY(BG123,BE123,CD_CL,CD_M,CD_table)</f>
        <v>5.6559231211471564E-2</v>
      </c>
      <c r="BI123" cm="1">
        <f t="array" ref="BI123">BH123*S*Linterp(BF$90,atmos_h,atmos_qms)*BE123^2</f>
        <v>1143.7116097326284</v>
      </c>
      <c r="BJ123" cm="1">
        <f t="array" ref="BJ123">BE123*Linterp(BF$90,atmos_h,atmos_aspeed)</f>
        <v>517.22822502171209</v>
      </c>
      <c r="BK123" s="162">
        <f t="shared" si="24"/>
        <v>5975.9324690085105</v>
      </c>
      <c r="BM123">
        <v>0.52</v>
      </c>
      <c r="BN123" cm="1">
        <f t="array" ref="BN123">numeng*InterpolateXY(BN$90,BM123,Tmax_h,Tmax_M,Tmax_table)</f>
        <v>2606.6290521481269</v>
      </c>
      <c r="BO123" cm="1">
        <f t="array" ref="BO123">1*BN$91/(S*Linterp(BN$90,atmos_h,atmos_qms)*BM123^2)</f>
        <v>0.62410056998716379</v>
      </c>
      <c r="BP123" cm="1">
        <f t="array" ref="BP123">InterpolateXY(BO123,BM123,CD_CL,CD_M,CD_table)</f>
        <v>9.9516049654377742E-2</v>
      </c>
      <c r="BQ123" cm="1">
        <f t="array" ref="BQ123">BP123*S*Linterp(BN$90,atmos_h,atmos_qms)*BM123^2</f>
        <v>1594.5514944237998</v>
      </c>
      <c r="BR123" cm="1">
        <f t="array" ref="BR123">BM123*Linterp(BN$90,atmos_h,atmos_aspeed)</f>
        <v>505.90386280362537</v>
      </c>
      <c r="BS123" s="162">
        <f t="shared" si="25"/>
        <v>3072.0836754575776</v>
      </c>
      <c r="BU123">
        <v>0.52</v>
      </c>
      <c r="BV123" cm="1">
        <f t="array" ref="BV123">numeng*InterpolateXY(BV$90,BU123,Tmax_h,Tmax_M,Tmax_table)</f>
        <v>2121.9809797669709</v>
      </c>
      <c r="BW123" cm="1">
        <f t="array" ref="BW123">1*BV$91/(S*Linterp(BV$90,atmos_h,atmos_qms)*BU123^2)</f>
        <v>0.79343517025982269</v>
      </c>
      <c r="BX123" cm="1">
        <f t="array" ref="BX123">InterpolateXY(BW123,BU123,CD_CL,CD_M,CD_table)</f>
        <v>0.18732068336340016</v>
      </c>
      <c r="BY123" cm="1">
        <f t="array" ref="BY123">BX123*S*Linterp(BV$90,atmos_h,atmos_qms)*BU123^2</f>
        <v>2360.8820277283535</v>
      </c>
      <c r="BZ123" cm="1">
        <f t="array" ref="BZ123">BU123*Linterp(BV$90,atmos_h,atmos_aspeed)</f>
        <v>503.41226541914557</v>
      </c>
      <c r="CA123" s="162">
        <f t="shared" si="26"/>
        <v>-721.59430659148529</v>
      </c>
      <c r="CC123">
        <v>0.52</v>
      </c>
      <c r="CD123" cm="1">
        <f t="array" ref="CD123">numeng*InterpolateXY(CD$90,CC123,Tmax_h,Tmax_M,Tmax_table)</f>
        <v>1628.4127216279091</v>
      </c>
      <c r="CE123" cm="1">
        <f t="array" ref="CE123">1*CD$91/(S*Linterp(CD$90,atmos_h,atmos_qms)*CC123^2)</f>
        <v>1.0089750934242552</v>
      </c>
      <c r="CF123" t="e" cm="1">
        <f t="array" ref="CF123">InterpolateXY(CE123,CC123,CD_CL,CD_M,CD_table)</f>
        <v>#VALUE!</v>
      </c>
      <c r="CG123" t="e" cm="1">
        <f t="array" ref="CG123">CF123*S*Linterp(CD$90,atmos_h,atmos_qms)*CC123^2</f>
        <v>#VALUE!</v>
      </c>
      <c r="CH123" cm="1">
        <f t="array" ref="CH123">CC123*Linterp(CD$90,atmos_h,atmos_aspeed)</f>
        <v>503.41226541914557</v>
      </c>
      <c r="CI123" s="162" t="e">
        <f t="shared" si="27"/>
        <v>#VALUE!</v>
      </c>
      <c r="CK123">
        <v>0.52</v>
      </c>
      <c r="CL123" cm="1">
        <f t="array" ref="CL123">numeng*InterpolateXY(CL$90,CK123,Tmax_h,Tmax_M,Tmax_table)</f>
        <v>1217.2198036660527</v>
      </c>
      <c r="CM123" cm="1">
        <f t="array" ref="CM123">1*CL$91/(S*Linterp(CL$90,atmos_h,atmos_qms)*CK123^2)</f>
        <v>1.2830673220814182</v>
      </c>
      <c r="CN123" t="e" cm="1">
        <f t="array" ref="CN123">InterpolateXY(CM123,CK123,CD_CL,CD_M,CD_table)</f>
        <v>#VALUE!</v>
      </c>
      <c r="CO123" t="e" cm="1">
        <f t="array" ref="CO123">CN123*S*Linterp(CL$90,atmos_h,atmos_qms)*CK123^2</f>
        <v>#VALUE!</v>
      </c>
      <c r="CP123" cm="1">
        <f t="array" ref="CP123">CK123*Linterp(CL$90,atmos_h,atmos_aspeed)</f>
        <v>503.41226541914557</v>
      </c>
      <c r="CQ123" s="162" t="e">
        <f t="shared" si="28"/>
        <v>#VALUE!</v>
      </c>
    </row>
    <row r="124" spans="9:95">
      <c r="I124">
        <v>0.53</v>
      </c>
      <c r="J124" cm="1">
        <f t="array" ref="J124">numeng*InterpolateXY(J$90,I124,Tmax_h,Tmax_M,Tmax_table)</f>
        <v>6772</v>
      </c>
      <c r="K124" cm="1">
        <f t="array" ref="K124">1*J$91/(S*Linterp(J$90,atmos_h,atmos_qms)*I124^2)</f>
        <v>0.14136454018565048</v>
      </c>
      <c r="L124" cm="1">
        <f t="array" ref="L124">InterpolateXY(K124,I124,CD_CL,CD_M,CD_table)</f>
        <v>1.7941170256961892E-2</v>
      </c>
      <c r="M124" cm="1">
        <f t="array" ref="M124">L124*S*Linterp(J$90,atmos_h,atmos_qms)*I124^2</f>
        <v>1269.1421931836799</v>
      </c>
      <c r="N124" cm="1">
        <f t="array" ref="N124">I124*Linterp(J$90,atmos_h,atmos_aspeed)</f>
        <v>591.71850000000006</v>
      </c>
      <c r="O124" s="162">
        <f t="shared" si="18"/>
        <v>19536.856602975859</v>
      </c>
      <c r="Q124">
        <v>0.53</v>
      </c>
      <c r="R124" cm="1">
        <f t="array" ref="R124">numeng*InterpolateXY(R$90,Q124,Tmax_h,Tmax_M,Tmax_table)</f>
        <v>6109.2264990481399</v>
      </c>
      <c r="S124" cm="1">
        <f t="array" ref="S124">1*R$91/(S*Linterp(R$90,atmos_h,atmos_qms)*Q124^2)</f>
        <v>0.16989969064439736</v>
      </c>
      <c r="T124" cm="1">
        <f t="array" ref="T124">InterpolateXY(S124,Q124,CD_CL,CD_M,CD_table)</f>
        <v>1.9011238399164902E-2</v>
      </c>
      <c r="U124" cm="1">
        <f t="array" ref="U124">T124*S*Linterp(R$90,atmos_h,atmos_qms)*Q124^2</f>
        <v>1118.9683940599818</v>
      </c>
      <c r="V124" cm="1">
        <f t="array" ref="V124">Q124*Linterp(R$90,atmos_h,atmos_aspeed)</f>
        <v>581.4589859762317</v>
      </c>
      <c r="W124" s="162">
        <f t="shared" si="19"/>
        <v>17409.782504916515</v>
      </c>
      <c r="Y124">
        <v>0.53</v>
      </c>
      <c r="Z124" cm="1">
        <f t="array" ref="Z124">numeng*InterpolateXY(Z$90,Y124,Tmax_h,Tmax_M,Tmax_table)</f>
        <v>5470.6234938637881</v>
      </c>
      <c r="AA124" cm="1">
        <f t="array" ref="AA124">1*Z$91/(S*Linterp(Z$90,atmos_h,atmos_qms)*Y124^2)</f>
        <v>0.2055604607900173</v>
      </c>
      <c r="AB124" cm="1">
        <f t="array" ref="AB124">InterpolateXY(AA124,Y124,CD_CL,CD_M,CD_table)</f>
        <v>2.0487528799376084E-2</v>
      </c>
      <c r="AC124" cm="1">
        <f t="array" ref="AC124">AB124*S*Linterp(Z$90,atmos_h,atmos_qms)*Y124^2</f>
        <v>996.66680647813712</v>
      </c>
      <c r="AD124" cm="1">
        <f t="array" ref="AD124">Y124*Linterp(Z$90,atmos_h,atmos_aspeed)</f>
        <v>571.01516748924041</v>
      </c>
      <c r="AE124" s="162">
        <f t="shared" si="20"/>
        <v>15328.18276312275</v>
      </c>
      <c r="AG124">
        <v>0.53</v>
      </c>
      <c r="AH124" cm="1">
        <f t="array" ref="AH124">numeng*InterpolateXY(AH$90,AG124,Tmax_h,Tmax_M,Tmax_table)</f>
        <v>4794.7522906960749</v>
      </c>
      <c r="AI124" cm="1">
        <f t="array" ref="AI124">1*AH$91/(S*Linterp(AH$90,atmos_h,atmos_qms)*AG124^2)</f>
        <v>0.25049513033178172</v>
      </c>
      <c r="AJ124" cm="1">
        <f t="array" ref="AJ124">InterpolateXY(AI124,AG124,CD_CL,CD_M,CD_table)</f>
        <v>2.3295945645736359E-2</v>
      </c>
      <c r="AK124" cm="1">
        <f t="array" ref="AK124">AJ124*S*Linterp(AH$90,atmos_h,atmos_qms)*AG124^2</f>
        <v>929.99594901828209</v>
      </c>
      <c r="AL124" cm="1">
        <f t="array" ref="AL124">AG124*Linterp(AH$90,atmos_h,atmos_aspeed)</f>
        <v>560.37673991076997</v>
      </c>
      <c r="AM124" s="162">
        <f t="shared" si="21"/>
        <v>12994.317355793251</v>
      </c>
      <c r="AO124">
        <v>0.53</v>
      </c>
      <c r="AP124" cm="1">
        <f t="array" ref="AP124">numeng*InterpolateXY(AP$90,AO124,Tmax_h,Tmax_M,Tmax_table)</f>
        <v>4172.9353687296816</v>
      </c>
      <c r="AQ124" cm="1">
        <f t="array" ref="AQ124">1*AP$91/(S*Linterp(AP$90,atmos_h,atmos_qms)*AO124^2)</f>
        <v>0.30762035613133426</v>
      </c>
      <c r="AR124" cm="1">
        <f t="array" ref="AR124">InterpolateXY(AQ124,AO124,CD_CL,CD_M,CD_table)</f>
        <v>2.700915393567091E-2</v>
      </c>
      <c r="AS124" cm="1">
        <f t="array" ref="AS124">AR124*S*Linterp(AP$90,atmos_h,atmos_qms)*AO124^2</f>
        <v>878.00281734735802</v>
      </c>
      <c r="AT124" cm="1">
        <f t="array" ref="AT124">AO124*Linterp(AP$90,atmos_h,atmos_aspeed)</f>
        <v>549.53240101315259</v>
      </c>
      <c r="AU124" s="162">
        <f t="shared" si="22"/>
        <v>10864.033176825127</v>
      </c>
      <c r="AW124">
        <v>0.53</v>
      </c>
      <c r="AX124" cm="1">
        <f t="array" ref="AX124">numeng*InterpolateXY(AX$90,AW124,Tmax_h,Tmax_M,Tmax_table)</f>
        <v>3604.6252434371604</v>
      </c>
      <c r="AY124" cm="1">
        <f t="array" ref="AY124">1*AX$91/(S*Linterp(AX$90,atmos_h,atmos_qms)*AW124^2)</f>
        <v>0.38094300747601972</v>
      </c>
      <c r="AZ124" cm="1">
        <f t="array" ref="AZ124">InterpolateXY(AY124,AW124,CD_CL,CD_M,CD_table)</f>
        <v>3.4838671309725795E-2</v>
      </c>
      <c r="BA124" cm="1">
        <f t="array" ref="BA124">AZ124*S*Linterp(AX$90,atmos_h,atmos_qms)*AW124^2</f>
        <v>914.53762442191237</v>
      </c>
      <c r="BB124" cm="1">
        <f t="array" ref="BB124">AW124*Linterp(AX$90,atmos_h,atmos_aspeed)</f>
        <v>538.46971028418841</v>
      </c>
      <c r="BC124" s="162">
        <f t="shared" si="23"/>
        <v>8691.1842051013373</v>
      </c>
      <c r="BE124">
        <v>0.53</v>
      </c>
      <c r="BF124" cm="1">
        <f t="array" ref="BF124">numeng*InterpolateXY(BF$90,BE124,Tmax_h,Tmax_M,Tmax_table)</f>
        <v>3088.7934313656037</v>
      </c>
      <c r="BG124" cm="1">
        <f t="array" ref="BG124">1*BF$91/(S*Linterp(BF$90,atmos_h,atmos_qms)*BE124^2)</f>
        <v>0.47603832244229033</v>
      </c>
      <c r="BH124" cm="1">
        <f t="array" ref="BH124">InterpolateXY(BG124,BE124,CD_CL,CD_M,CD_table)</f>
        <v>5.2823702810900361E-2</v>
      </c>
      <c r="BI124" cm="1">
        <f t="array" ref="BI124">BH124*S*Linterp(BF$90,atmos_h,atmos_qms)*BE124^2</f>
        <v>1109.6523183236816</v>
      </c>
      <c r="BJ124" cm="1">
        <f t="array" ref="BJ124">BE124*Linterp(BF$90,atmos_h,atmos_aspeed)</f>
        <v>527.17492165674503</v>
      </c>
      <c r="BK124" s="162">
        <f t="shared" si="24"/>
        <v>6260.1213672931117</v>
      </c>
      <c r="BM124">
        <v>0.53</v>
      </c>
      <c r="BN124" cm="1">
        <f t="array" ref="BN124">numeng*InterpolateXY(BN$90,BM124,Tmax_h,Tmax_M,Tmax_table)</f>
        <v>2623.9817895376059</v>
      </c>
      <c r="BO124" cm="1">
        <f t="array" ref="BO124">1*BN$91/(S*Linterp(BN$90,atmos_h,atmos_qms)*BM124^2)</f>
        <v>0.60077178399618747</v>
      </c>
      <c r="BP124" cm="1">
        <f t="array" ref="BP124">InterpolateXY(BO124,BM124,CD_CL,CD_M,CD_table)</f>
        <v>8.9278041390330118E-2</v>
      </c>
      <c r="BQ124" cm="1">
        <f t="array" ref="BQ124">BP124*S*Linterp(BN$90,atmos_h,atmos_qms)*BM124^2</f>
        <v>1486.0558329899309</v>
      </c>
      <c r="BR124" cm="1">
        <f t="array" ref="BR124">BM124*Linterp(BN$90,atmos_h,atmos_aspeed)</f>
        <v>515.63278324215662</v>
      </c>
      <c r="BS124" s="162">
        <f t="shared" si="25"/>
        <v>3520.511568589026</v>
      </c>
      <c r="BU124">
        <v>0.53</v>
      </c>
      <c r="BV124" cm="1">
        <f t="array" ref="BV124">numeng*InterpolateXY(BV$90,BU124,Tmax_h,Tmax_M,Tmax_table)</f>
        <v>2136.7511489996878</v>
      </c>
      <c r="BW124" cm="1">
        <f t="array" ref="BW124">1*BV$91/(S*Linterp(BV$90,atmos_h,atmos_qms)*BU124^2)</f>
        <v>0.76377668222946271</v>
      </c>
      <c r="BX124" cm="1">
        <f t="array" ref="BX124">InterpolateXY(BW124,BU124,CD_CL,CD_M,CD_table)</f>
        <v>0.16998185823618261</v>
      </c>
      <c r="BY124" cm="1">
        <f t="array" ref="BY124">BX124*S*Linterp(BV$90,atmos_h,atmos_qms)*BU124^2</f>
        <v>2225.5439605724268</v>
      </c>
      <c r="BZ124" cm="1">
        <f t="array" ref="BZ124">BU124*Linterp(BV$90,atmos_h,atmos_aspeed)</f>
        <v>513.09327052335993</v>
      </c>
      <c r="CA124" s="162">
        <f t="shared" si="26"/>
        <v>-273.35396453292685</v>
      </c>
      <c r="CC124">
        <v>0.53</v>
      </c>
      <c r="CD124" cm="1">
        <f t="array" ref="CD124">numeng*InterpolateXY(CD$90,CC124,Tmax_h,Tmax_M,Tmax_table)</f>
        <v>1639.2533198698447</v>
      </c>
      <c r="CE124" cm="1">
        <f t="array" ref="CE124">1*CD$91/(S*Linterp(CD$90,atmos_h,atmos_qms)*CC124^2)</f>
        <v>0.97125975529340902</v>
      </c>
      <c r="CF124" t="e" cm="1">
        <f t="array" ref="CF124">InterpolateXY(CE124,CC124,CD_CL,CD_M,CD_table)</f>
        <v>#VALUE!</v>
      </c>
      <c r="CG124" t="e" cm="1">
        <f t="array" ref="CG124">CF124*S*Linterp(CD$90,atmos_h,atmos_qms)*CC124^2</f>
        <v>#VALUE!</v>
      </c>
      <c r="CH124" cm="1">
        <f t="array" ref="CH124">CC124*Linterp(CD$90,atmos_h,atmos_aspeed)</f>
        <v>513.09327052335993</v>
      </c>
      <c r="CI124" s="162" t="e">
        <f t="shared" si="27"/>
        <v>#VALUE!</v>
      </c>
      <c r="CK124">
        <v>0.53</v>
      </c>
      <c r="CL124" cm="1">
        <f t="array" ref="CL124">numeng*InterpolateXY(CL$90,CK124,Tmax_h,Tmax_M,Tmax_table)</f>
        <v>1224.526775974203</v>
      </c>
      <c r="CM124" cm="1">
        <f t="array" ref="CM124">1*CL$91/(S*Linterp(CL$90,atmos_h,atmos_qms)*CK124^2)</f>
        <v>1.2351064574254731</v>
      </c>
      <c r="CN124" t="e" cm="1">
        <f t="array" ref="CN124">InterpolateXY(CM124,CK124,CD_CL,CD_M,CD_table)</f>
        <v>#VALUE!</v>
      </c>
      <c r="CO124" t="e" cm="1">
        <f t="array" ref="CO124">CN124*S*Linterp(CL$90,atmos_h,atmos_qms)*CK124^2</f>
        <v>#VALUE!</v>
      </c>
      <c r="CP124" cm="1">
        <f t="array" ref="CP124">CK124*Linterp(CL$90,atmos_h,atmos_aspeed)</f>
        <v>513.09327052335993</v>
      </c>
      <c r="CQ124" s="162" t="e">
        <f t="shared" si="28"/>
        <v>#VALUE!</v>
      </c>
    </row>
    <row r="125" spans="9:95">
      <c r="I125">
        <v>0.54</v>
      </c>
      <c r="J125" cm="1">
        <f t="array" ref="J125">numeng*InterpolateXY(J$90,I125,Tmax_h,Tmax_M,Tmax_table)</f>
        <v>6796</v>
      </c>
      <c r="K125" cm="1">
        <f t="array" ref="K125">1*J$91/(S*Linterp(J$90,atmos_h,atmos_qms)*I125^2)</f>
        <v>0.13617729539831697</v>
      </c>
      <c r="L125" cm="1">
        <f t="array" ref="L125">InterpolateXY(K125,I125,CD_CL,CD_M,CD_table)</f>
        <v>1.7726648577436888E-2</v>
      </c>
      <c r="M125" cm="1">
        <f t="array" ref="M125">L125*S*Linterp(J$90,atmos_h,atmos_qms)*I125^2</f>
        <v>1301.7330477585601</v>
      </c>
      <c r="N125" cm="1">
        <f t="array" ref="N125">I125*Linterp(J$90,atmos_h,atmos_aspeed)</f>
        <v>602.88300000000004</v>
      </c>
      <c r="O125" s="162">
        <f t="shared" si="18"/>
        <v>19874.400857809058</v>
      </c>
      <c r="Q125">
        <v>0.54</v>
      </c>
      <c r="R125" cm="1">
        <f t="array" ref="R125">numeng*InterpolateXY(R$90,Q125,Tmax_h,Tmax_M,Tmax_table)</f>
        <v>6135.0765406520113</v>
      </c>
      <c r="S125" cm="1">
        <f t="array" ref="S125">1*R$91/(S*Linterp(R$90,atmos_h,atmos_qms)*Q125^2)</f>
        <v>0.16366537414955837</v>
      </c>
      <c r="T125" cm="1">
        <f t="array" ref="T125">InterpolateXY(S125,Q125,CD_CL,CD_M,CD_table)</f>
        <v>1.8757451530608441E-2</v>
      </c>
      <c r="U125" cm="1">
        <f t="array" ref="U125">T125*S*Linterp(R$90,atmos_h,atmos_qms)*Q125^2</f>
        <v>1146.0855191928242</v>
      </c>
      <c r="V125" cm="1">
        <f t="array" ref="V125">Q125*Linterp(R$90,atmos_h,atmos_aspeed)</f>
        <v>592.4299102399342</v>
      </c>
      <c r="W125" s="162">
        <f t="shared" si="19"/>
        <v>17733.765018185426</v>
      </c>
      <c r="Y125">
        <v>0.54</v>
      </c>
      <c r="Z125" cm="1">
        <f t="array" ref="Z125">numeng*InterpolateXY(Z$90,Y125,Tmax_h,Tmax_M,Tmax_table)</f>
        <v>5497.2085972356972</v>
      </c>
      <c r="AA125" cm="1">
        <f t="array" ref="AA125">1*Z$91/(S*Linterp(Z$90,atmos_h,atmos_qms)*Y125^2)</f>
        <v>0.19801760437556878</v>
      </c>
      <c r="AB125" cm="1">
        <f t="array" ref="AB125">InterpolateXY(AA125,Y125,CD_CL,CD_M,CD_table)</f>
        <v>2.0045660164083833E-2</v>
      </c>
      <c r="AC125" cm="1">
        <f t="array" ref="AC125">AB125*S*Linterp(Z$90,atmos_h,atmos_qms)*Y125^2</f>
        <v>1012.317072883296</v>
      </c>
      <c r="AD125" cm="1">
        <f t="array" ref="AD125">Y125*Linterp(Z$90,atmos_h,atmos_aspeed)</f>
        <v>581.789038573943</v>
      </c>
      <c r="AE125" s="162">
        <f t="shared" si="20"/>
        <v>15655.564368368456</v>
      </c>
      <c r="AG125">
        <v>0.54</v>
      </c>
      <c r="AH125" cm="1">
        <f t="array" ref="AH125">numeng*InterpolateXY(AH$90,AG125,Tmax_h,Tmax_M,Tmax_table)</f>
        <v>4819.9215940593085</v>
      </c>
      <c r="AI125" cm="1">
        <f t="array" ref="AI125">1*AH$91/(S*Linterp(AH$90,atmos_h,atmos_qms)*AG125^2)</f>
        <v>0.2413034365918981</v>
      </c>
      <c r="AJ125" cm="1">
        <f t="array" ref="AJ125">InterpolateXY(AI125,AG125,CD_CL,CD_M,CD_table)</f>
        <v>2.2701464786993635E-2</v>
      </c>
      <c r="AK125" cm="1">
        <f t="array" ref="AK125">AJ125*S*Linterp(AH$90,atmos_h,atmos_qms)*AG125^2</f>
        <v>940.78497627811441</v>
      </c>
      <c r="AL125" cm="1">
        <f t="array" ref="AL125">AG125*Linterp(AH$90,atmos_h,atmos_aspeed)</f>
        <v>570.94988594682218</v>
      </c>
      <c r="AM125" s="162">
        <f t="shared" si="21"/>
        <v>13288.755656965888</v>
      </c>
      <c r="AO125">
        <v>0.54</v>
      </c>
      <c r="AP125" cm="1">
        <f t="array" ref="AP125">numeng*InterpolateXY(AP$90,AO125,Tmax_h,Tmax_M,Tmax_table)</f>
        <v>4196.3788258573768</v>
      </c>
      <c r="AQ125" cm="1">
        <f t="array" ref="AQ125">1*AP$91/(S*Linterp(AP$90,atmos_h,atmos_qms)*AO125^2)</f>
        <v>0.29633250355724217</v>
      </c>
      <c r="AR125" cm="1">
        <f t="array" ref="AR125">InterpolateXY(AQ125,AO125,CD_CL,CD_M,CD_table)</f>
        <v>2.6140781472327637E-2</v>
      </c>
      <c r="AS125" cm="1">
        <f t="array" ref="AS125">AR125*S*Linterp(AP$90,atmos_h,atmos_qms)*AO125^2</f>
        <v>882.14357718197653</v>
      </c>
      <c r="AT125" cm="1">
        <f t="array" ref="AT125">AO125*Linterp(AP$90,atmos_h,atmos_aspeed)</f>
        <v>559.90093688132526</v>
      </c>
      <c r="AU125" s="162">
        <f t="shared" si="22"/>
        <v>11133.860524670812</v>
      </c>
      <c r="AW125">
        <v>0.54</v>
      </c>
      <c r="AX125" cm="1">
        <f t="array" ref="AX125">numeng*InterpolateXY(AX$90,AW125,Tmax_h,Tmax_M,Tmax_table)</f>
        <v>3626.1346929255974</v>
      </c>
      <c r="AY125" cm="1">
        <f t="array" ref="AY125">1*AX$91/(S*Linterp(AX$90,atmos_h,atmos_qms)*AW125^2)</f>
        <v>0.36696464609058288</v>
      </c>
      <c r="AZ125" cm="1">
        <f t="array" ref="AZ125">InterpolateXY(AY125,AW125,CD_CL,CD_M,CD_table)</f>
        <v>3.2837238583340124E-2</v>
      </c>
      <c r="BA125" cm="1">
        <f t="array" ref="BA125">AZ125*S*Linterp(AX$90,atmos_h,atmos_qms)*AW125^2</f>
        <v>894.83384661623415</v>
      </c>
      <c r="BB125" cm="1">
        <f t="array" ref="BB125">AW125*Linterp(AX$90,atmos_h,atmos_aspeed)</f>
        <v>548.62951613860707</v>
      </c>
      <c r="BC125" s="162">
        <f t="shared" si="23"/>
        <v>8990.8335704380443</v>
      </c>
      <c r="BE125">
        <v>0.54</v>
      </c>
      <c r="BF125" cm="1">
        <f t="array" ref="BF125">numeng*InterpolateXY(BF$90,BE125,Tmax_h,Tmax_M,Tmax_table)</f>
        <v>3108.2480411561819</v>
      </c>
      <c r="BG125" cm="1">
        <f t="array" ref="BG125">1*BF$91/(S*Linterp(BF$90,atmos_h,atmos_qms)*BE125^2)</f>
        <v>0.45857052391645869</v>
      </c>
      <c r="BH125" cm="1">
        <f t="array" ref="BH125">InterpolateXY(BG125,BE125,CD_CL,CD_M,CD_table)</f>
        <v>4.9292675307208197E-2</v>
      </c>
      <c r="BI125" cm="1">
        <f t="array" ref="BI125">BH125*S*Linterp(BF$90,atmos_h,atmos_qms)*BE125^2</f>
        <v>1074.920273684844</v>
      </c>
      <c r="BJ125" cm="1">
        <f t="array" ref="BJ125">BE125*Linterp(BF$90,atmos_h,atmos_aspeed)</f>
        <v>537.12161829177796</v>
      </c>
      <c r="BK125" s="162">
        <f t="shared" si="24"/>
        <v>6552.8658058908786</v>
      </c>
      <c r="BM125">
        <v>0.54</v>
      </c>
      <c r="BN125" cm="1">
        <f t="array" ref="BN125">numeng*InterpolateXY(BN$90,BM125,Tmax_h,Tmax_M,Tmax_table)</f>
        <v>2641.3345269270844</v>
      </c>
      <c r="BO125" cm="1">
        <f t="array" ref="BO125">1*BN$91/(S*Linterp(BN$90,atmos_h,atmos_qms)*BM125^2)</f>
        <v>0.57872700317053871</v>
      </c>
      <c r="BP125" cm="1">
        <f t="array" ref="BP125">InterpolateXY(BO125,BM125,CD_CL,CD_M,CD_table)</f>
        <v>8.2261551992378626E-2</v>
      </c>
      <c r="BQ125" cm="1">
        <f t="array" ref="BQ125">BP125*S*Linterp(BN$90,atmos_h,atmos_qms)*BM125^2</f>
        <v>1421.4223898610426</v>
      </c>
      <c r="BR125" cm="1">
        <f t="array" ref="BR125">BM125*Linterp(BN$90,atmos_h,atmos_aspeed)</f>
        <v>525.36170368068792</v>
      </c>
      <c r="BS125" s="162">
        <f t="shared" si="25"/>
        <v>3845.3707120185873</v>
      </c>
      <c r="BU125">
        <v>0.54</v>
      </c>
      <c r="BV125" cm="1">
        <f t="array" ref="BV125">numeng*InterpolateXY(BV$90,BU125,Tmax_h,Tmax_M,Tmax_table)</f>
        <v>2151.5213182324046</v>
      </c>
      <c r="BW125" cm="1">
        <f t="array" ref="BW125">1*BV$91/(S*Linterp(BV$90,atmos_h,atmos_qms)*BU125^2)</f>
        <v>0.73575058312159147</v>
      </c>
      <c r="BX125" cm="1">
        <f t="array" ref="BX125">InterpolateXY(BW125,BU125,CD_CL,CD_M,CD_table)</f>
        <v>0.15359625291771767</v>
      </c>
      <c r="BY125" cm="1">
        <f t="array" ref="BY125">BX125*S*Linterp(BV$90,atmos_h,atmos_qms)*BU125^2</f>
        <v>2087.6130640094116</v>
      </c>
      <c r="BZ125" cm="1">
        <f t="array" ref="BZ125">BU125*Linterp(BV$90,atmos_h,atmos_aspeed)</f>
        <v>522.7742756275743</v>
      </c>
      <c r="CA125" s="162">
        <f t="shared" si="26"/>
        <v>200.45754784828833</v>
      </c>
      <c r="CC125">
        <v>0.54</v>
      </c>
      <c r="CD125" cm="1">
        <f t="array" ref="CD125">numeng*InterpolateXY(CD$90,CC125,Tmax_h,Tmax_M,Tmax_table)</f>
        <v>1650.0939181117806</v>
      </c>
      <c r="CE125" cm="1">
        <f t="array" ref="CE125">1*CD$91/(S*Linterp(CD$90,atmos_h,atmos_qms)*CC125^2)</f>
        <v>0.93562025124114767</v>
      </c>
      <c r="CF125" t="e" cm="1">
        <f t="array" ref="CF125">InterpolateXY(CE125,CC125,CD_CL,CD_M,CD_table)</f>
        <v>#VALUE!</v>
      </c>
      <c r="CG125" t="e" cm="1">
        <f t="array" ref="CG125">CF125*S*Linterp(CD$90,atmos_h,atmos_qms)*CC125^2</f>
        <v>#VALUE!</v>
      </c>
      <c r="CH125" cm="1">
        <f t="array" ref="CH125">CC125*Linterp(CD$90,atmos_h,atmos_aspeed)</f>
        <v>522.7742756275743</v>
      </c>
      <c r="CI125" s="162" t="e">
        <f t="shared" si="27"/>
        <v>#VALUE!</v>
      </c>
      <c r="CK125">
        <v>0.54</v>
      </c>
      <c r="CL125" cm="1">
        <f t="array" ref="CL125">numeng*InterpolateXY(CL$90,CK125,Tmax_h,Tmax_M,Tmax_table)</f>
        <v>1231.8337482823533</v>
      </c>
      <c r="CM125" cm="1">
        <f t="array" ref="CM125">1*CL$91/(S*Linterp(CL$90,atmos_h,atmos_qms)*CK125^2)</f>
        <v>1.1897853357023849</v>
      </c>
      <c r="CN125" t="e" cm="1">
        <f t="array" ref="CN125">InterpolateXY(CM125,CK125,CD_CL,CD_M,CD_table)</f>
        <v>#VALUE!</v>
      </c>
      <c r="CO125" t="e" cm="1">
        <f t="array" ref="CO125">CN125*S*Linterp(CL$90,atmos_h,atmos_qms)*CK125^2</f>
        <v>#VALUE!</v>
      </c>
      <c r="CP125" cm="1">
        <f t="array" ref="CP125">CK125*Linterp(CL$90,atmos_h,atmos_aspeed)</f>
        <v>522.7742756275743</v>
      </c>
      <c r="CQ125" s="162" t="e">
        <f t="shared" si="28"/>
        <v>#VALUE!</v>
      </c>
    </row>
    <row r="126" spans="9:95">
      <c r="I126">
        <v>0.55000000000000004</v>
      </c>
      <c r="J126" cm="1">
        <f t="array" ref="J126">numeng*InterpolateXY(J$90,I126,Tmax_h,Tmax_M,Tmax_table)</f>
        <v>6820</v>
      </c>
      <c r="K126" cm="1">
        <f t="array" ref="K126">1*J$91/(S*Linterp(J$90,atmos_h,atmos_qms)*I126^2)</f>
        <v>0.13127041103520404</v>
      </c>
      <c r="L126" cm="1">
        <f t="array" ref="L126">InterpolateXY(K126,I126,CD_CL,CD_M,CD_table)</f>
        <v>1.7522640413820151E-2</v>
      </c>
      <c r="M126" cm="1">
        <f t="array" ref="M126">L126*S*Linterp(J$90,atmos_h,atmos_qms)*I126^2</f>
        <v>1334.8507310700002</v>
      </c>
      <c r="N126" cm="1">
        <f t="array" ref="N126">I126*Linterp(J$90,atmos_h,atmos_aspeed)</f>
        <v>614.04750000000013</v>
      </c>
      <c r="O126" s="162">
        <f t="shared" si="18"/>
        <v>20208.853174279768</v>
      </c>
      <c r="Q126">
        <v>0.55000000000000004</v>
      </c>
      <c r="R126" cm="1">
        <f t="array" ref="R126">numeng*InterpolateXY(R$90,Q126,Tmax_h,Tmax_M,Tmax_table)</f>
        <v>6160.9265822558818</v>
      </c>
      <c r="S126" cm="1">
        <f t="array" ref="S126">1*R$91/(S*Linterp(R$90,atmos_h,atmos_qms)*Q126^2)</f>
        <v>0.15776801025458251</v>
      </c>
      <c r="T126" cm="1">
        <f t="array" ref="T126">InterpolateXY(S126,Q126,CD_CL,CD_M,CD_table)</f>
        <v>1.8516300384546845E-2</v>
      </c>
      <c r="U126" cm="1">
        <f t="array" ref="U126">T126*S*Linterp(R$90,atmos_h,atmos_qms)*Q126^2</f>
        <v>1173.6409906335257</v>
      </c>
      <c r="V126" cm="1">
        <f t="array" ref="V126">Q126*Linterp(R$90,atmos_h,atmos_aspeed)</f>
        <v>603.4008345036367</v>
      </c>
      <c r="W126" s="162">
        <f t="shared" si="19"/>
        <v>18055.993727357356</v>
      </c>
      <c r="Y126">
        <v>0.55000000000000004</v>
      </c>
      <c r="Z126" cm="1">
        <f t="array" ref="Z126">numeng*InterpolateXY(Z$90,Y126,Tmax_h,Tmax_M,Tmax_table)</f>
        <v>5523.7937006076054</v>
      </c>
      <c r="AA126" cm="1">
        <f t="array" ref="AA126">1*Z$91/(S*Linterp(Z$90,atmos_h,atmos_qms)*Y126^2)</f>
        <v>0.19088242458154001</v>
      </c>
      <c r="AB126" cm="1">
        <f t="array" ref="AB126">InterpolateXY(AA126,Y126,CD_CL,CD_M,CD_table)</f>
        <v>1.9758090921807751E-2</v>
      </c>
      <c r="AC126" cm="1">
        <f t="array" ref="AC126">AB126*S*Linterp(Z$90,atmos_h,atmos_qms)*Y126^2</f>
        <v>1035.09220218269</v>
      </c>
      <c r="AD126" cm="1">
        <f t="array" ref="AD126">Y126*Linterp(Z$90,atmos_h,atmos_aspeed)</f>
        <v>592.56290965864571</v>
      </c>
      <c r="AE126" s="162">
        <f t="shared" si="20"/>
        <v>15959.028122974745</v>
      </c>
      <c r="AG126">
        <v>0.55000000000000004</v>
      </c>
      <c r="AH126" cm="1">
        <f t="array" ref="AH126">numeng*InterpolateXY(AH$90,AG126,Tmax_h,Tmax_M,Tmax_table)</f>
        <v>4845.0908974225431</v>
      </c>
      <c r="AI126" cm="1">
        <f t="array" ref="AI126">1*AH$91/(S*Linterp(AH$90,atmos_h,atmos_qms)*AG126^2)</f>
        <v>0.23260853590147926</v>
      </c>
      <c r="AJ126" cm="1">
        <f t="array" ref="AJ126">InterpolateXY(AI126,AG126,CD_CL,CD_M,CD_table)</f>
        <v>2.2138033493842451E-2</v>
      </c>
      <c r="AK126" cm="1">
        <f t="array" ref="AK126">AJ126*S*Linterp(AH$90,atmos_h,atmos_qms)*AG126^2</f>
        <v>951.72919635326525</v>
      </c>
      <c r="AL126" cm="1">
        <f t="array" ref="AL126">AG126*Linterp(AH$90,atmos_h,atmos_aspeed)</f>
        <v>581.5230319828745</v>
      </c>
      <c r="AM126" s="162">
        <f t="shared" si="21"/>
        <v>13584.477006070849</v>
      </c>
      <c r="AO126">
        <v>0.55000000000000004</v>
      </c>
      <c r="AP126" cm="1">
        <f t="array" ref="AP126">numeng*InterpolateXY(AP$90,AO126,Tmax_h,Tmax_M,Tmax_table)</f>
        <v>4219.822282985072</v>
      </c>
      <c r="AQ126" cm="1">
        <f t="array" ref="AQ126">1*AP$91/(S*Linterp(AP$90,atmos_h,atmos_qms)*AO126^2)</f>
        <v>0.28565473731336133</v>
      </c>
      <c r="AR126" cm="1">
        <f t="array" ref="AR126">InterpolateXY(AQ126,AO126,CD_CL,CD_M,CD_table)</f>
        <v>2.5453421082085082E-2</v>
      </c>
      <c r="AS126" cm="1">
        <f t="array" ref="AS126">AR126*S*Linterp(AP$90,atmos_h,atmos_qms)*AO126^2</f>
        <v>891.05545111834965</v>
      </c>
      <c r="AT126" cm="1">
        <f t="array" ref="AT126">AO126*Linterp(AP$90,atmos_h,atmos_aspeed)</f>
        <v>570.26947274949794</v>
      </c>
      <c r="AU126" s="162">
        <f t="shared" si="22"/>
        <v>11389.764636687914</v>
      </c>
      <c r="AW126">
        <v>0.55000000000000004</v>
      </c>
      <c r="AX126" cm="1">
        <f t="array" ref="AX126">numeng*InterpolateXY(AX$90,AW126,Tmax_h,Tmax_M,Tmax_table)</f>
        <v>3647.6441424140339</v>
      </c>
      <c r="AY126" cm="1">
        <f t="array" ref="AY126">1*AX$91/(S*Linterp(AX$90,atmos_h,atmos_qms)*AW126^2)</f>
        <v>0.35374178776864118</v>
      </c>
      <c r="AZ126" cm="1">
        <f t="array" ref="AZ126">InterpolateXY(AY126,AW126,CD_CL,CD_M,CD_table)</f>
        <v>3.094289841620489E-2</v>
      </c>
      <c r="BA126" cm="1">
        <f t="array" ref="BA126">AZ126*S*Linterp(AX$90,atmos_h,atmos_qms)*AW126^2</f>
        <v>874.73121599200408</v>
      </c>
      <c r="BB126" cm="1">
        <f t="array" ref="BB126">AW126*Linterp(AX$90,atmos_h,atmos_aspeed)</f>
        <v>558.78932199302574</v>
      </c>
      <c r="BC126" s="162">
        <f t="shared" si="23"/>
        <v>9296.8448046063786</v>
      </c>
      <c r="BE126">
        <v>0.55000000000000004</v>
      </c>
      <c r="BF126" cm="1">
        <f t="array" ref="BF126">numeng*InterpolateXY(BF$90,BE126,Tmax_h,Tmax_M,Tmax_table)</f>
        <v>3127.7026509467596</v>
      </c>
      <c r="BG126" cm="1">
        <f t="array" ref="BG126">1*BF$91/(S*Linterp(BF$90,atmos_h,atmos_qms)*BE126^2)</f>
        <v>0.44204682569930365</v>
      </c>
      <c r="BH126" cm="1">
        <f t="array" ref="BH126">InterpolateXY(BG126,BE126,CD_CL,CD_M,CD_table)</f>
        <v>4.5951411965560032E-2</v>
      </c>
      <c r="BI126" cm="1">
        <f t="array" ref="BI126">BH126*S*Linterp(BF$90,atmos_h,atmos_qms)*BE126^2</f>
        <v>1039.5145784129634</v>
      </c>
      <c r="BJ126" cm="1">
        <f t="array" ref="BJ126">BE126*Linterp(BF$90,atmos_h,atmos_aspeed)</f>
        <v>547.0683149268109</v>
      </c>
      <c r="BK126" s="162">
        <f t="shared" si="24"/>
        <v>6854.289180547974</v>
      </c>
      <c r="BM126">
        <v>0.55000000000000004</v>
      </c>
      <c r="BN126" cm="1">
        <f t="array" ref="BN126">numeng*InterpolateXY(BN$90,BM126,Tmax_h,Tmax_M,Tmax_table)</f>
        <v>2658.6872643165634</v>
      </c>
      <c r="BO126" cm="1">
        <f t="array" ref="BO126">1*BN$91/(S*Linterp(BN$90,atmos_h,atmos_qms)*BM126^2)</f>
        <v>0.55787369958522004</v>
      </c>
      <c r="BP126" cm="1">
        <f t="array" ref="BP126">InterpolateXY(BO126,BM126,CD_CL,CD_M,CD_table)</f>
        <v>7.5714467970173865E-2</v>
      </c>
      <c r="BQ126" cm="1">
        <f t="array" ref="BQ126">BP126*S*Linterp(BN$90,atmos_h,atmos_qms)*BM126^2</f>
        <v>1357.1973015839908</v>
      </c>
      <c r="BR126" cm="1">
        <f t="array" ref="BR126">BM126*Linterp(BN$90,atmos_h,atmos_aspeed)</f>
        <v>535.09062411921911</v>
      </c>
      <c r="BS126" s="162">
        <f t="shared" si="25"/>
        <v>4178.4904586608291</v>
      </c>
      <c r="BU126">
        <v>0.55000000000000004</v>
      </c>
      <c r="BV126" cm="1">
        <f t="array" ref="BV126">numeng*InterpolateXY(BV$90,BU126,Tmax_h,Tmax_M,Tmax_table)</f>
        <v>2166.2914874651215</v>
      </c>
      <c r="BW126" cm="1">
        <f t="array" ref="BW126">1*BV$91/(S*Linterp(BV$90,atmos_h,atmos_qms)*BU126^2)</f>
        <v>0.70923923979588777</v>
      </c>
      <c r="BX126" cm="1">
        <f t="array" ref="BX126">InterpolateXY(BW126,BU126,CD_CL,CD_M,CD_table)</f>
        <v>0.13809517652314615</v>
      </c>
      <c r="BY126" cm="1">
        <f t="array" ref="BY126">BX126*S*Linterp(BV$90,atmos_h,atmos_qms)*BU126^2</f>
        <v>1947.0887787157494</v>
      </c>
      <c r="BZ126" cm="1">
        <f t="array" ref="BZ126">BU126*Linterp(BV$90,atmos_h,atmos_aspeed)</f>
        <v>532.45528073178866</v>
      </c>
      <c r="CA126" s="162">
        <f t="shared" si="26"/>
        <v>700.29383894589239</v>
      </c>
      <c r="CC126">
        <v>0.55000000000000004</v>
      </c>
      <c r="CD126" cm="1">
        <f t="array" ref="CD126">numeng*InterpolateXY(CD$90,CC126,Tmax_h,Tmax_M,Tmax_table)</f>
        <v>1660.9345163537162</v>
      </c>
      <c r="CE126" cm="1">
        <f t="array" ref="CE126">1*CD$91/(S*Linterp(CD$90,atmos_h,atmos_qms)*CC126^2)</f>
        <v>0.90190699260138385</v>
      </c>
      <c r="CF126" t="e" cm="1">
        <f t="array" ref="CF126">InterpolateXY(CE126,CC126,CD_CL,CD_M,CD_table)</f>
        <v>#VALUE!</v>
      </c>
      <c r="CG126" t="e" cm="1">
        <f t="array" ref="CG126">CF126*S*Linterp(CD$90,atmos_h,atmos_qms)*CC126^2</f>
        <v>#VALUE!</v>
      </c>
      <c r="CH126" cm="1">
        <f t="array" ref="CH126">CC126*Linterp(CD$90,atmos_h,atmos_aspeed)</f>
        <v>532.45528073178866</v>
      </c>
      <c r="CI126" s="162" t="e">
        <f t="shared" si="27"/>
        <v>#VALUE!</v>
      </c>
      <c r="CK126">
        <v>0.55000000000000004</v>
      </c>
      <c r="CL126" cm="1">
        <f t="array" ref="CL126">numeng*InterpolateXY(CL$90,CK126,Tmax_h,Tmax_M,Tmax_table)</f>
        <v>1239.1407205905039</v>
      </c>
      <c r="CM126" cm="1">
        <f t="array" ref="CM126">1*CL$91/(S*Linterp(CL$90,atmos_h,atmos_qms)*CK126^2)</f>
        <v>1.1469137318704641</v>
      </c>
      <c r="CN126" t="e" cm="1">
        <f t="array" ref="CN126">InterpolateXY(CM126,CK126,CD_CL,CD_M,CD_table)</f>
        <v>#VALUE!</v>
      </c>
      <c r="CO126" t="e" cm="1">
        <f t="array" ref="CO126">CN126*S*Linterp(CL$90,atmos_h,atmos_qms)*CK126^2</f>
        <v>#VALUE!</v>
      </c>
      <c r="CP126" cm="1">
        <f t="array" ref="CP126">CK126*Linterp(CL$90,atmos_h,atmos_aspeed)</f>
        <v>532.45528073178866</v>
      </c>
      <c r="CQ126" s="162" t="e">
        <f t="shared" si="28"/>
        <v>#VALUE!</v>
      </c>
    </row>
    <row r="127" spans="9:95">
      <c r="I127">
        <v>0.56000000000000005</v>
      </c>
      <c r="J127" cm="1">
        <f t="array" ref="J127">numeng*InterpolateXY(J$90,I127,Tmax_h,Tmax_M,Tmax_table)</f>
        <v>6844</v>
      </c>
      <c r="K127" cm="1">
        <f t="array" ref="K127">1*J$91/(S*Linterp(J$90,atmos_h,atmos_qms)*I127^2)</f>
        <v>0.12662404125685339</v>
      </c>
      <c r="L127" cm="1">
        <f t="array" ref="L127">InterpolateXY(K127,I127,CD_CL,CD_M,CD_table)</f>
        <v>1.7328401547132003E-2</v>
      </c>
      <c r="M127" cm="1">
        <f t="array" ref="M127">L127*S*Linterp(J$90,atmos_h,atmos_qms)*I127^2</f>
        <v>1368.4922211558403</v>
      </c>
      <c r="N127" cm="1">
        <f t="array" ref="N127">I127*Linterp(J$90,atmos_h,atmos_aspeed)</f>
        <v>625.2120000000001</v>
      </c>
      <c r="O127" s="162">
        <f t="shared" si="18"/>
        <v>20540.119016560289</v>
      </c>
      <c r="Q127">
        <v>0.56000000000000005</v>
      </c>
      <c r="R127" cm="1">
        <f t="array" ref="R127">numeng*InterpolateXY(R$90,Q127,Tmax_h,Tmax_M,Tmax_table)</f>
        <v>6186.7766238597533</v>
      </c>
      <c r="S127" cm="1">
        <f t="array" ref="S127">1*R$91/(S*Linterp(R$90,atmos_h,atmos_qms)*Q127^2)</f>
        <v>0.15218374713651533</v>
      </c>
      <c r="T127" cm="1">
        <f t="array" ref="T127">InterpolateXY(S127,Q127,CD_CL,CD_M,CD_table)</f>
        <v>1.8286890517619326E-2</v>
      </c>
      <c r="U127" cm="1">
        <f t="array" ref="U127">T127*S*Linterp(R$90,atmos_h,atmos_qms)*Q127^2</f>
        <v>1201.6322939673184</v>
      </c>
      <c r="V127" cm="1">
        <f t="array" ref="V127">Q127*Linterp(R$90,atmos_h,atmos_aspeed)</f>
        <v>614.3717587673392</v>
      </c>
      <c r="W127" s="162">
        <f t="shared" si="19"/>
        <v>18376.391337990262</v>
      </c>
      <c r="Y127">
        <v>0.56000000000000005</v>
      </c>
      <c r="Z127" cm="1">
        <f t="array" ref="Z127">numeng*InterpolateXY(Z$90,Y127,Tmax_h,Tmax_M,Tmax_table)</f>
        <v>5550.3788039795136</v>
      </c>
      <c r="AA127" cm="1">
        <f t="array" ref="AA127">1*Z$91/(S*Linterp(Z$90,atmos_h,atmos_qms)*Y127^2)</f>
        <v>0.1841260632522827</v>
      </c>
      <c r="AB127" cm="1">
        <f t="array" ref="AB127">InterpolateXY(AA127,Y127,CD_CL,CD_M,CD_table)</f>
        <v>1.9484727371960602E-2</v>
      </c>
      <c r="AC127" cm="1">
        <f t="array" ref="AC127">AB127*S*Linterp(Z$90,atmos_h,atmos_qms)*Y127^2</f>
        <v>1058.2275549585477</v>
      </c>
      <c r="AD127" cm="1">
        <f t="array" ref="AD127">Y127*Linterp(Z$90,atmos_h,atmos_aspeed)</f>
        <v>603.33678074334841</v>
      </c>
      <c r="AE127" s="162">
        <f t="shared" si="20"/>
        <v>16261.680439179128</v>
      </c>
      <c r="AG127">
        <v>0.56000000000000005</v>
      </c>
      <c r="AH127" cm="1">
        <f t="array" ref="AH127">numeng*InterpolateXY(AH$90,AG127,Tmax_h,Tmax_M,Tmax_table)</f>
        <v>4870.2602007857768</v>
      </c>
      <c r="AI127" cm="1">
        <f t="array" ref="AI127">1*AH$91/(S*Linterp(AH$90,atmos_h,atmos_qms)*AG127^2)</f>
        <v>0.22437526183098688</v>
      </c>
      <c r="AJ127" cm="1">
        <f t="array" ref="AJ127">InterpolateXY(AI127,AG127,CD_CL,CD_M,CD_table)</f>
        <v>2.160345386443668E-2</v>
      </c>
      <c r="AK127" cm="1">
        <f t="array" ref="AK127">AJ127*S*Linterp(AH$90,atmos_h,atmos_qms)*AG127^2</f>
        <v>962.82690382818225</v>
      </c>
      <c r="AL127" cm="1">
        <f t="array" ref="AL127">AG127*Linterp(AH$90,atmos_h,atmos_aspeed)</f>
        <v>592.09617801892671</v>
      </c>
      <c r="AM127" s="162">
        <f t="shared" si="21"/>
        <v>13881.457925954914</v>
      </c>
      <c r="AO127">
        <v>0.56000000000000005</v>
      </c>
      <c r="AP127" cm="1">
        <f t="array" ref="AP127">numeng*InterpolateXY(AP$90,AO127,Tmax_h,Tmax_M,Tmax_table)</f>
        <v>4243.2657401127663</v>
      </c>
      <c r="AQ127" cm="1">
        <f t="array" ref="AQ127">1*AP$91/(S*Linterp(AP$90,atmos_h,atmos_qms)*AO127^2)</f>
        <v>0.27554387129238461</v>
      </c>
      <c r="AR127" cm="1">
        <f t="array" ref="AR127">InterpolateXY(AQ127,AO127,CD_CL,CD_M,CD_table)</f>
        <v>2.4801491955774038E-2</v>
      </c>
      <c r="AS127" cm="1">
        <f t="array" ref="AS127">AR127*S*Linterp(AP$90,atmos_h,atmos_qms)*AO127^2</f>
        <v>900.0923097816509</v>
      </c>
      <c r="AT127" cm="1">
        <f t="array" ref="AT127">AO127*Linterp(AP$90,atmos_h,atmos_aspeed)</f>
        <v>580.63800861767061</v>
      </c>
      <c r="AU127" s="162">
        <f t="shared" si="22"/>
        <v>11647.041378305792</v>
      </c>
      <c r="AW127">
        <v>0.56000000000000005</v>
      </c>
      <c r="AX127" cm="1">
        <f t="array" ref="AX127">numeng*InterpolateXY(AX$90,AW127,Tmax_h,Tmax_M,Tmax_table)</f>
        <v>3669.1535919024705</v>
      </c>
      <c r="AY127" cm="1">
        <f t="array" ref="AY127">1*AX$91/(S*Linterp(AX$90,atmos_h,atmos_qms)*AW127^2)</f>
        <v>0.34122095280616693</v>
      </c>
      <c r="AZ127" cm="1">
        <f t="array" ref="AZ127">InterpolateXY(AY127,AW127,CD_CL,CD_M,CD_table)</f>
        <v>2.9679202415501066E-2</v>
      </c>
      <c r="BA127" cm="1">
        <f t="array" ref="BA127">AZ127*S*Linterp(AX$90,atmos_h,atmos_qms)*AW127^2</f>
        <v>869.79425417525738</v>
      </c>
      <c r="BB127" cm="1">
        <f t="array" ref="BB127">AW127*Linterp(AX$90,atmos_h,atmos_aspeed)</f>
        <v>568.9491278474444</v>
      </c>
      <c r="BC127" s="162">
        <f t="shared" si="23"/>
        <v>9556.1583223889866</v>
      </c>
      <c r="BE127">
        <v>0.56000000000000005</v>
      </c>
      <c r="BF127" cm="1">
        <f t="array" ref="BF127">numeng*InterpolateXY(BF$90,BE127,Tmax_h,Tmax_M,Tmax_table)</f>
        <v>3147.1572607373378</v>
      </c>
      <c r="BG127" cm="1">
        <f t="array" ref="BG127">1*BF$91/(S*Linterp(BF$90,atmos_h,atmos_qms)*BE127^2)</f>
        <v>0.42640039787640099</v>
      </c>
      <c r="BH127" cm="1">
        <f t="array" ref="BH127">InterpolateXY(BG127,BE127,CD_CL,CD_M,CD_table)</f>
        <v>4.2786479973156599E-2</v>
      </c>
      <c r="BI127" cm="1">
        <f t="array" ref="BI127">BH127*S*Linterp(BF$90,atmos_h,atmos_qms)*BE127^2</f>
        <v>1003.4343351048877</v>
      </c>
      <c r="BJ127" cm="1">
        <f t="array" ref="BJ127">BE127*Linterp(BF$90,atmos_h,atmos_aspeed)</f>
        <v>557.01501156184383</v>
      </c>
      <c r="BK127" s="162">
        <f t="shared" si="24"/>
        <v>7164.5151012392926</v>
      </c>
      <c r="BM127">
        <v>0.56000000000000005</v>
      </c>
      <c r="BN127" cm="1">
        <f t="array" ref="BN127">numeng*InterpolateXY(BN$90,BM127,Tmax_h,Tmax_M,Tmax_table)</f>
        <v>2676.0400017060419</v>
      </c>
      <c r="BO127" cm="1">
        <f t="array" ref="BO127">1*BN$91/(S*Linterp(BN$90,atmos_h,atmos_qms)*BM127^2)</f>
        <v>0.53812753228485044</v>
      </c>
      <c r="BP127" cm="1">
        <f t="array" ref="BP127">InterpolateXY(BO127,BM127,CD_CL,CD_M,CD_table)</f>
        <v>6.9513917605158182E-2</v>
      </c>
      <c r="BQ127" cm="1">
        <f t="array" ref="BQ127">BP127*S*Linterp(BN$90,atmos_h,atmos_qms)*BM127^2</f>
        <v>1291.7740393249744</v>
      </c>
      <c r="BR127" cm="1">
        <f t="array" ref="BR127">BM127*Linterp(BN$90,atmos_h,atmos_aspeed)</f>
        <v>544.81954455775042</v>
      </c>
      <c r="BS127" s="162">
        <f t="shared" si="25"/>
        <v>4525.0509070274966</v>
      </c>
      <c r="BU127">
        <v>0.56000000000000005</v>
      </c>
      <c r="BV127" cm="1">
        <f t="array" ref="BV127">numeng*InterpolateXY(BV$90,BU127,Tmax_h,Tmax_M,Tmax_table)</f>
        <v>2181.0616566978379</v>
      </c>
      <c r="BW127" cm="1">
        <f t="array" ref="BW127">1*BV$91/(S*Linterp(BV$90,atmos_h,atmos_qms)*BU127^2)</f>
        <v>0.68413542741790834</v>
      </c>
      <c r="BX127" cm="1">
        <f t="array" ref="BX127">InterpolateXY(BW127,BU127,CD_CL,CD_M,CD_table)</f>
        <v>0.12573131720904387</v>
      </c>
      <c r="BY127" cm="1">
        <f t="array" ref="BY127">BX127*S*Linterp(BV$90,atmos_h,atmos_qms)*BU127^2</f>
        <v>1837.8132774615128</v>
      </c>
      <c r="BZ127" cm="1">
        <f t="array" ref="BZ127">BU127*Linterp(BV$90,atmos_h,atmos_aspeed)</f>
        <v>542.13628583600303</v>
      </c>
      <c r="CA127" s="162">
        <f t="shared" si="26"/>
        <v>1116.5244086304544</v>
      </c>
      <c r="CC127">
        <v>0.56000000000000005</v>
      </c>
      <c r="CD127" cm="1">
        <f t="array" ref="CD127">numeng*InterpolateXY(CD$90,CC127,Tmax_h,Tmax_M,Tmax_table)</f>
        <v>1671.775114595652</v>
      </c>
      <c r="CE127" cm="1">
        <f t="array" ref="CE127">1*CD$91/(S*Linterp(CD$90,atmos_h,atmos_qms)*CC127^2)</f>
        <v>0.8699836264729548</v>
      </c>
      <c r="CF127" t="e" cm="1">
        <f t="array" ref="CF127">InterpolateXY(CE127,CC127,CD_CL,CD_M,CD_table)</f>
        <v>#VALUE!</v>
      </c>
      <c r="CG127" t="e" cm="1">
        <f t="array" ref="CG127">CF127*S*Linterp(CD$90,atmos_h,atmos_qms)*CC127^2</f>
        <v>#VALUE!</v>
      </c>
      <c r="CH127" cm="1">
        <f t="array" ref="CH127">CC127*Linterp(CD$90,atmos_h,atmos_aspeed)</f>
        <v>542.13628583600303</v>
      </c>
      <c r="CI127" s="162" t="e">
        <f t="shared" si="27"/>
        <v>#VALUE!</v>
      </c>
      <c r="CK127">
        <v>0.56000000000000005</v>
      </c>
      <c r="CL127" cm="1">
        <f t="array" ref="CL127">numeng*InterpolateXY(CL$90,CK127,Tmax_h,Tmax_M,Tmax_table)</f>
        <v>1246.4476928986542</v>
      </c>
      <c r="CM127" cm="1">
        <f t="array" ref="CM127">1*CL$91/(S*Linterp(CL$90,atmos_h,atmos_qms)*CK127^2)</f>
        <v>1.1063182522028552</v>
      </c>
      <c r="CN127" t="e" cm="1">
        <f t="array" ref="CN127">InterpolateXY(CM127,CK127,CD_CL,CD_M,CD_table)</f>
        <v>#VALUE!</v>
      </c>
      <c r="CO127" t="e" cm="1">
        <f t="array" ref="CO127">CN127*S*Linterp(CL$90,atmos_h,atmos_qms)*CK127^2</f>
        <v>#VALUE!</v>
      </c>
      <c r="CP127" cm="1">
        <f t="array" ref="CP127">CK127*Linterp(CL$90,atmos_h,atmos_aspeed)</f>
        <v>542.13628583600303</v>
      </c>
      <c r="CQ127" s="162" t="e">
        <f t="shared" si="28"/>
        <v>#VALUE!</v>
      </c>
    </row>
    <row r="128" spans="9:95">
      <c r="I128">
        <v>0.56999999999999995</v>
      </c>
      <c r="J128" cm="1">
        <f t="array" ref="J128">numeng*InterpolateXY(J$90,I128,Tmax_h,Tmax_M,Tmax_table)</f>
        <v>6868</v>
      </c>
      <c r="K128" cm="1">
        <f t="array" ref="K128">1*J$91/(S*Linterp(J$90,atmos_h,atmos_qms)*I128^2)</f>
        <v>0.1222200656760518</v>
      </c>
      <c r="L128" cm="1">
        <f t="array" ref="L128">InterpolateXY(K128,I128,CD_CL,CD_M,CD_table)</f>
        <v>1.7143252462851945E-2</v>
      </c>
      <c r="M128" cm="1">
        <f t="array" ref="M128">L128*S*Linterp(J$90,atmos_h,atmos_qms)*I128^2</f>
        <v>1402.6544960539204</v>
      </c>
      <c r="N128" cm="1">
        <f t="array" ref="N128">I128*Linterp(J$90,atmos_h,atmos_aspeed)</f>
        <v>636.37649999999996</v>
      </c>
      <c r="O128" s="162">
        <f t="shared" si="18"/>
        <v>20868.104658551652</v>
      </c>
      <c r="Q128">
        <v>0.56999999999999995</v>
      </c>
      <c r="R128" cm="1">
        <f t="array" ref="R128">numeng*InterpolateXY(R$90,Q128,Tmax_h,Tmax_M,Tmax_table)</f>
        <v>6212.6266654636238</v>
      </c>
      <c r="S128" cm="1">
        <f t="array" ref="S128">1*R$91/(S*Linterp(R$90,atmos_h,atmos_qms)*Q128^2)</f>
        <v>0.14689080671594715</v>
      </c>
      <c r="T128" cm="1">
        <f t="array" ref="T128">InterpolateXY(S128,Q128,CD_CL,CD_M,CD_table)</f>
        <v>1.8068405251848021E-2</v>
      </c>
      <c r="U128" cm="1">
        <f t="array" ref="U128">T128*S*Linterp(R$90,atmos_h,atmos_qms)*Q128^2</f>
        <v>1230.0569147794347</v>
      </c>
      <c r="V128" cm="1">
        <f t="array" ref="V128">Q128*Linterp(R$90,atmos_h,atmos_aspeed)</f>
        <v>625.34268303104159</v>
      </c>
      <c r="W128" s="162">
        <f t="shared" si="19"/>
        <v>18694.88121769295</v>
      </c>
      <c r="Y128">
        <v>0.56999999999999995</v>
      </c>
      <c r="Z128" cm="1">
        <f t="array" ref="Z128">numeng*InterpolateXY(Z$90,Y128,Tmax_h,Tmax_M,Tmax_table)</f>
        <v>5576.9639073514218</v>
      </c>
      <c r="AA128" cm="1">
        <f t="array" ref="AA128">1*Z$91/(S*Linterp(Z$90,atmos_h,atmos_qms)*Y128^2)</f>
        <v>0.17772217124012271</v>
      </c>
      <c r="AB128" cm="1">
        <f t="array" ref="AB128">InterpolateXY(AA128,Y128,CD_CL,CD_M,CD_table)</f>
        <v>1.9224581421504603E-2</v>
      </c>
      <c r="AC128" cm="1">
        <f t="array" ref="AC128">AB128*S*Linterp(Z$90,atmos_h,atmos_qms)*Y128^2</f>
        <v>1081.7210529985043</v>
      </c>
      <c r="AD128" cm="1">
        <f t="array" ref="AD128">Y128*Linterp(Z$90,atmos_h,atmos_aspeed)</f>
        <v>614.11065182805089</v>
      </c>
      <c r="AE128" s="162">
        <f t="shared" si="20"/>
        <v>16563.459116472353</v>
      </c>
      <c r="AG128">
        <v>0.56999999999999995</v>
      </c>
      <c r="AH128" cm="1">
        <f t="array" ref="AH128">numeng*InterpolateXY(AH$90,AG128,Tmax_h,Tmax_M,Tmax_table)</f>
        <v>4895.4295041490104</v>
      </c>
      <c r="AI128" cm="1">
        <f t="array" ref="AI128">1*AH$91/(S*Linterp(AH$90,atmos_h,atmos_qms)*AG128^2)</f>
        <v>0.21657150541765929</v>
      </c>
      <c r="AJ128" cm="1">
        <f t="array" ref="AJ128">InterpolateXY(AI128,AG128,CD_CL,CD_M,CD_table)</f>
        <v>2.1095719088603707E-2</v>
      </c>
      <c r="AK128" cm="1">
        <f t="array" ref="AK128">AJ128*S*Linterp(AH$90,atmos_h,atmos_qms)*AG128^2</f>
        <v>974.07639328731193</v>
      </c>
      <c r="AL128" cm="1">
        <f t="array" ref="AL128">AG128*Linterp(AH$90,atmos_h,atmos_aspeed)</f>
        <v>602.66932405497892</v>
      </c>
      <c r="AM128" s="162">
        <f t="shared" si="21"/>
        <v>14179.675372223452</v>
      </c>
      <c r="AO128">
        <v>0.56999999999999995</v>
      </c>
      <c r="AP128" cm="1">
        <f t="array" ref="AP128">numeng*InterpolateXY(AP$90,AO128,Tmax_h,Tmax_M,Tmax_table)</f>
        <v>4266.7091972404614</v>
      </c>
      <c r="AQ128" cm="1">
        <f t="array" ref="AQ128">1*AP$91/(S*Linterp(AP$90,atmos_h,atmos_qms)*AO128^2)</f>
        <v>0.26596047410677692</v>
      </c>
      <c r="AR128" cm="1">
        <f t="array" ref="AR128">InterpolateXY(AQ128,AO128,CD_CL,CD_M,CD_table)</f>
        <v>2.4182529631673558E-2</v>
      </c>
      <c r="AS128" cm="1">
        <f t="array" ref="AS128">AR128*S*Linterp(AP$90,atmos_h,atmos_qms)*AO128^2</f>
        <v>909.25276445269219</v>
      </c>
      <c r="AT128" cm="1">
        <f t="array" ref="AT128">AO128*Linterp(AP$90,atmos_h,atmos_aspeed)</f>
        <v>591.00654448584328</v>
      </c>
      <c r="AU128" s="162">
        <f t="shared" si="22"/>
        <v>11905.672347621994</v>
      </c>
      <c r="AW128">
        <v>0.56999999999999995</v>
      </c>
      <c r="AX128" cm="1">
        <f t="array" ref="AX128">numeng*InterpolateXY(AX$90,AW128,Tmax_h,Tmax_M,Tmax_table)</f>
        <v>3690.663041390907</v>
      </c>
      <c r="AY128" cm="1">
        <f t="array" ref="AY128">1*AX$91/(S*Linterp(AX$90,atmos_h,atmos_qms)*AW128^2)</f>
        <v>0.32935331117271155</v>
      </c>
      <c r="AZ128" cm="1">
        <f t="array" ref="AZ128">InterpolateXY(AY128,AW128,CD_CL,CD_M,CD_table)</f>
        <v>2.8694956532782815E-2</v>
      </c>
      <c r="BA128" cm="1">
        <f t="array" ref="BA128">AZ128*S*Linterp(AX$90,atmos_h,atmos_qms)*AW128^2</f>
        <v>871.25149677743184</v>
      </c>
      <c r="BB128" cm="1">
        <f t="array" ref="BB128">AW128*Linterp(AX$90,atmos_h,atmos_aspeed)</f>
        <v>579.10893370186295</v>
      </c>
      <c r="BC128" s="162">
        <f t="shared" si="23"/>
        <v>9796.4784796069926</v>
      </c>
      <c r="BE128">
        <v>0.56999999999999995</v>
      </c>
      <c r="BF128" cm="1">
        <f t="array" ref="BF128">numeng*InterpolateXY(BF$90,BE128,Tmax_h,Tmax_M,Tmax_table)</f>
        <v>3166.6118705279155</v>
      </c>
      <c r="BG128" cm="1">
        <f t="array" ref="BG128">1*BF$91/(S*Linterp(BF$90,atmos_h,atmos_qms)*BE128^2)</f>
        <v>0.41157022091117074</v>
      </c>
      <c r="BH128" cm="1">
        <f t="array" ref="BH128">InterpolateXY(BG128,BE128,CD_CL,CD_M,CD_table)</f>
        <v>3.9785614403145313E-2</v>
      </c>
      <c r="BI128" cm="1">
        <f t="array" ref="BI128">BH128*S*Linterp(BF$90,atmos_h,atmos_qms)*BE128^2</f>
        <v>966.67864635746434</v>
      </c>
      <c r="BJ128" cm="1">
        <f t="array" ref="BJ128">BE128*Linterp(BF$90,atmos_h,atmos_aspeed)</f>
        <v>566.96170819687666</v>
      </c>
      <c r="BK128" s="162">
        <f t="shared" si="24"/>
        <v>7483.6673921684478</v>
      </c>
      <c r="BM128">
        <v>0.56999999999999995</v>
      </c>
      <c r="BN128" cm="1">
        <f t="array" ref="BN128">numeng*InterpolateXY(BN$90,BM128,Tmax_h,Tmax_M,Tmax_table)</f>
        <v>2693.3927390955205</v>
      </c>
      <c r="BO128" cm="1">
        <f t="array" ref="BO128">1*BN$91/(S*Linterp(BN$90,atmos_h,atmos_qms)*BM128^2)</f>
        <v>0.51941149315028967</v>
      </c>
      <c r="BP128" cm="1">
        <f t="array" ref="BP128">InterpolateXY(BO128,BM128,CD_CL,CD_M,CD_table)</f>
        <v>6.3635797356040677E-2</v>
      </c>
      <c r="BQ128" cm="1">
        <f t="array" ref="BQ128">BP128*S*Linterp(BN$90,atmos_h,atmos_qms)*BM128^2</f>
        <v>1225.1518920015099</v>
      </c>
      <c r="BR128" cm="1">
        <f t="array" ref="BR128">BM128*Linterp(BN$90,atmos_h,atmos_aspeed)</f>
        <v>554.54846499628161</v>
      </c>
      <c r="BS128" s="162">
        <f t="shared" si="25"/>
        <v>4885.2642480049435</v>
      </c>
      <c r="BU128">
        <v>0.56999999999999995</v>
      </c>
      <c r="BV128" cm="1">
        <f t="array" ref="BV128">numeng*InterpolateXY(BV$90,BU128,Tmax_h,Tmax_M,Tmax_table)</f>
        <v>2195.8318259305547</v>
      </c>
      <c r="BW128" cm="1">
        <f t="array" ref="BW128">1*BV$91/(S*Linterp(BV$90,atmos_h,atmos_qms)*BU128^2)</f>
        <v>0.66034124357727331</v>
      </c>
      <c r="BX128" cm="1">
        <f t="array" ref="BX128">InterpolateXY(BW128,BU128,CD_CL,CD_M,CD_table)</f>
        <v>0.11528946468684571</v>
      </c>
      <c r="BY128" cm="1">
        <f t="array" ref="BY128">BX128*S*Linterp(BV$90,atmos_h,atmos_qms)*BU128^2</f>
        <v>1745.9073745308856</v>
      </c>
      <c r="BZ128" cm="1">
        <f t="array" ref="BZ128">BU128*Linterp(BV$90,atmos_h,atmos_aspeed)</f>
        <v>551.81729094021716</v>
      </c>
      <c r="CA128" s="162">
        <f t="shared" si="26"/>
        <v>1489.6565513947728</v>
      </c>
      <c r="CC128">
        <v>0.56999999999999995</v>
      </c>
      <c r="CD128" cm="1">
        <f t="array" ref="CD128">numeng*InterpolateXY(CD$90,CC128,Tmax_h,Tmax_M,Tmax_table)</f>
        <v>1682.6157128375876</v>
      </c>
      <c r="CE128" cm="1">
        <f t="array" ref="CE128">1*CD$91/(S*Linterp(CD$90,atmos_h,atmos_qms)*CC128^2)</f>
        <v>0.83972565485355088</v>
      </c>
      <c r="CF128" t="e" cm="1">
        <f t="array" ref="CF128">InterpolateXY(CE128,CC128,CD_CL,CD_M,CD_table)</f>
        <v>#VALUE!</v>
      </c>
      <c r="CG128" t="e" cm="1">
        <f t="array" ref="CG128">CF128*S*Linterp(CD$90,atmos_h,atmos_qms)*CC128^2</f>
        <v>#VALUE!</v>
      </c>
      <c r="CH128" cm="1">
        <f t="array" ref="CH128">CC128*Linterp(CD$90,atmos_h,atmos_aspeed)</f>
        <v>551.81729094021716</v>
      </c>
      <c r="CI128" s="162" t="e">
        <f t="shared" si="27"/>
        <v>#VALUE!</v>
      </c>
      <c r="CK128">
        <v>0.56999999999999995</v>
      </c>
      <c r="CL128" cm="1">
        <f t="array" ref="CL128">numeng*InterpolateXY(CL$90,CK128,Tmax_h,Tmax_M,Tmax_table)</f>
        <v>1253.7546652068045</v>
      </c>
      <c r="CM128" cm="1">
        <f t="array" ref="CM128">1*CL$91/(S*Linterp(CL$90,atmos_h,atmos_qms)*CK128^2)</f>
        <v>1.0678405783035256</v>
      </c>
      <c r="CN128" t="e" cm="1">
        <f t="array" ref="CN128">InterpolateXY(CM128,CK128,CD_CL,CD_M,CD_table)</f>
        <v>#VALUE!</v>
      </c>
      <c r="CO128" t="e" cm="1">
        <f t="array" ref="CO128">CN128*S*Linterp(CL$90,atmos_h,atmos_qms)*CK128^2</f>
        <v>#VALUE!</v>
      </c>
      <c r="CP128" cm="1">
        <f t="array" ref="CP128">CK128*Linterp(CL$90,atmos_h,atmos_aspeed)</f>
        <v>551.81729094021716</v>
      </c>
      <c r="CQ128" s="162" t="e">
        <f t="shared" si="28"/>
        <v>#VALUE!</v>
      </c>
    </row>
    <row r="129" spans="9:95">
      <c r="I129">
        <v>0.57999999999999996</v>
      </c>
      <c r="J129" cm="1">
        <f t="array" ref="J129">numeng*InterpolateXY(J$90,I129,Tmax_h,Tmax_M,Tmax_table)</f>
        <v>6892</v>
      </c>
      <c r="K129" cm="1">
        <f t="array" ref="K129">1*J$91/(S*Linterp(J$90,atmos_h,atmos_qms)*I129^2)</f>
        <v>0.11804191242018201</v>
      </c>
      <c r="L129" cm="1">
        <f t="array" ref="L129">InterpolateXY(K129,I129,CD_CL,CD_M,CD_table)</f>
        <v>1.6966571715756825E-2</v>
      </c>
      <c r="M129" cm="1">
        <f t="array" ref="M129">L129*S*Linterp(J$90,atmos_h,atmos_qms)*I129^2</f>
        <v>1437.3345338020802</v>
      </c>
      <c r="N129" cm="1">
        <f t="array" ref="N129">I129*Linterp(J$90,atmos_h,atmos_aspeed)</f>
        <v>647.54099999999994</v>
      </c>
      <c r="O129" s="162">
        <f t="shared" si="18"/>
        <v>21192.7171838836</v>
      </c>
      <c r="Q129">
        <v>0.57999999999999996</v>
      </c>
      <c r="R129" cm="1">
        <f t="array" ref="R129">numeng*InterpolateXY(R$90,Q129,Tmax_h,Tmax_M,Tmax_table)</f>
        <v>6238.4767070674943</v>
      </c>
      <c r="S129" cm="1">
        <f t="array" ref="S129">1*R$91/(S*Linterp(R$90,atmos_h,atmos_qms)*Q129^2)</f>
        <v>0.14186927200360056</v>
      </c>
      <c r="T129" cm="1">
        <f t="array" ref="T129">InterpolateXY(S129,Q129,CD_CL,CD_M,CD_table)</f>
        <v>1.7860097700135021E-2</v>
      </c>
      <c r="U129" cm="1">
        <f t="array" ref="U129">T129*S*Linterp(R$90,atmos_h,atmos_qms)*Q129^2</f>
        <v>1258.9123386551066</v>
      </c>
      <c r="V129" cm="1">
        <f t="array" ref="V129">Q129*Linterp(R$90,atmos_h,atmos_aspeed)</f>
        <v>636.31360729474397</v>
      </c>
      <c r="W129" s="162">
        <f t="shared" si="19"/>
        <v>19011.387396125159</v>
      </c>
      <c r="Y129">
        <v>0.57999999999999996</v>
      </c>
      <c r="Z129" cm="1">
        <f t="array" ref="Z129">numeng*InterpolateXY(Z$90,Y129,Tmax_h,Tmax_M,Tmax_table)</f>
        <v>5603.54901072333</v>
      </c>
      <c r="AA129" cm="1">
        <f t="array" ref="AA129">1*Z$91/(S*Linterp(Z$90,atmos_h,atmos_qms)*Y129^2)</f>
        <v>0.17164665111746691</v>
      </c>
      <c r="AB129" cm="1">
        <f t="array" ref="AB129">InterpolateXY(AA129,Y129,CD_CL,CD_M,CD_table)</f>
        <v>1.8976749416905012E-2</v>
      </c>
      <c r="AC129" cm="1">
        <f t="array" ref="AC129">AB129*S*Linterp(Z$90,atmos_h,atmos_qms)*Y129^2</f>
        <v>1105.5706180901959</v>
      </c>
      <c r="AD129" cm="1">
        <f t="array" ref="AD129">Y129*Linterp(Z$90,atmos_h,atmos_aspeed)</f>
        <v>624.8845229127536</v>
      </c>
      <c r="AE129" s="162">
        <f t="shared" si="20"/>
        <v>16864.302491714581</v>
      </c>
      <c r="AG129">
        <v>0.57999999999999996</v>
      </c>
      <c r="AH129" cm="1">
        <f t="array" ref="AH129">numeng*InterpolateXY(AH$90,AG129,Tmax_h,Tmax_M,Tmax_table)</f>
        <v>4920.5988075122441</v>
      </c>
      <c r="AI129" cm="1">
        <f t="array" ref="AI129">1*AH$91/(S*Linterp(AH$90,atmos_h,atmos_qms)*AG129^2)</f>
        <v>0.20916790163554547</v>
      </c>
      <c r="AJ129" cm="1">
        <f t="array" ref="AJ129">InterpolateXY(AI129,AG129,CD_CL,CD_M,CD_table)</f>
        <v>2.0612993852221592E-2</v>
      </c>
      <c r="AK129" cm="1">
        <f t="array" ref="AK129">AJ129*S*Linterp(AH$90,atmos_h,atmos_qms)*AG129^2</f>
        <v>985.47595931510136</v>
      </c>
      <c r="AL129" cm="1">
        <f t="array" ref="AL129">AG129*Linterp(AH$90,atmos_h,atmos_aspeed)</f>
        <v>613.24247009103112</v>
      </c>
      <c r="AM129" s="162">
        <f t="shared" si="21"/>
        <v>14479.10673324042</v>
      </c>
      <c r="AO129">
        <v>0.57999999999999996</v>
      </c>
      <c r="AP129" cm="1">
        <f t="array" ref="AP129">numeng*InterpolateXY(AP$90,AO129,Tmax_h,Tmax_M,Tmax_table)</f>
        <v>4290.1526543681566</v>
      </c>
      <c r="AQ129" cm="1">
        <f t="array" ref="AQ129">1*AP$91/(S*Linterp(AP$90,atmos_h,atmos_qms)*AO129^2)</f>
        <v>0.25686848405853691</v>
      </c>
      <c r="AR129" cm="1">
        <f t="array" ref="AR129">InterpolateXY(AQ129,AO129,CD_CL,CD_M,CD_table)</f>
        <v>2.3594280253658558E-2</v>
      </c>
      <c r="AS129" cm="1">
        <f t="array" ref="AS129">AR129*S*Linterp(AP$90,atmos_h,atmos_qms)*AO129^2</f>
        <v>918.53542641228557</v>
      </c>
      <c r="AT129" cm="1">
        <f t="array" ref="AT129">AO129*Linterp(AP$90,atmos_h,atmos_aspeed)</f>
        <v>601.37508035401595</v>
      </c>
      <c r="AU129" s="162">
        <f t="shared" si="22"/>
        <v>12165.639488309678</v>
      </c>
      <c r="AW129">
        <v>0.57999999999999996</v>
      </c>
      <c r="AX129" cm="1">
        <f t="array" ref="AX129">numeng*InterpolateXY(AX$90,AW129,Tmax_h,Tmax_M,Tmax_table)</f>
        <v>3712.1724908793435</v>
      </c>
      <c r="AY129" cm="1">
        <f t="array" ref="AY129">1*AX$91/(S*Linterp(AX$90,atmos_h,atmos_qms)*AW129^2)</f>
        <v>0.31809420570753261</v>
      </c>
      <c r="AZ129" cm="1">
        <f t="array" ref="AZ129">InterpolateXY(AY129,AW129,CD_CL,CD_M,CD_table)</f>
        <v>2.7760154213737027E-2</v>
      </c>
      <c r="BA129" cm="1">
        <f t="array" ref="BA129">AZ129*S*Linterp(AX$90,atmos_h,atmos_qms)*AW129^2</f>
        <v>872.7022911967382</v>
      </c>
      <c r="BB129" cm="1">
        <f t="array" ref="BB129">AW129*Linterp(AX$90,atmos_h,atmos_aspeed)</f>
        <v>589.26873955628162</v>
      </c>
      <c r="BC129" s="162">
        <f t="shared" si="23"/>
        <v>10039.266153447552</v>
      </c>
      <c r="BE129">
        <v>0.57999999999999996</v>
      </c>
      <c r="BF129" cm="1">
        <f t="array" ref="BF129">numeng*InterpolateXY(BF$90,BE129,Tmax_h,Tmax_M,Tmax_table)</f>
        <v>3186.0664803184932</v>
      </c>
      <c r="BG129" cm="1">
        <f t="array" ref="BG129">1*BF$91/(S*Linterp(BF$90,atmos_h,atmos_qms)*BE129^2)</f>
        <v>0.39750048981581265</v>
      </c>
      <c r="BH129" cm="1">
        <f t="array" ref="BH129">InterpolateXY(BG129,BE129,CD_CL,CD_M,CD_table)</f>
        <v>3.7085694431391439E-2</v>
      </c>
      <c r="BI129" cm="1">
        <f t="array" ref="BI129">BH129*S*Linterp(BF$90,atmos_h,atmos_qms)*BE129^2</f>
        <v>932.97229516812956</v>
      </c>
      <c r="BJ129" cm="1">
        <f t="array" ref="BJ129">BE129*Linterp(BF$90,atmos_h,atmos_aspeed)</f>
        <v>576.90840483190959</v>
      </c>
      <c r="BK129" s="162">
        <f t="shared" si="24"/>
        <v>7798.9738337468834</v>
      </c>
      <c r="BM129">
        <v>0.57999999999999996</v>
      </c>
      <c r="BN129" cm="1">
        <f t="array" ref="BN129">numeng*InterpolateXY(BN$90,BM129,Tmax_h,Tmax_M,Tmax_table)</f>
        <v>2710.7454764849995</v>
      </c>
      <c r="BO129" cm="1">
        <f t="array" ref="BO129">1*BN$91/(S*Linterp(BN$90,atmos_h,atmos_qms)*BM129^2)</f>
        <v>0.50165515494806512</v>
      </c>
      <c r="BP129" cm="1">
        <f t="array" ref="BP129">InterpolateXY(BO129,BM129,CD_CL,CD_M,CD_table)</f>
        <v>5.8058063498744386E-2</v>
      </c>
      <c r="BQ129" cm="1">
        <f t="array" ref="BQ129">BP129*S*Linterp(BN$90,atmos_h,atmos_qms)*BM129^2</f>
        <v>1157.3301485311154</v>
      </c>
      <c r="BR129" cm="1">
        <f t="array" ref="BR129">BM129*Linterp(BN$90,atmos_h,atmos_aspeed)</f>
        <v>564.2773854348128</v>
      </c>
      <c r="BS129" s="162">
        <f t="shared" si="25"/>
        <v>5259.3428385130801</v>
      </c>
      <c r="BU129">
        <v>0.57999999999999996</v>
      </c>
      <c r="BV129" cm="1">
        <f t="array" ref="BV129">numeng*InterpolateXY(BV$90,BU129,Tmax_h,Tmax_M,Tmax_table)</f>
        <v>2210.6019951632716</v>
      </c>
      <c r="BW129" cm="1">
        <f t="array" ref="BW129">1*BV$91/(S*Linterp(BV$90,atmos_h,atmos_qms)*BU129^2)</f>
        <v>0.63776715231348424</v>
      </c>
      <c r="BX129" cm="1">
        <f t="array" ref="BX129">InterpolateXY(BW129,BU129,CD_CL,CD_M,CD_table)</f>
        <v>0.10538201271330611</v>
      </c>
      <c r="BY129" cm="1">
        <f t="array" ref="BY129">BX129*S*Linterp(BV$90,atmos_h,atmos_qms)*BU129^2</f>
        <v>1652.3587383112394</v>
      </c>
      <c r="BZ129" cm="1">
        <f t="array" ref="BZ129">BU129*Linterp(BV$90,atmos_h,atmos_aspeed)</f>
        <v>561.49829604443153</v>
      </c>
      <c r="CA129" s="162">
        <f t="shared" si="26"/>
        <v>1880.7158250042598</v>
      </c>
      <c r="CC129">
        <v>0.57999999999999996</v>
      </c>
      <c r="CD129" cm="1">
        <f t="array" ref="CD129">numeng*InterpolateXY(CD$90,CC129,Tmax_h,Tmax_M,Tmax_table)</f>
        <v>1693.4563110795232</v>
      </c>
      <c r="CE129" cm="1">
        <f t="array" ref="CE129">1*CD$91/(S*Linterp(CD$90,atmos_h,atmos_qms)*CC129^2)</f>
        <v>0.81101921897122076</v>
      </c>
      <c r="CF129" t="e" cm="1">
        <f t="array" ref="CF129">InterpolateXY(CE129,CC129,CD_CL,CD_M,CD_table)</f>
        <v>#VALUE!</v>
      </c>
      <c r="CG129" t="e" cm="1">
        <f t="array" ref="CG129">CF129*S*Linterp(CD$90,atmos_h,atmos_qms)*CC129^2</f>
        <v>#VALUE!</v>
      </c>
      <c r="CH129" cm="1">
        <f t="array" ref="CH129">CC129*Linterp(CD$90,atmos_h,atmos_aspeed)</f>
        <v>561.49829604443153</v>
      </c>
      <c r="CI129" s="162" t="e">
        <f t="shared" si="27"/>
        <v>#VALUE!</v>
      </c>
      <c r="CK129">
        <v>0.57999999999999996</v>
      </c>
      <c r="CL129" cm="1">
        <f t="array" ref="CL129">numeng*InterpolateXY(CL$90,CK129,Tmax_h,Tmax_M,Tmax_table)</f>
        <v>1261.0616375149548</v>
      </c>
      <c r="CM129" cm="1">
        <f t="array" ref="CM129">1*CL$91/(S*Linterp(CL$90,atmos_h,atmos_qms)*CK129^2)</f>
        <v>1.03133592119743</v>
      </c>
      <c r="CN129" t="e" cm="1">
        <f t="array" ref="CN129">InterpolateXY(CM129,CK129,CD_CL,CD_M,CD_table)</f>
        <v>#VALUE!</v>
      </c>
      <c r="CO129" t="e" cm="1">
        <f t="array" ref="CO129">CN129*S*Linterp(CL$90,atmos_h,atmos_qms)*CK129^2</f>
        <v>#VALUE!</v>
      </c>
      <c r="CP129" cm="1">
        <f t="array" ref="CP129">CK129*Linterp(CL$90,atmos_h,atmos_aspeed)</f>
        <v>561.49829604443153</v>
      </c>
      <c r="CQ129" s="162" t="e">
        <f t="shared" si="28"/>
        <v>#VALUE!</v>
      </c>
    </row>
    <row r="130" spans="9:95">
      <c r="I130">
        <v>0.59</v>
      </c>
      <c r="J130" cm="1">
        <f t="array" ref="J130">numeng*InterpolateXY(J$90,I130,Tmax_h,Tmax_M,Tmax_table)</f>
        <v>6916</v>
      </c>
      <c r="K130" cm="1">
        <f t="array" ref="K130">1*J$91/(S*Linterp(J$90,atmos_h,atmos_qms)*I130^2)</f>
        <v>0.11407440200559964</v>
      </c>
      <c r="L130" cm="1">
        <f t="array" ref="L130">InterpolateXY(K130,I130,CD_CL,CD_M,CD_table)</f>
        <v>1.6797790075209987E-2</v>
      </c>
      <c r="M130" cm="1">
        <f t="array" ref="M130">L130*S*Linterp(J$90,atmos_h,atmos_qms)*I130^2</f>
        <v>1472.5293124381601</v>
      </c>
      <c r="N130" cm="1">
        <f t="array" ref="N130">I130*Linterp(J$90,atmos_h,atmos_aspeed)</f>
        <v>658.70550000000003</v>
      </c>
      <c r="O130" s="162">
        <f t="shared" si="18"/>
        <v>21513.864485914593</v>
      </c>
      <c r="Q130">
        <v>0.59</v>
      </c>
      <c r="R130" cm="1">
        <f t="array" ref="R130">numeng*InterpolateXY(R$90,Q130,Tmax_h,Tmax_M,Tmax_table)</f>
        <v>6264.3267486713657</v>
      </c>
      <c r="S130" cm="1">
        <f t="array" ref="S130">1*R$91/(S*Linterp(R$90,atmos_h,atmos_qms)*Q130^2)</f>
        <v>0.13710089945995754</v>
      </c>
      <c r="T130" cm="1">
        <f t="array" ref="T130">InterpolateXY(S130,Q130,CD_CL,CD_M,CD_table)</f>
        <v>1.7661283729748407E-2</v>
      </c>
      <c r="U130" cm="1">
        <f t="array" ref="U130">T130*S*Linterp(R$90,atmos_h,atmos_qms)*Q130^2</f>
        <v>1288.1960511795664</v>
      </c>
      <c r="V130" cm="1">
        <f t="array" ref="V130">Q130*Linterp(R$90,atmos_h,atmos_aspeed)</f>
        <v>647.28453155844647</v>
      </c>
      <c r="W130" s="162">
        <f t="shared" si="19"/>
        <v>19325.834564997505</v>
      </c>
      <c r="Y130">
        <v>0.59</v>
      </c>
      <c r="Z130" cm="1">
        <f t="array" ref="Z130">numeng*InterpolateXY(Z$90,Y130,Tmax_h,Tmax_M,Tmax_table)</f>
        <v>5630.1341140952381</v>
      </c>
      <c r="AA130" cm="1">
        <f t="array" ref="AA130">1*Z$91/(S*Linterp(Z$90,atmos_h,atmos_qms)*Y130^2)</f>
        <v>0.16587743015201342</v>
      </c>
      <c r="AB130" cm="1">
        <f t="array" ref="AB130">InterpolateXY(AA130,Y130,CD_CL,CD_M,CD_table)</f>
        <v>1.8740403630700501E-2</v>
      </c>
      <c r="AC130" cm="1">
        <f t="array" ref="AC130">AB130*S*Linterp(Z$90,atmos_h,atmos_qms)*Y130^2</f>
        <v>1129.7741720212582</v>
      </c>
      <c r="AD130" cm="1">
        <f t="array" ref="AD130">Y130*Linterp(Z$90,atmos_h,atmos_aspeed)</f>
        <v>635.65839399745619</v>
      </c>
      <c r="AE130" s="162">
        <f t="shared" si="20"/>
        <v>17164.149439135388</v>
      </c>
      <c r="AG130">
        <v>0.59</v>
      </c>
      <c r="AH130" cm="1">
        <f t="array" ref="AH130">numeng*InterpolateXY(AH$90,AG130,Tmax_h,Tmax_M,Tmax_table)</f>
        <v>4945.7681108754787</v>
      </c>
      <c r="AI130" cm="1">
        <f t="array" ref="AI130">1*AH$91/(S*Linterp(AH$90,atmos_h,atmos_qms)*AG130^2)</f>
        <v>0.20213755274403189</v>
      </c>
      <c r="AJ130" cm="1">
        <f t="array" ref="AJ130">InterpolateXY(AI130,AG130,CD_CL,CD_M,CD_table)</f>
        <v>2.0153597046501992E-2</v>
      </c>
      <c r="AK130" cm="1">
        <f t="array" ref="AK130">AJ130*S*Linterp(AH$90,atmos_h,atmos_qms)*AG130^2</f>
        <v>997.02389649599775</v>
      </c>
      <c r="AL130" cm="1">
        <f t="array" ref="AL130">AG130*Linterp(AH$90,atmos_h,atmos_aspeed)</f>
        <v>623.81561612708344</v>
      </c>
      <c r="AM130" s="162">
        <f t="shared" si="21"/>
        <v>14779.729830128354</v>
      </c>
      <c r="AO130">
        <v>0.59</v>
      </c>
      <c r="AP130" cm="1">
        <f t="array" ref="AP130">numeng*InterpolateXY(AP$90,AO130,Tmax_h,Tmax_M,Tmax_table)</f>
        <v>4313.5961114958509</v>
      </c>
      <c r="AQ130" cm="1">
        <f t="array" ref="AQ130">1*AP$91/(S*Linterp(AP$90,atmos_h,atmos_qms)*AO130^2)</f>
        <v>0.24823486939756342</v>
      </c>
      <c r="AR130" cm="1">
        <f t="array" ref="AR130">InterpolateXY(AQ130,AO130,CD_CL,CD_M,CD_table)</f>
        <v>2.3034679337347715E-2</v>
      </c>
      <c r="AS130" cm="1">
        <f t="array" ref="AS130">AR130*S*Linterp(AP$90,atmos_h,atmos_qms)*AO130^2</f>
        <v>927.93890694124275</v>
      </c>
      <c r="AT130" cm="1">
        <f t="array" ref="AT130">AO130*Linterp(AP$90,atmos_h,atmos_aspeed)</f>
        <v>611.74361622218862</v>
      </c>
      <c r="AU130" s="162">
        <f t="shared" si="22"/>
        <v>12426.925089617651</v>
      </c>
      <c r="AW130">
        <v>0.59</v>
      </c>
      <c r="AX130" cm="1">
        <f t="array" ref="AX130">numeng*InterpolateXY(AX$90,AW130,Tmax_h,Tmax_M,Tmax_table)</f>
        <v>3733.68194036778</v>
      </c>
      <c r="AY130" cm="1">
        <f t="array" ref="AY130">1*AX$91/(S*Linterp(AX$90,atmos_h,atmos_qms)*AW130^2)</f>
        <v>0.30740273139906343</v>
      </c>
      <c r="AZ130" cm="1">
        <f t="array" ref="AZ130">InterpolateXY(AY130,AW130,CD_CL,CD_M,CD_table)</f>
        <v>2.6871471926173902E-2</v>
      </c>
      <c r="BA130" cm="1">
        <f t="array" ref="BA130">AZ130*S*Linterp(AX$90,atmos_h,atmos_qms)*AW130^2</f>
        <v>874.1455160100694</v>
      </c>
      <c r="BB130" cm="1">
        <f t="array" ref="BB130">AW130*Linterp(AX$90,atmos_h,atmos_aspeed)</f>
        <v>599.42854541070017</v>
      </c>
      <c r="BC130" s="162">
        <f t="shared" si="23"/>
        <v>10284.526556409943</v>
      </c>
      <c r="BE130">
        <v>0.59</v>
      </c>
      <c r="BF130" cm="1">
        <f t="array" ref="BF130">numeng*InterpolateXY(BF$90,BE130,Tmax_h,Tmax_M,Tmax_table)</f>
        <v>3205.5210901090713</v>
      </c>
      <c r="BG130" cm="1">
        <f t="array" ref="BG130">1*BF$91/(S*Linterp(BF$90,atmos_h,atmos_qms)*BE130^2)</f>
        <v>0.38414008840574365</v>
      </c>
      <c r="BH130" cm="1">
        <f t="array" ref="BH130">InterpolateXY(BG130,BE130,CD_CL,CD_M,CD_table)</f>
        <v>3.517185753151416E-2</v>
      </c>
      <c r="BI130" cm="1">
        <f t="array" ref="BI130">BH130*S*Linterp(BF$90,atmos_h,atmos_qms)*BE130^2</f>
        <v>915.59976667585602</v>
      </c>
      <c r="BJ130" cm="1">
        <f t="array" ref="BJ130">BE130*Linterp(BF$90,atmos_h,atmos_aspeed)</f>
        <v>586.85510146694253</v>
      </c>
      <c r="BK130" s="162">
        <f t="shared" si="24"/>
        <v>8063.1120636882897</v>
      </c>
      <c r="BM130">
        <v>0.59</v>
      </c>
      <c r="BN130" cm="1">
        <f t="array" ref="BN130">numeng*InterpolateXY(BN$90,BM130,Tmax_h,Tmax_M,Tmax_table)</f>
        <v>2728.098213874478</v>
      </c>
      <c r="BO130" cm="1">
        <f t="array" ref="BO130">1*BN$91/(S*Linterp(BN$90,atmos_h,atmos_qms)*BM130^2)</f>
        <v>0.48479400782685755</v>
      </c>
      <c r="BP130" cm="1">
        <f t="array" ref="BP130">InterpolateXY(BO130,BM130,CD_CL,CD_M,CD_table)</f>
        <v>5.4463595573198367E-2</v>
      </c>
      <c r="BQ130" cm="1">
        <f t="array" ref="BQ130">BP130*S*Linterp(BN$90,atmos_h,atmos_qms)*BM130^2</f>
        <v>1123.4378868942176</v>
      </c>
      <c r="BR130" cm="1">
        <f t="array" ref="BR130">BM130*Linterp(BN$90,atmos_h,atmos_aspeed)</f>
        <v>574.0063058733441</v>
      </c>
      <c r="BS130" s="162">
        <f t="shared" si="25"/>
        <v>5526.5108788287107</v>
      </c>
      <c r="BU130">
        <v>0.59</v>
      </c>
      <c r="BV130" cm="1">
        <f t="array" ref="BV130">numeng*InterpolateXY(BV$90,BU130,Tmax_h,Tmax_M,Tmax_table)</f>
        <v>2225.372164395988</v>
      </c>
      <c r="BW130" cm="1">
        <f t="array" ref="BW130">1*BV$91/(S*Linterp(BV$90,atmos_h,atmos_qms)*BU130^2)</f>
        <v>0.61633114058677418</v>
      </c>
      <c r="BX130" cm="1">
        <f t="array" ref="BX130">InterpolateXY(BW130,BU130,CD_CL,CD_M,CD_table)</f>
        <v>9.5973039577007105E-2</v>
      </c>
      <c r="BY130" cm="1">
        <f t="array" ref="BY130">BX130*S*Linterp(BV$90,atmos_h,atmos_qms)*BU130^2</f>
        <v>1557.1668094790175</v>
      </c>
      <c r="BZ130" cm="1">
        <f t="array" ref="BZ130">BU130*Linterp(BV$90,atmos_h,atmos_aspeed)</f>
        <v>571.17930114864589</v>
      </c>
      <c r="CA130" s="162">
        <f t="shared" si="26"/>
        <v>2289.9904058715483</v>
      </c>
      <c r="CC130">
        <v>0.59</v>
      </c>
      <c r="CD130" cm="1">
        <f t="array" ref="CD130">numeng*InterpolateXY(CD$90,CC130,Tmax_h,Tmax_M,Tmax_table)</f>
        <v>1704.296909321459</v>
      </c>
      <c r="CE130" cm="1">
        <f t="array" ref="CE130">1*CD$91/(S*Linterp(CD$90,atmos_h,atmos_qms)*CC130^2)</f>
        <v>0.78376002660706312</v>
      </c>
      <c r="CF130" cm="1">
        <f t="array" ref="CF130">InterpolateXY(CE130,CC130,CD_CL,CD_M,CD_table)</f>
        <v>0.18153096444208069</v>
      </c>
      <c r="CG130" cm="1">
        <f t="array" ref="CG130">CF130*S*Linterp(CD$90,atmos_h,atmos_qms)*CC130^2</f>
        <v>2316.1549234392246</v>
      </c>
      <c r="CH130" cm="1">
        <f t="array" ref="CH130">CC130*Linterp(CD$90,atmos_h,atmos_aspeed)</f>
        <v>571.17930114864589</v>
      </c>
      <c r="CI130" s="162">
        <f t="shared" si="27"/>
        <v>-2096.8837974359021</v>
      </c>
      <c r="CK130">
        <v>0.59</v>
      </c>
      <c r="CL130" cm="1">
        <f t="array" ref="CL130">numeng*InterpolateXY(CL$90,CK130,Tmax_h,Tmax_M,Tmax_table)</f>
        <v>1268.3686098231053</v>
      </c>
      <c r="CM130" cm="1">
        <f t="array" ref="CM130">1*CL$91/(S*Linterp(CL$90,atmos_h,atmos_qms)*CK130^2)</f>
        <v>0.99667165725600548</v>
      </c>
      <c r="CN130" t="e" cm="1">
        <f t="array" ref="CN130">InterpolateXY(CM130,CK130,CD_CL,CD_M,CD_table)</f>
        <v>#VALUE!</v>
      </c>
      <c r="CO130" t="e" cm="1">
        <f t="array" ref="CO130">CN130*S*Linterp(CL$90,atmos_h,atmos_qms)*CK130^2</f>
        <v>#VALUE!</v>
      </c>
      <c r="CP130" cm="1">
        <f t="array" ref="CP130">CK130*Linterp(CL$90,atmos_h,atmos_aspeed)</f>
        <v>571.17930114864589</v>
      </c>
      <c r="CQ130" s="162" t="e">
        <f t="shared" si="28"/>
        <v>#VALUE!</v>
      </c>
    </row>
    <row r="131" spans="9:95">
      <c r="I131">
        <v>0.6</v>
      </c>
      <c r="J131" cm="1">
        <f t="array" ref="J131">numeng*InterpolateXY(J$90,I131,Tmax_h,Tmax_M,Tmax_table)</f>
        <v>6940</v>
      </c>
      <c r="K131" cm="1">
        <f t="array" ref="K131">1*J$91/(S*Linterp(J$90,atmos_h,atmos_qms)*I131^2)</f>
        <v>0.11030360927263674</v>
      </c>
      <c r="L131" cm="1">
        <f t="array" ref="L131">InterpolateXY(K131,I131,CD_CL,CD_M,CD_table)</f>
        <v>1.6636385347723878E-2</v>
      </c>
      <c r="M131" cm="1">
        <f t="array" ref="M131">L131*S*Linterp(J$90,atmos_h,atmos_qms)*I131^2</f>
        <v>1508.2358099999999</v>
      </c>
      <c r="N131" cm="1">
        <f t="array" ref="N131">I131*Linterp(J$90,atmos_h,atmos_aspeed)</f>
        <v>669.87</v>
      </c>
      <c r="O131" s="162">
        <f t="shared" si="18"/>
        <v>21831.455267731799</v>
      </c>
      <c r="Q131">
        <v>0.6</v>
      </c>
      <c r="R131" cm="1">
        <f t="array" ref="R131">numeng*InterpolateXY(R$90,Q131,Tmax_h,Tmax_M,Tmax_table)</f>
        <v>6290.1767902752363</v>
      </c>
      <c r="S131" cm="1">
        <f t="array" ref="S131">1*R$91/(S*Linterp(R$90,atmos_h,atmos_qms)*Q131^2)</f>
        <v>0.13256895306114228</v>
      </c>
      <c r="T131" cm="1">
        <f t="array" ref="T131">InterpolateXY(S131,Q131,CD_CL,CD_M,CD_table)</f>
        <v>1.7471335739792836E-2</v>
      </c>
      <c r="U131" cm="1">
        <f t="array" ref="U131">T131*S*Linterp(R$90,atmos_h,atmos_qms)*Q131^2</f>
        <v>1317.9055379380466</v>
      </c>
      <c r="V131" cm="1">
        <f t="array" ref="V131">Q131*Linterp(R$90,atmos_h,atmos_aspeed)</f>
        <v>658.25545582214897</v>
      </c>
      <c r="W131" s="162">
        <f t="shared" si="19"/>
        <v>19638.148078071506</v>
      </c>
      <c r="Y131">
        <v>0.6</v>
      </c>
      <c r="Z131" cm="1">
        <f t="array" ref="Z131">numeng*InterpolateXY(Z$90,Y131,Tmax_h,Tmax_M,Tmax_table)</f>
        <v>5656.7192174671463</v>
      </c>
      <c r="AA131" cm="1">
        <f t="array" ref="AA131">1*Z$91/(S*Linterp(Z$90,atmos_h,atmos_qms)*Y131^2)</f>
        <v>0.16039425954421074</v>
      </c>
      <c r="AB131" cm="1">
        <f t="array" ref="AB131">InterpolateXY(AA131,Y131,CD_CL,CD_M,CD_table)</f>
        <v>1.8514784732907904E-2</v>
      </c>
      <c r="AC131" cm="1">
        <f t="array" ref="AC131">AB131*S*Linterp(Z$90,atmos_h,atmos_qms)*Y131^2</f>
        <v>1154.3296365793271</v>
      </c>
      <c r="AD131" cm="1">
        <f t="array" ref="AD131">Y131*Linterp(Z$90,atmos_h,atmos_aspeed)</f>
        <v>646.43226508215889</v>
      </c>
      <c r="AE131" s="162">
        <f t="shared" si="20"/>
        <v>17462.939370333748</v>
      </c>
      <c r="AG131">
        <v>0.6</v>
      </c>
      <c r="AH131" cm="1">
        <f t="array" ref="AH131">numeng*InterpolateXY(AH$90,AG131,Tmax_h,Tmax_M,Tmax_table)</f>
        <v>4970.9374142387123</v>
      </c>
      <c r="AI131" cm="1">
        <f t="array" ref="AI131">1*AH$91/(S*Linterp(AH$90,atmos_h,atmos_qms)*AG131^2)</f>
        <v>0.1954557836394375</v>
      </c>
      <c r="AJ131" cm="1">
        <f t="array" ref="AJ131">InterpolateXY(AI131,AG131,CD_CL,CD_M,CD_table)</f>
        <v>1.9829591886478905E-2</v>
      </c>
      <c r="AK131" cm="1">
        <f t="array" ref="AK131">AJ131*S*Linterp(AH$90,atmos_h,atmos_qms)*AG131^2</f>
        <v>1014.5308323574136</v>
      </c>
      <c r="AL131" cm="1">
        <f t="array" ref="AL131">AG131*Linterp(AH$90,atmos_h,atmos_aspeed)</f>
        <v>634.38876216313577</v>
      </c>
      <c r="AM131" s="162">
        <f t="shared" si="21"/>
        <v>15059.399244562561</v>
      </c>
      <c r="AO131">
        <v>0.6</v>
      </c>
      <c r="AP131" cm="1">
        <f t="array" ref="AP131">numeng*InterpolateXY(AP$90,AO131,Tmax_h,Tmax_M,Tmax_table)</f>
        <v>4337.0395686235461</v>
      </c>
      <c r="AQ131" cm="1">
        <f t="array" ref="AQ131">1*AP$91/(S*Linterp(AP$90,atmos_h,atmos_qms)*AO131^2)</f>
        <v>0.24002932788136613</v>
      </c>
      <c r="AR131" cm="1">
        <f t="array" ref="AR131">InterpolateXY(AQ131,AO131,CD_CL,CD_M,CD_table)</f>
        <v>2.2501832992585385E-2</v>
      </c>
      <c r="AS131" cm="1">
        <f t="array" ref="AS131">AR131*S*Linterp(AP$90,atmos_h,atmos_qms)*AO131^2</f>
        <v>937.46181732037576</v>
      </c>
      <c r="AT131" cm="1">
        <f t="array" ref="AT131">AO131*Linterp(AP$90,atmos_h,atmos_aspeed)</f>
        <v>622.11215209036129</v>
      </c>
      <c r="AU131" s="162">
        <f t="shared" si="22"/>
        <v>12689.511786370358</v>
      </c>
      <c r="AW131">
        <v>0.6</v>
      </c>
      <c r="AX131" cm="1">
        <f t="array" ref="AX131">numeng*InterpolateXY(AX$90,AW131,Tmax_h,Tmax_M,Tmax_table)</f>
        <v>3755.1913898562166</v>
      </c>
      <c r="AY131" cm="1">
        <f t="array" ref="AY131">1*AX$91/(S*Linterp(AX$90,atmos_h,atmos_qms)*AW131^2)</f>
        <v>0.29724136333337214</v>
      </c>
      <c r="AZ131" cm="1">
        <f t="array" ref="AZ131">InterpolateXY(AY131,AW131,CD_CL,CD_M,CD_table)</f>
        <v>2.6077585208335759E-2</v>
      </c>
      <c r="BA131" cm="1">
        <f t="array" ref="BA131">AZ131*S*Linterp(AX$90,atmos_h,atmos_qms)*AW131^2</f>
        <v>877.32019917727075</v>
      </c>
      <c r="BB131" cm="1">
        <f t="array" ref="BB131">AW131*Linterp(AX$90,atmos_h,atmos_aspeed)</f>
        <v>609.58835126511883</v>
      </c>
      <c r="BC131" s="162">
        <f t="shared" si="23"/>
        <v>10525.900525676177</v>
      </c>
      <c r="BE131">
        <v>0.6</v>
      </c>
      <c r="BF131" cm="1">
        <f t="array" ref="BF131">numeng*InterpolateXY(BF$90,BE131,Tmax_h,Tmax_M,Tmax_table)</f>
        <v>3224.975699899649</v>
      </c>
      <c r="BG131" cm="1">
        <f t="array" ref="BG131">1*BF$91/(S*Linterp(BF$90,atmos_h,atmos_qms)*BE131^2)</f>
        <v>0.37144212437233159</v>
      </c>
      <c r="BH131" cm="1">
        <f t="array" ref="BH131">InterpolateXY(BG131,BE131,CD_CL,CD_M,CD_table)</f>
        <v>3.3351921129778007E-2</v>
      </c>
      <c r="BI131" cm="1">
        <f t="array" ref="BI131">BH131*S*Linterp(BF$90,atmos_h,atmos_qms)*BE131^2</f>
        <v>897.90357477996281</v>
      </c>
      <c r="BJ131" cm="1">
        <f t="array" ref="BJ131">BE131*Linterp(BF$90,atmos_h,atmos_aspeed)</f>
        <v>596.80179810197546</v>
      </c>
      <c r="BK131" s="162">
        <f t="shared" si="24"/>
        <v>8332.8049715064844</v>
      </c>
      <c r="BM131">
        <v>0.6</v>
      </c>
      <c r="BN131" cm="1">
        <f t="array" ref="BN131">numeng*InterpolateXY(BN$90,BM131,Tmax_h,Tmax_M,Tmax_table)</f>
        <v>2745.450951263957</v>
      </c>
      <c r="BO131" cm="1">
        <f t="array" ref="BO131">1*BN$91/(S*Linterp(BN$90,atmos_h,atmos_qms)*BM131^2)</f>
        <v>0.46876887256813643</v>
      </c>
      <c r="BP131" cm="1">
        <f t="array" ref="BP131">InterpolateXY(BO131,BM131,CD_CL,CD_M,CD_table)</f>
        <v>5.1222543386195425E-2</v>
      </c>
      <c r="BQ131" cm="1">
        <f t="array" ref="BQ131">BP131*S*Linterp(BN$90,atmos_h,atmos_qms)*BM131^2</f>
        <v>1092.7035983761941</v>
      </c>
      <c r="BR131" cm="1">
        <f t="array" ref="BR131">BM131*Linterp(BN$90,atmos_h,atmos_aspeed)</f>
        <v>583.73522631187541</v>
      </c>
      <c r="BS131" s="162">
        <f t="shared" si="25"/>
        <v>5788.6011004457478</v>
      </c>
      <c r="BU131">
        <v>0.6</v>
      </c>
      <c r="BV131" cm="1">
        <f t="array" ref="BV131">numeng*InterpolateXY(BV$90,BU131,Tmax_h,Tmax_M,Tmax_table)</f>
        <v>2240.1423336287048</v>
      </c>
      <c r="BW131" cm="1">
        <f t="array" ref="BW131">1*BV$91/(S*Linterp(BV$90,atmos_h,atmos_qms)*BU131^2)</f>
        <v>0.59595797232848924</v>
      </c>
      <c r="BX131" cm="1">
        <f t="array" ref="BX131">InterpolateXY(BW131,BU131,CD_CL,CD_M,CD_table)</f>
        <v>8.7534845338817127E-2</v>
      </c>
      <c r="BY131" cm="1">
        <f t="array" ref="BY131">BX131*S*Linterp(BV$90,atmos_h,atmos_qms)*BU131^2</f>
        <v>1468.8090335767561</v>
      </c>
      <c r="BZ131" cm="1">
        <f t="array" ref="BZ131">BU131*Linterp(BV$90,atmos_h,atmos_aspeed)</f>
        <v>580.86030625286025</v>
      </c>
      <c r="CA131" s="162">
        <f t="shared" si="26"/>
        <v>2688.2213813472258</v>
      </c>
      <c r="CC131">
        <v>0.6</v>
      </c>
      <c r="CD131" cm="1">
        <f t="array" ref="CD131">numeng*InterpolateXY(CD$90,CC131,Tmax_h,Tmax_M,Tmax_table)</f>
        <v>1715.1375075633946</v>
      </c>
      <c r="CE131" cm="1">
        <f t="array" ref="CE131">1*CD$91/(S*Linterp(CD$90,atmos_h,atmos_qms)*CC131^2)</f>
        <v>0.75785240350532967</v>
      </c>
      <c r="CF131" cm="1">
        <f t="array" ref="CF131">InterpolateXY(CE131,CC131,CD_CL,CD_M,CD_table)</f>
        <v>0.16638242540457213</v>
      </c>
      <c r="CG131" cm="1">
        <f t="array" ref="CG131">CF131*S*Linterp(CD$90,atmos_h,atmos_qms)*CC131^2</f>
        <v>2195.4462984480333</v>
      </c>
      <c r="CH131" cm="1">
        <f t="array" ref="CH131">CC131*Linterp(CD$90,atmos_h,atmos_aspeed)</f>
        <v>580.86030625286025</v>
      </c>
      <c r="CI131" s="162">
        <f t="shared" si="27"/>
        <v>-1673.9538682151535</v>
      </c>
      <c r="CK131">
        <v>0.6</v>
      </c>
      <c r="CL131" cm="1">
        <f t="array" ref="CL131">numeng*InterpolateXY(CL$90,CK131,Tmax_h,Tmax_M,Tmax_table)</f>
        <v>1275.6755821312556</v>
      </c>
      <c r="CM131" cm="1">
        <f t="array" ref="CM131">1*CL$91/(S*Linterp(CL$90,atmos_h,atmos_qms)*CK131^2)</f>
        <v>0.96372612191893192</v>
      </c>
      <c r="CN131" t="e" cm="1">
        <f t="array" ref="CN131">InterpolateXY(CM131,CK131,CD_CL,CD_M,CD_table)</f>
        <v>#VALUE!</v>
      </c>
      <c r="CO131" t="e" cm="1">
        <f t="array" ref="CO131">CN131*S*Linterp(CL$90,atmos_h,atmos_qms)*CK131^2</f>
        <v>#VALUE!</v>
      </c>
      <c r="CP131" cm="1">
        <f t="array" ref="CP131">CK131*Linterp(CL$90,atmos_h,atmos_aspeed)</f>
        <v>580.86030625286025</v>
      </c>
      <c r="CQ131" s="162" t="e">
        <f t="shared" si="28"/>
        <v>#VALUE!</v>
      </c>
    </row>
    <row r="132" spans="9:95">
      <c r="I132">
        <v>0.61</v>
      </c>
      <c r="J132" cm="1">
        <f t="array" ref="J132">numeng*InterpolateXY(J$90,I132,Tmax_h,Tmax_M,Tmax_table)</f>
        <v>6964</v>
      </c>
      <c r="K132" cm="1">
        <f t="array" ref="K132">1*J$91/(S*Linterp(J$90,atmos_h,atmos_qms)*I132^2)</f>
        <v>0.1067167410323817</v>
      </c>
      <c r="L132" cm="1">
        <f t="array" ref="L132">InterpolateXY(K132,I132,CD_CL,CD_M,CD_table)</f>
        <v>1.6481877788714315E-2</v>
      </c>
      <c r="M132" cm="1">
        <f t="array" ref="M132">L132*S*Linterp(J$90,atmos_h,atmos_qms)*I132^2</f>
        <v>1544.4510045254401</v>
      </c>
      <c r="N132" cm="1">
        <f t="array" ref="N132">I132*Linterp(J$90,atmos_h,atmos_aspeed)</f>
        <v>681.03449999999998</v>
      </c>
      <c r="O132" s="162">
        <f t="shared" si="18"/>
        <v>22145.399042151115</v>
      </c>
      <c r="Q132">
        <v>0.61</v>
      </c>
      <c r="R132" cm="1">
        <f t="array" ref="R132">numeng*InterpolateXY(R$90,Q132,Tmax_h,Tmax_M,Tmax_table)</f>
        <v>6316.0268318791068</v>
      </c>
      <c r="S132" cm="1">
        <f t="array" ref="S132">1*R$91/(S*Linterp(R$90,atmos_h,atmos_qms)*Q132^2)</f>
        <v>0.12825805724808176</v>
      </c>
      <c r="T132" cm="1">
        <f t="array" ref="T132">InterpolateXY(S132,Q132,CD_CL,CD_M,CD_table)</f>
        <v>1.7289677146803066E-2</v>
      </c>
      <c r="U132" cm="1">
        <f t="array" ref="U132">T132*S*Linterp(R$90,atmos_h,atmos_qms)*Q132^2</f>
        <v>1348.0382845157787</v>
      </c>
      <c r="V132" cm="1">
        <f t="array" ref="V132">Q132*Linterp(R$90,atmos_h,atmos_aspeed)</f>
        <v>669.22638008585147</v>
      </c>
      <c r="W132" s="162">
        <f t="shared" si="19"/>
        <v>19948.253951159564</v>
      </c>
      <c r="Y132">
        <v>0.61</v>
      </c>
      <c r="Z132" cm="1">
        <f t="array" ref="Z132">numeng*InterpolateXY(Z$90,Y132,Tmax_h,Tmax_M,Tmax_table)</f>
        <v>5683.3043208390545</v>
      </c>
      <c r="AA132" cm="1">
        <f t="array" ref="AA132">1*Z$91/(S*Linterp(Z$90,atmos_h,atmos_qms)*Y132^2)</f>
        <v>0.15517853651146429</v>
      </c>
      <c r="AB132" cm="1">
        <f t="array" ref="AB132">InterpolateXY(AA132,Y132,CD_CL,CD_M,CD_table)</f>
        <v>1.8299195119179913E-2</v>
      </c>
      <c r="AC132" cm="1">
        <f t="array" ref="AC132">AB132*S*Linterp(Z$90,atmos_h,atmos_qms)*Y132^2</f>
        <v>1179.2349335520385</v>
      </c>
      <c r="AD132" cm="1">
        <f t="array" ref="AD132">Y132*Linterp(Z$90,atmos_h,atmos_aspeed)</f>
        <v>657.20613616686148</v>
      </c>
      <c r="AE132" s="162">
        <f t="shared" si="20"/>
        <v>17760.612234278058</v>
      </c>
      <c r="AG132">
        <v>0.61</v>
      </c>
      <c r="AH132" cm="1">
        <f t="array" ref="AH132">numeng*InterpolateXY(AH$90,AG132,Tmax_h,Tmax_M,Tmax_table)</f>
        <v>4996.106717601946</v>
      </c>
      <c r="AI132" cm="1">
        <f t="array" ref="AI132">1*AH$91/(S*Linterp(AH$90,atmos_h,atmos_qms)*AG132^2)</f>
        <v>0.18909992504756112</v>
      </c>
      <c r="AJ132" cm="1">
        <f t="array" ref="AJ132">InterpolateXY(AI132,AG132,CD_CL,CD_M,CD_table)</f>
        <v>1.9571247189283544E-2</v>
      </c>
      <c r="AK132" cm="1">
        <f t="array" ref="AK132">AJ132*S*Linterp(AH$90,atmos_h,atmos_qms)*AG132^2</f>
        <v>1034.9685323440037</v>
      </c>
      <c r="AL132" cm="1">
        <f t="array" ref="AL132">AG132*Linterp(AH$90,atmos_h,atmos_aspeed)</f>
        <v>644.96190819918797</v>
      </c>
      <c r="AM132" s="162">
        <f t="shared" si="21"/>
        <v>15328.699455627788</v>
      </c>
      <c r="AO132">
        <v>0.61</v>
      </c>
      <c r="AP132" cm="1">
        <f t="array" ref="AP132">numeng*InterpolateXY(AP$90,AO132,Tmax_h,Tmax_M,Tmax_table)</f>
        <v>4360.4830257512413</v>
      </c>
      <c r="AQ132" cm="1">
        <f t="array" ref="AQ132">1*AP$91/(S*Linterp(AP$90,atmos_h,atmos_qms)*AO132^2)</f>
        <v>0.2322240205248369</v>
      </c>
      <c r="AR132" cm="1">
        <f t="array" ref="AR132">InterpolateXY(AQ132,AO132,CD_CL,CD_M,CD_table)</f>
        <v>2.1994001282802305E-2</v>
      </c>
      <c r="AS132" cm="1">
        <f t="array" ref="AS132">AR132*S*Linterp(AP$90,atmos_h,atmos_qms)*AO132^2</f>
        <v>947.1027688304963</v>
      </c>
      <c r="AT132" cm="1">
        <f t="array" ref="AT132">AO132*Linterp(AP$90,atmos_h,atmos_aspeed)</f>
        <v>632.48068795853408</v>
      </c>
      <c r="AU132" s="162">
        <f t="shared" si="22"/>
        <v>12953.382558967864</v>
      </c>
      <c r="AW132">
        <v>0.61</v>
      </c>
      <c r="AX132" cm="1">
        <f t="array" ref="AX132">numeng*InterpolateXY(AX$90,AW132,Tmax_h,Tmax_M,Tmax_table)</f>
        <v>3776.7008393446531</v>
      </c>
      <c r="AY132" cm="1">
        <f t="array" ref="AY132">1*AX$91/(S*Linterp(AX$90,atmos_h,atmos_qms)*AW132^2)</f>
        <v>0.28757562698203165</v>
      </c>
      <c r="AZ132" cm="1">
        <f t="array" ref="AZ132">InterpolateXY(AY132,AW132,CD_CL,CD_M,CD_table)</f>
        <v>2.5453476686376979E-2</v>
      </c>
      <c r="BA132" cm="1">
        <f t="array" ref="BA132">AZ132*S*Linterp(AX$90,atmos_h,atmos_qms)*AW132^2</f>
        <v>885.10549219692268</v>
      </c>
      <c r="BB132" cm="1">
        <f t="array" ref="BB132">AW132*Linterp(AX$90,atmos_h,atmos_aspeed)</f>
        <v>619.7481571195375</v>
      </c>
      <c r="BC132" s="162">
        <f t="shared" si="23"/>
        <v>10752.365325181412</v>
      </c>
      <c r="BE132">
        <v>0.61</v>
      </c>
      <c r="BF132" cm="1">
        <f t="array" ref="BF132">numeng*InterpolateXY(BF$90,BE132,Tmax_h,Tmax_M,Tmax_table)</f>
        <v>3244.4303096902272</v>
      </c>
      <c r="BG132" cm="1">
        <f t="array" ref="BG132">1*BF$91/(S*Linterp(BF$90,atmos_h,atmos_qms)*BE132^2)</f>
        <v>0.35936351726428206</v>
      </c>
      <c r="BH132" cm="1">
        <f t="array" ref="BH132">InterpolateXY(BG132,BE132,CD_CL,CD_M,CD_table)</f>
        <v>3.1619778572211987E-2</v>
      </c>
      <c r="BI132" cm="1">
        <f t="array" ref="BI132">BH132*S*Linterp(BF$90,atmos_h,atmos_qms)*BE132^2</f>
        <v>879.88282207729674</v>
      </c>
      <c r="BJ132" cm="1">
        <f t="array" ref="BJ132">BE132*Linterp(BF$90,atmos_h,atmos_aspeed)</f>
        <v>606.7484947370084</v>
      </c>
      <c r="BK132" s="162">
        <f t="shared" si="24"/>
        <v>8608.1137730599221</v>
      </c>
      <c r="BM132">
        <v>0.61</v>
      </c>
      <c r="BN132" cm="1">
        <f t="array" ref="BN132">numeng*InterpolateXY(BN$90,BM132,Tmax_h,Tmax_M,Tmax_table)</f>
        <v>2762.8036886534355</v>
      </c>
      <c r="BO132" cm="1">
        <f t="array" ref="BO132">1*BN$91/(S*Linterp(BN$90,atmos_h,atmos_qms)*BM132^2)</f>
        <v>0.45352538060878561</v>
      </c>
      <c r="BP132" cm="1">
        <f t="array" ref="BP132">InterpolateXY(BO132,BM132,CD_CL,CD_M,CD_table)</f>
        <v>4.8138601502365909E-2</v>
      </c>
      <c r="BQ132" cm="1">
        <f t="array" ref="BQ132">BP132*S*Linterp(BN$90,atmos_h,atmos_qms)*BM132^2</f>
        <v>1061.4312574468822</v>
      </c>
      <c r="BR132" cm="1">
        <f t="array" ref="BR132">BM132*Linterp(BN$90,atmos_h,atmos_aspeed)</f>
        <v>593.4641467504066</v>
      </c>
      <c r="BS132" s="162">
        <f t="shared" si="25"/>
        <v>6058.2212291439719</v>
      </c>
      <c r="BU132">
        <v>0.61</v>
      </c>
      <c r="BV132" cm="1">
        <f t="array" ref="BV132">numeng*InterpolateXY(BV$90,BU132,Tmax_h,Tmax_M,Tmax_table)</f>
        <v>2254.9125028614217</v>
      </c>
      <c r="BW132" cm="1">
        <f t="array" ref="BW132">1*BV$91/(S*Linterp(BV$90,atmos_h,atmos_qms)*BU132^2)</f>
        <v>0.57657852738042481</v>
      </c>
      <c r="BX132" cm="1">
        <f t="array" ref="BX132">InterpolateXY(BW132,BU132,CD_CL,CD_M,CD_table)</f>
        <v>8.1449079070072955E-2</v>
      </c>
      <c r="BY132" cm="1">
        <f t="array" ref="BY132">BX132*S*Linterp(BV$90,atmos_h,atmos_qms)*BU132^2</f>
        <v>1412.6276856011511</v>
      </c>
      <c r="BZ132" cm="1">
        <f t="array" ref="BZ132">BU132*Linterp(BV$90,atmos_h,atmos_aspeed)</f>
        <v>590.54131135707462</v>
      </c>
      <c r="CA132" s="162">
        <f t="shared" si="26"/>
        <v>2984.4238831262046</v>
      </c>
      <c r="CC132">
        <v>0.61</v>
      </c>
      <c r="CD132" cm="1">
        <f t="array" ref="CD132">numeng*InterpolateXY(CD$90,CC132,Tmax_h,Tmax_M,Tmax_table)</f>
        <v>1725.9781058053302</v>
      </c>
      <c r="CE132" cm="1">
        <f t="array" ref="CE132">1*CD$91/(S*Linterp(CD$90,atmos_h,atmos_qms)*CC132^2)</f>
        <v>0.73320845273291768</v>
      </c>
      <c r="CF132" cm="1">
        <f t="array" ref="CF132">InterpolateXY(CE132,CC132,CD_CL,CD_M,CD_table)</f>
        <v>0.15197179721630233</v>
      </c>
      <c r="CG132" cm="1">
        <f t="array" ref="CG132">CF132*S*Linterp(CD$90,atmos_h,atmos_qms)*CC132^2</f>
        <v>2072.6956522371188</v>
      </c>
      <c r="CH132" cm="1">
        <f t="array" ref="CH132">CC132*Linterp(CD$90,atmos_h,atmos_aspeed)</f>
        <v>590.54131135707462</v>
      </c>
      <c r="CI132" s="162">
        <f t="shared" si="27"/>
        <v>-1228.5062072420151</v>
      </c>
      <c r="CK132">
        <v>0.61</v>
      </c>
      <c r="CL132" cm="1">
        <f t="array" ref="CL132">numeng*InterpolateXY(CL$90,CK132,Tmax_h,Tmax_M,Tmax_table)</f>
        <v>1282.9825544394059</v>
      </c>
      <c r="CM132" cm="1">
        <f t="array" ref="CM132">1*CL$91/(S*Linterp(CL$90,atmos_h,atmos_qms)*CK132^2)</f>
        <v>0.93238754069017871</v>
      </c>
      <c r="CN132" t="e" cm="1">
        <f t="array" ref="CN132">InterpolateXY(CM132,CK132,CD_CL,CD_M,CD_table)</f>
        <v>#VALUE!</v>
      </c>
      <c r="CO132" t="e" cm="1">
        <f t="array" ref="CO132">CN132*S*Linterp(CL$90,atmos_h,atmos_qms)*CK132^2</f>
        <v>#VALUE!</v>
      </c>
      <c r="CP132" cm="1">
        <f t="array" ref="CP132">CK132*Linterp(CL$90,atmos_h,atmos_aspeed)</f>
        <v>590.54131135707462</v>
      </c>
      <c r="CQ132" s="162" t="e">
        <f t="shared" si="28"/>
        <v>#VALUE!</v>
      </c>
    </row>
    <row r="133" spans="9:95">
      <c r="I133">
        <v>0.62</v>
      </c>
      <c r="J133" cm="1">
        <f t="array" ref="J133">numeng*InterpolateXY(J$90,I133,Tmax_h,Tmax_M,Tmax_table)</f>
        <v>6988</v>
      </c>
      <c r="K133" cm="1">
        <f t="array" ref="K133">1*J$91/(S*Linterp(J$90,atmos_h,atmos_qms)*I133^2)</f>
        <v>0.10330202741454013</v>
      </c>
      <c r="L133" cm="1">
        <f t="array" ref="L133">InterpolateXY(K133,I133,CD_CL,CD_M,CD_table)</f>
        <v>1.6333826028045256E-2</v>
      </c>
      <c r="M133" cm="1">
        <f t="array" ref="M133">L133*S*Linterp(J$90,atmos_h,atmos_qms)*I133^2</f>
        <v>1581.1718740523202</v>
      </c>
      <c r="N133" cm="1">
        <f t="array" ref="N133">I133*Linterp(J$90,atmos_h,atmos_aspeed)</f>
        <v>692.19900000000007</v>
      </c>
      <c r="O133" s="162">
        <f t="shared" si="18"/>
        <v>22455.606131717148</v>
      </c>
      <c r="Q133">
        <v>0.62</v>
      </c>
      <c r="R133" cm="1">
        <f t="array" ref="R133">numeng*InterpolateXY(R$90,Q133,Tmax_h,Tmax_M,Tmax_table)</f>
        <v>6341.8768734829782</v>
      </c>
      <c r="S133" cm="1">
        <f t="array" ref="S133">1*R$91/(S*Linterp(R$90,atmos_h,atmos_qms)*Q133^2)</f>
        <v>0.12415406634238089</v>
      </c>
      <c r="T133" cm="1">
        <f t="array" ref="T133">InterpolateXY(S133,Q133,CD_CL,CD_M,CD_table)</f>
        <v>1.7115777487839285E-2</v>
      </c>
      <c r="U133" cm="1">
        <f t="array" ref="U133">T133*S*Linterp(R$90,atmos_h,atmos_qms)*Q133^2</f>
        <v>1378.5917764979954</v>
      </c>
      <c r="V133" cm="1">
        <f t="array" ref="V133">Q133*Linterp(R$90,atmos_h,atmos_aspeed)</f>
        <v>680.19730434955397</v>
      </c>
      <c r="W133" s="162">
        <f t="shared" si="19"/>
        <v>20256.078862124996</v>
      </c>
      <c r="Y133">
        <v>0.62</v>
      </c>
      <c r="Z133" cm="1">
        <f t="array" ref="Z133">numeng*InterpolateXY(Z$90,Y133,Tmax_h,Tmax_M,Tmax_table)</f>
        <v>5709.8894242109627</v>
      </c>
      <c r="AA133" cm="1">
        <f t="array" ref="AA133">1*Z$91/(S*Linterp(Z$90,atmos_h,atmos_qms)*Y133^2)</f>
        <v>0.1502131462953066</v>
      </c>
      <c r="AB133" cm="1">
        <f t="array" ref="AB133">InterpolateXY(AA133,Y133,CD_CL,CD_M,CD_table)</f>
        <v>1.8092992986073999E-2</v>
      </c>
      <c r="AC133" cm="1">
        <f t="array" ref="AC133">AB133*S*Linterp(Z$90,atmos_h,atmos_qms)*Y133^2</f>
        <v>1204.4879847270274</v>
      </c>
      <c r="AD133" cm="1">
        <f t="array" ref="AD133">Y133*Linterp(Z$90,atmos_h,atmos_aspeed)</f>
        <v>667.98000725156419</v>
      </c>
      <c r="AE133" s="162">
        <f t="shared" si="20"/>
        <v>18057.108517306118</v>
      </c>
      <c r="AG133">
        <v>0.62</v>
      </c>
      <c r="AH133" cm="1">
        <f t="array" ref="AH133">numeng*InterpolateXY(AH$90,AG133,Tmax_h,Tmax_M,Tmax_table)</f>
        <v>5021.2760209651806</v>
      </c>
      <c r="AI133" cm="1">
        <f t="array" ref="AI133">1*AH$91/(S*Linterp(AH$90,atmos_h,atmos_qms)*AG133^2)</f>
        <v>0.18304912099427026</v>
      </c>
      <c r="AJ133" cm="1">
        <f t="array" ref="AJ133">InterpolateXY(AI133,AG133,CD_CL,CD_M,CD_table)</f>
        <v>1.9324342037285138E-2</v>
      </c>
      <c r="AK133" cm="1">
        <f t="array" ref="AK133">AJ133*S*Linterp(AH$90,atmos_h,atmos_qms)*AG133^2</f>
        <v>1055.6916051997882</v>
      </c>
      <c r="AL133" cm="1">
        <f t="array" ref="AL133">AG133*Linterp(AH$90,atmos_h,atmos_aspeed)</f>
        <v>655.5350542352403</v>
      </c>
      <c r="AM133" s="162">
        <f t="shared" si="21"/>
        <v>15597.47757037914</v>
      </c>
      <c r="AO133">
        <v>0.62</v>
      </c>
      <c r="AP133" cm="1">
        <f t="array" ref="AP133">numeng*InterpolateXY(AP$90,AO133,Tmax_h,Tmax_M,Tmax_table)</f>
        <v>4383.9264828789355</v>
      </c>
      <c r="AQ133" cm="1">
        <f t="array" ref="AQ133">1*AP$91/(S*Linterp(AP$90,atmos_h,atmos_qms)*AO133^2)</f>
        <v>0.22479333516465091</v>
      </c>
      <c r="AR133" cm="1">
        <f t="array" ref="AR133">InterpolateXY(AQ133,AO133,CD_CL,CD_M,CD_table)</f>
        <v>2.1509583447790685E-2</v>
      </c>
      <c r="AS133" cm="1">
        <f t="array" ref="AS133">AR133*S*Linterp(AP$90,atmos_h,atmos_qms)*AO133^2</f>
        <v>956.86037275241688</v>
      </c>
      <c r="AT133" cm="1">
        <f t="array" ref="AT133">AO133*Linterp(AP$90,atmos_h,atmos_aspeed)</f>
        <v>642.84922382670675</v>
      </c>
      <c r="AU133" s="162">
        <f t="shared" si="22"/>
        <v>13218.520733385862</v>
      </c>
      <c r="AW133">
        <v>0.62</v>
      </c>
      <c r="AX133" cm="1">
        <f t="array" ref="AX133">numeng*InterpolateXY(AX$90,AW133,Tmax_h,Tmax_M,Tmax_table)</f>
        <v>3798.2102888330896</v>
      </c>
      <c r="AY133" cm="1">
        <f t="array" ref="AY133">1*AX$91/(S*Linterp(AX$90,atmos_h,atmos_qms)*AW133^2)</f>
        <v>0.27837380541106649</v>
      </c>
      <c r="AZ133" cm="1">
        <f t="array" ref="AZ133">InterpolateXY(AY133,AW133,CD_CL,CD_M,CD_table)</f>
        <v>2.4858362838191657E-2</v>
      </c>
      <c r="BA133" cm="1">
        <f t="array" ref="BA133">AZ133*S*Linterp(AX$90,atmos_h,atmos_qms)*AW133^2</f>
        <v>892.98498475760107</v>
      </c>
      <c r="BB133" cm="1">
        <f t="array" ref="BB133">AW133*Linterp(AX$90,atmos_h,atmos_aspeed)</f>
        <v>629.90796297395616</v>
      </c>
      <c r="BC133" s="162">
        <f t="shared" si="23"/>
        <v>10980.1473196235</v>
      </c>
      <c r="BE133">
        <v>0.62</v>
      </c>
      <c r="BF133" cm="1">
        <f t="array" ref="BF133">numeng*InterpolateXY(BF$90,BE133,Tmax_h,Tmax_M,Tmax_table)</f>
        <v>3263.8849194808049</v>
      </c>
      <c r="BG133" cm="1">
        <f t="array" ref="BG133">1*BF$91/(S*Linterp(BF$90,atmos_h,atmos_qms)*BE133^2)</f>
        <v>0.34786463260676209</v>
      </c>
      <c r="BH133" cm="1">
        <f t="array" ref="BH133">InterpolateXY(BG133,BE133,CD_CL,CD_M,CD_table)</f>
        <v>3.0099001399299424E-2</v>
      </c>
      <c r="BI133" cm="1">
        <f t="array" ref="BI133">BH133*S*Linterp(BF$90,atmos_h,atmos_qms)*BE133^2</f>
        <v>865.25040426643045</v>
      </c>
      <c r="BJ133" cm="1">
        <f t="array" ref="BJ133">BE133*Linterp(BF$90,atmos_h,atmos_aspeed)</f>
        <v>616.69519137204134</v>
      </c>
      <c r="BK133" s="162">
        <f t="shared" si="24"/>
        <v>8875.3582283502728</v>
      </c>
      <c r="BM133">
        <v>0.62</v>
      </c>
      <c r="BN133" cm="1">
        <f t="array" ref="BN133">numeng*InterpolateXY(BN$90,BM133,Tmax_h,Tmax_M,Tmax_table)</f>
        <v>2780.1564260429145</v>
      </c>
      <c r="BO133" cm="1">
        <f t="array" ref="BO133">1*BN$91/(S*Linterp(BN$90,atmos_h,atmos_qms)*BM133^2)</f>
        <v>0.43901351229065838</v>
      </c>
      <c r="BP133" cm="1">
        <f t="array" ref="BP133">InterpolateXY(BO133,BM133,CD_CL,CD_M,CD_table)</f>
        <v>4.5201715970422336E-2</v>
      </c>
      <c r="BQ133" cm="1">
        <f t="array" ref="BQ133">BP133*S*Linterp(BN$90,atmos_h,atmos_qms)*BM133^2</f>
        <v>1029.6201530237995</v>
      </c>
      <c r="BR133" cm="1">
        <f t="array" ref="BR133">BM133*Linterp(BN$90,atmos_h,atmos_aspeed)</f>
        <v>603.1930671889379</v>
      </c>
      <c r="BS133" s="162">
        <f t="shared" si="25"/>
        <v>6335.4680624873517</v>
      </c>
      <c r="BU133">
        <v>0.62</v>
      </c>
      <c r="BV133" cm="1">
        <f t="array" ref="BV133">numeng*InterpolateXY(BV$90,BU133,Tmax_h,Tmax_M,Tmax_table)</f>
        <v>2269.6826720941385</v>
      </c>
      <c r="BW133" cm="1">
        <f t="array" ref="BW133">1*BV$91/(S*Linterp(BV$90,atmos_h,atmos_qms)*BU133^2)</f>
        <v>0.55812921445956309</v>
      </c>
      <c r="BX133" cm="1">
        <f t="array" ref="BX133">InterpolateXY(BW133,BU133,CD_CL,CD_M,CD_table)</f>
        <v>7.5654444125843254E-2</v>
      </c>
      <c r="BY133" cm="1">
        <f t="array" ref="BY133">BX133*S*Linterp(BV$90,atmos_h,atmos_qms)*BU133^2</f>
        <v>1355.5005214894456</v>
      </c>
      <c r="BZ133" cm="1">
        <f t="array" ref="BZ133">BU133*Linterp(BV$90,atmos_h,atmos_aspeed)</f>
        <v>600.22231646128898</v>
      </c>
      <c r="CA133" s="162">
        <f t="shared" si="26"/>
        <v>3292.27516862107</v>
      </c>
      <c r="CC133">
        <v>0.62</v>
      </c>
      <c r="CD133" cm="1">
        <f t="array" ref="CD133">numeng*InterpolateXY(CD$90,CC133,Tmax_h,Tmax_M,Tmax_table)</f>
        <v>1736.818704047266</v>
      </c>
      <c r="CE133" cm="1">
        <f t="array" ref="CE133">1*CD$91/(S*Linterp(CD$90,atmos_h,atmos_qms)*CC133^2)</f>
        <v>0.70974730817356568</v>
      </c>
      <c r="CF133" cm="1">
        <f t="array" ref="CF133">InterpolateXY(CE133,CC133,CD_CL,CD_M,CD_table)</f>
        <v>0.13825185878748361</v>
      </c>
      <c r="CG133" cm="1">
        <f t="array" ref="CG133">CF133*S*Linterp(CD$90,atmos_h,atmos_qms)*CC133^2</f>
        <v>1947.9025449670985</v>
      </c>
      <c r="CH133" cm="1">
        <f t="array" ref="CH133">CC133*Linterp(CD$90,atmos_h,atmos_aspeed)</f>
        <v>600.22231646128898</v>
      </c>
      <c r="CI133" s="162">
        <f t="shared" si="27"/>
        <v>-760.1833917866885</v>
      </c>
      <c r="CK133">
        <v>0.62</v>
      </c>
      <c r="CL133" cm="1">
        <f t="array" ref="CL133">numeng*InterpolateXY(CL$90,CK133,Tmax_h,Tmax_M,Tmax_table)</f>
        <v>1290.2895267475565</v>
      </c>
      <c r="CM133" cm="1">
        <f t="array" ref="CM133">1*CL$91/(S*Linterp(CL$90,atmos_h,atmos_qms)*CK133^2)</f>
        <v>0.902553079840831</v>
      </c>
      <c r="CN133" t="e" cm="1">
        <f t="array" ref="CN133">InterpolateXY(CM133,CK133,CD_CL,CD_M,CD_table)</f>
        <v>#VALUE!</v>
      </c>
      <c r="CO133" t="e" cm="1">
        <f t="array" ref="CO133">CN133*S*Linterp(CL$90,atmos_h,atmos_qms)*CK133^2</f>
        <v>#VALUE!</v>
      </c>
      <c r="CP133" cm="1">
        <f t="array" ref="CP133">CK133*Linterp(CL$90,atmos_h,atmos_aspeed)</f>
        <v>600.22231646128898</v>
      </c>
      <c r="CQ133" s="162" t="e">
        <f t="shared" si="28"/>
        <v>#VALUE!</v>
      </c>
    </row>
    <row r="134" spans="9:95">
      <c r="I134">
        <v>0.63</v>
      </c>
      <c r="J134" cm="1">
        <f t="array" ref="J134">numeng*InterpolateXY(J$90,I134,Tmax_h,Tmax_M,Tmax_table)</f>
        <v>7012</v>
      </c>
      <c r="K134" cm="1">
        <f t="array" ref="K134">1*J$91/(S*Linterp(J$90,atmos_h,atmos_qms)*I134^2)</f>
        <v>0.1000486251906002</v>
      </c>
      <c r="L134" cm="1">
        <f t="array" ref="L134">InterpolateXY(K134,I134,CD_CL,CD_M,CD_table)</f>
        <v>1.6191823444647507E-2</v>
      </c>
      <c r="M134" cm="1">
        <f t="array" ref="M134">L134*S*Linterp(J$90,atmos_h,atmos_qms)*I134^2</f>
        <v>1618.3953966184802</v>
      </c>
      <c r="N134" cm="1">
        <f t="array" ref="N134">I134*Linterp(J$90,atmos_h,atmos_aspeed)</f>
        <v>703.36350000000004</v>
      </c>
      <c r="O134" s="162">
        <f t="shared" si="18"/>
        <v>22761.987668703227</v>
      </c>
      <c r="Q134">
        <v>0.63</v>
      </c>
      <c r="R134" cm="1">
        <f t="array" ref="R134">numeng*InterpolateXY(R$90,Q134,Tmax_h,Tmax_M,Tmax_table)</f>
        <v>6367.7269150868487</v>
      </c>
      <c r="S134" cm="1">
        <f t="array" ref="S134">1*R$91/(S*Linterp(R$90,atmos_h,atmos_qms)*Q134^2)</f>
        <v>0.12024394835477756</v>
      </c>
      <c r="T134" cm="1">
        <f t="array" ref="T134">InterpolateXY(S134,Q134,CD_CL,CD_M,CD_table)</f>
        <v>1.6949148063304158E-2</v>
      </c>
      <c r="U134" cm="1">
        <f t="array" ref="U134">T134*S*Linterp(R$90,atmos_h,atmos_qms)*Q134^2</f>
        <v>1409.563499469928</v>
      </c>
      <c r="V134" cm="1">
        <f t="array" ref="V134">Q134*Linterp(R$90,atmos_h,atmos_aspeed)</f>
        <v>691.16822861325647</v>
      </c>
      <c r="W134" s="162">
        <f t="shared" si="19"/>
        <v>20561.550150882002</v>
      </c>
      <c r="Y134">
        <v>0.63</v>
      </c>
      <c r="Z134" cm="1">
        <f t="array" ref="Z134">numeng*InterpolateXY(Z$90,Y134,Tmax_h,Tmax_M,Tmax_table)</f>
        <v>5736.4745275828709</v>
      </c>
      <c r="AA134" cm="1">
        <f t="array" ref="AA134">1*Z$91/(S*Linterp(Z$90,atmos_h,atmos_qms)*Y134^2)</f>
        <v>0.14548232158205054</v>
      </c>
      <c r="AB134" cm="1">
        <f t="array" ref="AB134">InterpolateXY(AA134,Y134,CD_CL,CD_M,CD_table)</f>
        <v>1.7895587059326895E-2</v>
      </c>
      <c r="AC134" cm="1">
        <f t="array" ref="AC134">AB134*S*Linterp(Z$90,atmos_h,atmos_qms)*Y134^2</f>
        <v>1230.0867118919305</v>
      </c>
      <c r="AD134" cm="1">
        <f t="array" ref="AD134">Y134*Linterp(Z$90,atmos_h,atmos_aspeed)</f>
        <v>678.75387833626689</v>
      </c>
      <c r="AE134" s="162">
        <f t="shared" si="20"/>
        <v>18352.369243125144</v>
      </c>
      <c r="AG134">
        <v>0.63</v>
      </c>
      <c r="AH134" cm="1">
        <f t="array" ref="AH134">numeng*InterpolateXY(AH$90,AG134,Tmax_h,Tmax_M,Tmax_table)</f>
        <v>5046.4453243284142</v>
      </c>
      <c r="AI134" cm="1">
        <f t="array" ref="AI134">1*AH$91/(S*Linterp(AH$90,atmos_h,atmos_qms)*AG134^2)</f>
        <v>0.17728415749608839</v>
      </c>
      <c r="AJ134" cm="1">
        <f t="array" ref="AJ134">InterpolateXY(AI134,AG134,CD_CL,CD_M,CD_table)</f>
        <v>1.9088155906103313E-2</v>
      </c>
      <c r="AK134" cm="1">
        <f t="array" ref="AK134">AJ134*S*Linterp(AH$90,atmos_h,atmos_qms)*AG134^2</f>
        <v>1076.6983455092131</v>
      </c>
      <c r="AL134" cm="1">
        <f t="array" ref="AL134">AG134*Linterp(AH$90,atmos_h,atmos_aspeed)</f>
        <v>666.1082002712925</v>
      </c>
      <c r="AM134" s="162">
        <f t="shared" si="21"/>
        <v>15865.686093561953</v>
      </c>
      <c r="AO134">
        <v>0.63</v>
      </c>
      <c r="AP134" cm="1">
        <f t="array" ref="AP134">numeng*InterpolateXY(AP$90,AO134,Tmax_h,Tmax_M,Tmax_table)</f>
        <v>4407.3699400066307</v>
      </c>
      <c r="AQ134" cm="1">
        <f t="array" ref="AQ134">1*AP$91/(S*Linterp(AP$90,atmos_h,atmos_qms)*AO134^2)</f>
        <v>0.21771367608287179</v>
      </c>
      <c r="AR134" cm="1">
        <f t="array" ref="AR134">InterpolateXY(AQ134,AO134,CD_CL,CD_M,CD_table)</f>
        <v>2.1047104755179485E-2</v>
      </c>
      <c r="AS134" cm="1">
        <f t="array" ref="AS134">AR134*S*Linterp(AP$90,atmos_h,atmos_qms)*AO134^2</f>
        <v>966.73324036694862</v>
      </c>
      <c r="AT134" cm="1">
        <f t="array" ref="AT134">AO134*Linterp(AP$90,atmos_h,atmos_aspeed)</f>
        <v>653.21775969487942</v>
      </c>
      <c r="AU134" s="162">
        <f t="shared" si="22"/>
        <v>13484.909981175701</v>
      </c>
      <c r="AW134">
        <v>0.63</v>
      </c>
      <c r="AX134" cm="1">
        <f t="array" ref="AX134">numeng*InterpolateXY(AX$90,AW134,Tmax_h,Tmax_M,Tmax_table)</f>
        <v>3819.7197383215262</v>
      </c>
      <c r="AY134" cm="1">
        <f t="array" ref="AY134">1*AX$91/(S*Linterp(AX$90,atmos_h,atmos_qms)*AW134^2)</f>
        <v>0.26960667876042821</v>
      </c>
      <c r="AZ134" cm="1">
        <f t="array" ref="AZ134">InterpolateXY(AY134,AW134,CD_CL,CD_M,CD_table)</f>
        <v>2.4290417422526762E-2</v>
      </c>
      <c r="BA134" cm="1">
        <f t="array" ref="BA134">AZ134*S*Linterp(AX$90,atmos_h,atmos_qms)*AW134^2</f>
        <v>900.95755543619748</v>
      </c>
      <c r="BB134" cm="1">
        <f t="array" ref="BB134">AW134*Linterp(AX$90,atmos_h,atmos_aspeed)</f>
        <v>640.06776882837482</v>
      </c>
      <c r="BC134" s="162">
        <f t="shared" si="23"/>
        <v>11209.233588840298</v>
      </c>
      <c r="BE134">
        <v>0.63</v>
      </c>
      <c r="BF134" cm="1">
        <f t="array" ref="BF134">numeng*InterpolateXY(BF$90,BE134,Tmax_h,Tmax_M,Tmax_table)</f>
        <v>3283.3395292713831</v>
      </c>
      <c r="BG134" cm="1">
        <f t="array" ref="BG134">1*BF$91/(S*Linterp(BF$90,atmos_h,atmos_qms)*BE134^2)</f>
        <v>0.33690895634678597</v>
      </c>
      <c r="BH134" cm="1">
        <f t="array" ref="BH134">InterpolateXY(BG134,BE134,CD_CL,CD_M,CD_table)</f>
        <v>2.9188852703176359E-2</v>
      </c>
      <c r="BI134" cm="1">
        <f t="array" ref="BI134">BH134*S*Linterp(BF$90,atmos_h,atmos_qms)*BE134^2</f>
        <v>866.37212081509006</v>
      </c>
      <c r="BJ134" cm="1">
        <f t="array" ref="BJ134">BE134*Linterp(BF$90,atmos_h,atmos_aspeed)</f>
        <v>626.64188800707427</v>
      </c>
      <c r="BK134" s="162">
        <f t="shared" si="24"/>
        <v>9087.4381205197024</v>
      </c>
      <c r="BM134">
        <v>0.63</v>
      </c>
      <c r="BN134" cm="1">
        <f t="array" ref="BN134">numeng*InterpolateXY(BN$90,BM134,Tmax_h,Tmax_M,Tmax_table)</f>
        <v>2797.5091634323931</v>
      </c>
      <c r="BO134" cm="1">
        <f t="array" ref="BO134">1*BN$91/(S*Linterp(BN$90,atmos_h,atmos_qms)*BM134^2)</f>
        <v>0.42518718600284477</v>
      </c>
      <c r="BP134" cm="1">
        <f t="array" ref="BP134">InterpolateXY(BO134,BM134,CD_CL,CD_M,CD_table)</f>
        <v>4.2402624386571802E-2</v>
      </c>
      <c r="BQ134" cm="1">
        <f t="array" ref="BQ134">BP134*S*Linterp(BN$90,atmos_h,atmos_qms)*BM134^2</f>
        <v>997.26957402446521</v>
      </c>
      <c r="BR134" cm="1">
        <f t="array" ref="BR134">BM134*Linterp(BN$90,atmos_h,atmos_aspeed)</f>
        <v>612.92198762746921</v>
      </c>
      <c r="BS134" s="162">
        <f t="shared" si="25"/>
        <v>6620.4385640733972</v>
      </c>
      <c r="BU134">
        <v>0.63</v>
      </c>
      <c r="BV134" cm="1">
        <f t="array" ref="BV134">numeng*InterpolateXY(BV$90,BU134,Tmax_h,Tmax_M,Tmax_table)</f>
        <v>2284.4528413268554</v>
      </c>
      <c r="BW134" cm="1">
        <f t="array" ref="BW134">1*BV$91/(S*Linterp(BV$90,atmos_h,atmos_qms)*BU134^2)</f>
        <v>0.54055144882402639</v>
      </c>
      <c r="BX134" cm="1">
        <f t="array" ref="BX134">InterpolateXY(BW134,BU134,CD_CL,CD_M,CD_table)</f>
        <v>7.0132603481920255E-2</v>
      </c>
      <c r="BY134" cm="1">
        <f t="array" ref="BY134">BX134*S*Linterp(BV$90,atmos_h,atmos_qms)*BU134^2</f>
        <v>1297.4269819180811</v>
      </c>
      <c r="BZ134" cm="1">
        <f t="array" ref="BZ134">BU134*Linterp(BV$90,atmos_h,atmos_aspeed)</f>
        <v>609.90332156550335</v>
      </c>
      <c r="CA134" s="162">
        <f t="shared" si="26"/>
        <v>3611.9421007467417</v>
      </c>
      <c r="CC134">
        <v>0.63</v>
      </c>
      <c r="CD134" cm="1">
        <f t="array" ref="CD134">numeng*InterpolateXY(CD$90,CC134,Tmax_h,Tmax_M,Tmax_table)</f>
        <v>1747.6593022892016</v>
      </c>
      <c r="CE134" cm="1">
        <f t="array" ref="CE134">1*CD$91/(S*Linterp(CD$90,atmos_h,atmos_qms)*CC134^2)</f>
        <v>0.68739447029961864</v>
      </c>
      <c r="CF134" cm="1">
        <f t="array" ref="CF134">InterpolateXY(CE134,CC134,CD_CL,CD_M,CD_table)</f>
        <v>0.12701877799123298</v>
      </c>
      <c r="CG134" cm="1">
        <f t="array" ref="CG134">CF134*S*Linterp(CD$90,atmos_h,atmos_qms)*CC134^2</f>
        <v>1847.8294993538218</v>
      </c>
      <c r="CH134" cm="1">
        <f t="array" ref="CH134">CC134*Linterp(CD$90,atmos_h,atmos_aspeed)</f>
        <v>609.90332156550335</v>
      </c>
      <c r="CI134" s="162">
        <f t="shared" si="27"/>
        <v>-366.56481546949738</v>
      </c>
      <c r="CK134">
        <v>0.63</v>
      </c>
      <c r="CL134" cm="1">
        <f t="array" ref="CL134">numeng*InterpolateXY(CL$90,CK134,Tmax_h,Tmax_M,Tmax_table)</f>
        <v>1297.5964990557068</v>
      </c>
      <c r="CM134" cm="1">
        <f t="array" ref="CM134">1*CL$91/(S*Linterp(CL$90,atmos_h,atmos_qms)*CK134^2)</f>
        <v>0.87412800174052774</v>
      </c>
      <c r="CN134" t="e" cm="1">
        <f t="array" ref="CN134">InterpolateXY(CM134,CK134,CD_CL,CD_M,CD_table)</f>
        <v>#VALUE!</v>
      </c>
      <c r="CO134" t="e" cm="1">
        <f t="array" ref="CO134">CN134*S*Linterp(CL$90,atmos_h,atmos_qms)*CK134^2</f>
        <v>#VALUE!</v>
      </c>
      <c r="CP134" cm="1">
        <f t="array" ref="CP134">CK134*Linterp(CL$90,atmos_h,atmos_aspeed)</f>
        <v>609.90332156550335</v>
      </c>
      <c r="CQ134" s="162" t="e">
        <f t="shared" si="28"/>
        <v>#VALUE!</v>
      </c>
    </row>
    <row r="135" spans="9:95">
      <c r="I135">
        <v>0.64</v>
      </c>
      <c r="J135" cm="1">
        <f t="array" ref="J135">numeng*InterpolateXY(J$90,I135,Tmax_h,Tmax_M,Tmax_table)</f>
        <v>7036</v>
      </c>
      <c r="K135" cm="1">
        <f t="array" ref="K135">1*J$91/(S*Linterp(J$90,atmos_h,atmos_qms)*I135^2)</f>
        <v>9.6946531587278381E-2</v>
      </c>
      <c r="L135" cm="1">
        <f t="array" ref="L135">InterpolateXY(K135,I135,CD_CL,CD_M,CD_table)</f>
        <v>1.6131831644840978E-2</v>
      </c>
      <c r="M135" cm="1">
        <f t="array" ref="M135">L135*S*Linterp(J$90,atmos_h,atmos_qms)*I135^2</f>
        <v>1663.9926545817602</v>
      </c>
      <c r="N135" cm="1">
        <f t="array" ref="N135">I135*Linterp(J$90,atmos_h,atmos_aspeed)</f>
        <v>714.52800000000002</v>
      </c>
      <c r="O135" s="162">
        <f t="shared" si="18"/>
        <v>23030.697987042029</v>
      </c>
      <c r="Q135">
        <v>0.64</v>
      </c>
      <c r="R135" cm="1">
        <f t="array" ref="R135">numeng*InterpolateXY(R$90,Q135,Tmax_h,Tmax_M,Tmax_table)</f>
        <v>6393.5769566907193</v>
      </c>
      <c r="S135" cm="1">
        <f t="array" ref="S135">1*R$91/(S*Linterp(R$90,atmos_h,atmos_qms)*Q135^2)</f>
        <v>0.11651568140139458</v>
      </c>
      <c r="T135" cm="1">
        <f t="array" ref="T135">InterpolateXY(S135,Q135,CD_CL,CD_M,CD_table)</f>
        <v>1.6789338052552297E-2</v>
      </c>
      <c r="U135" cm="1">
        <f t="array" ref="U135">T135*S*Linterp(R$90,atmos_h,atmos_qms)*Q135^2</f>
        <v>1440.95093901681</v>
      </c>
      <c r="V135" cm="1">
        <f t="array" ref="V135">Q135*Linterp(R$90,atmos_h,atmos_aspeed)</f>
        <v>702.13915287695897</v>
      </c>
      <c r="W135" s="162">
        <f t="shared" si="19"/>
        <v>20864.595819395669</v>
      </c>
      <c r="Y135">
        <v>0.64</v>
      </c>
      <c r="Z135" cm="1">
        <f t="array" ref="Z135">numeng*InterpolateXY(Z$90,Y135,Tmax_h,Tmax_M,Tmax_table)</f>
        <v>5763.05963095478</v>
      </c>
      <c r="AA135" cm="1">
        <f t="array" ref="AA135">1*Z$91/(S*Linterp(Z$90,atmos_h,atmos_qms)*Y135^2)</f>
        <v>0.14097151717752895</v>
      </c>
      <c r="AB135" cm="1">
        <f t="array" ref="AB135">InterpolateXY(AA135,Y135,CD_CL,CD_M,CD_table)</f>
        <v>1.7706431894157337E-2</v>
      </c>
      <c r="AC135" cm="1">
        <f t="array" ref="AC135">AB135*S*Linterp(Z$90,atmos_h,atmos_qms)*Y135^2</f>
        <v>1256.0290368343831</v>
      </c>
      <c r="AD135" cm="1">
        <f t="array" ref="AD135">Y135*Linterp(Z$90,atmos_h,atmos_aspeed)</f>
        <v>689.52774942096949</v>
      </c>
      <c r="AE135" s="162">
        <f t="shared" si="20"/>
        <v>18646.335972811754</v>
      </c>
      <c r="AG135">
        <v>0.64</v>
      </c>
      <c r="AH135" cm="1">
        <f t="array" ref="AH135">numeng*InterpolateXY(AH$90,AG135,Tmax_h,Tmax_M,Tmax_table)</f>
        <v>5071.6146276916488</v>
      </c>
      <c r="AI135" cm="1">
        <f t="array" ref="AI135">1*AH$91/(S*Linterp(AH$90,atmos_h,atmos_qms)*AG135^2)</f>
        <v>0.17178730983934934</v>
      </c>
      <c r="AJ135" cm="1">
        <f t="array" ref="AJ135">InterpolateXY(AI135,AG135,CD_CL,CD_M,CD_table)</f>
        <v>1.8862024118975602E-2</v>
      </c>
      <c r="AK135" cm="1">
        <f t="array" ref="AK135">AJ135*S*Linterp(AH$90,atmos_h,atmos_qms)*AG135^2</f>
        <v>1097.9870478567268</v>
      </c>
      <c r="AL135" cm="1">
        <f t="array" ref="AL135">AG135*Linterp(AH$90,atmos_h,atmos_aspeed)</f>
        <v>676.68134630734482</v>
      </c>
      <c r="AM135" s="162">
        <f t="shared" si="21"/>
        <v>16133.277962680149</v>
      </c>
      <c r="AO135">
        <v>0.64</v>
      </c>
      <c r="AP135" cm="1">
        <f t="array" ref="AP135">numeng*InterpolateXY(AP$90,AO135,Tmax_h,Tmax_M,Tmax_table)</f>
        <v>4430.8133971343259</v>
      </c>
      <c r="AQ135" cm="1">
        <f t="array" ref="AQ135">1*AP$91/(S*Linterp(AP$90,atmos_h,atmos_qms)*AO135^2)</f>
        <v>0.21096327645823199</v>
      </c>
      <c r="AR135" cm="1">
        <f t="array" ref="AR135">InterpolateXY(AQ135,AO135,CD_CL,CD_M,CD_table)</f>
        <v>2.0605204778639499E-2</v>
      </c>
      <c r="AS135" cm="1">
        <f t="array" ref="AS135">AR135*S*Linterp(AP$90,atmos_h,atmos_qms)*AO135^2</f>
        <v>976.71998295490391</v>
      </c>
      <c r="AT135" cm="1">
        <f t="array" ref="AT135">AO135*Linterp(AP$90,atmos_h,atmos_aspeed)</f>
        <v>663.58629556305209</v>
      </c>
      <c r="AU135" s="162">
        <f t="shared" si="22"/>
        <v>13752.534319464346</v>
      </c>
      <c r="AW135">
        <v>0.64</v>
      </c>
      <c r="AX135" cm="1">
        <f t="array" ref="AX135">numeng*InterpolateXY(AX$90,AW135,Tmax_h,Tmax_M,Tmax_table)</f>
        <v>3841.2291878099632</v>
      </c>
      <c r="AY135" cm="1">
        <f t="array" ref="AY135">1*AX$91/(S*Linterp(AX$90,atmos_h,atmos_qms)*AW135^2)</f>
        <v>0.26124729199222158</v>
      </c>
      <c r="AZ135" cm="1">
        <f t="array" ref="AZ135">InterpolateXY(AY135,AW135,CD_CL,CD_M,CD_table)</f>
        <v>2.3747955749513848E-2</v>
      </c>
      <c r="BA135" cm="1">
        <f t="array" ref="BA135">AZ135*S*Linterp(AX$90,atmos_h,atmos_qms)*AW135^2</f>
        <v>909.02208280960565</v>
      </c>
      <c r="BB135" cm="1">
        <f t="array" ref="BB135">AW135*Linterp(AX$90,atmos_h,atmos_aspeed)</f>
        <v>650.22757468279349</v>
      </c>
      <c r="BC135" s="162">
        <f t="shared" si="23"/>
        <v>11439.611486112224</v>
      </c>
      <c r="BE135">
        <v>0.64</v>
      </c>
      <c r="BF135" cm="1">
        <f t="array" ref="BF135">numeng*InterpolateXY(BF$90,BE135,Tmax_h,Tmax_M,Tmax_table)</f>
        <v>3302.7941390619608</v>
      </c>
      <c r="BG135" cm="1">
        <f t="array" ref="BG135">1*BF$91/(S*Linterp(BF$90,atmos_h,atmos_qms)*BE135^2)</f>
        <v>0.32646280462411953</v>
      </c>
      <c r="BH135" cm="1">
        <f t="array" ref="BH135">InterpolateXY(BG135,BE135,CD_CL,CD_M,CD_table)</f>
        <v>2.8320102875709713E-2</v>
      </c>
      <c r="BI135" cm="1">
        <f t="array" ref="BI135">BH135*S*Linterp(BF$90,atmos_h,atmos_qms)*BE135^2</f>
        <v>867.4832928767097</v>
      </c>
      <c r="BJ135" cm="1">
        <f t="array" ref="BJ135">BE135*Linterp(BF$90,atmos_h,atmos_aspeed)</f>
        <v>636.58858464210721</v>
      </c>
      <c r="BK135" s="162">
        <f t="shared" si="24"/>
        <v>9301.7465084198484</v>
      </c>
      <c r="BM135">
        <v>0.64</v>
      </c>
      <c r="BN135" cm="1">
        <f t="array" ref="BN135">numeng*InterpolateXY(BN$90,BM135,Tmax_h,Tmax_M,Tmax_table)</f>
        <v>2814.861900821872</v>
      </c>
      <c r="BO135" cm="1">
        <f t="array" ref="BO135">1*BN$91/(S*Linterp(BN$90,atmos_h,atmos_qms)*BM135^2)</f>
        <v>0.41200389190558862</v>
      </c>
      <c r="BP135" cm="1">
        <f t="array" ref="BP135">InterpolateXY(BO135,BM135,CD_CL,CD_M,CD_table)</f>
        <v>3.9732782273023314E-2</v>
      </c>
      <c r="BQ135" cm="1">
        <f t="array" ref="BQ135">BP135*S*Linterp(BN$90,atmos_h,atmos_qms)*BM135^2</f>
        <v>964.37880936639669</v>
      </c>
      <c r="BR135" cm="1">
        <f t="array" ref="BR135">BM135*Linterp(BN$90,atmos_h,atmos_aspeed)</f>
        <v>622.6509080660004</v>
      </c>
      <c r="BS135" s="162">
        <f t="shared" si="25"/>
        <v>6913.2298635331881</v>
      </c>
      <c r="BU135">
        <v>0.64</v>
      </c>
      <c r="BV135" cm="1">
        <f t="array" ref="BV135">numeng*InterpolateXY(BV$90,BU135,Tmax_h,Tmax_M,Tmax_table)</f>
        <v>2299.2230105595718</v>
      </c>
      <c r="BW135" cm="1">
        <f t="array" ref="BW135">1*BV$91/(S*Linterp(BV$90,atmos_h,atmos_qms)*BU135^2)</f>
        <v>0.5237911866168361</v>
      </c>
      <c r="BX135" cm="1">
        <f t="array" ref="BX135">InterpolateXY(BW135,BU135,CD_CL,CD_M,CD_table)</f>
        <v>6.4866641411069709E-2</v>
      </c>
      <c r="BY135" cm="1">
        <f t="array" ref="BY135">BX135*S*Linterp(BV$90,atmos_h,atmos_qms)*BU135^2</f>
        <v>1238.4065075634992</v>
      </c>
      <c r="BZ135" cm="1">
        <f t="array" ref="BZ135">BU135*Linterp(BV$90,atmos_h,atmos_aspeed)</f>
        <v>619.5843266697176</v>
      </c>
      <c r="CA135" s="162">
        <f t="shared" si="26"/>
        <v>3943.5916723736764</v>
      </c>
      <c r="CC135">
        <v>0.64</v>
      </c>
      <c r="CD135" cm="1">
        <f t="array" ref="CD135">numeng*InterpolateXY(CD$90,CC135,Tmax_h,Tmax_M,Tmax_table)</f>
        <v>1758.4999005311374</v>
      </c>
      <c r="CE135" cm="1">
        <f t="array" ref="CE135">1*CD$91/(S*Linterp(CD$90,atmos_h,atmos_qms)*CC135^2)</f>
        <v>0.66608121401835607</v>
      </c>
      <c r="CF135" cm="1">
        <f t="array" ref="CF135">InterpolateXY(CE135,CC135,CD_CL,CD_M,CD_table)</f>
        <v>0.11766357174003997</v>
      </c>
      <c r="CG135" cm="1">
        <f t="array" ref="CG135">CF135*S*Linterp(CD$90,atmos_h,atmos_qms)*CC135^2</f>
        <v>1766.5048835440864</v>
      </c>
      <c r="CH135" cm="1">
        <f t="array" ref="CH135">CC135*Linterp(CD$90,atmos_h,atmos_aspeed)</f>
        <v>619.5843266697176</v>
      </c>
      <c r="CI135" s="162">
        <f t="shared" si="27"/>
        <v>-29.75857206048309</v>
      </c>
      <c r="CK135">
        <v>0.64</v>
      </c>
      <c r="CL135" cm="1">
        <f t="array" ref="CL135">numeng*InterpolateXY(CL$90,CK135,Tmax_h,Tmax_M,Tmax_table)</f>
        <v>1304.9034713638573</v>
      </c>
      <c r="CM135" cm="1">
        <f t="array" ref="CM135">1*CL$91/(S*Linterp(CL$90,atmos_h,atmos_qms)*CK135^2)</f>
        <v>0.84702491184281115</v>
      </c>
      <c r="CN135" t="e" cm="1">
        <f t="array" ref="CN135">InterpolateXY(CM135,CK135,CD_CL,CD_M,CD_table)</f>
        <v>#VALUE!</v>
      </c>
      <c r="CO135" t="e" cm="1">
        <f t="array" ref="CO135">CN135*S*Linterp(CL$90,atmos_h,atmos_qms)*CK135^2</f>
        <v>#VALUE!</v>
      </c>
      <c r="CP135" cm="1">
        <f t="array" ref="CP135">CK135*Linterp(CL$90,atmos_h,atmos_aspeed)</f>
        <v>619.5843266697176</v>
      </c>
      <c r="CQ135" s="162" t="e">
        <f t="shared" si="28"/>
        <v>#VALUE!</v>
      </c>
    </row>
    <row r="136" spans="9:95">
      <c r="I136">
        <v>0.65</v>
      </c>
      <c r="J136" cm="1">
        <f t="array" ref="J136">numeng*InterpolateXY(J$90,I136,Tmax_h,Tmax_M,Tmax_table)</f>
        <v>7060</v>
      </c>
      <c r="K136" cm="1">
        <f t="array" ref="K136">1*J$91/(S*Linterp(J$90,atmos_h,atmos_qms)*I136^2)</f>
        <v>9.3986507309228931E-2</v>
      </c>
      <c r="L136" cm="1">
        <f t="array" ref="L136">InterpolateXY(K136,I136,CD_CL,CD_M,CD_table)</f>
        <v>1.6074831341365364E-2</v>
      </c>
      <c r="M136" cm="1">
        <f t="array" ref="M136">L136*S*Linterp(J$90,atmos_h,atmos_qms)*I136^2</f>
        <v>1710.3339406450004</v>
      </c>
      <c r="N136" cm="1">
        <f t="array" ref="N136">I136*Linterp(J$90,atmos_h,atmos_aspeed)</f>
        <v>725.69250000000011</v>
      </c>
      <c r="O136" s="162">
        <f t="shared" si="18"/>
        <v>23293.275220670868</v>
      </c>
      <c r="Q136">
        <v>0.65</v>
      </c>
      <c r="R136" cm="1">
        <f t="array" ref="R136">numeng*InterpolateXY(R$90,Q136,Tmax_h,Tmax_M,Tmax_table)</f>
        <v>6419.4269982945907</v>
      </c>
      <c r="S136" cm="1">
        <f t="array" ref="S136">1*R$91/(S*Linterp(R$90,atmos_h,atmos_qms)*Q136^2)</f>
        <v>0.11295816118819223</v>
      </c>
      <c r="T136" cm="1">
        <f t="array" ref="T136">InterpolateXY(S136,Q136,CD_CL,CD_M,CD_table)</f>
        <v>1.6635931044557208E-2</v>
      </c>
      <c r="U136" cm="1">
        <f t="array" ref="U136">T136*S*Linterp(R$90,atmos_h,atmos_qms)*Q136^2</f>
        <v>1472.7515807238724</v>
      </c>
      <c r="V136" cm="1">
        <f t="array" ref="V136">Q136*Linterp(R$90,atmos_h,atmos_aspeed)</f>
        <v>713.11007714066147</v>
      </c>
      <c r="W136" s="162">
        <f t="shared" si="19"/>
        <v>21165.144531682014</v>
      </c>
      <c r="Y136">
        <v>0.65</v>
      </c>
      <c r="Z136" cm="1">
        <f t="array" ref="Z136">numeng*InterpolateXY(Z$90,Y136,Tmax_h,Tmax_M,Tmax_table)</f>
        <v>5789.6447343266882</v>
      </c>
      <c r="AA136" cm="1">
        <f t="array" ref="AA136">1*Z$91/(S*Linterp(Z$90,atmos_h,atmos_qms)*Y136^2)</f>
        <v>0.13666729807317363</v>
      </c>
      <c r="AB136" cm="1">
        <f t="array" ref="AB136">InterpolateXY(AA136,Y136,CD_CL,CD_M,CD_table)</f>
        <v>1.7525023677744011E-2</v>
      </c>
      <c r="AC136" cm="1">
        <f t="array" ref="AC136">AB136*S*Linterp(Z$90,atmos_h,atmos_qms)*Y136^2</f>
        <v>1282.3128813420212</v>
      </c>
      <c r="AD136" cm="1">
        <f t="array" ref="AD136">Y136*Linterp(Z$90,atmos_h,atmos_aspeed)</f>
        <v>700.30162050567219</v>
      </c>
      <c r="AE136" s="162">
        <f t="shared" si="20"/>
        <v>18938.950804811979</v>
      </c>
      <c r="AG136">
        <v>0.65</v>
      </c>
      <c r="AH136" cm="1">
        <f t="array" ref="AH136">numeng*InterpolateXY(AH$90,AG136,Tmax_h,Tmax_M,Tmax_table)</f>
        <v>5096.7839310548825</v>
      </c>
      <c r="AI136" cm="1">
        <f t="array" ref="AI136">1*AH$91/(S*Linterp(AH$90,atmos_h,atmos_qms)*AG136^2)</f>
        <v>0.16654220617798221</v>
      </c>
      <c r="AJ136" cm="1">
        <f t="array" ref="AJ136">InterpolateXY(AI136,AG136,CD_CL,CD_M,CD_table)</f>
        <v>1.8645332731674333E-2</v>
      </c>
      <c r="AK136" cm="1">
        <f t="array" ref="AK136">AJ136*S*Linterp(AH$90,atmos_h,atmos_qms)*AG136^2</f>
        <v>1119.5560068267757</v>
      </c>
      <c r="AL136" cm="1">
        <f t="array" ref="AL136">AG136*Linterp(AH$90,atmos_h,atmos_aspeed)</f>
        <v>687.25449234339703</v>
      </c>
      <c r="AM136" s="162">
        <f t="shared" si="21"/>
        <v>16400.206547996222</v>
      </c>
      <c r="AO136">
        <v>0.65</v>
      </c>
      <c r="AP136" cm="1">
        <f t="array" ref="AP136">numeng*InterpolateXY(AP$90,AO136,Tmax_h,Tmax_M,Tmax_table)</f>
        <v>4454.2568542620202</v>
      </c>
      <c r="AQ136" cm="1">
        <f t="array" ref="AQ136">1*AP$91/(S*Linterp(AP$90,atmos_h,atmos_qms)*AO136^2)</f>
        <v>0.2045220308574954</v>
      </c>
      <c r="AR136" cm="1">
        <f t="array" ref="AR136">InterpolateXY(AQ136,AO136,CD_CL,CD_M,CD_table)</f>
        <v>2.0182626928593461E-2</v>
      </c>
      <c r="AS136" cm="1">
        <f t="array" ref="AS136">AR136*S*Linterp(AP$90,atmos_h,atmos_qms)*AO136^2</f>
        <v>986.81921179709434</v>
      </c>
      <c r="AT136" cm="1">
        <f t="array" ref="AT136">AO136*Linterp(AP$90,atmos_h,atmos_aspeed)</f>
        <v>673.95483143122487</v>
      </c>
      <c r="AU136" s="162">
        <f t="shared" si="22"/>
        <v>14021.378110954398</v>
      </c>
      <c r="AW136">
        <v>0.65</v>
      </c>
      <c r="AX136" cm="1">
        <f t="array" ref="AX136">numeng*InterpolateXY(AX$90,AW136,Tmax_h,Tmax_M,Tmax_table)</f>
        <v>3862.7386372983997</v>
      </c>
      <c r="AY136" cm="1">
        <f t="array" ref="AY136">1*AX$91/(S*Linterp(AX$90,atmos_h,atmos_qms)*AW136^2)</f>
        <v>0.25327074745565431</v>
      </c>
      <c r="AZ136" cm="1">
        <f t="array" ref="AZ136">InterpolateXY(AY136,AW136,CD_CL,CD_M,CD_table)</f>
        <v>2.3229421715978395E-2</v>
      </c>
      <c r="BA136" cm="1">
        <f t="array" ref="BA136">AZ136*S*Linterp(AX$90,atmos_h,atmos_qms)*AW136^2</f>
        <v>917.17744545471771</v>
      </c>
      <c r="BB136" cm="1">
        <f t="array" ref="BB136">AW136*Linterp(AX$90,atmos_h,atmos_aspeed)</f>
        <v>660.38738053721215</v>
      </c>
      <c r="BC136" s="162">
        <f t="shared" si="23"/>
        <v>11671.268638162306</v>
      </c>
      <c r="BE136">
        <v>0.65</v>
      </c>
      <c r="BF136" cm="1">
        <f t="array" ref="BF136">numeng*InterpolateXY(BF$90,BE136,Tmax_h,Tmax_M,Tmax_table)</f>
        <v>3322.2487488525389</v>
      </c>
      <c r="BG136" cm="1">
        <f t="array" ref="BG136">1*BF$91/(S*Linterp(BF$90,atmos_h,atmos_qms)*BE136^2)</f>
        <v>0.31649506455393928</v>
      </c>
      <c r="BH136" cm="1">
        <f t="array" ref="BH136">InterpolateXY(BG136,BE136,CD_CL,CD_M,CD_table)</f>
        <v>2.7490223995007567E-2</v>
      </c>
      <c r="BI136" cm="1">
        <f t="array" ref="BI136">BH136*S*Linterp(BF$90,atmos_h,atmos_qms)*BE136^2</f>
        <v>868.58302304813651</v>
      </c>
      <c r="BJ136" cm="1">
        <f t="array" ref="BJ136">BE136*Linterp(BF$90,atmos_h,atmos_aspeed)</f>
        <v>646.53528127714014</v>
      </c>
      <c r="BK136" s="162">
        <f t="shared" si="24"/>
        <v>9518.2887611581646</v>
      </c>
      <c r="BM136">
        <v>0.65</v>
      </c>
      <c r="BN136" cm="1">
        <f t="array" ref="BN136">numeng*InterpolateXY(BN$90,BM136,Tmax_h,Tmax_M,Tmax_table)</f>
        <v>2832.2146382113506</v>
      </c>
      <c r="BO136" cm="1">
        <f t="array" ref="BO136">1*BN$91/(S*Linterp(BN$90,atmos_h,atmos_qms)*BM136^2)</f>
        <v>0.39942436479178484</v>
      </c>
      <c r="BP136" cm="1">
        <f t="array" ref="BP136">InterpolateXY(BO136,BM136,CD_CL,CD_M,CD_table)</f>
        <v>3.7218403709235494E-2</v>
      </c>
      <c r="BQ136" cm="1">
        <f t="array" ref="BQ136">BP136*S*Linterp(BN$90,atmos_h,atmos_qms)*BM136^2</f>
        <v>931.80103643995278</v>
      </c>
      <c r="BR136" cm="1">
        <f t="array" ref="BR136">BM136*Linterp(BN$90,atmos_h,atmos_aspeed)</f>
        <v>632.3798285045317</v>
      </c>
      <c r="BS136" s="162">
        <f t="shared" si="25"/>
        <v>7210.6993654552552</v>
      </c>
      <c r="BU136">
        <v>0.65</v>
      </c>
      <c r="BV136" cm="1">
        <f t="array" ref="BV136">numeng*InterpolateXY(BV$90,BU136,Tmax_h,Tmax_M,Tmax_table)</f>
        <v>2313.9931797922886</v>
      </c>
      <c r="BW136" cm="1">
        <f t="array" ref="BW136">1*BV$91/(S*Linterp(BV$90,atmos_h,atmos_qms)*BU136^2)</f>
        <v>0.50779850896628653</v>
      </c>
      <c r="BX136" cm="1">
        <f t="array" ref="BX136">InterpolateXY(BW136,BU136,CD_CL,CD_M,CD_table)</f>
        <v>5.9840933306447686E-2</v>
      </c>
      <c r="BY136" cm="1">
        <f t="array" ref="BY136">BX136*S*Linterp(BV$90,atmos_h,atmos_qms)*BU136^2</f>
        <v>1178.4385391021426</v>
      </c>
      <c r="BZ136" cm="1">
        <f t="array" ref="BZ136">BU136*Linterp(BV$90,atmos_h,atmos_aspeed)</f>
        <v>629.26533177393196</v>
      </c>
      <c r="CA136" s="162">
        <f t="shared" si="26"/>
        <v>4287.3910063278772</v>
      </c>
      <c r="CC136">
        <v>0.65</v>
      </c>
      <c r="CD136" cm="1">
        <f t="array" ref="CD136">numeng*InterpolateXY(CD$90,CC136,Tmax_h,Tmax_M,Tmax_table)</f>
        <v>1769.340498773073</v>
      </c>
      <c r="CE136" cm="1">
        <f t="array" ref="CE136">1*CD$91/(S*Linterp(CD$90,atmos_h,atmos_qms)*CC136^2)</f>
        <v>0.64574405979152338</v>
      </c>
      <c r="CF136" cm="1">
        <f t="array" ref="CF136">InterpolateXY(CE136,CC136,CD_CL,CD_M,CD_table)</f>
        <v>0.10873589818868724</v>
      </c>
      <c r="CG136" cm="1">
        <f t="array" ref="CG136">CF136*S*Linterp(CD$90,atmos_h,atmos_qms)*CC136^2</f>
        <v>1683.8853805916901</v>
      </c>
      <c r="CH136" cm="1">
        <f t="array" ref="CH136">CC136*Linterp(CD$90,atmos_h,atmos_aspeed)</f>
        <v>629.26533177393196</v>
      </c>
      <c r="CI136" s="162">
        <f t="shared" si="27"/>
        <v>322.64365976513079</v>
      </c>
      <c r="CK136">
        <v>0.65</v>
      </c>
      <c r="CL136" cm="1">
        <f t="array" ref="CL136">numeng*InterpolateXY(CL$90,CK136,Tmax_h,Tmax_M,Tmax_table)</f>
        <v>1312.2104436720076</v>
      </c>
      <c r="CM136" cm="1">
        <f t="array" ref="CM136">1*CL$91/(S*Linterp(CL$90,atmos_h,atmos_qms)*CK136^2)</f>
        <v>0.82116308613210753</v>
      </c>
      <c r="CN136" t="e" cm="1">
        <f t="array" ref="CN136">InterpolateXY(CM136,CK136,CD_CL,CD_M,CD_table)</f>
        <v>#VALUE!</v>
      </c>
      <c r="CO136" t="e" cm="1">
        <f t="array" ref="CO136">CN136*S*Linterp(CL$90,atmos_h,atmos_qms)*CK136^2</f>
        <v>#VALUE!</v>
      </c>
      <c r="CP136" cm="1">
        <f t="array" ref="CP136">CK136*Linterp(CL$90,atmos_h,atmos_aspeed)</f>
        <v>629.26533177393196</v>
      </c>
      <c r="CQ136" s="162" t="e">
        <f t="shared" si="28"/>
        <v>#VALUE!</v>
      </c>
    </row>
    <row r="137" spans="9:95">
      <c r="I137">
        <v>0.66</v>
      </c>
      <c r="J137" cm="1">
        <f t="array" ref="J137">numeng*InterpolateXY(J$90,I137,Tmax_h,Tmax_M,Tmax_table)</f>
        <v>7084</v>
      </c>
      <c r="K137" cm="1">
        <f t="array" ref="K137">1*J$91/(S*Linterp(J$90,atmos_h,atmos_qms)*I137^2)</f>
        <v>9.1160007663336137E-2</v>
      </c>
      <c r="L137" cm="1">
        <f t="array" ref="L137">InterpolateXY(K137,I137,CD_CL,CD_M,CD_table)</f>
        <v>1.6019500095791703E-2</v>
      </c>
      <c r="M137" cm="1">
        <f t="array" ref="M137">L137*S*Linterp(J$90,atmos_h,atmos_qms)*I137^2</f>
        <v>1757.2947289510405</v>
      </c>
      <c r="N137" cm="1">
        <f t="array" ref="N137">I137*Linterp(J$90,atmos_h,atmos_aspeed)</f>
        <v>736.85700000000008</v>
      </c>
      <c r="O137" s="162">
        <f t="shared" si="18"/>
        <v>23550.120395455942</v>
      </c>
      <c r="Q137">
        <v>0.66</v>
      </c>
      <c r="R137" cm="1">
        <f t="array" ref="R137">numeng*InterpolateXY(R$90,Q137,Tmax_h,Tmax_M,Tmax_table)</f>
        <v>6445.2770398984612</v>
      </c>
      <c r="S137" cm="1">
        <f t="array" ref="S137">1*R$91/(S*Linterp(R$90,atmos_h,atmos_qms)*Q137^2)</f>
        <v>0.10956111823234897</v>
      </c>
      <c r="T137" cm="1">
        <f t="array" ref="T137">InterpolateXY(S137,Q137,CD_CL,CD_M,CD_table)</f>
        <v>1.6488541933713088E-2</v>
      </c>
      <c r="U137" cm="1">
        <f t="array" ref="U137">T137*S*Linterp(R$90,atmos_h,atmos_qms)*Q137^2</f>
        <v>1504.9629101763483</v>
      </c>
      <c r="V137" cm="1">
        <f t="array" ref="V137">Q137*Linterp(R$90,atmos_h,atmos_aspeed)</f>
        <v>724.08100140436397</v>
      </c>
      <c r="W137" s="162">
        <f t="shared" si="19"/>
        <v>21463.125613807897</v>
      </c>
      <c r="Y137">
        <v>0.66</v>
      </c>
      <c r="Z137" cm="1">
        <f t="array" ref="Z137">numeng*InterpolateXY(Z$90,Y137,Tmax_h,Tmax_M,Tmax_table)</f>
        <v>5816.2298376985964</v>
      </c>
      <c r="AA137" cm="1">
        <f t="array" ref="AA137">1*Z$91/(S*Linterp(Z$90,atmos_h,atmos_qms)*Y137^2)</f>
        <v>0.13255723929273613</v>
      </c>
      <c r="AB137" cm="1">
        <f t="array" ref="AB137">InterpolateXY(AA137,Y137,CD_CL,CD_M,CD_table)</f>
        <v>1.7350896473477605E-2</v>
      </c>
      <c r="AC137" cm="1">
        <f t="array" ref="AC137">AB137*S*Linterp(Z$90,atmos_h,atmos_qms)*Y137^2</f>
        <v>1308.9361672024806</v>
      </c>
      <c r="AD137" cm="1">
        <f t="array" ref="AD137">Y137*Linterp(Z$90,atmos_h,atmos_aspeed)</f>
        <v>711.07549159037478</v>
      </c>
      <c r="AE137" s="162">
        <f t="shared" si="20"/>
        <v>19230.156374941263</v>
      </c>
      <c r="AG137">
        <v>0.66</v>
      </c>
      <c r="AH137" cm="1">
        <f t="array" ref="AH137">numeng*InterpolateXY(AH$90,AG137,Tmax_h,Tmax_M,Tmax_table)</f>
        <v>5121.9532344181171</v>
      </c>
      <c r="AI137" cm="1">
        <f t="array" ref="AI137">1*AH$91/(S*Linterp(AH$90,atmos_h,atmos_qms)*AG137^2)</f>
        <v>0.16153370548713841</v>
      </c>
      <c r="AJ137" cm="1">
        <f t="array" ref="AJ137">InterpolateXY(AI137,AG137,CD_CL,CD_M,CD_table)</f>
        <v>1.8437513955767693E-2</v>
      </c>
      <c r="AK137" cm="1">
        <f t="array" ref="AK137">AJ137*S*Linterp(AH$90,atmos_h,atmos_qms)*AG137^2</f>
        <v>1141.4035170038071</v>
      </c>
      <c r="AL137" cm="1">
        <f t="array" ref="AL137">AG137*Linterp(AH$90,atmos_h,atmos_aspeed)</f>
        <v>697.82763837944935</v>
      </c>
      <c r="AM137" s="162">
        <f t="shared" si="21"/>
        <v>16666.425652531274</v>
      </c>
      <c r="AO137">
        <v>0.66</v>
      </c>
      <c r="AP137" cm="1">
        <f t="array" ref="AP137">numeng*InterpolateXY(AP$90,AO137,Tmax_h,Tmax_M,Tmax_table)</f>
        <v>4477.7003113897154</v>
      </c>
      <c r="AQ137" cm="1">
        <f t="array" ref="AQ137">1*AP$91/(S*Linterp(AP$90,atmos_h,atmos_qms)*AO137^2)</f>
        <v>0.19837134535650092</v>
      </c>
      <c r="AR137" cm="1">
        <f t="array" ref="AR137">InterpolateXY(AQ137,AO137,CD_CL,CD_M,CD_table)</f>
        <v>1.9818925450868784E-2</v>
      </c>
      <c r="AS137" cm="1">
        <f t="array" ref="AS137">AR137*S*Linterp(AP$90,atmos_h,atmos_qms)*AO137^2</f>
        <v>999.08207081276873</v>
      </c>
      <c r="AT137" cm="1">
        <f t="array" ref="AT137">AO137*Linterp(AP$90,atmos_h,atmos_aspeed)</f>
        <v>684.32336729939755</v>
      </c>
      <c r="AU137" s="162">
        <f t="shared" si="22"/>
        <v>14282.998487644332</v>
      </c>
      <c r="AW137">
        <v>0.66</v>
      </c>
      <c r="AX137" cm="1">
        <f t="array" ref="AX137">numeng*InterpolateXY(AX$90,AW137,Tmax_h,Tmax_M,Tmax_table)</f>
        <v>3884.2480867868362</v>
      </c>
      <c r="AY137" cm="1">
        <f t="array" ref="AY137">1*AX$91/(S*Linterp(AX$90,atmos_h,atmos_qms)*AW137^2)</f>
        <v>0.24565401928377859</v>
      </c>
      <c r="AZ137" cm="1">
        <f t="array" ref="AZ137">InterpolateXY(AY137,AW137,CD_CL,CD_M,CD_table)</f>
        <v>2.2733376205236164E-2</v>
      </c>
      <c r="BA137" cm="1">
        <f t="array" ref="BA137">AZ137*S*Linterp(AX$90,atmos_h,atmos_qms)*AW137^2</f>
        <v>925.42252194842592</v>
      </c>
      <c r="BB137" cm="1">
        <f t="array" ref="BB137">AW137*Linterp(AX$90,atmos_h,atmos_aspeed)</f>
        <v>670.54718639163082</v>
      </c>
      <c r="BC137" s="162">
        <f t="shared" si="23"/>
        <v>11904.192945156143</v>
      </c>
      <c r="BE137">
        <v>0.66</v>
      </c>
      <c r="BF137" cm="1">
        <f t="array" ref="BF137">numeng*InterpolateXY(BF$90,BE137,Tmax_h,Tmax_M,Tmax_table)</f>
        <v>3341.7033586431166</v>
      </c>
      <c r="BG137" cm="1">
        <f t="array" ref="BG137">1*BF$91/(S*Linterp(BF$90,atmos_h,atmos_qms)*BE137^2)</f>
        <v>0.3069769622911831</v>
      </c>
      <c r="BH137" cm="1">
        <f t="array" ref="BH137">InterpolateXY(BG137,BE137,CD_CL,CD_M,CD_table)</f>
        <v>2.6696878186158627E-2</v>
      </c>
      <c r="BI137" cm="1">
        <f t="array" ref="BI137">BH137*S*Linterp(BF$90,atmos_h,atmos_qms)*BE137^2</f>
        <v>869.6704139262182</v>
      </c>
      <c r="BJ137" cm="1">
        <f t="array" ref="BJ137">BE137*Linterp(BF$90,atmos_h,atmos_aspeed)</f>
        <v>656.48197791217308</v>
      </c>
      <c r="BK137" s="162">
        <f t="shared" si="24"/>
        <v>9737.0704620708184</v>
      </c>
      <c r="BM137">
        <v>0.66</v>
      </c>
      <c r="BN137" cm="1">
        <f t="array" ref="BN137">numeng*InterpolateXY(BN$90,BM137,Tmax_h,Tmax_M,Tmax_table)</f>
        <v>2849.5673756008296</v>
      </c>
      <c r="BO137" cm="1">
        <f t="array" ref="BO137">1*BN$91/(S*Linterp(BN$90,atmos_h,atmos_qms)*BM137^2)</f>
        <v>0.3874122913786251</v>
      </c>
      <c r="BP137" cm="1">
        <f t="array" ref="BP137">InterpolateXY(BO137,BM137,CD_CL,CD_M,CD_table)</f>
        <v>3.5495692302920108E-2</v>
      </c>
      <c r="BQ137" cm="1">
        <f t="array" ref="BQ137">BP137*S*Linterp(BN$90,atmos_h,atmos_qms)*BM137^2</f>
        <v>916.22524872938334</v>
      </c>
      <c r="BR137" cm="1">
        <f t="array" ref="BR137">BM137*Linterp(BN$90,atmos_h,atmos_aspeed)</f>
        <v>642.10874894306301</v>
      </c>
      <c r="BS137" s="162">
        <f t="shared" si="25"/>
        <v>7448.4953661860691</v>
      </c>
      <c r="BU137">
        <v>0.66</v>
      </c>
      <c r="BV137" cm="1">
        <f t="array" ref="BV137">numeng*InterpolateXY(BV$90,BU137,Tmax_h,Tmax_M,Tmax_table)</f>
        <v>2328.7633490250055</v>
      </c>
      <c r="BW137" cm="1">
        <f t="array" ref="BW137">1*BV$91/(S*Linterp(BV$90,atmos_h,atmos_qms)*BU137^2)</f>
        <v>0.49252724985825536</v>
      </c>
      <c r="BX137" cm="1">
        <f t="array" ref="BX137">InterpolateXY(BW137,BU137,CD_CL,CD_M,CD_table)</f>
        <v>5.5877977221509327E-2</v>
      </c>
      <c r="BY137" cm="1">
        <f t="array" ref="BY137">BX137*S*Linterp(BV$90,atmos_h,atmos_qms)*BU137^2</f>
        <v>1134.5154453401403</v>
      </c>
      <c r="BZ137" cm="1">
        <f t="array" ref="BZ137">BU137*Linterp(BV$90,atmos_h,atmos_aspeed)</f>
        <v>638.94633687814633</v>
      </c>
      <c r="CA137" s="162">
        <f t="shared" si="26"/>
        <v>4578.3619403030998</v>
      </c>
      <c r="CC137">
        <v>0.66</v>
      </c>
      <c r="CD137" cm="1">
        <f t="array" ref="CD137">numeng*InterpolateXY(CD$90,CC137,Tmax_h,Tmax_M,Tmax_table)</f>
        <v>1780.1810970150088</v>
      </c>
      <c r="CE137" cm="1">
        <f t="array" ref="CE137">1*CD$91/(S*Linterp(CD$90,atmos_h,atmos_qms)*CC137^2)</f>
        <v>0.62632430041762777</v>
      </c>
      <c r="CF137" cm="1">
        <f t="array" ref="CF137">InterpolateXY(CE137,CC137,CD_CL,CD_M,CD_table)</f>
        <v>0.10021004358292096</v>
      </c>
      <c r="CG137" cm="1">
        <f t="array" ref="CG137">CF137*S*Linterp(CD$90,atmos_h,atmos_qms)*CC137^2</f>
        <v>1599.9705506572514</v>
      </c>
      <c r="CH137" cm="1">
        <f t="array" ref="CH137">CC137*Linterp(CD$90,atmos_h,atmos_aspeed)</f>
        <v>638.94633687814633</v>
      </c>
      <c r="CI137" s="162">
        <f t="shared" si="27"/>
        <v>690.86921077259115</v>
      </c>
      <c r="CK137">
        <v>0.66</v>
      </c>
      <c r="CL137" cm="1">
        <f t="array" ref="CL137">numeng*InterpolateXY(CL$90,CK137,Tmax_h,Tmax_M,Tmax_table)</f>
        <v>1319.5174159801581</v>
      </c>
      <c r="CM137" cm="1">
        <f t="array" ref="CM137">1*CL$91/(S*Linterp(CL$90,atmos_h,atmos_qms)*CK137^2)</f>
        <v>0.79646786935448899</v>
      </c>
      <c r="CN137" cm="1">
        <f t="array" ref="CN137">InterpolateXY(CM137,CK137,CD_CL,CD_M,CD_table)</f>
        <v>0.18881160254276735</v>
      </c>
      <c r="CO137" cm="1">
        <f t="array" ref="CO137">CN137*S*Linterp(CL$90,atmos_h,atmos_qms)*CK137^2</f>
        <v>2370.6116694423963</v>
      </c>
      <c r="CP137" cm="1">
        <f t="array" ref="CP137">CK137*Linterp(CL$90,atmos_h,atmos_aspeed)</f>
        <v>638.94633687814633</v>
      </c>
      <c r="CQ137" s="162">
        <f t="shared" si="28"/>
        <v>-4029.5569377802021</v>
      </c>
    </row>
    <row r="138" spans="9:95">
      <c r="I138">
        <v>0.67</v>
      </c>
      <c r="J138" cm="1">
        <f t="array" ref="J138">numeng*InterpolateXY(J$90,I138,Tmax_h,Tmax_M,Tmax_table)</f>
        <v>7108</v>
      </c>
      <c r="K138" cm="1">
        <f t="array" ref="K138">1*J$91/(S*Linterp(J$90,atmos_h,atmos_qms)*I138^2)</f>
        <v>8.8459120824569429E-2</v>
      </c>
      <c r="L138" cm="1">
        <f t="array" ref="L138">InterpolateXY(K138,I138,CD_CL,CD_M,CD_table)</f>
        <v>1.5965739010307119E-2</v>
      </c>
      <c r="M138" cm="1">
        <f t="array" ref="M138">L138*S*Linterp(J$90,atmos_h,atmos_qms)*I138^2</f>
        <v>1804.8719975377203</v>
      </c>
      <c r="N138" cm="1">
        <f t="array" ref="N138">I138*Linterp(J$90,atmos_h,atmos_aspeed)</f>
        <v>748.02150000000006</v>
      </c>
      <c r="O138" s="162">
        <f t="shared" si="18"/>
        <v>23801.122578563027</v>
      </c>
      <c r="Q138">
        <v>0.67</v>
      </c>
      <c r="R138" cm="1">
        <f t="array" ref="R138">numeng*InterpolateXY(R$90,Q138,Tmax_h,Tmax_M,Tmax_table)</f>
        <v>6471.1270815023317</v>
      </c>
      <c r="S138" cm="1">
        <f t="array" ref="S138">1*R$91/(S*Linterp(R$90,atmos_h,atmos_qms)*Q138^2)</f>
        <v>0.10631504366676589</v>
      </c>
      <c r="T138" cm="1">
        <f t="array" ref="T138">InterpolateXY(S138,Q138,CD_CL,CD_M,CD_table)</f>
        <v>1.6346814137503725E-2</v>
      </c>
      <c r="U138" cm="1">
        <f t="array" ref="U138">T138*S*Linterp(R$90,atmos_h,atmos_qms)*Q138^2</f>
        <v>1537.5824129594694</v>
      </c>
      <c r="V138" cm="1">
        <f t="array" ref="V138">Q138*Linterp(R$90,atmos_h,atmos_aspeed)</f>
        <v>735.05192566806647</v>
      </c>
      <c r="W138" s="162">
        <f t="shared" si="19"/>
        <v>21758.469053891124</v>
      </c>
      <c r="Y138">
        <v>0.67</v>
      </c>
      <c r="Z138" cm="1">
        <f t="array" ref="Z138">numeng*InterpolateXY(Z$90,Y138,Tmax_h,Tmax_M,Tmax_table)</f>
        <v>5842.8149410705046</v>
      </c>
      <c r="AA138" cm="1">
        <f t="array" ref="AA138">1*Z$91/(S*Linterp(Z$90,atmos_h,atmos_qms)*Y138^2)</f>
        <v>0.12862983612367085</v>
      </c>
      <c r="AB138" cm="1">
        <f t="array" ref="AB138">InterpolateXY(AA138,Y138,CD_CL,CD_M,CD_table)</f>
        <v>1.718361885463766E-2</v>
      </c>
      <c r="AC138" cm="1">
        <f t="array" ref="AC138">AB138*S*Linterp(Z$90,atmos_h,atmos_qms)*Y138^2</f>
        <v>1335.8968162033971</v>
      </c>
      <c r="AD138" cm="1">
        <f t="array" ref="AD138">Y138*Linterp(Z$90,atmos_h,atmos_aspeed)</f>
        <v>721.84936267507749</v>
      </c>
      <c r="AE138" s="162">
        <f t="shared" si="20"/>
        <v>19519.895856384461</v>
      </c>
      <c r="AG138">
        <v>0.67</v>
      </c>
      <c r="AH138" cm="1">
        <f t="array" ref="AH138">numeng*InterpolateXY(AH$90,AG138,Tmax_h,Tmax_M,Tmax_table)</f>
        <v>5147.1225377813507</v>
      </c>
      <c r="AI138" cm="1">
        <f t="array" ref="AI138">1*AH$91/(S*Linterp(AH$90,atmos_h,atmos_qms)*AG138^2)</f>
        <v>0.15674778817152479</v>
      </c>
      <c r="AJ138" cm="1">
        <f t="array" ref="AJ138">InterpolateXY(AI138,AG138,CD_CL,CD_M,CD_table)</f>
        <v>1.8238042056432181E-2</v>
      </c>
      <c r="AK138" cm="1">
        <f t="array" ref="AK138">AJ138*S*Linterp(AH$90,atmos_h,atmos_qms)*AG138^2</f>
        <v>1163.5278729722677</v>
      </c>
      <c r="AL138" cm="1">
        <f t="array" ref="AL138">AG138*Linterp(AH$90,atmos_h,atmos_aspeed)</f>
        <v>708.40078441550168</v>
      </c>
      <c r="AM138" s="162">
        <f t="shared" si="21"/>
        <v>16931.889512064969</v>
      </c>
      <c r="AO138">
        <v>0.67</v>
      </c>
      <c r="AP138" cm="1">
        <f t="array" ref="AP138">numeng*InterpolateXY(AP$90,AO138,Tmax_h,Tmax_M,Tmax_table)</f>
        <v>4501.1437685174096</v>
      </c>
      <c r="AQ138" cm="1">
        <f t="array" ref="AQ138">1*AP$91/(S*Linterp(AP$90,atmos_h,atmos_qms)*AO138^2)</f>
        <v>0.19249400320180843</v>
      </c>
      <c r="AR138" cm="1">
        <f t="array" ref="AR138">InterpolateXY(AQ138,AO138,CD_CL,CD_M,CD_table)</f>
        <v>1.957852512006782E-2</v>
      </c>
      <c r="AS138" cm="1">
        <f t="array" ref="AS138">AR138*S*Linterp(AP$90,atmos_h,atmos_qms)*AO138^2</f>
        <v>1017.0979248398678</v>
      </c>
      <c r="AT138" cm="1">
        <f t="array" ref="AT138">AO138*Linterp(AP$90,atmos_h,atmos_aspeed)</f>
        <v>694.69190316757022</v>
      </c>
      <c r="AU138" s="162">
        <f t="shared" si="22"/>
        <v>14522.030627204484</v>
      </c>
      <c r="AW138">
        <v>0.67</v>
      </c>
      <c r="AX138" cm="1">
        <f t="array" ref="AX138">numeng*InterpolateXY(AX$90,AW138,Tmax_h,Tmax_M,Tmax_table)</f>
        <v>3905.7575362752727</v>
      </c>
      <c r="AY138" cm="1">
        <f t="array" ref="AY138">1*AX$91/(S*Linterp(AX$90,atmos_h,atmos_qms)*AW138^2)</f>
        <v>0.23837578703500545</v>
      </c>
      <c r="AZ138" cm="1">
        <f t="array" ref="AZ138">InterpolateXY(AY138,AW138,CD_CL,CD_M,CD_table)</f>
        <v>2.2258486689687842E-2</v>
      </c>
      <c r="BA138" cm="1">
        <f t="array" ref="BA138">AZ138*S*Linterp(AX$90,atmos_h,atmos_qms)*AW138^2</f>
        <v>933.75619086762322</v>
      </c>
      <c r="BB138" cm="1">
        <f t="array" ref="BB138">AW138*Linterp(AX$90,atmos_h,atmos_aspeed)</f>
        <v>680.70699224604948</v>
      </c>
      <c r="BC138" s="162">
        <f t="shared" si="23"/>
        <v>12138.372580701922</v>
      </c>
      <c r="BE138">
        <v>0.67</v>
      </c>
      <c r="BF138" cm="1">
        <f t="array" ref="BF138">numeng*InterpolateXY(BF$90,BE138,Tmax_h,Tmax_M,Tmax_table)</f>
        <v>3361.1579684336948</v>
      </c>
      <c r="BG138" cm="1">
        <f t="array" ref="BG138">1*BF$91/(S*Linterp(BF$90,atmos_h,atmos_qms)*BE138^2)</f>
        <v>0.29788185514377219</v>
      </c>
      <c r="BH138" cm="1">
        <f t="array" ref="BH138">InterpolateXY(BG138,BE138,CD_CL,CD_M,CD_table)</f>
        <v>2.5977615946485764E-2</v>
      </c>
      <c r="BI138" cm="1">
        <f t="array" ref="BI138">BH138*S*Linterp(BF$90,atmos_h,atmos_qms)*BE138^2</f>
        <v>872.07782205961178</v>
      </c>
      <c r="BJ138" cm="1">
        <f t="array" ref="BJ138">BE138*Linterp(BF$90,atmos_h,atmos_aspeed)</f>
        <v>666.42867454720601</v>
      </c>
      <c r="BK138" s="162">
        <f t="shared" si="24"/>
        <v>9952.7662967390752</v>
      </c>
      <c r="BM138">
        <v>0.67</v>
      </c>
      <c r="BN138" cm="1">
        <f t="array" ref="BN138">numeng*InterpolateXY(BN$90,BM138,Tmax_h,Tmax_M,Tmax_table)</f>
        <v>2866.9201129903081</v>
      </c>
      <c r="BO138" cm="1">
        <f t="array" ref="BO138">1*BN$91/(S*Linterp(BN$90,atmos_h,atmos_qms)*BM138^2)</f>
        <v>0.3759340479494967</v>
      </c>
      <c r="BP138" cm="1">
        <f t="array" ref="BP138">InterpolateXY(BO138,BM138,CD_CL,CD_M,CD_table)</f>
        <v>3.3848651296841156E-2</v>
      </c>
      <c r="BQ138" cm="1">
        <f t="array" ref="BQ138">BP138*S*Linterp(BN$90,atmos_h,atmos_qms)*BM138^2</f>
        <v>900.38801969297583</v>
      </c>
      <c r="BR138" cm="1">
        <f t="array" ref="BR138">BM138*Linterp(BN$90,atmos_h,atmos_aspeed)</f>
        <v>651.8376693815942</v>
      </c>
      <c r="BS138" s="162">
        <f t="shared" si="25"/>
        <v>7691.1581787542445</v>
      </c>
      <c r="BU138">
        <v>0.67</v>
      </c>
      <c r="BV138" cm="1">
        <f t="array" ref="BV138">numeng*InterpolateXY(BV$90,BU138,Tmax_h,Tmax_M,Tmax_table)</f>
        <v>2343.5335182577223</v>
      </c>
      <c r="BW138" cm="1">
        <f t="array" ref="BW138">1*BV$91/(S*Linterp(BV$90,atmos_h,atmos_qms)*BU138^2)</f>
        <v>0.47793466259357553</v>
      </c>
      <c r="BX138" cm="1">
        <f t="array" ref="BX138">InterpolateXY(BW138,BU138,CD_CL,CD_M,CD_table)</f>
        <v>5.2924867181308684E-2</v>
      </c>
      <c r="BY138" cm="1">
        <f t="array" ref="BY138">BX138*S*Linterp(BV$90,atmos_h,atmos_qms)*BU138^2</f>
        <v>1107.3661595102751</v>
      </c>
      <c r="BZ138" cm="1">
        <f t="array" ref="BZ138">BU138*Linterp(BV$90,atmos_h,atmos_aspeed)</f>
        <v>648.62734198236069</v>
      </c>
      <c r="CA138" s="162">
        <f t="shared" si="26"/>
        <v>4810.8716888982717</v>
      </c>
      <c r="CC138">
        <v>0.67</v>
      </c>
      <c r="CD138" cm="1">
        <f t="array" ref="CD138">numeng*InterpolateXY(CD$90,CC138,Tmax_h,Tmax_M,Tmax_table)</f>
        <v>1791.0216952569444</v>
      </c>
      <c r="CE138" cm="1">
        <f t="array" ref="CE138">1*CD$91/(S*Linterp(CD$90,atmos_h,atmos_qms)*CC138^2)</f>
        <v>0.60776757688108396</v>
      </c>
      <c r="CF138" cm="1">
        <f t="array" ref="CF138">InterpolateXY(CE138,CC138,CD_CL,CD_M,CD_table)</f>
        <v>9.2062198673914769E-2</v>
      </c>
      <c r="CG138" cm="1">
        <f t="array" ref="CG138">CF138*S*Linterp(CD$90,atmos_h,atmos_qms)*CC138^2</f>
        <v>1514.7599539013856</v>
      </c>
      <c r="CH138" cm="1">
        <f t="array" ref="CH138">CC138*Linterp(CD$90,atmos_h,atmos_aspeed)</f>
        <v>648.62734198236069</v>
      </c>
      <c r="CI138" s="162">
        <f t="shared" si="27"/>
        <v>1075.1455139212471</v>
      </c>
      <c r="CK138">
        <v>0.67</v>
      </c>
      <c r="CL138" cm="1">
        <f t="array" ref="CL138">numeng*InterpolateXY(CL$90,CK138,Tmax_h,Tmax_M,Tmax_table)</f>
        <v>1326.8243882883085</v>
      </c>
      <c r="CM138" cm="1">
        <f t="array" ref="CM138">1*CL$91/(S*Linterp(CL$90,atmos_h,atmos_qms)*CK138^2)</f>
        <v>0.77287013564449858</v>
      </c>
      <c r="CN138" cm="1">
        <f t="array" ref="CN138">InterpolateXY(CM138,CK138,CD_CL,CD_M,CD_table)</f>
        <v>0.17501190402598463</v>
      </c>
      <c r="CO138" cm="1">
        <f t="array" ref="CO138">CN138*S*Linterp(CL$90,atmos_h,atmos_qms)*CK138^2</f>
        <v>2264.4412813291292</v>
      </c>
      <c r="CP138" cm="1">
        <f t="array" ref="CP138">CK138*Linterp(CL$90,atmos_h,atmos_aspeed)</f>
        <v>648.62734198236069</v>
      </c>
      <c r="CQ138" s="162">
        <f t="shared" si="28"/>
        <v>-3648.9837187849616</v>
      </c>
    </row>
    <row r="139" spans="9:95">
      <c r="I139">
        <v>0.68</v>
      </c>
      <c r="J139" cm="1">
        <f t="array" ref="J139">numeng*InterpolateXY(J$90,I139,Tmax_h,Tmax_M,Tmax_table)</f>
        <v>7132</v>
      </c>
      <c r="K139" cm="1">
        <f t="array" ref="K139">1*J$91/(S*Linterp(J$90,atmos_h,atmos_qms)*I139^2)</f>
        <v>8.5876512409492262E-2</v>
      </c>
      <c r="L139" cm="1">
        <f t="array" ref="L139">InterpolateXY(K139,I139,CD_CL,CD_M,CD_table)</f>
        <v>1.5913456405118653E-2</v>
      </c>
      <c r="M139" cm="1">
        <f t="array" ref="M139">L139*S*Linterp(J$90,atmos_h,atmos_qms)*I139^2</f>
        <v>1853.0627244428804</v>
      </c>
      <c r="N139" cm="1">
        <f t="array" ref="N139">I139*Linterp(J$90,atmos_h,atmos_aspeed)</f>
        <v>759.18600000000004</v>
      </c>
      <c r="O139" s="162">
        <f t="shared" si="18"/>
        <v>24046.171646886643</v>
      </c>
      <c r="Q139">
        <v>0.68</v>
      </c>
      <c r="R139" cm="1">
        <f t="array" ref="R139">numeng*InterpolateXY(R$90,Q139,Tmax_h,Tmax_M,Tmax_table)</f>
        <v>6496.9771231062032</v>
      </c>
      <c r="S139" cm="1">
        <f t="array" ref="S139">1*R$91/(S*Linterp(R$90,atmos_h,atmos_qms)*Q139^2)</f>
        <v>0.10321112262545677</v>
      </c>
      <c r="T139" cm="1">
        <f t="array" ref="T139">InterpolateXY(S139,Q139,CD_CL,CD_M,CD_table)</f>
        <v>1.6210417098454628E-2</v>
      </c>
      <c r="U139" cm="1">
        <f t="array" ref="U139">T139*S*Linterp(R$90,atmos_h,atmos_qms)*Q139^2</f>
        <v>1570.607574658467</v>
      </c>
      <c r="V139" cm="1">
        <f t="array" ref="V139">Q139*Linterp(R$90,atmos_h,atmos_aspeed)</f>
        <v>746.02284993176897</v>
      </c>
      <c r="W139" s="162">
        <f t="shared" si="19"/>
        <v>22051.105502100374</v>
      </c>
      <c r="Y139">
        <v>0.68</v>
      </c>
      <c r="Z139" cm="1">
        <f t="array" ref="Z139">numeng*InterpolateXY(Z$90,Y139,Tmax_h,Tmax_M,Tmax_table)</f>
        <v>5869.4000444424128</v>
      </c>
      <c r="AA139" cm="1">
        <f t="array" ref="AA139">1*Z$91/(S*Linterp(Z$90,atmos_h,atmos_qms)*Y139^2)</f>
        <v>0.12487442352057926</v>
      </c>
      <c r="AB139" cm="1">
        <f t="array" ref="AB139">InterpolateXY(AA139,Y139,CD_CL,CD_M,CD_table)</f>
        <v>1.7022790882021722E-2</v>
      </c>
      <c r="AC139" cm="1">
        <f t="array" ref="AC139">AB139*S*Linterp(Z$90,atmos_h,atmos_qms)*Y139^2</f>
        <v>1363.192750132406</v>
      </c>
      <c r="AD139" cm="1">
        <f t="array" ref="AD139">Y139*Linterp(Z$90,atmos_h,atmos_aspeed)</f>
        <v>732.62323375978008</v>
      </c>
      <c r="AE139" s="162">
        <f t="shared" si="20"/>
        <v>19808.112959695838</v>
      </c>
      <c r="AG139">
        <v>0.68</v>
      </c>
      <c r="AH139" cm="1">
        <f t="array" ref="AH139">numeng*InterpolateXY(AH$90,AG139,Tmax_h,Tmax_M,Tmax_table)</f>
        <v>5172.2918411445844</v>
      </c>
      <c r="AI139" cm="1">
        <f t="array" ref="AI139">1*AH$91/(S*Linterp(AH$90,atmos_h,atmos_qms)*AG139^2)</f>
        <v>0.1521714578507731</v>
      </c>
      <c r="AJ139" cm="1">
        <f t="array" ref="AJ139">InterpolateXY(AI139,AG139,CD_CL,CD_M,CD_table)</f>
        <v>1.804642966940399E-2</v>
      </c>
      <c r="AK139" cm="1">
        <f t="array" ref="AK139">AJ139*S*Linterp(AH$90,atmos_h,atmos_qms)*AG139^2</f>
        <v>1185.9273693166047</v>
      </c>
      <c r="AL139" cm="1">
        <f t="array" ref="AL139">AG139*Linterp(AH$90,atmos_h,atmos_aspeed)</f>
        <v>718.97393045155388</v>
      </c>
      <c r="AM139" s="162">
        <f t="shared" si="21"/>
        <v>17196.552795135569</v>
      </c>
      <c r="AO139">
        <v>0.68</v>
      </c>
      <c r="AP139" cm="1">
        <f t="array" ref="AP139">numeng*InterpolateXY(AP$90,AO139,Tmax_h,Tmax_M,Tmax_table)</f>
        <v>4524.5872256451048</v>
      </c>
      <c r="AQ139" cm="1">
        <f t="array" ref="AQ139">1*AP$91/(S*Linterp(AP$90,atmos_h,atmos_qms)*AO139^2)</f>
        <v>0.18687404419829542</v>
      </c>
      <c r="AR139" cm="1">
        <f t="array" ref="AR139">InterpolateXY(AQ139,AO139,CD_CL,CD_M,CD_table)</f>
        <v>1.9347776657436078E-2</v>
      </c>
      <c r="AS139" cm="1">
        <f t="array" ref="AS139">AR139*S*Linterp(AP$90,atmos_h,atmos_qms)*AO139^2</f>
        <v>1035.3378255626451</v>
      </c>
      <c r="AT139" cm="1">
        <f t="array" ref="AT139">AO139*Linterp(AP$90,atmos_h,atmos_aspeed)</f>
        <v>705.06043903574289</v>
      </c>
      <c r="AU139" s="162">
        <f t="shared" si="22"/>
        <v>14760.790283564049</v>
      </c>
      <c r="AW139">
        <v>0.68</v>
      </c>
      <c r="AX139" cm="1">
        <f t="array" ref="AX139">numeng*InterpolateXY(AX$90,AW139,Tmax_h,Tmax_M,Tmax_table)</f>
        <v>3927.2669857637093</v>
      </c>
      <c r="AY139" cm="1">
        <f t="array" ref="AY139">1*AX$91/(S*Linterp(AX$90,atmos_h,atmos_qms)*AW139^2)</f>
        <v>0.23141628633221009</v>
      </c>
      <c r="AZ139" cm="1">
        <f t="array" ref="AZ139">InterpolateXY(AY139,AW139,CD_CL,CD_M,CD_table)</f>
        <v>2.1803517895763128E-2</v>
      </c>
      <c r="BA139" cm="1">
        <f t="array" ref="BA139">AZ139*S*Linterp(AX$90,atmos_h,atmos_qms)*AW139^2</f>
        <v>942.17733078920151</v>
      </c>
      <c r="BB139" cm="1">
        <f t="array" ref="BB139">AW139*Linterp(AX$90,atmos_h,atmos_aspeed)</f>
        <v>690.86679810046815</v>
      </c>
      <c r="BC139" s="162">
        <f t="shared" si="23"/>
        <v>12373.795991850415</v>
      </c>
      <c r="BE139">
        <v>0.68</v>
      </c>
      <c r="BF139" cm="1">
        <f t="array" ref="BF139">numeng*InterpolateXY(BF$90,BE139,Tmax_h,Tmax_M,Tmax_table)</f>
        <v>3380.6125782242725</v>
      </c>
      <c r="BG139" cm="1">
        <f t="array" ref="BG139">1*BF$91/(S*Linterp(BF$90,atmos_h,atmos_qms)*BE139^2)</f>
        <v>0.28918504492655567</v>
      </c>
      <c r="BH139" cm="1">
        <f t="array" ref="BH139">InterpolateXY(BG139,BE139,CD_CL,CD_M,CD_table)</f>
        <v>2.5414065307909729E-2</v>
      </c>
      <c r="BI139" cm="1">
        <f t="array" ref="BI139">BH139*S*Linterp(BF$90,atmos_h,atmos_qms)*BE139^2</f>
        <v>878.81672146511369</v>
      </c>
      <c r="BJ139" cm="1">
        <f t="array" ref="BJ139">BE139*Linterp(BF$90,atmos_h,atmos_aspeed)</f>
        <v>676.37537118223895</v>
      </c>
      <c r="BK139" s="162">
        <f t="shared" si="24"/>
        <v>10152.91860742598</v>
      </c>
      <c r="BM139">
        <v>0.68</v>
      </c>
      <c r="BN139" cm="1">
        <f t="array" ref="BN139">numeng*InterpolateXY(BN$90,BM139,Tmax_h,Tmax_M,Tmax_table)</f>
        <v>2884.2728503797871</v>
      </c>
      <c r="BO139" cm="1">
        <f t="array" ref="BO139">1*BN$91/(S*Linterp(BN$90,atmos_h,atmos_qms)*BM139^2)</f>
        <v>0.36495846480218225</v>
      </c>
      <c r="BP139" cm="1">
        <f t="array" ref="BP139">InterpolateXY(BO139,BM139,CD_CL,CD_M,CD_table)</f>
        <v>3.2272862385709332E-2</v>
      </c>
      <c r="BQ139" cm="1">
        <f t="array" ref="BQ139">BP139*S*Linterp(BN$90,atmos_h,atmos_qms)*BM139^2</f>
        <v>884.28863824824907</v>
      </c>
      <c r="BR139" cm="1">
        <f t="array" ref="BR139">BM139*Linterp(BN$90,atmos_h,atmos_aspeed)</f>
        <v>661.5665898201255</v>
      </c>
      <c r="BS139" s="162">
        <f t="shared" si="25"/>
        <v>7938.736409483713</v>
      </c>
      <c r="BU139">
        <v>0.68</v>
      </c>
      <c r="BV139" cm="1">
        <f t="array" ref="BV139">numeng*InterpolateXY(BV$90,BU139,Tmax_h,Tmax_M,Tmax_table)</f>
        <v>2358.3036874904392</v>
      </c>
      <c r="BW139" cm="1">
        <f t="array" ref="BW139">1*BV$91/(S*Linterp(BV$90,atmos_h,atmos_qms)*BU139^2)</f>
        <v>0.4639811203249482</v>
      </c>
      <c r="BX139" cm="1">
        <f t="array" ref="BX139">InterpolateXY(BW139,BU139,CD_CL,CD_M,CD_table)</f>
        <v>5.0100205185314592E-2</v>
      </c>
      <c r="BY139" cm="1">
        <f t="array" ref="BY139">BX139*S*Linterp(BV$90,atmos_h,atmos_qms)*BU139^2</f>
        <v>1079.7897369234984</v>
      </c>
      <c r="BZ139" cm="1">
        <f t="array" ref="BZ139">BU139*Linterp(BV$90,atmos_h,atmos_aspeed)</f>
        <v>658.30834708657505</v>
      </c>
      <c r="CA139" s="162">
        <f t="shared" si="26"/>
        <v>5049.9384331490992</v>
      </c>
      <c r="CC139">
        <v>0.68</v>
      </c>
      <c r="CD139" cm="1">
        <f t="array" ref="CD139">numeng*InterpolateXY(CD$90,CC139,Tmax_h,Tmax_M,Tmax_table)</f>
        <v>1801.8622934988803</v>
      </c>
      <c r="CE139" cm="1">
        <f t="array" ref="CE139">1*CD$91/(S*Linterp(CD$90,atmos_h,atmos_qms)*CC139^2)</f>
        <v>0.59002349753875127</v>
      </c>
      <c r="CF139" cm="1">
        <f t="array" ref="CF139">InterpolateXY(CE139,CC139,CD_CL,CD_M,CD_table)</f>
        <v>8.5517354729629139E-2</v>
      </c>
      <c r="CG139" cm="1">
        <f t="array" ref="CG139">CF139*S*Linterp(CD$90,atmos_h,atmos_qms)*CC139^2</f>
        <v>1449.3889664794674</v>
      </c>
      <c r="CH139" cm="1">
        <f t="array" ref="CH139">CC139*Linterp(CD$90,atmos_h,atmos_aspeed)</f>
        <v>658.30834708657505</v>
      </c>
      <c r="CI139" s="162">
        <f t="shared" si="27"/>
        <v>1392.216799813533</v>
      </c>
      <c r="CK139">
        <v>0.68</v>
      </c>
      <c r="CL139" cm="1">
        <f t="array" ref="CL139">numeng*InterpolateXY(CL$90,CK139,Tmax_h,Tmax_M,Tmax_table)</f>
        <v>1334.1313605964588</v>
      </c>
      <c r="CM139" cm="1">
        <f t="array" ref="CM139">1*CL$91/(S*Linterp(CL$90,atmos_h,atmos_qms)*CK139^2)</f>
        <v>0.75030580426214399</v>
      </c>
      <c r="CN139" cm="1">
        <f t="array" ref="CN139">InterpolateXY(CM139,CK139,CD_CL,CD_M,CD_table)</f>
        <v>0.16181565212387974</v>
      </c>
      <c r="CO139" cm="1">
        <f t="array" ref="CO139">CN139*S*Linterp(CL$90,atmos_h,atmos_qms)*CK139^2</f>
        <v>2156.6626728019301</v>
      </c>
      <c r="CP139" cm="1">
        <f t="array" ref="CP139">CK139*Linterp(CL$90,atmos_h,atmos_aspeed)</f>
        <v>658.30834708657505</v>
      </c>
      <c r="CQ139" s="162">
        <f t="shared" si="28"/>
        <v>-3248.8753713896122</v>
      </c>
    </row>
    <row r="140" spans="9:95">
      <c r="I140">
        <v>0.69</v>
      </c>
      <c r="J140" cm="1">
        <f t="array" ref="J140">numeng*InterpolateXY(J$90,I140,Tmax_h,Tmax_M,Tmax_table)</f>
        <v>7156</v>
      </c>
      <c r="K140" cm="1">
        <f t="array" ref="K140">1*J$91/(S*Linterp(J$90,atmos_h,atmos_qms)*I140^2)</f>
        <v>8.3405375631483369E-2</v>
      </c>
      <c r="L140" cm="1">
        <f t="array" ref="L140">InterpolateXY(K140,I140,CD_CL,CD_M,CD_table)</f>
        <v>1.5862567195393543E-2</v>
      </c>
      <c r="M140" cm="1">
        <f t="array" ref="M140">L140*S*Linterp(J$90,atmos_h,atmos_qms)*I140^2</f>
        <v>1901.8638877043597</v>
      </c>
      <c r="N140" cm="1">
        <f t="array" ref="N140">I140*Linterp(J$90,atmos_h,atmos_aspeed)</f>
        <v>770.35050000000001</v>
      </c>
      <c r="O140" s="162">
        <f t="shared" si="18"/>
        <v>24285.158287050017</v>
      </c>
      <c r="Q140">
        <v>0.69</v>
      </c>
      <c r="R140" cm="1">
        <f t="array" ref="R140">numeng*InterpolateXY(R$90,Q140,Tmax_h,Tmax_M,Tmax_table)</f>
        <v>6522.8271647100737</v>
      </c>
      <c r="S140" cm="1">
        <f t="array" ref="S140">1*R$91/(S*Linterp(R$90,atmos_h,atmos_qms)*Q140^2)</f>
        <v>0.10024117433734768</v>
      </c>
      <c r="T140" cm="1">
        <f t="array" ref="T140">InterpolateXY(S140,Q140,CD_CL,CD_M,CD_table)</f>
        <v>1.607904403765054E-2</v>
      </c>
      <c r="U140" cm="1">
        <f t="array" ref="U140">T140*S*Linterp(R$90,atmos_h,atmos_qms)*Q140^2</f>
        <v>1604.0358808585743</v>
      </c>
      <c r="V140" cm="1">
        <f t="array" ref="V140">Q140*Linterp(R$90,atmos_h,atmos_aspeed)</f>
        <v>756.99377419547136</v>
      </c>
      <c r="W140" s="162">
        <f t="shared" si="19"/>
        <v>22340.966270655208</v>
      </c>
      <c r="Y140">
        <v>0.69</v>
      </c>
      <c r="Z140" cm="1">
        <f t="array" ref="Z140">numeng*InterpolateXY(Z$90,Y140,Tmax_h,Tmax_M,Tmax_table)</f>
        <v>5895.985147814321</v>
      </c>
      <c r="AA140" cm="1">
        <f t="array" ref="AA140">1*Z$91/(S*Linterp(Z$90,atmos_h,atmos_qms)*Y140^2)</f>
        <v>0.12128110362511212</v>
      </c>
      <c r="AB140" cm="1">
        <f t="array" ref="AB140">InterpolateXY(AA140,Y140,CD_CL,CD_M,CD_table)</f>
        <v>1.6868041385941706E-2</v>
      </c>
      <c r="AC140" cm="1">
        <f t="array" ref="AC140">AB140*S*Linterp(Z$90,atmos_h,atmos_qms)*Y140^2</f>
        <v>1390.8218907771434</v>
      </c>
      <c r="AD140" cm="1">
        <f t="array" ref="AD140">Y140*Linterp(Z$90,atmos_h,atmos_aspeed)</f>
        <v>743.39710484448267</v>
      </c>
      <c r="AE140" s="162">
        <f t="shared" si="20"/>
        <v>20094.751932799067</v>
      </c>
      <c r="AG140">
        <v>0.69</v>
      </c>
      <c r="AH140" cm="1">
        <f t="array" ref="AH140">numeng*InterpolateXY(AH$90,AG140,Tmax_h,Tmax_M,Tmax_table)</f>
        <v>5197.461144507819</v>
      </c>
      <c r="AI140" cm="1">
        <f t="array" ref="AI140">1*AH$91/(S*Linterp(AH$90,atmos_h,atmos_qms)*AG140^2)</f>
        <v>0.14779265303549152</v>
      </c>
      <c r="AJ140" cm="1">
        <f t="array" ref="AJ140">InterpolateXY(AI140,AG140,CD_CL,CD_M,CD_table)</f>
        <v>1.7862224488830934E-2</v>
      </c>
      <c r="AK140" cm="1">
        <f t="array" ref="AK140">AJ140*S*Linterp(AH$90,atmos_h,atmos_qms)*AG140^2</f>
        <v>1208.600300621265</v>
      </c>
      <c r="AL140" cm="1">
        <f t="array" ref="AL140">AG140*Linterp(AH$90,atmos_h,atmos_aspeed)</f>
        <v>729.54707648760609</v>
      </c>
      <c r="AM140" s="162">
        <f t="shared" si="21"/>
        <v>17460.370603039926</v>
      </c>
      <c r="AO140">
        <v>0.69</v>
      </c>
      <c r="AP140" cm="1">
        <f t="array" ref="AP140">numeng*InterpolateXY(AP$90,AO140,Tmax_h,Tmax_M,Tmax_table)</f>
        <v>4548.0306827727991</v>
      </c>
      <c r="AQ140" cm="1">
        <f t="array" ref="AQ140">1*AP$91/(S*Linterp(AP$90,atmos_h,atmos_qms)*AO140^2)</f>
        <v>0.18149665624299902</v>
      </c>
      <c r="AR140" cm="1">
        <f t="array" ref="AR140">InterpolateXY(AQ140,AO140,CD_CL,CD_M,CD_table)</f>
        <v>1.9126124609112463E-2</v>
      </c>
      <c r="AS140" cm="1">
        <f t="array" ref="AS140">AR140*S*Linterp(AP$90,atmos_h,atmos_qms)*AO140^2</f>
        <v>1053.8003842619128</v>
      </c>
      <c r="AT140" cm="1">
        <f t="array" ref="AT140">AO140*Linterp(AP$90,atmos_h,atmos_aspeed)</f>
        <v>715.42897490391556</v>
      </c>
      <c r="AU140" s="162">
        <f t="shared" si="22"/>
        <v>14999.241603251079</v>
      </c>
      <c r="AW140">
        <v>0.69</v>
      </c>
      <c r="AX140" cm="1">
        <f t="array" ref="AX140">numeng*InterpolateXY(AX$90,AW140,Tmax_h,Tmax_M,Tmax_table)</f>
        <v>3948.7764352521458</v>
      </c>
      <c r="AY140" cm="1">
        <f t="array" ref="AY140">1*AX$91/(S*Linterp(AX$90,atmos_h,atmos_qms)*AW140^2)</f>
        <v>0.22475717454319255</v>
      </c>
      <c r="AZ140" cm="1">
        <f t="array" ref="AZ140">InterpolateXY(AY140,AW140,CD_CL,CD_M,CD_table)</f>
        <v>2.1367323408949535E-2</v>
      </c>
      <c r="BA140" cm="1">
        <f t="array" ref="BA140">AZ140*S*Linterp(AX$90,atmos_h,atmos_qms)*AW140^2</f>
        <v>950.68482029005406</v>
      </c>
      <c r="BB140" cm="1">
        <f t="array" ref="BB140">AW140*Linterp(AX$90,atmos_h,atmos_aspeed)</f>
        <v>701.0266039548867</v>
      </c>
      <c r="BC140" s="162">
        <f t="shared" si="23"/>
        <v>12610.451899094982</v>
      </c>
      <c r="BE140">
        <v>0.69</v>
      </c>
      <c r="BF140" cm="1">
        <f t="array" ref="BF140">numeng*InterpolateXY(BF$90,BE140,Tmax_h,Tmax_M,Tmax_table)</f>
        <v>3400.0671880148502</v>
      </c>
      <c r="BG140" cm="1">
        <f t="array" ref="BG140">1*BF$91/(S*Linterp(BF$90,atmos_h,atmos_qms)*BE140^2)</f>
        <v>0.28086361011140387</v>
      </c>
      <c r="BH140" cm="1">
        <f t="array" ref="BH140">InterpolateXY(BG140,BE140,CD_CL,CD_M,CD_table)</f>
        <v>2.4873975631962742E-2</v>
      </c>
      <c r="BI140" cm="1">
        <f t="array" ref="BI140">BH140*S*Linterp(BF$90,atmos_h,atmos_qms)*BE140^2</f>
        <v>885.62472091334803</v>
      </c>
      <c r="BJ140" cm="1">
        <f t="array" ref="BJ140">BE140*Linterp(BF$90,atmos_h,atmos_aspeed)</f>
        <v>686.32206781727177</v>
      </c>
      <c r="BK140" s="162">
        <f t="shared" si="24"/>
        <v>10354.304120571991</v>
      </c>
      <c r="BM140">
        <v>0.69</v>
      </c>
      <c r="BN140" cm="1">
        <f t="array" ref="BN140">numeng*InterpolateXY(BN$90,BM140,Tmax_h,Tmax_M,Tmax_table)</f>
        <v>2901.6255877692656</v>
      </c>
      <c r="BO140" cm="1">
        <f t="array" ref="BO140">1*BN$91/(S*Linterp(BN$90,atmos_h,atmos_qms)*BM140^2)</f>
        <v>0.35445661441825066</v>
      </c>
      <c r="BP140" cm="1">
        <f t="array" ref="BP140">InterpolateXY(BO140,BM140,CD_CL,CD_M,CD_table)</f>
        <v>3.0764225093787033E-2</v>
      </c>
      <c r="BQ140" cm="1">
        <f t="array" ref="BQ140">BP140*S*Linterp(BN$90,atmos_h,atmos_qms)*BM140^2</f>
        <v>867.92639331272164</v>
      </c>
      <c r="BR140" cm="1">
        <f t="array" ref="BR140">BM140*Linterp(BN$90,atmos_h,atmos_aspeed)</f>
        <v>671.29551025865669</v>
      </c>
      <c r="BS140" s="162">
        <f t="shared" si="25"/>
        <v>8191.2788307319488</v>
      </c>
      <c r="BU140">
        <v>0.69</v>
      </c>
      <c r="BV140" cm="1">
        <f t="array" ref="BV140">numeng*InterpolateXY(BV$90,BU140,Tmax_h,Tmax_M,Tmax_table)</f>
        <v>2373.0738567231556</v>
      </c>
      <c r="BW140" cm="1">
        <f t="array" ref="BW140">1*BV$91/(S*Linterp(BV$90,atmos_h,atmos_qms)*BU140^2)</f>
        <v>0.45062984675122064</v>
      </c>
      <c r="BX140" cm="1">
        <f t="array" ref="BX140">InterpolateXY(BW140,BU140,CD_CL,CD_M,CD_table)</f>
        <v>4.7396599196995348E-2</v>
      </c>
      <c r="BY140" cm="1">
        <f t="array" ref="BY140">BX140*S*Linterp(BV$90,atmos_h,atmos_qms)*BU140^2</f>
        <v>1051.7856182562539</v>
      </c>
      <c r="BZ140" cm="1">
        <f t="array" ref="BZ140">BU140*Linterp(BV$90,atmos_h,atmos_aspeed)</f>
        <v>667.9893521907893</v>
      </c>
      <c r="CA140" s="162">
        <f t="shared" si="26"/>
        <v>5295.6388468248888</v>
      </c>
      <c r="CC140">
        <v>0.69</v>
      </c>
      <c r="CD140" cm="1">
        <f t="array" ref="CD140">numeng*InterpolateXY(CD$90,CC140,Tmax_h,Tmax_M,Tmax_table)</f>
        <v>1812.7028917408159</v>
      </c>
      <c r="CE140" cm="1">
        <f t="array" ref="CE140">1*CD$91/(S*Linterp(CD$90,atmos_h,atmos_qms)*CC140^2)</f>
        <v>0.57304529565620399</v>
      </c>
      <c r="CF140" cm="1">
        <f t="array" ref="CF140">InterpolateXY(CE140,CC140,CD_CL,CD_M,CD_table)</f>
        <v>8.0183177540391851E-2</v>
      </c>
      <c r="CG140" cm="1">
        <f t="array" ref="CG140">CF140*S*Linterp(CD$90,atmos_h,atmos_qms)*CC140^2</f>
        <v>1399.2467637060474</v>
      </c>
      <c r="CH140" cm="1">
        <f t="array" ref="CH140">CC140*Linterp(CD$90,atmos_h,atmos_aspeed)</f>
        <v>667.9893521907893</v>
      </c>
      <c r="CI140" s="162">
        <f t="shared" si="27"/>
        <v>1657.1057467515418</v>
      </c>
      <c r="CK140">
        <v>0.69</v>
      </c>
      <c r="CL140" cm="1">
        <f t="array" ref="CL140">numeng*InterpolateXY(CL$90,CK140,Tmax_h,Tmax_M,Tmax_table)</f>
        <v>1341.4383329046093</v>
      </c>
      <c r="CM140" cm="1">
        <f t="array" ref="CM140">1*CL$91/(S*Linterp(CL$90,atmos_h,atmos_qms)*CK140^2)</f>
        <v>0.72871540409749114</v>
      </c>
      <c r="CN140" cm="1">
        <f t="array" ref="CN140">InterpolateXY(CM140,CK140,CD_CL,CD_M,CD_table)</f>
        <v>0.14918811918101674</v>
      </c>
      <c r="CO140" cm="1">
        <f t="array" ref="CO140">CN140*S*Linterp(CL$90,atmos_h,atmos_qms)*CK140^2</f>
        <v>2047.2754979810693</v>
      </c>
      <c r="CP140" cm="1">
        <f t="array" ref="CP140">CK140*Linterp(CL$90,atmos_h,atmos_aspeed)</f>
        <v>667.9893521907893</v>
      </c>
      <c r="CQ140" s="162">
        <f t="shared" si="28"/>
        <v>-2828.9502639096463</v>
      </c>
    </row>
    <row r="141" spans="9:95">
      <c r="I141">
        <v>0.7</v>
      </c>
      <c r="J141" cm="1">
        <f t="array" ref="J141">numeng*InterpolateXY(J$90,I141,Tmax_h,Tmax_M,Tmax_table)</f>
        <v>7180</v>
      </c>
      <c r="K141" cm="1">
        <f t="array" ref="K141">1*J$91/(S*Linterp(J$90,atmos_h,atmos_qms)*I141^2)</f>
        <v>8.1039386404386182E-2</v>
      </c>
      <c r="L141" cm="1">
        <f t="array" ref="L141">InterpolateXY(K141,I141,CD_CL,CD_M,CD_table)</f>
        <v>1.5812992330054829E-2</v>
      </c>
      <c r="M141" cm="1">
        <f t="array" ref="M141">L141*S*Linterp(J$90,atmos_h,atmos_qms)*I141^2</f>
        <v>1951.2724653600001</v>
      </c>
      <c r="N141" cm="1">
        <f t="array" ref="N141">I141*Linterp(J$90,atmos_h,atmos_aspeed)</f>
        <v>781.51499999999999</v>
      </c>
      <c r="O141" s="162">
        <f t="shared" si="18"/>
        <v>24517.973995405078</v>
      </c>
      <c r="Q141">
        <v>0.7</v>
      </c>
      <c r="R141" cm="1">
        <f t="array" ref="R141">numeng*InterpolateXY(R$90,Q141,Tmax_h,Tmax_M,Tmax_table)</f>
        <v>6548.6772063139442</v>
      </c>
      <c r="S141" cm="1">
        <f t="array" ref="S141">1*R$91/(S*Linterp(R$90,atmos_h,atmos_qms)*Q141^2)</f>
        <v>9.7397598167369842E-2</v>
      </c>
      <c r="T141" cm="1">
        <f t="array" ref="T141">InterpolateXY(S141,Q141,CD_CL,CD_M,CD_table)</f>
        <v>1.6017469977092125E-2</v>
      </c>
      <c r="U141" cm="1">
        <f t="array" ref="U141">T141*S*Linterp(R$90,atmos_h,atmos_qms)*Q141^2</f>
        <v>1644.5446580281587</v>
      </c>
      <c r="V141" cm="1">
        <f t="array" ref="V141">Q141*Linterp(R$90,atmos_h,atmos_aspeed)</f>
        <v>767.96469845917386</v>
      </c>
      <c r="W141" s="162">
        <f t="shared" si="19"/>
        <v>22597.204041888683</v>
      </c>
      <c r="Y141">
        <v>0.7</v>
      </c>
      <c r="Z141" cm="1">
        <f t="array" ref="Z141">numeng*InterpolateXY(Z$90,Y141,Tmax_h,Tmax_M,Tmax_table)</f>
        <v>5922.5702511862291</v>
      </c>
      <c r="AA141" cm="1">
        <f t="array" ref="AA141">1*Z$91/(S*Linterp(Z$90,atmos_h,atmos_qms)*Y141^2)</f>
        <v>0.11784068048146094</v>
      </c>
      <c r="AB141" cm="1">
        <f t="array" ref="AB141">InterpolateXY(AA141,Y141,CD_CL,CD_M,CD_table)</f>
        <v>1.6719025518054789E-2</v>
      </c>
      <c r="AC141" cm="1">
        <f t="array" ref="AC141">AB141*S*Linterp(Z$90,atmos_h,atmos_qms)*Y141^2</f>
        <v>1418.7821599252457</v>
      </c>
      <c r="AD141" cm="1">
        <f t="array" ref="AD141">Y141*Linterp(Z$90,atmos_h,atmos_aspeed)</f>
        <v>754.17097592918537</v>
      </c>
      <c r="AE141" s="162">
        <f t="shared" si="20"/>
        <v>20379.757560987233</v>
      </c>
      <c r="AG141">
        <v>0.7</v>
      </c>
      <c r="AH141" cm="1">
        <f t="array" ref="AH141">numeng*InterpolateXY(AH$90,AG141,Tmax_h,Tmax_M,Tmax_table)</f>
        <v>5222.6304478710526</v>
      </c>
      <c r="AI141" cm="1">
        <f t="array" ref="AI141">1*AH$91/(S*Linterp(AH$90,atmos_h,atmos_qms)*AG141^2)</f>
        <v>0.14360016757183164</v>
      </c>
      <c r="AJ141" cm="1">
        <f t="array" ref="AJ141">InterpolateXY(AI141,AG141,CD_CL,CD_M,CD_table)</f>
        <v>1.7685006283943688E-2</v>
      </c>
      <c r="AK141" cm="1">
        <f t="array" ref="AK141">AJ141*S*Linterp(AH$90,atmos_h,atmos_qms)*AG141^2</f>
        <v>1231.5449614706961</v>
      </c>
      <c r="AL141" cm="1">
        <f t="array" ref="AL141">AG141*Linterp(AH$90,atmos_h,atmos_aspeed)</f>
        <v>740.1202225236583</v>
      </c>
      <c r="AM141" s="162">
        <f t="shared" si="21"/>
        <v>17723.298469833451</v>
      </c>
      <c r="AO141">
        <v>0.7</v>
      </c>
      <c r="AP141" cm="1">
        <f t="array" ref="AP141">numeng*InterpolateXY(AP$90,AO141,Tmax_h,Tmax_M,Tmax_table)</f>
        <v>4571.4741399004943</v>
      </c>
      <c r="AQ141" cm="1">
        <f t="array" ref="AQ141">1*AP$91/(S*Linterp(AP$90,atmos_h,atmos_qms)*AO141^2)</f>
        <v>0.17634807762712618</v>
      </c>
      <c r="AR141" cm="1">
        <f t="array" ref="AR141">InterpolateXY(AQ141,AO141,CD_CL,CD_M,CD_table)</f>
        <v>1.8913052911017234E-2</v>
      </c>
      <c r="AS141" cm="1">
        <f t="array" ref="AS141">AR141*S*Linterp(AP$90,atmos_h,atmos_qms)*AO141^2</f>
        <v>1072.4842122184832</v>
      </c>
      <c r="AT141" cm="1">
        <f t="array" ref="AT141">AO141*Linterp(AP$90,atmos_h,atmos_aspeed)</f>
        <v>725.79751077208823</v>
      </c>
      <c r="AU141" s="162">
        <f t="shared" si="22"/>
        <v>15237.349078369278</v>
      </c>
      <c r="AW141">
        <v>0.7</v>
      </c>
      <c r="AX141" cm="1">
        <f t="array" ref="AX141">numeng*InterpolateXY(AX$90,AW141,Tmax_h,Tmax_M,Tmax_table)</f>
        <v>3970.2858847405823</v>
      </c>
      <c r="AY141" cm="1">
        <f t="array" ref="AY141">1*AX$91/(S*Linterp(AX$90,atmos_h,atmos_qms)*AW141^2)</f>
        <v>0.21838140979594692</v>
      </c>
      <c r="AZ141" cm="1">
        <f t="array" ref="AZ141">InterpolateXY(AY141,AW141,CD_CL,CD_M,CD_table)</f>
        <v>2.0948838112246682E-2</v>
      </c>
      <c r="BA141" cm="1">
        <f t="array" ref="BA141">AZ141*S*Linterp(AX$90,atmos_h,atmos_qms)*AW141^2</f>
        <v>959.27753794707337</v>
      </c>
      <c r="BB141" cm="1">
        <f t="array" ref="BB141">AW141*Linterp(AX$90,atmos_h,atmos_aspeed)</f>
        <v>711.18640980930536</v>
      </c>
      <c r="BC141" s="162">
        <f t="shared" si="23"/>
        <v>12848.329296371567</v>
      </c>
      <c r="BE141">
        <v>0.7</v>
      </c>
      <c r="BF141" cm="1">
        <f t="array" ref="BF141">numeng*InterpolateXY(BF$90,BE141,Tmax_h,Tmax_M,Tmax_table)</f>
        <v>3419.5217978054284</v>
      </c>
      <c r="BG141" cm="1">
        <f t="array" ref="BG141">1*BF$91/(S*Linterp(BF$90,atmos_h,atmos_qms)*BE141^2)</f>
        <v>0.27289625464089667</v>
      </c>
      <c r="BH141" cm="1">
        <f t="array" ref="BH141">InterpolateXY(BG141,BE141,CD_CL,CD_M,CD_table)</f>
        <v>2.4356015915056043E-2</v>
      </c>
      <c r="BI141" cm="1">
        <f t="array" ref="BI141">BH141*S*Linterp(BF$90,atmos_h,atmos_qms)*BE141^2</f>
        <v>892.50092300116194</v>
      </c>
      <c r="BJ141" cm="1">
        <f t="array" ref="BJ141">BE141*Linterp(BF$90,atmos_h,atmos_aspeed)</f>
        <v>696.26876445230471</v>
      </c>
      <c r="BK141" s="162">
        <f t="shared" si="24"/>
        <v>10556.914213470893</v>
      </c>
      <c r="BM141">
        <v>0.7</v>
      </c>
      <c r="BN141" cm="1">
        <f t="array" ref="BN141">numeng*InterpolateXY(BN$90,BM141,Tmax_h,Tmax_M,Tmax_table)</f>
        <v>2918.9783251587442</v>
      </c>
      <c r="BO141" cm="1">
        <f t="array" ref="BO141">1*BN$91/(S*Linterp(BN$90,atmos_h,atmos_qms)*BM141^2)</f>
        <v>0.34440162066230434</v>
      </c>
      <c r="BP141" cm="1">
        <f t="array" ref="BP141">InterpolateXY(BO141,BM141,CD_CL,CD_M,CD_table)</f>
        <v>2.9657631678812229E-2</v>
      </c>
      <c r="BQ141" cm="1">
        <f t="array" ref="BQ141">BP141*S*Linterp(BN$90,atmos_h,atmos_qms)*BM141^2</f>
        <v>861.13507891684367</v>
      </c>
      <c r="BR141" cm="1">
        <f t="array" ref="BR141">BM141*Linterp(BN$90,atmos_h,atmos_aspeed)</f>
        <v>681.02443069718788</v>
      </c>
      <c r="BS141" s="162">
        <f t="shared" si="25"/>
        <v>8408.6491514156587</v>
      </c>
      <c r="BU141">
        <v>0.7</v>
      </c>
      <c r="BV141" cm="1">
        <f t="array" ref="BV141">numeng*InterpolateXY(BV$90,BU141,Tmax_h,Tmax_M,Tmax_table)</f>
        <v>2387.8440259558724</v>
      </c>
      <c r="BW141" cm="1">
        <f t="array" ref="BW141">1*BV$91/(S*Linterp(BV$90,atmos_h,atmos_qms)*BU141^2)</f>
        <v>0.43784667354746148</v>
      </c>
      <c r="BX141" cm="1">
        <f t="array" ref="BX141">InterpolateXY(BW141,BU141,CD_CL,CD_M,CD_table)</f>
        <v>4.4807181383039761E-2</v>
      </c>
      <c r="BY141" cm="1">
        <f t="array" ref="BY141">BX141*S*Linterp(BV$90,atmos_h,atmos_qms)*BU141^2</f>
        <v>1023.3532441849824</v>
      </c>
      <c r="BZ141" cm="1">
        <f t="array" ref="BZ141">BU141*Linterp(BV$90,atmos_h,atmos_aspeed)</f>
        <v>677.67035729500367</v>
      </c>
      <c r="CA141" s="162">
        <f t="shared" si="26"/>
        <v>5548.0497336505068</v>
      </c>
      <c r="CC141">
        <v>0.7</v>
      </c>
      <c r="CD141" cm="1">
        <f t="array" ref="CD141">numeng*InterpolateXY(CD$90,CC141,Tmax_h,Tmax_M,Tmax_table)</f>
        <v>1823.5434899827515</v>
      </c>
      <c r="CE141" cm="1">
        <f t="array" ref="CE141">1*CD$91/(S*Linterp(CD$90,atmos_h,atmos_qms)*CC141^2)</f>
        <v>0.5567895209426913</v>
      </c>
      <c r="CF141" cm="1">
        <f t="array" ref="CF141">InterpolateXY(CE141,CC141,CD_CL,CD_M,CD_table)</f>
        <v>7.5075120055062367E-2</v>
      </c>
      <c r="CG141" cm="1">
        <f t="array" ref="CG141">CF141*S*Linterp(CD$90,atmos_h,atmos_qms)*CC141^2</f>
        <v>1348.3572738214239</v>
      </c>
      <c r="CH141" cm="1">
        <f t="array" ref="CH141">CC141*Linterp(CD$90,atmos_h,atmos_aspeed)</f>
        <v>677.67035729500367</v>
      </c>
      <c r="CI141" s="162">
        <f t="shared" si="27"/>
        <v>1932.1176773262464</v>
      </c>
      <c r="CK141">
        <v>0.7</v>
      </c>
      <c r="CL141" cm="1">
        <f t="array" ref="CL141">numeng*InterpolateXY(CL$90,CK141,Tmax_h,Tmax_M,Tmax_table)</f>
        <v>1348.7453052127596</v>
      </c>
      <c r="CM141" cm="1">
        <f t="array" ref="CM141">1*CL$91/(S*Linterp(CL$90,atmos_h,atmos_qms)*CK141^2)</f>
        <v>0.70804368140982754</v>
      </c>
      <c r="CN141" cm="1">
        <f t="array" ref="CN141">InterpolateXY(CM141,CK141,CD_CL,CD_M,CD_table)</f>
        <v>0.13709704023931538</v>
      </c>
      <c r="CO141" cm="1">
        <f t="array" ref="CO141">CN141*S*Linterp(CL$90,atmos_h,atmos_qms)*CK141^2</f>
        <v>1936.2794109868105</v>
      </c>
      <c r="CP141" cm="1">
        <f t="array" ref="CP141">CK141*Linterp(CL$90,atmos_h,atmos_aspeed)</f>
        <v>677.67035729500367</v>
      </c>
      <c r="CQ141" s="162">
        <f t="shared" si="28"/>
        <v>-2388.9266842974093</v>
      </c>
    </row>
    <row r="142" spans="9:95">
      <c r="I142">
        <v>0.71</v>
      </c>
      <c r="J142" cm="1">
        <f t="array" ref="J142">numeng*InterpolateXY(J$90,I142,Tmax_h,Tmax_M,Tmax_table)</f>
        <v>7204</v>
      </c>
      <c r="K142" cm="1">
        <f t="array" ref="K142">1*J$91/(S*Linterp(J$90,atmos_h,atmos_qms)*I142^2)</f>
        <v>7.8772662841002233E-2</v>
      </c>
      <c r="L142" cm="1">
        <f t="array" ref="L142">InterpolateXY(K142,I142,CD_CL,CD_M,CD_table)</f>
        <v>1.5764658285512531E-2</v>
      </c>
      <c r="M142" cm="1">
        <f t="array" ref="M142">L142*S*Linterp(J$90,atmos_h,atmos_qms)*I142^2</f>
        <v>2001.2854354476403</v>
      </c>
      <c r="N142" cm="1">
        <f t="array" ref="N142">I142*Linterp(J$90,atmos_h,atmos_aspeed)</f>
        <v>792.67949999999996</v>
      </c>
      <c r="O142" s="162">
        <f t="shared" si="18"/>
        <v>24744.51107803249</v>
      </c>
      <c r="Q142">
        <v>0.71</v>
      </c>
      <c r="R142" cm="1">
        <f t="array" ref="R142">numeng*InterpolateXY(R$90,Q142,Tmax_h,Tmax_M,Tmax_table)</f>
        <v>6574.5272479178147</v>
      </c>
      <c r="S142" cm="1">
        <f t="array" ref="S142">1*R$91/(S*Linterp(R$90,atmos_h,atmos_qms)*Q142^2)</f>
        <v>9.4673324939518397E-2</v>
      </c>
      <c r="T142" cm="1">
        <f t="array" ref="T142">InterpolateXY(S142,Q142,CD_CL,CD_M,CD_table)</f>
        <v>1.5963416561743982E-2</v>
      </c>
      <c r="U142" cm="1">
        <f t="array" ref="U142">T142*S*Linterp(R$90,atmos_h,atmos_qms)*Q142^2</f>
        <v>1686.1578033666965</v>
      </c>
      <c r="V142" cm="1">
        <f t="array" ref="V142">Q142*Linterp(R$90,atmos_h,atmos_aspeed)</f>
        <v>778.93562272287636</v>
      </c>
      <c r="W142" s="162">
        <f t="shared" si="19"/>
        <v>22846.35058434544</v>
      </c>
      <c r="Y142">
        <v>0.71</v>
      </c>
      <c r="Z142" cm="1">
        <f t="array" ref="Z142">numeng*InterpolateXY(Z$90,Y142,Tmax_h,Tmax_M,Tmax_table)</f>
        <v>5949.1553545581373</v>
      </c>
      <c r="AA142" cm="1">
        <f t="array" ref="AA142">1*Z$91/(S*Linterp(Z$90,atmos_h,atmos_qms)*Y142^2)</f>
        <v>0.11454460114246352</v>
      </c>
      <c r="AB142" cm="1">
        <f t="array" ref="AB142">InterpolateXY(AA142,Y142,CD_CL,CD_M,CD_table)</f>
        <v>1.6575422542842385E-2</v>
      </c>
      <c r="AC142" cm="1">
        <f t="array" ref="AC142">AB142*S*Linterp(Z$90,atmos_h,atmos_qms)*Y142^2</f>
        <v>1447.0714793643476</v>
      </c>
      <c r="AD142" cm="1">
        <f t="array" ref="AD142">Y142*Linterp(Z$90,atmos_h,atmos_aspeed)</f>
        <v>764.94484701388797</v>
      </c>
      <c r="AE142" s="162">
        <f t="shared" si="20"/>
        <v>20663.075166922834</v>
      </c>
      <c r="AG142">
        <v>0.71</v>
      </c>
      <c r="AH142" cm="1">
        <f t="array" ref="AH142">numeng*InterpolateXY(AH$90,AG142,Tmax_h,Tmax_M,Tmax_table)</f>
        <v>5247.7997512342863</v>
      </c>
      <c r="AI142" cm="1">
        <f t="array" ref="AI142">1*AH$91/(S*Linterp(AH$90,atmos_h,atmos_qms)*AG142^2)</f>
        <v>0.13958357887363121</v>
      </c>
      <c r="AJ142" cm="1">
        <f t="array" ref="AJ142">InterpolateXY(AI142,AG142,CD_CL,CD_M,CD_table)</f>
        <v>1.7514384207761174E-2</v>
      </c>
      <c r="AK142" cm="1">
        <f t="array" ref="AK142">AJ142*S*Linterp(AH$90,atmos_h,atmos_qms)*AG142^2</f>
        <v>1254.7596464493447</v>
      </c>
      <c r="AL142" cm="1">
        <f t="array" ref="AL142">AG142*Linterp(AH$90,atmos_h,atmos_aspeed)</f>
        <v>750.69336855971062</v>
      </c>
      <c r="AM142" s="162">
        <f t="shared" si="21"/>
        <v>17985.292362330169</v>
      </c>
      <c r="AO142">
        <v>0.71</v>
      </c>
      <c r="AP142" cm="1">
        <f t="array" ref="AP142">numeng*InterpolateXY(AP$90,AO142,Tmax_h,Tmax_M,Tmax_table)</f>
        <v>4594.9175970281894</v>
      </c>
      <c r="AQ142" cm="1">
        <f t="array" ref="AQ142">1*AP$91/(S*Linterp(AP$90,atmos_h,atmos_qms)*AO142^2)</f>
        <v>0.1714155089015906</v>
      </c>
      <c r="AR142" cm="1">
        <f t="array" ref="AR142">InterpolateXY(AQ142,AO142,CD_CL,CD_M,CD_table)</f>
        <v>1.8708081583809651E-2</v>
      </c>
      <c r="AS142" cm="1">
        <f t="array" ref="AS142">AR142*S*Linterp(AP$90,atmos_h,atmos_qms)*AO142^2</f>
        <v>1091.3879207131683</v>
      </c>
      <c r="AT142" cm="1">
        <f t="array" ref="AT142">AO142*Linterp(AP$90,atmos_h,atmos_aspeed)</f>
        <v>736.1660466402609</v>
      </c>
      <c r="AU142" s="162">
        <f t="shared" si="22"/>
        <v>15475.07754659797</v>
      </c>
      <c r="AW142">
        <v>0.71</v>
      </c>
      <c r="AX142" cm="1">
        <f t="array" ref="AX142">numeng*InterpolateXY(AX$90,AW142,Tmax_h,Tmax_M,Tmax_table)</f>
        <v>3991.7953342290189</v>
      </c>
      <c r="AY142" cm="1">
        <f t="array" ref="AY142">1*AX$91/(S*Linterp(AX$90,atmos_h,atmos_qms)*AW142^2)</f>
        <v>0.21227314183696483</v>
      </c>
      <c r="AZ142" cm="1">
        <f t="array" ref="AZ142">InterpolateXY(AY142,AW142,CD_CL,CD_M,CD_table)</f>
        <v>2.0547071364810304E-2</v>
      </c>
      <c r="BA142" cm="1">
        <f t="array" ref="BA142">AZ142*S*Linterp(AX$90,atmos_h,atmos_qms)*AW142^2</f>
        <v>967.95436233715168</v>
      </c>
      <c r="BB142" cm="1">
        <f t="array" ref="BB142">AW142*Linterp(AX$90,atmos_h,atmos_aspeed)</f>
        <v>721.34621566372402</v>
      </c>
      <c r="BC142" s="162">
        <f t="shared" si="23"/>
        <v>13087.417451058696</v>
      </c>
      <c r="BE142">
        <v>0.71</v>
      </c>
      <c r="BF142" cm="1">
        <f t="array" ref="BF142">numeng*InterpolateXY(BF$90,BE142,Tmax_h,Tmax_M,Tmax_table)</f>
        <v>3438.9764075960065</v>
      </c>
      <c r="BG142" cm="1">
        <f t="array" ref="BG142">1*BF$91/(S*Linterp(BF$90,atmos_h,atmos_qms)*BE142^2)</f>
        <v>0.26526317154143897</v>
      </c>
      <c r="BH142" cm="1">
        <f t="array" ref="BH142">InterpolateXY(BG142,BE142,CD_CL,CD_M,CD_table)</f>
        <v>2.3858948221339937E-2</v>
      </c>
      <c r="BI142" cm="1">
        <f t="array" ref="BI142">BH142*S*Linterp(BF$90,atmos_h,atmos_qms)*BE142^2</f>
        <v>899.44443032540369</v>
      </c>
      <c r="BJ142" cm="1">
        <f t="array" ref="BJ142">BE142*Linterp(BF$90,atmos_h,atmos_aspeed)</f>
        <v>706.21546108733764</v>
      </c>
      <c r="BK142" s="162">
        <f t="shared" si="24"/>
        <v>10760.740477645184</v>
      </c>
      <c r="BM142">
        <v>0.71</v>
      </c>
      <c r="BN142" cm="1">
        <f t="array" ref="BN142">numeng*InterpolateXY(BN$90,BM142,Tmax_h,Tmax_M,Tmax_table)</f>
        <v>2936.3310625482227</v>
      </c>
      <c r="BO142" cm="1">
        <f t="array" ref="BO142">1*BN$91/(S*Linterp(BN$90,atmos_h,atmos_qms)*BM142^2)</f>
        <v>0.33476848665845887</v>
      </c>
      <c r="BP142" cm="1">
        <f t="array" ref="BP142">InterpolateXY(BO142,BM142,CD_CL,CD_M,CD_table)</f>
        <v>2.8854939540999786E-2</v>
      </c>
      <c r="BQ142" cm="1">
        <f t="array" ref="BQ142">BP142*S*Linterp(BN$90,atmos_h,atmos_qms)*BM142^2</f>
        <v>861.93715032796638</v>
      </c>
      <c r="BR142" cm="1">
        <f t="array" ref="BR142">BM142*Linterp(BN$90,atmos_h,atmos_aspeed)</f>
        <v>690.75335113571919</v>
      </c>
      <c r="BS142" s="162">
        <f t="shared" si="25"/>
        <v>8597.3672786500611</v>
      </c>
      <c r="BU142">
        <v>0.71</v>
      </c>
      <c r="BV142" cm="1">
        <f t="array" ref="BV142">numeng*InterpolateXY(BV$90,BU142,Tmax_h,Tmax_M,Tmax_table)</f>
        <v>2402.6141951885893</v>
      </c>
      <c r="BW142" cm="1">
        <f t="array" ref="BW142">1*BV$91/(S*Linterp(BV$90,atmos_h,atmos_qms)*BU142^2)</f>
        <v>0.42559982153988513</v>
      </c>
      <c r="BX142" cm="1">
        <f t="array" ref="BX142">InterpolateXY(BW142,BU142,CD_CL,CD_M,CD_table)</f>
        <v>4.2293564352592058E-2</v>
      </c>
      <c r="BY142" cm="1">
        <f t="array" ref="BY142">BX142*S*Linterp(BV$90,atmos_h,atmos_qms)*BU142^2</f>
        <v>993.74018061303434</v>
      </c>
      <c r="BZ142" cm="1">
        <f t="array" ref="BZ142">BU142*Linterp(BV$90,atmos_h,atmos_aspeed)</f>
        <v>687.35136239921792</v>
      </c>
      <c r="CA142" s="162">
        <f t="shared" si="26"/>
        <v>5810.3488402041803</v>
      </c>
      <c r="CC142">
        <v>0.71</v>
      </c>
      <c r="CD142" cm="1">
        <f t="array" ref="CD142">numeng*InterpolateXY(CD$90,CC142,Tmax_h,Tmax_M,Tmax_table)</f>
        <v>1834.384088224687</v>
      </c>
      <c r="CE142" cm="1">
        <f t="array" ref="CE142">1*CD$91/(S*Linterp(CD$90,atmos_h,atmos_qms)*CC142^2)</f>
        <v>0.54121576128133042</v>
      </c>
      <c r="CF142" cm="1">
        <f t="array" ref="CF142">InterpolateXY(CE142,CC142,CD_CL,CD_M,CD_table)</f>
        <v>6.9884487871738898E-2</v>
      </c>
      <c r="CG142" cm="1">
        <f t="array" ref="CG142">CF142*S*Linterp(CD$90,atmos_h,atmos_qms)*CC142^2</f>
        <v>1291.2500498190798</v>
      </c>
      <c r="CH142" cm="1">
        <f t="array" ref="CH142">CC142*Linterp(CD$90,atmos_h,atmos_aspeed)</f>
        <v>687.35136239921792</v>
      </c>
      <c r="CI142" s="162">
        <f t="shared" si="27"/>
        <v>2239.9435275808996</v>
      </c>
      <c r="CK142">
        <v>0.71</v>
      </c>
      <c r="CL142" cm="1">
        <f t="array" ref="CL142">numeng*InterpolateXY(CL$90,CK142,Tmax_h,Tmax_M,Tmax_table)</f>
        <v>1356.0522775209099</v>
      </c>
      <c r="CM142" cm="1">
        <f t="array" ref="CM142">1*CL$91/(S*Linterp(CL$90,atmos_h,atmos_qms)*CK142^2)</f>
        <v>0.6882392459647203</v>
      </c>
      <c r="CN142" cm="1">
        <f t="array" ref="CN142">InterpolateXY(CM142,CK142,CD_CL,CD_M,CD_table)</f>
        <v>0.12617082535873458</v>
      </c>
      <c r="CO142" cm="1">
        <f t="array" ref="CO142">CN142*S*Linterp(CL$90,atmos_h,atmos_qms)*CK142^2</f>
        <v>1833.2407821625768</v>
      </c>
      <c r="CP142" cm="1">
        <f t="array" ref="CP142">CK142*Linterp(CL$90,atmos_h,atmos_aspeed)</f>
        <v>687.35136239921792</v>
      </c>
      <c r="CQ142" s="162">
        <f t="shared" si="28"/>
        <v>-1967.9770127201718</v>
      </c>
    </row>
    <row r="143" spans="9:95">
      <c r="I143">
        <v>0.72</v>
      </c>
      <c r="J143" cm="1">
        <f t="array" ref="J143">numeng*InterpolateXY(J$90,I143,Tmax_h,Tmax_M,Tmax_table)</f>
        <v>7228</v>
      </c>
      <c r="K143" cm="1">
        <f t="array" ref="K143">1*J$91/(S*Linterp(J$90,atmos_h,atmos_qms)*I143^2)</f>
        <v>7.659972866155329E-2</v>
      </c>
      <c r="L143" cm="1">
        <f t="array" ref="L143">InterpolateXY(K143,I143,CD_CL,CD_M,CD_table)</f>
        <v>1.5717496608269415E-2</v>
      </c>
      <c r="M143" cm="1">
        <f t="array" ref="M143">L143*S*Linterp(J$90,atmos_h,atmos_qms)*I143^2</f>
        <v>2051.8997760051197</v>
      </c>
      <c r="N143" cm="1">
        <f t="array" ref="N143">I143*Linterp(J$90,atmos_h,atmos_aspeed)</f>
        <v>803.84400000000005</v>
      </c>
      <c r="O143" s="162">
        <f t="shared" si="18"/>
        <v>24964.662650741644</v>
      </c>
      <c r="Q143">
        <v>0.72</v>
      </c>
      <c r="R143" cm="1">
        <f t="array" ref="R143">numeng*InterpolateXY(R$90,Q143,Tmax_h,Tmax_M,Tmax_table)</f>
        <v>6600.3772895216862</v>
      </c>
      <c r="S143" cm="1">
        <f t="array" ref="S143">1*R$91/(S*Linterp(R$90,atmos_h,atmos_qms)*Q143^2)</f>
        <v>9.2061772959126584E-2</v>
      </c>
      <c r="T143" cm="1">
        <f t="array" ref="T143">InterpolateXY(S143,Q143,CD_CL,CD_M,CD_table)</f>
        <v>1.5910772161989082E-2</v>
      </c>
      <c r="U143" cm="1">
        <f t="array" ref="U143">T143*S*Linterp(R$90,atmos_h,atmos_qms)*Q143^2</f>
        <v>1728.2713172440333</v>
      </c>
      <c r="V143" cm="1">
        <f t="array" ref="V143">Q143*Linterp(R$90,atmos_h,atmos_aspeed)</f>
        <v>789.90654698657886</v>
      </c>
      <c r="W143" s="162">
        <f t="shared" si="19"/>
        <v>23091.050430687174</v>
      </c>
      <c r="Y143">
        <v>0.72</v>
      </c>
      <c r="Z143" cm="1">
        <f t="array" ref="Z143">numeng*InterpolateXY(Z$90,Y143,Tmax_h,Tmax_M,Tmax_table)</f>
        <v>5975.7404579300455</v>
      </c>
      <c r="AA143" cm="1">
        <f t="array" ref="AA143">1*Z$91/(S*Linterp(Z$90,atmos_h,atmos_qms)*Y143^2)</f>
        <v>0.11138490246125746</v>
      </c>
      <c r="AB143" cm="1">
        <f t="array" ref="AB143">InterpolateXY(AA143,Y143,CD_CL,CD_M,CD_table)</f>
        <v>1.6436933842297153E-2</v>
      </c>
      <c r="AC143" cm="1">
        <f t="array" ref="AC143">AB143*S*Linterp(Z$90,atmos_h,atmos_qms)*Y143^2</f>
        <v>1475.6877708820855</v>
      </c>
      <c r="AD143" cm="1">
        <f t="array" ref="AD143">Y143*Linterp(Z$90,atmos_h,atmos_aspeed)</f>
        <v>775.71871809859067</v>
      </c>
      <c r="AE143" s="162">
        <f t="shared" si="20"/>
        <v>20944.650610637767</v>
      </c>
      <c r="AG143">
        <v>0.72</v>
      </c>
      <c r="AH143" cm="1">
        <f t="array" ref="AH143">numeng*InterpolateXY(AH$90,AG143,Tmax_h,Tmax_M,Tmax_table)</f>
        <v>5272.9690545975209</v>
      </c>
      <c r="AI143" cm="1">
        <f t="array" ref="AI143">1*AH$91/(S*Linterp(AH$90,atmos_h,atmos_qms)*AG143^2)</f>
        <v>0.13573318308294269</v>
      </c>
      <c r="AJ143" cm="1">
        <f t="array" ref="AJ143">InterpolateXY(AI143,AG143,CD_CL,CD_M,CD_table)</f>
        <v>1.7349994365610352E-2</v>
      </c>
      <c r="AK143" cm="1">
        <f t="array" ref="AK143">AJ143*S*Linterp(AH$90,atmos_h,atmos_qms)*AG143^2</f>
        <v>1278.2426501416578</v>
      </c>
      <c r="AL143" cm="1">
        <f t="array" ref="AL143">AG143*Linterp(AH$90,atmos_h,atmos_aspeed)</f>
        <v>761.26651459576283</v>
      </c>
      <c r="AM143" s="162">
        <f t="shared" si="21"/>
        <v>18246.308680102669</v>
      </c>
      <c r="AO143">
        <v>0.72</v>
      </c>
      <c r="AP143" cm="1">
        <f t="array" ref="AP143">numeng*InterpolateXY(AP$90,AO143,Tmax_h,Tmax_M,Tmax_table)</f>
        <v>4618.3610541558837</v>
      </c>
      <c r="AQ143" cm="1">
        <f t="array" ref="AQ143">1*AP$91/(S*Linterp(AP$90,atmos_h,atmos_qms)*AO143^2)</f>
        <v>0.16668703325094872</v>
      </c>
      <c r="AR143" cm="1">
        <f t="array" ref="AR143">InterpolateXY(AQ143,AO143,CD_CL,CD_M,CD_table)</f>
        <v>1.8510763746910578E-2</v>
      </c>
      <c r="AS143" cm="1">
        <f t="array" ref="AS143">AR143*S*Linterp(AP$90,atmos_h,atmos_qms)*AO143^2</f>
        <v>1110.510121026779</v>
      </c>
      <c r="AT143" cm="1">
        <f t="array" ref="AT143">AO143*Linterp(AP$90,atmos_h,atmos_aspeed)</f>
        <v>746.53458250843357</v>
      </c>
      <c r="AU143" s="162">
        <f t="shared" si="22"/>
        <v>15712.392191192132</v>
      </c>
      <c r="AW143">
        <v>0.72</v>
      </c>
      <c r="AX143" cm="1">
        <f t="array" ref="AX143">numeng*InterpolateXY(AX$90,AW143,Tmax_h,Tmax_M,Tmax_table)</f>
        <v>4013.3047837174554</v>
      </c>
      <c r="AY143" cm="1">
        <f t="array" ref="AY143">1*AX$91/(S*Linterp(AX$90,atmos_h,atmos_qms)*AW143^2)</f>
        <v>0.20641761342595288</v>
      </c>
      <c r="AZ143" cm="1">
        <f t="array" ref="AZ143">InterpolateXY(AY143,AW143,CD_CL,CD_M,CD_table)</f>
        <v>2.0161100839122054E-2</v>
      </c>
      <c r="BA143" cm="1">
        <f t="array" ref="BA143">AZ143*S*Linterp(AX$90,atmos_h,atmos_qms)*AW143^2</f>
        <v>976.71417203718147</v>
      </c>
      <c r="BB143" cm="1">
        <f t="array" ref="BB143">AW143*Linterp(AX$90,atmos_h,atmos_aspeed)</f>
        <v>731.50602151814269</v>
      </c>
      <c r="BC143" s="162">
        <f t="shared" si="23"/>
        <v>13327.705903977481</v>
      </c>
      <c r="BE143">
        <v>0.72</v>
      </c>
      <c r="BF143" cm="1">
        <f t="array" ref="BF143">numeng*InterpolateXY(BF$90,BE143,Tmax_h,Tmax_M,Tmax_table)</f>
        <v>3458.4310173865842</v>
      </c>
      <c r="BG143" cm="1">
        <f t="array" ref="BG143">1*BF$91/(S*Linterp(BF$90,atmos_h,atmos_qms)*BE143^2)</f>
        <v>0.25794591970300801</v>
      </c>
      <c r="BH143" cm="1">
        <f t="array" ref="BH143">InterpolateXY(BG143,BE143,CD_CL,CD_M,CD_table)</f>
        <v>2.3381619981438E-2</v>
      </c>
      <c r="BI143" cm="1">
        <f t="array" ref="BI143">BH143*S*Linterp(BF$90,atmos_h,atmos_qms)*BE143^2</f>
        <v>906.45434548291996</v>
      </c>
      <c r="BJ143" cm="1">
        <f t="array" ref="BJ143">BE143*Linterp(BF$90,atmos_h,atmos_aspeed)</f>
        <v>716.16215772237058</v>
      </c>
      <c r="BK143" s="162">
        <f t="shared" si="24"/>
        <v>10965.774718846094</v>
      </c>
      <c r="BM143">
        <v>0.72</v>
      </c>
      <c r="BN143" cm="1">
        <f t="array" ref="BN143">numeng*InterpolateXY(BN$90,BM143,Tmax_h,Tmax_M,Tmax_table)</f>
        <v>2953.6837999377017</v>
      </c>
      <c r="BO143" cm="1">
        <f t="array" ref="BO143">1*BN$91/(S*Linterp(BN$90,atmos_h,atmos_qms)*BM143^2)</f>
        <v>0.32553393928342805</v>
      </c>
      <c r="BP143" cm="1">
        <f t="array" ref="BP143">InterpolateXY(BO143,BM143,CD_CL,CD_M,CD_table)</f>
        <v>2.8084632566778529E-2</v>
      </c>
      <c r="BQ143" cm="1">
        <f t="array" ref="BQ143">BP143*S*Linterp(BN$90,atmos_h,atmos_qms)*BM143^2</f>
        <v>862.72517786007188</v>
      </c>
      <c r="BR143" cm="1">
        <f t="array" ref="BR143">BM143*Linterp(BN$90,atmos_h,atmos_aspeed)</f>
        <v>700.48227157425049</v>
      </c>
      <c r="BS143" s="162">
        <f t="shared" si="25"/>
        <v>8788.0766721642176</v>
      </c>
      <c r="BU143">
        <v>0.72</v>
      </c>
      <c r="BV143" cm="1">
        <f t="array" ref="BV143">numeng*InterpolateXY(BV$90,BU143,Tmax_h,Tmax_M,Tmax_table)</f>
        <v>2417.3843644213057</v>
      </c>
      <c r="BW143" cm="1">
        <f t="array" ref="BW143">1*BV$91/(S*Linterp(BV$90,atmos_h,atmos_qms)*BU143^2)</f>
        <v>0.41385970300589525</v>
      </c>
      <c r="BX143" cm="1">
        <f t="array" ref="BX143">InterpolateXY(BW143,BU143,CD_CL,CD_M,CD_table)</f>
        <v>3.9911151046670208E-2</v>
      </c>
      <c r="BY143" cm="1">
        <f t="array" ref="BY143">BX143*S*Linterp(BV$90,atmos_h,atmos_qms)*BU143^2</f>
        <v>964.36427022955877</v>
      </c>
      <c r="BZ143" cm="1">
        <f t="array" ref="BZ143">BU143*Linterp(BV$90,atmos_h,atmos_aspeed)</f>
        <v>697.03236750343228</v>
      </c>
      <c r="CA143" s="162">
        <f t="shared" si="26"/>
        <v>6076.8122177072009</v>
      </c>
      <c r="CC143">
        <v>0.72</v>
      </c>
      <c r="CD143" cm="1">
        <f t="array" ref="CD143">numeng*InterpolateXY(CD$90,CC143,Tmax_h,Tmax_M,Tmax_table)</f>
        <v>1845.2246864666229</v>
      </c>
      <c r="CE143" cm="1">
        <f t="array" ref="CE143">1*CD$91/(S*Linterp(CD$90,atmos_h,atmos_qms)*CC143^2)</f>
        <v>0.52628639132314559</v>
      </c>
      <c r="CF143" cm="1">
        <f t="array" ref="CF143">InterpolateXY(CE143,CC143,CD_CL,CD_M,CD_table)</f>
        <v>6.5019463436162467E-2</v>
      </c>
      <c r="CG143" cm="1">
        <f t="array" ref="CG143">CF143*S*Linterp(CD$90,atmos_h,atmos_qms)*CC143^2</f>
        <v>1235.4388125578532</v>
      </c>
      <c r="CH143" cm="1">
        <f t="array" ref="CH143">CC143*Linterp(CD$90,atmos_h,atmos_aspeed)</f>
        <v>697.03236750343228</v>
      </c>
      <c r="CI143" s="162">
        <f t="shared" si="27"/>
        <v>2550.242948164675</v>
      </c>
      <c r="CK143">
        <v>0.72</v>
      </c>
      <c r="CL143" cm="1">
        <f t="array" ref="CL143">numeng*InterpolateXY(CL$90,CK143,Tmax_h,Tmax_M,Tmax_table)</f>
        <v>1363.3592498290604</v>
      </c>
      <c r="CM143" cm="1">
        <f t="array" ref="CM143">1*CL$91/(S*Linterp(CL$90,atmos_h,atmos_qms)*CK143^2)</f>
        <v>0.66925425133259164</v>
      </c>
      <c r="CN143" cm="1">
        <f t="array" ref="CN143">InterpolateXY(CM143,CK143,CD_CL,CD_M,CD_table)</f>
        <v>0.11700031717303051</v>
      </c>
      <c r="CO143" cm="1">
        <f t="array" ref="CO143">CN143*S*Linterp(CL$90,atmos_h,atmos_qms)*CK143^2</f>
        <v>1748.2192595723418</v>
      </c>
      <c r="CP143" cm="1">
        <f t="array" ref="CP143">CK143*Linterp(CL$90,atmos_h,atmos_aspeed)</f>
        <v>697.03236750343228</v>
      </c>
      <c r="CQ143" s="162">
        <f t="shared" si="28"/>
        <v>-1609.5593024925204</v>
      </c>
    </row>
    <row r="144" spans="9:95">
      <c r="I144">
        <v>0.73</v>
      </c>
      <c r="J144" cm="1">
        <f t="array" ref="J144">numeng*InterpolateXY(J$90,I144,Tmax_h,Tmax_M,Tmax_table)</f>
        <v>7252</v>
      </c>
      <c r="K144" cm="1">
        <f t="array" ref="K144">1*J$91/(S*Linterp(J$90,atmos_h,atmos_qms)*I144^2)</f>
        <v>7.4515480086600167E-2</v>
      </c>
      <c r="L144" cm="1">
        <f t="array" ref="L144">InterpolateXY(K144,I144,CD_CL,CD_M,CD_table)</f>
        <v>1.5671443501082502E-2</v>
      </c>
      <c r="M144" cm="1">
        <f t="array" ref="M144">L144*S*Linterp(J$90,atmos_h,atmos_qms)*I144^2</f>
        <v>2103.11246507028</v>
      </c>
      <c r="N144" cm="1">
        <f t="array" ref="N144">I144*Linterp(J$90,atmos_h,atmos_aspeed)</f>
        <v>815.00850000000003</v>
      </c>
      <c r="O144" s="162">
        <f t="shared" si="18"/>
        <v>25178.322639070611</v>
      </c>
      <c r="Q144">
        <v>0.73</v>
      </c>
      <c r="R144" cm="1">
        <f t="array" ref="R144">numeng*InterpolateXY(R$90,Q144,Tmax_h,Tmax_M,Tmax_table)</f>
        <v>6626.2273311255567</v>
      </c>
      <c r="S144" cm="1">
        <f t="array" ref="S144">1*R$91/(S*Linterp(R$90,atmos_h,atmos_qms)*Q144^2)</f>
        <v>8.95568082229522E-2</v>
      </c>
      <c r="T144" cm="1">
        <f t="array" ref="T144">InterpolateXY(S144,Q144,CD_CL,CD_M,CD_table)</f>
        <v>1.5859460102786903E-2</v>
      </c>
      <c r="U144" cm="1">
        <f t="array" ref="U144">T144*S*Linterp(R$90,atmos_h,atmos_qms)*Q144^2</f>
        <v>1770.8826852454015</v>
      </c>
      <c r="V144" cm="1">
        <f t="array" ref="V144">Q144*Linterp(R$90,atmos_h,atmos_aspeed)</f>
        <v>800.87747125028136</v>
      </c>
      <c r="W144" s="162">
        <f t="shared" si="19"/>
        <v>23331.216852246551</v>
      </c>
      <c r="Y144">
        <v>0.73</v>
      </c>
      <c r="Z144" cm="1">
        <f t="array" ref="Z144">numeng*InterpolateXY(Z$90,Y144,Tmax_h,Tmax_M,Tmax_table)</f>
        <v>6002.3255613019537</v>
      </c>
      <c r="AA144" cm="1">
        <f t="array" ref="AA144">1*Z$91/(S*Linterp(Z$90,atmos_h,atmos_qms)*Y144^2)</f>
        <v>0.10835416294973892</v>
      </c>
      <c r="AB144" cm="1">
        <f t="array" ref="AB144">InterpolateXY(AA144,Y144,CD_CL,CD_M,CD_table)</f>
        <v>1.6303281110615211E-2</v>
      </c>
      <c r="AC144" cm="1">
        <f t="array" ref="AC144">AB144*S*Linterp(Z$90,atmos_h,atmos_qms)*Y144^2</f>
        <v>1504.6289562660954</v>
      </c>
      <c r="AD144" cm="1">
        <f t="array" ref="AD144">Y144*Linterp(Z$90,atmos_h,atmos_aspeed)</f>
        <v>786.49258918329326</v>
      </c>
      <c r="AE144" s="162">
        <f t="shared" si="20"/>
        <v>21224.43028953336</v>
      </c>
      <c r="AG144">
        <v>0.73</v>
      </c>
      <c r="AH144" cm="1">
        <f t="array" ref="AH144">numeng*InterpolateXY(AH$90,AG144,Tmax_h,Tmax_M,Tmax_table)</f>
        <v>5298.1383579607545</v>
      </c>
      <c r="AI144" cm="1">
        <f t="array" ref="AI144">1*AH$91/(S*Linterp(AH$90,atmos_h,atmos_qms)*AG144^2)</f>
        <v>0.13203993640494935</v>
      </c>
      <c r="AJ144" cm="1">
        <f t="array" ref="AJ144">InterpolateXY(AI144,AG144,CD_CL,CD_M,CD_table)</f>
        <v>1.71914976151856E-2</v>
      </c>
      <c r="AK144" cm="1">
        <f t="array" ref="AK144">AJ144*S*Linterp(AH$90,atmos_h,atmos_qms)*AG144^2</f>
        <v>1301.9922671320826</v>
      </c>
      <c r="AL144" cm="1">
        <f t="array" ref="AL144">AG144*Linterp(AH$90,atmos_h,atmos_aspeed)</f>
        <v>771.83966063181515</v>
      </c>
      <c r="AM144" s="162">
        <f t="shared" si="21"/>
        <v>18506.30425548214</v>
      </c>
      <c r="AO144">
        <v>0.73</v>
      </c>
      <c r="AP144" cm="1">
        <f t="array" ref="AP144">numeng*InterpolateXY(AP$90,AO144,Tmax_h,Tmax_M,Tmax_table)</f>
        <v>4641.8045112835789</v>
      </c>
      <c r="AQ144" cm="1">
        <f t="array" ref="AQ144">1*AP$91/(S*Linterp(AP$90,atmos_h,atmos_qms)*AO144^2)</f>
        <v>0.16215154444978763</v>
      </c>
      <c r="AR144" cm="1">
        <f t="array" ref="AR144">InterpolateXY(AQ144,AO144,CD_CL,CD_M,CD_table)</f>
        <v>1.8320682916867035E-2</v>
      </c>
      <c r="AS144" cm="1">
        <f t="array" ref="AS144">AR144*S*Linterp(AP$90,atmos_h,atmos_qms)*AO144^2</f>
        <v>1129.8494244401279</v>
      </c>
      <c r="AT144" cm="1">
        <f t="array" ref="AT144">AO144*Linterp(AP$90,atmos_h,atmos_aspeed)</f>
        <v>756.90311837660636</v>
      </c>
      <c r="AU144" s="162">
        <f t="shared" si="22"/>
        <v>15949.258540982361</v>
      </c>
      <c r="AW144">
        <v>0.73</v>
      </c>
      <c r="AX144" cm="1">
        <f t="array" ref="AX144">numeng*InterpolateXY(AX$90,AW144,Tmax_h,Tmax_M,Tmax_table)</f>
        <v>4034.8142332058919</v>
      </c>
      <c r="AY144" cm="1">
        <f t="array" ref="AY144">1*AX$91/(S*Linterp(AX$90,atmos_h,atmos_qms)*AW144^2)</f>
        <v>0.20080107112031145</v>
      </c>
      <c r="AZ144" cm="1">
        <f t="array" ref="AZ144">InterpolateXY(AY144,AW144,CD_CL,CD_M,CD_table)</f>
        <v>1.9790066945019464E-2</v>
      </c>
      <c r="BA144" cm="1">
        <f t="array" ref="BA144">AZ144*S*Linterp(AX$90,atmos_h,atmos_qms)*AW144^2</f>
        <v>985.55584562405534</v>
      </c>
      <c r="BB144" cm="1">
        <f t="array" ref="BB144">AW144*Linterp(AX$90,atmos_h,atmos_aspeed)</f>
        <v>741.66582737256135</v>
      </c>
      <c r="BC144" s="162">
        <f t="shared" si="23"/>
        <v>13569.184469391632</v>
      </c>
      <c r="BE144">
        <v>0.73</v>
      </c>
      <c r="BF144" cm="1">
        <f t="array" ref="BF144">numeng*InterpolateXY(BF$90,BE144,Tmax_h,Tmax_M,Tmax_table)</f>
        <v>3477.885627177162</v>
      </c>
      <c r="BG144" cm="1">
        <f t="array" ref="BG144">1*BF$91/(S*Linterp(BF$90,atmos_h,atmos_qms)*BE144^2)</f>
        <v>0.25092731239264288</v>
      </c>
      <c r="BH144" cm="1">
        <f t="array" ref="BH144">InterpolateXY(BG144,BE144,CD_CL,CD_M,CD_table)</f>
        <v>2.292295702454018E-2</v>
      </c>
      <c r="BI144" cm="1">
        <f t="array" ref="BI144">BH144*S*Linterp(BF$90,atmos_h,atmos_qms)*BE144^2</f>
        <v>913.52977107055949</v>
      </c>
      <c r="BJ144" cm="1">
        <f t="array" ref="BJ144">BE144*Linterp(BF$90,atmos_h,atmos_aspeed)</f>
        <v>726.10885435740352</v>
      </c>
      <c r="BK144" s="162">
        <f t="shared" si="24"/>
        <v>11172.008957053582</v>
      </c>
      <c r="BM144">
        <v>0.73</v>
      </c>
      <c r="BN144" cm="1">
        <f t="array" ref="BN144">numeng*InterpolateXY(BN$90,BM144,Tmax_h,Tmax_M,Tmax_table)</f>
        <v>2971.0365373271802</v>
      </c>
      <c r="BO144" cm="1">
        <f t="array" ref="BO144">1*BN$91/(S*Linterp(BN$90,atmos_h,atmos_qms)*BM144^2)</f>
        <v>0.31667628846787227</v>
      </c>
      <c r="BP144" cm="1">
        <f t="array" ref="BP144">InterpolateXY(BO144,BM144,CD_CL,CD_M,CD_table)</f>
        <v>2.7344948438014622E-2</v>
      </c>
      <c r="BQ144" cm="1">
        <f t="array" ref="BQ144">BP144*S*Linterp(BN$90,atmos_h,atmos_qms)*BM144^2</f>
        <v>863.4984504306783</v>
      </c>
      <c r="BR144" cm="1">
        <f t="array" ref="BR144">BM144*Linterp(BN$90,atmos_h,atmos_aspeed)</f>
        <v>710.21119201278168</v>
      </c>
      <c r="BS144" s="162">
        <f t="shared" si="25"/>
        <v>8980.7828214426154</v>
      </c>
      <c r="BU144">
        <v>0.73</v>
      </c>
      <c r="BV144" cm="1">
        <f t="array" ref="BV144">numeng*InterpolateXY(BV$90,BU144,Tmax_h,Tmax_M,Tmax_table)</f>
        <v>2432.1545336540225</v>
      </c>
      <c r="BW144" cm="1">
        <f t="array" ref="BW144">1*BV$91/(S*Linterp(BV$90,atmos_h,atmos_qms)*BU144^2)</f>
        <v>0.40259874280025537</v>
      </c>
      <c r="BX144" cm="1">
        <f t="array" ref="BX144">InterpolateXY(BW144,BU144,CD_CL,CD_M,CD_table)</f>
        <v>3.7652602017350371E-2</v>
      </c>
      <c r="BY144" cm="1">
        <f t="array" ref="BY144">BX144*S*Linterp(BV$90,atmos_h,atmos_qms)*BU144^2</f>
        <v>935.23893679994092</v>
      </c>
      <c r="BZ144" cm="1">
        <f t="array" ref="BZ144">BU144*Linterp(BV$90,atmos_h,atmos_aspeed)</f>
        <v>706.71337260764665</v>
      </c>
      <c r="CA144" s="162">
        <f t="shared" si="26"/>
        <v>6347.3416197704182</v>
      </c>
      <c r="CC144">
        <v>0.73</v>
      </c>
      <c r="CD144" cm="1">
        <f t="array" ref="CD144">numeng*InterpolateXY(CD$90,CC144,Tmax_h,Tmax_M,Tmax_table)</f>
        <v>1856.0652847085585</v>
      </c>
      <c r="CE144" cm="1">
        <f t="array" ref="CE144">1*CD$91/(S*Linterp(CD$90,atmos_h,atmos_qms)*CC144^2)</f>
        <v>0.51196634502142746</v>
      </c>
      <c r="CF144" cm="1">
        <f t="array" ref="CF144">InterpolateXY(CE144,CC144,CD_CL,CD_M,CD_table)</f>
        <v>6.0461484996190029E-2</v>
      </c>
      <c r="CG144" cm="1">
        <f t="array" ref="CG144">CF144*S*Linterp(CD$90,atmos_h,atmos_qms)*CC144^2</f>
        <v>1180.966006538174</v>
      </c>
      <c r="CH144" cm="1">
        <f t="array" ref="CH144">CC144*Linterp(CD$90,atmos_h,atmos_aspeed)</f>
        <v>706.71337260764665</v>
      </c>
      <c r="CI144" s="162">
        <f t="shared" si="27"/>
        <v>2862.610126324681</v>
      </c>
      <c r="CK144">
        <v>0.73</v>
      </c>
      <c r="CL144" cm="1">
        <f t="array" ref="CL144">numeng*InterpolateXY(CL$90,CK144,Tmax_h,Tmax_M,Tmax_table)</f>
        <v>1370.6662221372108</v>
      </c>
      <c r="CM144" cm="1">
        <f t="array" ref="CM144">1*CL$91/(S*Linterp(CL$90,atmos_h,atmos_qms)*CK144^2)</f>
        <v>0.65104410563110438</v>
      </c>
      <c r="CN144" cm="1">
        <f t="array" ref="CN144">InterpolateXY(CM144,CK144,CD_CL,CD_M,CD_table)</f>
        <v>0.10837843156625997</v>
      </c>
      <c r="CO144" cm="1">
        <f t="array" ref="CO144">CN144*S*Linterp(CL$90,atmos_h,atmos_qms)*CK144^2</f>
        <v>1664.6864725270937</v>
      </c>
      <c r="CP144" cm="1">
        <f t="array" ref="CP144">CK144*Linterp(CL$90,atmos_h,atmos_aspeed)</f>
        <v>706.71337260764665</v>
      </c>
      <c r="CQ144" s="162">
        <f t="shared" si="28"/>
        <v>-1246.7282566078734</v>
      </c>
    </row>
    <row r="145" spans="9:95">
      <c r="I145">
        <v>0.74</v>
      </c>
      <c r="J145" cm="1">
        <f t="array" ref="J145">numeng*InterpolateXY(J$90,I145,Tmax_h,Tmax_M,Tmax_table)</f>
        <v>7276</v>
      </c>
      <c r="K145" cm="1">
        <f t="array" ref="K145">1*J$91/(S*Linterp(J$90,atmos_h,atmos_qms)*I145^2)</f>
        <v>7.2515155840301729E-2</v>
      </c>
      <c r="L145" cm="1">
        <f t="array" ref="L145">InterpolateXY(K145,I145,CD_CL,CD_M,CD_table)</f>
        <v>1.5626439448003772E-2</v>
      </c>
      <c r="M145" cm="1">
        <f t="array" ref="M145">L145*S*Linterp(J$90,atmos_h,atmos_qms)*I145^2</f>
        <v>2154.9204806809603</v>
      </c>
      <c r="N145" cm="1">
        <f t="array" ref="N145">I145*Linterp(J$90,atmos_h,atmos_aspeed)</f>
        <v>826.173</v>
      </c>
      <c r="O145" s="162">
        <f t="shared" si="18"/>
        <v>25385.385778286214</v>
      </c>
      <c r="Q145">
        <v>0.74</v>
      </c>
      <c r="R145" cm="1">
        <f t="array" ref="R145">numeng*InterpolateXY(R$90,Q145,Tmax_h,Tmax_M,Tmax_table)</f>
        <v>6652.0773727294272</v>
      </c>
      <c r="S145" cm="1">
        <f t="array" ref="S145">1*R$91/(S*Linterp(R$90,atmos_h,atmos_qms)*Q145^2)</f>
        <v>8.7152708367441961E-2</v>
      </c>
      <c r="T145" cm="1">
        <f t="array" ref="T145">InterpolateXY(S145,Q145,CD_CL,CD_M,CD_table)</f>
        <v>1.5809408854593025E-2</v>
      </c>
      <c r="U145" cm="1">
        <f t="array" ref="U145">T145*S*Linterp(R$90,atmos_h,atmos_qms)*Q145^2</f>
        <v>1813.989392956033</v>
      </c>
      <c r="V145" cm="1">
        <f t="array" ref="V145">Q145*Linterp(R$90,atmos_h,atmos_aspeed)</f>
        <v>811.84839551398386</v>
      </c>
      <c r="W145" s="162">
        <f t="shared" si="19"/>
        <v>23566.763782407128</v>
      </c>
      <c r="Y145">
        <v>0.74</v>
      </c>
      <c r="Z145" cm="1">
        <f t="array" ref="Z145">numeng*InterpolateXY(Z$90,Y145,Tmax_h,Tmax_M,Tmax_table)</f>
        <v>6028.9106646738619</v>
      </c>
      <c r="AA145" cm="1">
        <f t="array" ref="AA145">1*Z$91/(S*Linterp(Z$90,atmos_h,atmos_qms)*Y145^2)</f>
        <v>0.10544545915981714</v>
      </c>
      <c r="AB145" cm="1">
        <f t="array" ref="AB145">InterpolateXY(AA145,Y145,CD_CL,CD_M,CD_table)</f>
        <v>1.6174204718493145E-2</v>
      </c>
      <c r="AC145" cm="1">
        <f t="array" ref="AC145">AB145*S*Linterp(Z$90,atmos_h,atmos_qms)*Y145^2</f>
        <v>1533.8929573040132</v>
      </c>
      <c r="AD145" cm="1">
        <f t="array" ref="AD145">Y145*Linterp(Z$90,atmos_h,atmos_aspeed)</f>
        <v>797.26646026799597</v>
      </c>
      <c r="AE145" s="162">
        <f t="shared" si="20"/>
        <v>21502.361138380329</v>
      </c>
      <c r="AG145">
        <v>0.74</v>
      </c>
      <c r="AH145" cm="1">
        <f t="array" ref="AH145">numeng*InterpolateXY(AH$90,AG145,Tmax_h,Tmax_M,Tmax_table)</f>
        <v>5323.3076613239882</v>
      </c>
      <c r="AI145" cm="1">
        <f t="array" ref="AI145">1*AH$91/(S*Linterp(AH$90,atmos_h,atmos_qms)*AG145^2)</f>
        <v>0.12849540195434167</v>
      </c>
      <c r="AJ145" cm="1">
        <f t="array" ref="AJ145">InterpolateXY(AI145,AG145,CD_CL,CD_M,CD_table)</f>
        <v>1.7038577573287812E-2</v>
      </c>
      <c r="AK145" cm="1">
        <f t="array" ref="AK145">AJ145*S*Linterp(AH$90,atmos_h,atmos_qms)*AG145^2</f>
        <v>1326.0067920050665</v>
      </c>
      <c r="AL145" cm="1">
        <f t="array" ref="AL145">AG145*Linterp(AH$90,atmos_h,atmos_aspeed)</f>
        <v>782.41280666786736</v>
      </c>
      <c r="AM145" s="162">
        <f t="shared" si="21"/>
        <v>18765.236353558339</v>
      </c>
      <c r="AO145">
        <v>0.74</v>
      </c>
      <c r="AP145" cm="1">
        <f t="array" ref="AP145">numeng*InterpolateXY(AP$90,AO145,Tmax_h,Tmax_M,Tmax_table)</f>
        <v>4665.2479684112732</v>
      </c>
      <c r="AQ145" cm="1">
        <f t="array" ref="AQ145">1*AP$91/(S*Linterp(AP$90,atmos_h,atmos_qms)*AO145^2)</f>
        <v>0.15779868158745766</v>
      </c>
      <c r="AR145" cm="1">
        <f t="array" ref="AR145">InterpolateXY(AQ145,AO145,CD_CL,CD_M,CD_table)</f>
        <v>1.8137450559529665E-2</v>
      </c>
      <c r="AS145" cm="1">
        <f t="array" ref="AS145">AR145*S*Linterp(AP$90,atmos_h,atmos_qms)*AO145^2</f>
        <v>1149.4044422340273</v>
      </c>
      <c r="AT145" cm="1">
        <f t="array" ref="AT145">AO145*Linterp(AP$90,atmos_h,atmos_aspeed)</f>
        <v>767.27165424477903</v>
      </c>
      <c r="AU145" s="162">
        <f t="shared" si="22"/>
        <v>16185.642470374873</v>
      </c>
      <c r="AW145">
        <v>0.74</v>
      </c>
      <c r="AX145" cm="1">
        <f t="array" ref="AX145">numeng*InterpolateXY(AX$90,AW145,Tmax_h,Tmax_M,Tmax_table)</f>
        <v>4056.3236826943285</v>
      </c>
      <c r="AY145" cm="1">
        <f t="array" ref="AY145">1*AX$91/(S*Linterp(AX$90,atmos_h,atmos_qms)*AW145^2)</f>
        <v>0.19541068444122348</v>
      </c>
      <c r="AZ145" cm="1">
        <f t="array" ref="AZ145">InterpolateXY(AY145,AW145,CD_CL,CD_M,CD_table)</f>
        <v>1.9547900666545881E-2</v>
      </c>
      <c r="BA145" cm="1">
        <f t="array" ref="BA145">AZ145*S*Linterp(AX$90,atmos_h,atmos_qms)*AW145^2</f>
        <v>1000.3496340255432</v>
      </c>
      <c r="BB145" cm="1">
        <f t="array" ref="BB145">AW145*Linterp(AX$90,atmos_h,atmos_aspeed)</f>
        <v>751.82563322698002</v>
      </c>
      <c r="BC145" s="162">
        <f t="shared" si="23"/>
        <v>13785.357745593765</v>
      </c>
      <c r="BE145">
        <v>0.74</v>
      </c>
      <c r="BF145" cm="1">
        <f t="array" ref="BF145">numeng*InterpolateXY(BF$90,BE145,Tmax_h,Tmax_M,Tmax_table)</f>
        <v>3497.3402369677401</v>
      </c>
      <c r="BG145" cm="1">
        <f t="array" ref="BG145">1*BF$91/(S*Linterp(BF$90,atmos_h,atmos_qms)*BE145^2)</f>
        <v>0.24419131624185422</v>
      </c>
      <c r="BH145" cm="1">
        <f t="array" ref="BH145">InterpolateXY(BG145,BE145,CD_CL,CD_M,CD_table)</f>
        <v>2.2481957265115891E-2</v>
      </c>
      <c r="BI145" cm="1">
        <f t="array" ref="BI145">BH145*S*Linterp(BF$90,atmos_h,atmos_qms)*BE145^2</f>
        <v>920.6698096851693</v>
      </c>
      <c r="BJ145" cm="1">
        <f t="array" ref="BJ145">BE145*Linterp(BF$90,atmos_h,atmos_aspeed)</f>
        <v>736.05555099243645</v>
      </c>
      <c r="BK145" s="162">
        <f t="shared" si="24"/>
        <v>11379.435426476337</v>
      </c>
      <c r="BM145">
        <v>0.74</v>
      </c>
      <c r="BN145" cm="1">
        <f t="array" ref="BN145">numeng*InterpolateXY(BN$90,BM145,Tmax_h,Tmax_M,Tmax_table)</f>
        <v>2988.3892747166592</v>
      </c>
      <c r="BO145" cm="1">
        <f t="array" ref="BO145">1*BN$91/(S*Linterp(BN$90,atmos_h,atmos_qms)*BM145^2)</f>
        <v>0.30817529971608676</v>
      </c>
      <c r="BP145" cm="1">
        <f t="array" ref="BP145">InterpolateXY(BO145,BM145,CD_CL,CD_M,CD_table)</f>
        <v>2.6634243101932051E-2</v>
      </c>
      <c r="BQ145" cm="1">
        <f t="array" ref="BQ145">BP145*S*Linterp(BN$90,atmos_h,atmos_qms)*BM145^2</f>
        <v>864.25625695730423</v>
      </c>
      <c r="BR145" cm="1">
        <f t="array" ref="BR145">BM145*Linterp(BN$90,atmos_h,atmos_aspeed)</f>
        <v>719.94011245131298</v>
      </c>
      <c r="BS145" s="162">
        <f t="shared" si="25"/>
        <v>9175.4913820033016</v>
      </c>
      <c r="BU145">
        <v>0.74</v>
      </c>
      <c r="BV145" cm="1">
        <f t="array" ref="BV145">numeng*InterpolateXY(BV$90,BU145,Tmax_h,Tmax_M,Tmax_table)</f>
        <v>2446.9247028867394</v>
      </c>
      <c r="BW145" cm="1">
        <f t="array" ref="BW145">1*BV$91/(S*Linterp(BV$90,atmos_h,atmos_qms)*BU145^2)</f>
        <v>0.3917912162860776</v>
      </c>
      <c r="BX145" cm="1">
        <f t="array" ref="BX145">InterpolateXY(BW145,BU145,CD_CL,CD_M,CD_table)</f>
        <v>3.5956404908551502E-2</v>
      </c>
      <c r="BY145" cm="1">
        <f t="array" ref="BY145">BX145*S*Linterp(BV$90,atmos_h,atmos_qms)*BU145^2</f>
        <v>917.74402829635937</v>
      </c>
      <c r="BZ145" cm="1">
        <f t="array" ref="BZ145">BU145*Linterp(BV$90,atmos_h,atmos_aspeed)</f>
        <v>716.39437771186101</v>
      </c>
      <c r="CA145" s="162">
        <f t="shared" si="26"/>
        <v>6572.9786266930741</v>
      </c>
      <c r="CC145">
        <v>0.74</v>
      </c>
      <c r="CD145" cm="1">
        <f t="array" ref="CD145">numeng*InterpolateXY(CD$90,CC145,Tmax_h,Tmax_M,Tmax_table)</f>
        <v>1866.9058829504941</v>
      </c>
      <c r="CE145" cm="1">
        <f t="array" ref="CE145">1*CD$91/(S*Linterp(CD$90,atmos_h,atmos_qms)*CC145^2)</f>
        <v>0.49822290953600928</v>
      </c>
      <c r="CF145" cm="1">
        <f t="array" ref="CF145">InterpolateXY(CE145,CC145,CD_CL,CD_M,CD_table)</f>
        <v>5.6371690269057827E-2</v>
      </c>
      <c r="CG145" cm="1">
        <f t="array" ref="CG145">CF145*S*Linterp(CD$90,atmos_h,atmos_qms)*CC145^2</f>
        <v>1131.4552018805457</v>
      </c>
      <c r="CH145" cm="1">
        <f t="array" ref="CH145">CC145*Linterp(CD$90,atmos_h,atmos_aspeed)</f>
        <v>716.39437771186101</v>
      </c>
      <c r="CI145" s="162">
        <f t="shared" si="27"/>
        <v>3161.2363980172199</v>
      </c>
      <c r="CK145">
        <v>0.74</v>
      </c>
      <c r="CL145" cm="1">
        <f t="array" ref="CL145">numeng*InterpolateXY(CL$90,CK145,Tmax_h,Tmax_M,Tmax_table)</f>
        <v>1377.9731944453613</v>
      </c>
      <c r="CM145" cm="1">
        <f t="array" ref="CM145">1*CL$91/(S*Linterp(CL$90,atmos_h,atmos_qms)*CK145^2)</f>
        <v>0.63356720944268718</v>
      </c>
      <c r="CN145" cm="1">
        <f t="array" ref="CN145">InterpolateXY(CM145,CK145,CD_CL,CD_M,CD_table)</f>
        <v>0.10027427965818268</v>
      </c>
      <c r="CO145" cm="1">
        <f t="array" ref="CO145">CN145*S*Linterp(CL$90,atmos_h,atmos_qms)*CK145^2</f>
        <v>1582.6936458152281</v>
      </c>
      <c r="CP145" cm="1">
        <f t="array" ref="CP145">CK145*Linterp(CL$90,atmos_h,atmos_aspeed)</f>
        <v>716.39437771186101</v>
      </c>
      <c r="CQ145" s="162">
        <f t="shared" si="28"/>
        <v>-879.96348218404239</v>
      </c>
    </row>
    <row r="146" spans="9:95">
      <c r="I146">
        <v>0.75</v>
      </c>
      <c r="J146" cm="1">
        <f t="array" ref="J146">numeng*InterpolateXY(J$90,I146,Tmax_h,Tmax_M,Tmax_table)</f>
        <v>7300</v>
      </c>
      <c r="K146" cm="1">
        <f t="array" ref="K146">1*J$91/(S*Linterp(J$90,atmos_h,atmos_qms)*I146^2)</f>
        <v>7.0594309934487509E-2</v>
      </c>
      <c r="L146" cm="1">
        <f t="array" ref="L146">InterpolateXY(K146,I146,CD_CL,CD_M,CD_table)</f>
        <v>1.5582428874181094E-2</v>
      </c>
      <c r="M146" cm="1">
        <f t="array" ref="M146">L146*S*Linterp(J$90,atmos_h,atmos_qms)*I146^2</f>
        <v>2207.3208008750003</v>
      </c>
      <c r="N146" cm="1">
        <f t="array" ref="N146">I146*Linterp(J$90,atmos_h,atmos_aspeed)</f>
        <v>837.33750000000009</v>
      </c>
      <c r="O146" s="162">
        <f t="shared" si="18"/>
        <v>25585.747613383977</v>
      </c>
      <c r="Q146">
        <v>0.75</v>
      </c>
      <c r="R146" cm="1">
        <f t="array" ref="R146">numeng*InterpolateXY(R$90,Q146,Tmax_h,Tmax_M,Tmax_table)</f>
        <v>6677.9274143332987</v>
      </c>
      <c r="S146" cm="1">
        <f t="array" ref="S146">1*R$91/(S*Linterp(R$90,atmos_h,atmos_qms)*Q146^2)</f>
        <v>8.4844129959131057E-2</v>
      </c>
      <c r="T146" cm="1">
        <f t="array" ref="T146">InterpolateXY(S146,Q146,CD_CL,CD_M,CD_table)</f>
        <v>1.5760551624489139E-2</v>
      </c>
      <c r="U146" cm="1">
        <f t="array" ref="U146">T146*S*Linterp(R$90,atmos_h,atmos_qms)*Q146^2</f>
        <v>1857.5889259611606</v>
      </c>
      <c r="V146" cm="1">
        <f t="array" ref="V146">Q146*Linterp(R$90,atmos_h,atmos_aspeed)</f>
        <v>822.81931977768636</v>
      </c>
      <c r="W146" s="162">
        <f t="shared" si="19"/>
        <v>23797.605816603384</v>
      </c>
      <c r="Y146">
        <v>0.75</v>
      </c>
      <c r="Z146" cm="1">
        <f t="array" ref="Z146">numeng*InterpolateXY(Z$90,Y146,Tmax_h,Tmax_M,Tmax_table)</f>
        <v>6055.4957680457701</v>
      </c>
      <c r="AA146" cm="1">
        <f t="array" ref="AA146">1*Z$91/(S*Linterp(Z$90,atmos_h,atmos_qms)*Y146^2)</f>
        <v>0.10265232610829486</v>
      </c>
      <c r="AB146" cm="1">
        <f t="array" ref="AB146">InterpolateXY(AA146,Y146,CD_CL,CD_M,CD_table)</f>
        <v>1.6049462229061055E-2</v>
      </c>
      <c r="AC146" cm="1">
        <f t="array" ref="AC146">AB146*S*Linterp(Z$90,atmos_h,atmos_qms)*Y146^2</f>
        <v>1563.4776957834738</v>
      </c>
      <c r="AD146" cm="1">
        <f t="array" ref="AD146">Y146*Linterp(Z$90,atmos_h,atmos_aspeed)</f>
        <v>808.04033135269856</v>
      </c>
      <c r="AE146" s="162">
        <f t="shared" si="20"/>
        <v>21778.390629318816</v>
      </c>
      <c r="AG146">
        <v>0.75</v>
      </c>
      <c r="AH146" cm="1">
        <f t="array" ref="AH146">numeng*InterpolateXY(AH$90,AG146,Tmax_h,Tmax_M,Tmax_table)</f>
        <v>5348.4769646872228</v>
      </c>
      <c r="AI146" cm="1">
        <f t="array" ref="AI146">1*AH$91/(S*Linterp(AH$90,atmos_h,atmos_qms)*AG146^2)</f>
        <v>0.12509170152923998</v>
      </c>
      <c r="AJ146" cm="1">
        <f t="array" ref="AJ146">InterpolateXY(AI146,AG146,CD_CL,CD_M,CD_table)</f>
        <v>1.6890938807346496E-2</v>
      </c>
      <c r="AK146" cm="1">
        <f t="array" ref="AK146">AJ146*S*Linterp(AH$90,atmos_h,atmos_qms)*AG146^2</f>
        <v>1350.2845193450555</v>
      </c>
      <c r="AL146" cm="1">
        <f t="array" ref="AL146">AG146*Linterp(AH$90,atmos_h,atmos_aspeed)</f>
        <v>792.98595270391968</v>
      </c>
      <c r="AM146" s="162">
        <f t="shared" si="21"/>
        <v>19023.062672179633</v>
      </c>
      <c r="AO146">
        <v>0.75</v>
      </c>
      <c r="AP146" cm="1">
        <f t="array" ref="AP146">numeng*InterpolateXY(AP$90,AO146,Tmax_h,Tmax_M,Tmax_table)</f>
        <v>4688.6914255389684</v>
      </c>
      <c r="AQ146" cm="1">
        <f t="array" ref="AQ146">1*AP$91/(S*Linterp(AP$90,atmos_h,atmos_qms)*AO146^2)</f>
        <v>0.15361876984407433</v>
      </c>
      <c r="AR146" cm="1">
        <f t="array" ref="AR146">InterpolateXY(AQ146,AO146,CD_CL,CD_M,CD_table)</f>
        <v>1.7960703869152786E-2</v>
      </c>
      <c r="AS146" cm="1">
        <f t="array" ref="AS146">AR146*S*Linterp(AP$90,atmos_h,atmos_qms)*AO146^2</f>
        <v>1169.1737856892883</v>
      </c>
      <c r="AT146" cm="1">
        <f t="array" ref="AT146">AO146*Linterp(AP$90,atmos_h,atmos_aspeed)</f>
        <v>777.6401901129517</v>
      </c>
      <c r="AU146" s="162">
        <f t="shared" si="22"/>
        <v>16421.510199351556</v>
      </c>
      <c r="AW146">
        <v>0.75</v>
      </c>
      <c r="AX146" cm="1">
        <f t="array" ref="AX146">numeng*InterpolateXY(AX$90,AW146,Tmax_h,Tmax_M,Tmax_table)</f>
        <v>4077.833132182765</v>
      </c>
      <c r="AY146" cm="1">
        <f t="array" ref="AY146">1*AX$91/(S*Linterp(AX$90,atmos_h,atmos_qms)*AW146^2)</f>
        <v>0.19023447253335818</v>
      </c>
      <c r="AZ146" cm="1">
        <f t="array" ref="AZ146">InterpolateXY(AY146,AW146,CD_CL,CD_M,CD_table)</f>
        <v>1.9333792720000929E-2</v>
      </c>
      <c r="BA146" cm="1">
        <f t="array" ref="BA146">AZ146*S*Linterp(AX$90,atmos_h,atmos_qms)*AW146^2</f>
        <v>1016.3138395755633</v>
      </c>
      <c r="BB146" cm="1">
        <f t="array" ref="BB146">AW146*Linterp(AX$90,atmos_h,atmos_aspeed)</f>
        <v>761.98543908139868</v>
      </c>
      <c r="BC146" s="162">
        <f t="shared" si="23"/>
        <v>13996.998734600833</v>
      </c>
      <c r="BE146">
        <v>0.75</v>
      </c>
      <c r="BF146" cm="1">
        <f t="array" ref="BF146">numeng*InterpolateXY(BF$90,BE146,Tmax_h,Tmax_M,Tmax_table)</f>
        <v>3516.7948467583183</v>
      </c>
      <c r="BG146" cm="1">
        <f t="array" ref="BG146">1*BF$91/(S*Linterp(BF$90,atmos_h,atmos_qms)*BE146^2)</f>
        <v>0.23772295959829221</v>
      </c>
      <c r="BH146" cm="1">
        <f t="array" ref="BH146">InterpolateXY(BG146,BE146,CD_CL,CD_M,CD_table)</f>
        <v>2.2057684974893264E-2</v>
      </c>
      <c r="BI146" cm="1">
        <f t="array" ref="BI146">BH146*S*Linterp(BF$90,atmos_h,atmos_qms)*BE146^2</f>
        <v>927.87356392359709</v>
      </c>
      <c r="BJ146" cm="1">
        <f t="array" ref="BJ146">BE146*Linterp(BF$90,atmos_h,atmos_aspeed)</f>
        <v>746.00224762746939</v>
      </c>
      <c r="BK146" s="162">
        <f t="shared" si="24"/>
        <v>11588.04657555176</v>
      </c>
      <c r="BM146">
        <v>0.75</v>
      </c>
      <c r="BN146" cm="1">
        <f t="array" ref="BN146">numeng*InterpolateXY(BN$90,BM146,Tmax_h,Tmax_M,Tmax_table)</f>
        <v>3005.7420121061377</v>
      </c>
      <c r="BO146" cm="1">
        <f t="array" ref="BO146">1*BN$91/(S*Linterp(BN$90,atmos_h,atmos_qms)*BM146^2)</f>
        <v>0.30001207844360733</v>
      </c>
      <c r="BP146" cm="1">
        <f t="array" ref="BP146">InterpolateXY(BO146,BM146,CD_CL,CD_M,CD_table)</f>
        <v>2.5950981373543097E-2</v>
      </c>
      <c r="BQ146" cm="1">
        <f t="array" ref="BQ146">BP146*S*Linterp(BN$90,atmos_h,atmos_qms)*BM146^2</f>
        <v>864.99788635746711</v>
      </c>
      <c r="BR146" cm="1">
        <f t="array" ref="BR146">BM146*Linterp(BN$90,atmos_h,atmos_aspeed)</f>
        <v>729.66903288984417</v>
      </c>
      <c r="BS146" s="162">
        <f t="shared" si="25"/>
        <v>9372.2081753978855</v>
      </c>
      <c r="BU146">
        <v>0.75</v>
      </c>
      <c r="BV146" cm="1">
        <f t="array" ref="BV146">numeng*InterpolateXY(BV$90,BU146,Tmax_h,Tmax_M,Tmax_table)</f>
        <v>2461.6948721194558</v>
      </c>
      <c r="BW146" cm="1">
        <f t="array" ref="BW146">1*BV$91/(S*Linterp(BV$90,atmos_h,atmos_qms)*BU146^2)</f>
        <v>0.38141310229023306</v>
      </c>
      <c r="BX146" cm="1">
        <f t="array" ref="BX146">InterpolateXY(BW146,BU146,CD_CL,CD_M,CD_table)</f>
        <v>3.4465307249640538E-2</v>
      </c>
      <c r="BY146" cm="1">
        <f t="array" ref="BY146">BX146*S*Linterp(BV$90,atmos_h,atmos_qms)*BU146^2</f>
        <v>903.62148134634504</v>
      </c>
      <c r="BZ146" cm="1">
        <f t="array" ref="BZ146">BU146*Linterp(BV$90,atmos_h,atmos_aspeed)</f>
        <v>726.07538281607538</v>
      </c>
      <c r="CA146" s="162">
        <f t="shared" si="26"/>
        <v>6787.6724019667627</v>
      </c>
      <c r="CC146">
        <v>0.75</v>
      </c>
      <c r="CD146" cm="1">
        <f t="array" ref="CD146">numeng*InterpolateXY(CD$90,CC146,Tmax_h,Tmax_M,Tmax_table)</f>
        <v>1877.7464811924297</v>
      </c>
      <c r="CE146" cm="1">
        <f t="array" ref="CE146">1*CD$91/(S*Linterp(CD$90,atmos_h,atmos_qms)*CC146^2)</f>
        <v>0.48502553824341094</v>
      </c>
      <c r="CF146" cm="1">
        <f t="array" ref="CF146">InterpolateXY(CE146,CC146,CD_CL,CD_M,CD_table)</f>
        <v>5.3658723572904285E-2</v>
      </c>
      <c r="CG146" cm="1">
        <f t="array" ref="CG146">CF146*S*Linterp(CD$90,atmos_h,atmos_qms)*CC146^2</f>
        <v>1106.3071805917066</v>
      </c>
      <c r="CH146" cm="1">
        <f t="array" ref="CH146">CC146*Linterp(CD$90,atmos_h,atmos_aspeed)</f>
        <v>726.07538281607538</v>
      </c>
      <c r="CI146" s="162">
        <f t="shared" si="27"/>
        <v>3360.7385130182124</v>
      </c>
      <c r="CK146">
        <v>0.75</v>
      </c>
      <c r="CL146" cm="1">
        <f t="array" ref="CL146">numeng*InterpolateXY(CL$90,CK146,Tmax_h,Tmax_M,Tmax_table)</f>
        <v>1385.2801667535116</v>
      </c>
      <c r="CM146" cm="1">
        <f t="array" ref="CM146">1*CL$91/(S*Linterp(CL$90,atmos_h,atmos_qms)*CK146^2)</f>
        <v>0.61678471802811641</v>
      </c>
      <c r="CN146" cm="1">
        <f t="array" ref="CN146">InterpolateXY(CM146,CK146,CD_CL,CD_M,CD_table)</f>
        <v>9.2659075022189771E-2</v>
      </c>
      <c r="CO146" cm="1">
        <f t="array" ref="CO146">CN146*S*Linterp(CL$90,atmos_h,atmos_qms)*CK146^2</f>
        <v>1502.2920042251415</v>
      </c>
      <c r="CP146" cm="1">
        <f t="array" ref="CP146">CK146*Linterp(CL$90,atmos_h,atmos_aspeed)</f>
        <v>726.07538281607538</v>
      </c>
      <c r="CQ146" s="162">
        <f t="shared" si="28"/>
        <v>-509.75648811735624</v>
      </c>
    </row>
    <row r="147" spans="9:95">
      <c r="I147">
        <v>0.76</v>
      </c>
      <c r="J147" cm="1">
        <f t="array" ref="J147">numeng*InterpolateXY(J$90,I147,Tmax_h,Tmax_M,Tmax_table)</f>
        <v>7324</v>
      </c>
      <c r="K147" cm="1">
        <f t="array" ref="K147">1*J$91/(S*Linterp(J$90,atmos_h,atmos_qms)*I147^2)</f>
        <v>6.8748786942779139E-2</v>
      </c>
      <c r="L147" cm="1">
        <f t="array" ref="L147">InterpolateXY(K147,I147,CD_CL,CD_M,CD_table)</f>
        <v>1.553935983678474E-2</v>
      </c>
      <c r="M147" cm="1">
        <f t="array" ref="M147">L147*S*Linterp(J$90,atmos_h,atmos_qms)*I147^2</f>
        <v>2260.31040369024</v>
      </c>
      <c r="N147" cm="1">
        <f t="array" ref="N147">I147*Linterp(J$90,atmos_h,atmos_aspeed)</f>
        <v>848.50200000000007</v>
      </c>
      <c r="O147" s="162">
        <f t="shared" si="18"/>
        <v>25779.304499088143</v>
      </c>
      <c r="Q147">
        <v>0.76</v>
      </c>
      <c r="R147" cm="1">
        <f t="array" ref="R147">numeng*InterpolateXY(R$90,Q147,Tmax_h,Tmax_M,Tmax_table)</f>
        <v>6703.7774559371692</v>
      </c>
      <c r="S147" cm="1">
        <f t="array" ref="S147">1*R$91/(S*Linterp(R$90,atmos_h,atmos_qms)*Q147^2)</f>
        <v>8.2626078777720255E-2</v>
      </c>
      <c r="T147" cm="1">
        <f t="array" ref="T147">InterpolateXY(S147,Q147,CD_CL,CD_M,CD_table)</f>
        <v>1.5712825984721502E-2</v>
      </c>
      <c r="U147" cm="1">
        <f t="array" ref="U147">T147*S*Linterp(R$90,atmos_h,atmos_qms)*Q147^2</f>
        <v>1901.6787698460153</v>
      </c>
      <c r="V147" cm="1">
        <f t="array" ref="V147">Q147*Linterp(R$90,atmos_h,atmos_aspeed)</f>
        <v>833.79024404138875</v>
      </c>
      <c r="W147" s="162">
        <f t="shared" si="19"/>
        <v>24023.658212320657</v>
      </c>
      <c r="Y147">
        <v>0.76</v>
      </c>
      <c r="Z147" cm="1">
        <f t="array" ref="Z147">numeng*InterpolateXY(Z$90,Y147,Tmax_h,Tmax_M,Tmax_table)</f>
        <v>6082.0808714176792</v>
      </c>
      <c r="AA147" cm="1">
        <f t="array" ref="AA147">1*Z$91/(S*Linterp(Z$90,atmos_h,atmos_qms)*Y147^2)</f>
        <v>9.996872132256901E-2</v>
      </c>
      <c r="AB147" cm="1">
        <f t="array" ref="AB147">InterpolateXY(AA147,Y147,CD_CL,CD_M,CD_table)</f>
        <v>1.5929609016532113E-2</v>
      </c>
      <c r="AC147" cm="1">
        <f t="array" ref="AC147">AB147*S*Linterp(Z$90,atmos_h,atmos_qms)*Y147^2</f>
        <v>1593.4593146522354</v>
      </c>
      <c r="AD147" cm="1">
        <f t="array" ref="AD147">Y147*Linterp(Z$90,atmos_h,atmos_aspeed)</f>
        <v>818.81420243740126</v>
      </c>
      <c r="AE147" s="162">
        <f t="shared" si="20"/>
        <v>22052.082480277339</v>
      </c>
      <c r="AG147">
        <v>0.76</v>
      </c>
      <c r="AH147" cm="1">
        <f t="array" ref="AH147">numeng*InterpolateXY(AH$90,AG147,Tmax_h,Tmax_M,Tmax_table)</f>
        <v>5373.6462680504565</v>
      </c>
      <c r="AI147" cm="1">
        <f t="array" ref="AI147">1*AH$91/(S*Linterp(AH$90,atmos_h,atmos_qms)*AG147^2)</f>
        <v>0.12182147179743333</v>
      </c>
      <c r="AJ147" cm="1">
        <f t="array" ref="AJ147">InterpolateXY(AI147,AG147,CD_CL,CD_M,CD_table)</f>
        <v>1.6748305192403751E-2</v>
      </c>
      <c r="AK147" cm="1">
        <f t="array" ref="AK147">AJ147*S*Linterp(AH$90,atmos_h,atmos_qms)*AG147^2</f>
        <v>1374.823743736498</v>
      </c>
      <c r="AL147" cm="1">
        <f t="array" ref="AL147">AG147*Linterp(AH$90,atmos_h,atmos_aspeed)</f>
        <v>803.559098739972</v>
      </c>
      <c r="AM147" s="162">
        <f t="shared" si="21"/>
        <v>19279.741341952948</v>
      </c>
      <c r="AO147">
        <v>0.76</v>
      </c>
      <c r="AP147" cm="1">
        <f t="array" ref="AP147">numeng*InterpolateXY(AP$90,AO147,Tmax_h,Tmax_M,Tmax_table)</f>
        <v>4712.1348826666635</v>
      </c>
      <c r="AQ147" cm="1">
        <f t="array" ref="AQ147">1*AP$91/(S*Linterp(AP$90,atmos_h,atmos_qms)*AO147^2)</f>
        <v>0.14960276668506201</v>
      </c>
      <c r="AR147" cm="1">
        <f t="array" ref="AR147">InterpolateXY(AQ147,AO147,CD_CL,CD_M,CD_table)</f>
        <v>1.7790103750689824E-2</v>
      </c>
      <c r="AS147" cm="1">
        <f t="array" ref="AS147">AR147*S*Linterp(AP$90,atmos_h,atmos_qms)*AO147^2</f>
        <v>1189.1560660867233</v>
      </c>
      <c r="AT147" cm="1">
        <f t="array" ref="AT147">AO147*Linterp(AP$90,atmos_h,atmos_aspeed)</f>
        <v>788.00872598112437</v>
      </c>
      <c r="AU147" s="162">
        <f t="shared" si="22"/>
        <v>16656.828293469887</v>
      </c>
      <c r="AW147">
        <v>0.76</v>
      </c>
      <c r="AX147" cm="1">
        <f t="array" ref="AX147">numeng*InterpolateXY(AX$90,AW147,Tmax_h,Tmax_M,Tmax_table)</f>
        <v>4099.3425816712015</v>
      </c>
      <c r="AY147" cm="1">
        <f t="array" ref="AY147">1*AX$91/(S*Linterp(AX$90,atmos_h,atmos_qms)*AW147^2)</f>
        <v>0.18526123753465021</v>
      </c>
      <c r="AZ147" cm="1">
        <f t="array" ref="AZ147">InterpolateXY(AY147,AW147,CD_CL,CD_M,CD_table)</f>
        <v>1.9127296407549382E-2</v>
      </c>
      <c r="BA147" cm="1">
        <f t="array" ref="BA147">AZ147*S*Linterp(AX$90,atmos_h,atmos_qms)*AW147^2</f>
        <v>1032.4499966687267</v>
      </c>
      <c r="BB147" cm="1">
        <f t="array" ref="BB147">AW147*Linterp(AX$90,atmos_h,atmos_aspeed)</f>
        <v>772.14524493581723</v>
      </c>
      <c r="BC147" s="162">
        <f t="shared" si="23"/>
        <v>14208.519157431465</v>
      </c>
      <c r="BE147">
        <v>0.76</v>
      </c>
      <c r="BF147" cm="1">
        <f t="array" ref="BF147">numeng*InterpolateXY(BF$90,BE147,Tmax_h,Tmax_M,Tmax_table)</f>
        <v>3536.249456548896</v>
      </c>
      <c r="BG147" cm="1">
        <f t="array" ref="BG147">1*BF$91/(S*Linterp(BF$90,atmos_h,atmos_qms)*BE147^2)</f>
        <v>0.23150824926253352</v>
      </c>
      <c r="BH147" cm="1">
        <f t="array" ref="BH147">InterpolateXY(BG147,BE147,CD_CL,CD_M,CD_table)</f>
        <v>2.1649265578908342E-2</v>
      </c>
      <c r="BI147" cm="1">
        <f t="array" ref="BI147">BH147*S*Linterp(BF$90,atmos_h,atmos_qms)*BE147^2</f>
        <v>935.14013638269012</v>
      </c>
      <c r="BJ147" cm="1">
        <f t="array" ref="BJ147">BE147*Linterp(BF$90,atmos_h,atmos_aspeed)</f>
        <v>755.94894426250232</v>
      </c>
      <c r="BK147" s="162">
        <f t="shared" si="24"/>
        <v>11797.835066945992</v>
      </c>
      <c r="BM147">
        <v>0.76</v>
      </c>
      <c r="BN147" cm="1">
        <f t="array" ref="BN147">numeng*InterpolateXY(BN$90,BM147,Tmax_h,Tmax_M,Tmax_table)</f>
        <v>3023.0947494956163</v>
      </c>
      <c r="BO147" cm="1">
        <f t="array" ref="BO147">1*BN$91/(S*Linterp(BN$90,atmos_h,atmos_qms)*BM147^2)</f>
        <v>0.29216896489703792</v>
      </c>
      <c r="BP147" cm="1">
        <f t="array" ref="BP147">InterpolateXY(BO147,BM147,CD_CL,CD_M,CD_table)</f>
        <v>2.5440560306064869E-2</v>
      </c>
      <c r="BQ147" cm="1">
        <f t="array" ref="BQ147">BP147*S*Linterp(BN$90,atmos_h,atmos_qms)*BM147^2</f>
        <v>870.74820951740287</v>
      </c>
      <c r="BR147" cm="1">
        <f t="array" ref="BR147">BM147*Linterp(BN$90,atmos_h,atmos_aspeed)</f>
        <v>739.39795332837548</v>
      </c>
      <c r="BS147" s="162">
        <f t="shared" si="25"/>
        <v>9548.6437590798087</v>
      </c>
      <c r="BU147">
        <v>0.76</v>
      </c>
      <c r="BV147" cm="1">
        <f t="array" ref="BV147">numeng*InterpolateXY(BV$90,BU147,Tmax_h,Tmax_M,Tmax_table)</f>
        <v>2476.4650413521726</v>
      </c>
      <c r="BW147" cm="1">
        <f t="array" ref="BW147">1*BV$91/(S*Linterp(BV$90,atmos_h,atmos_qms)*BU147^2)</f>
        <v>0.37144194951221621</v>
      </c>
      <c r="BX147" cm="1">
        <f t="array" ref="BX147">InterpolateXY(BW147,BU147,CD_CL,CD_M,CD_table)</f>
        <v>3.3031896343356647E-2</v>
      </c>
      <c r="BY147" cm="1">
        <f t="array" ref="BY147">BX147*S*Linterp(BV$90,atmos_h,atmos_qms)*BU147^2</f>
        <v>889.28825585625657</v>
      </c>
      <c r="BZ147" cm="1">
        <f t="array" ref="BZ147">BU147*Linterp(BV$90,atmos_h,atmos_aspeed)</f>
        <v>735.75638792028974</v>
      </c>
      <c r="CA147" s="162">
        <f t="shared" si="26"/>
        <v>7006.6527521244707</v>
      </c>
      <c r="CC147">
        <v>0.76</v>
      </c>
      <c r="CD147" cm="1">
        <f t="array" ref="CD147">numeng*InterpolateXY(CD$90,CC147,Tmax_h,Tmax_M,Tmax_table)</f>
        <v>1888.5870794343655</v>
      </c>
      <c r="CE147" cm="1">
        <f t="array" ref="CE147">1*CD$91/(S*Linterp(CD$90,atmos_h,atmos_qms)*CC147^2)</f>
        <v>0.47234568085512235</v>
      </c>
      <c r="CF147" cm="1">
        <f t="array" ref="CF147">InterpolateXY(CE147,CC147,CD_CL,CD_M,CD_table)</f>
        <v>5.1078889245466177E-2</v>
      </c>
      <c r="CG147" cm="1">
        <f t="array" ref="CG147">CF147*S*Linterp(CD$90,atmos_h,atmos_qms)*CC147^2</f>
        <v>1081.38787578187</v>
      </c>
      <c r="CH147" cm="1">
        <f t="array" ref="CH147">CC147*Linterp(CD$90,atmos_h,atmos_aspeed)</f>
        <v>735.75638792028974</v>
      </c>
      <c r="CI147" s="162">
        <f t="shared" si="27"/>
        <v>3563.4118224689669</v>
      </c>
      <c r="CK147">
        <v>0.76</v>
      </c>
      <c r="CL147" cm="1">
        <f t="array" ref="CL147">numeng*InterpolateXY(CL$90,CK147,Tmax_h,Tmax_M,Tmax_table)</f>
        <v>1392.5871390616619</v>
      </c>
      <c r="CM147" cm="1">
        <f t="array" ref="CM147">1*CL$91/(S*Linterp(CL$90,atmos_h,atmos_qms)*CK147^2)</f>
        <v>0.6006603252957331</v>
      </c>
      <c r="CN147" cm="1">
        <f t="array" ref="CN147">InterpolateXY(CM147,CK147,CD_CL,CD_M,CD_table)</f>
        <v>8.5505965822615382E-2</v>
      </c>
      <c r="CO147" cm="1">
        <f t="array" ref="CO147">CN147*S*Linterp(CL$90,atmos_h,atmos_qms)*CK147^2</f>
        <v>1423.5327725452285</v>
      </c>
      <c r="CP147" cm="1">
        <f t="array" ref="CP147">CK147*Linterp(CL$90,atmos_h,atmos_aspeed)</f>
        <v>735.75638792028974</v>
      </c>
      <c r="CQ147" s="162">
        <f t="shared" si="28"/>
        <v>-136.61068508264461</v>
      </c>
    </row>
    <row r="148" spans="9:95">
      <c r="I148">
        <v>0.77</v>
      </c>
      <c r="J148" cm="1">
        <f t="array" ref="J148">numeng*InterpolateXY(J$90,I148,Tmax_h,Tmax_M,Tmax_table)</f>
        <v>7348</v>
      </c>
      <c r="K148" cm="1">
        <f t="array" ref="K148">1*J$91/(S*Linterp(J$90,atmos_h,atmos_qms)*I148^2)</f>
        <v>6.6974699507757182E-2</v>
      </c>
      <c r="L148" cm="1">
        <f t="array" ref="L148">InterpolateXY(K148,I148,CD_CL,CD_M,CD_table)</f>
        <v>1.5497183743846966E-2</v>
      </c>
      <c r="M148" cm="1">
        <f t="array" ref="M148">L148*S*Linterp(J$90,atmos_h,atmos_qms)*I148^2</f>
        <v>2313.8862671645202</v>
      </c>
      <c r="N148" cm="1">
        <f t="array" ref="N148">I148*Linterp(J$90,atmos_h,atmos_aspeed)</f>
        <v>859.66650000000004</v>
      </c>
      <c r="O148" s="162">
        <f t="shared" si="18"/>
        <v>25965.953599851673</v>
      </c>
      <c r="Q148">
        <v>0.77</v>
      </c>
      <c r="R148" cm="1">
        <f t="array" ref="R148">numeng*InterpolateXY(R$90,Q148,Tmax_h,Tmax_M,Tmax_table)</f>
        <v>6729.6274975410397</v>
      </c>
      <c r="S148" cm="1">
        <f t="array" ref="S148">1*R$91/(S*Linterp(R$90,atmos_h,atmos_qms)*Q148^2)</f>
        <v>8.0493882782950277E-2</v>
      </c>
      <c r="T148" cm="1">
        <f t="array" ref="T148">InterpolateXY(S148,Q148,CD_CL,CD_M,CD_table)</f>
        <v>1.566617353478688E-2</v>
      </c>
      <c r="U148" cm="1">
        <f t="array" ref="U148">T148*S*Linterp(R$90,atmos_h,atmos_qms)*Q148^2</f>
        <v>1946.2564101958308</v>
      </c>
      <c r="V148" cm="1">
        <f t="array" ref="V148">Q148*Linterp(R$90,atmos_h,atmos_aspeed)</f>
        <v>844.76116830509125</v>
      </c>
      <c r="W148" s="162">
        <f t="shared" si="19"/>
        <v>24244.836889095201</v>
      </c>
      <c r="Y148">
        <v>0.77</v>
      </c>
      <c r="Z148" cm="1">
        <f t="array" ref="Z148">numeng*InterpolateXY(Z$90,Y148,Tmax_h,Tmax_M,Tmax_table)</f>
        <v>6108.6659747895874</v>
      </c>
      <c r="AA148" cm="1">
        <f t="array" ref="AA148">1*Z$91/(S*Linterp(Z$90,atmos_h,atmos_qms)*Y148^2)</f>
        <v>9.7388992133438795E-2</v>
      </c>
      <c r="AB148" cm="1">
        <f t="array" ref="AB148">InterpolateXY(AA148,Y148,CD_CL,CD_M,CD_table)</f>
        <v>1.5877362401667986E-2</v>
      </c>
      <c r="AC148" cm="1">
        <f t="array" ref="AC148">AB148*S*Linterp(Z$90,atmos_h,atmos_qms)*Y148^2</f>
        <v>1630.3035952886146</v>
      </c>
      <c r="AD148" cm="1">
        <f t="array" ref="AD148">Y148*Linterp(Z$90,atmos_h,atmos_aspeed)</f>
        <v>829.58807352210397</v>
      </c>
      <c r="AE148" s="162">
        <f t="shared" si="20"/>
        <v>22291.176113664464</v>
      </c>
      <c r="AG148">
        <v>0.77</v>
      </c>
      <c r="AH148" cm="1">
        <f t="array" ref="AH148">numeng*InterpolateXY(AH$90,AG148,Tmax_h,Tmax_M,Tmax_table)</f>
        <v>5398.8155714136901</v>
      </c>
      <c r="AI148" cm="1">
        <f t="array" ref="AI148">1*AH$91/(S*Linterp(AH$90,atmos_h,atmos_qms)*AG148^2)</f>
        <v>0.11867782443953027</v>
      </c>
      <c r="AJ148" cm="1">
        <f t="array" ref="AJ148">InterpolateXY(AI148,AG148,CD_CL,CD_M,CD_table)</f>
        <v>1.6610418416482385E-2</v>
      </c>
      <c r="AK148" cm="1">
        <f t="array" ref="AK148">AJ148*S*Linterp(AH$90,atmos_h,atmos_qms)*AG148^2</f>
        <v>1399.6227597638401</v>
      </c>
      <c r="AL148" cm="1">
        <f t="array" ref="AL148">AG148*Linterp(AH$90,atmos_h,atmos_aspeed)</f>
        <v>814.13224477602421</v>
      </c>
      <c r="AM148" s="162">
        <f t="shared" si="21"/>
        <v>19535.230926243796</v>
      </c>
      <c r="AO148">
        <v>0.77</v>
      </c>
      <c r="AP148" cm="1">
        <f t="array" ref="AP148">numeng*InterpolateXY(AP$90,AO148,Tmax_h,Tmax_M,Tmax_table)</f>
        <v>4735.5783397943578</v>
      </c>
      <c r="AQ148" cm="1">
        <f t="array" ref="AQ148">1*AP$91/(S*Linterp(AP$90,atmos_h,atmos_qms)*AO148^2)</f>
        <v>0.1457422129149803</v>
      </c>
      <c r="AR148" cm="1">
        <f t="array" ref="AR148">InterpolateXY(AQ148,AO148,CD_CL,CD_M,CD_table)</f>
        <v>1.7625332984311761E-2</v>
      </c>
      <c r="AS148" cm="1">
        <f t="array" ref="AS148">AR148*S*Linterp(AP$90,atmos_h,atmos_qms)*AO148^2</f>
        <v>1209.3498947071444</v>
      </c>
      <c r="AT148" cm="1">
        <f t="array" ref="AT148">AO148*Linterp(AP$90,atmos_h,atmos_aspeed)</f>
        <v>798.37726184929704</v>
      </c>
      <c r="AU148" s="162">
        <f t="shared" si="22"/>
        <v>16891.563663863002</v>
      </c>
      <c r="AW148">
        <v>0.77</v>
      </c>
      <c r="AX148" cm="1">
        <f t="array" ref="AX148">numeng*InterpolateXY(AX$90,AW148,Tmax_h,Tmax_M,Tmax_table)</f>
        <v>4120.8520311596376</v>
      </c>
      <c r="AY148" cm="1">
        <f t="array" ref="AY148">1*AX$91/(S*Linterp(AX$90,atmos_h,atmos_qms)*AW148^2)</f>
        <v>0.18048050396359244</v>
      </c>
      <c r="AZ148" cm="1">
        <f t="array" ref="AZ148">InterpolateXY(AY148,AW148,CD_CL,CD_M,CD_table)</f>
        <v>1.8928018898634717E-2</v>
      </c>
      <c r="BA148" cm="1">
        <f t="array" ref="BA148">AZ148*S*Linterp(AX$90,atmos_h,atmos_qms)*AW148^2</f>
        <v>1048.7569838819256</v>
      </c>
      <c r="BB148" cm="1">
        <f t="array" ref="BB148">AW148*Linterp(AX$90,atmos_h,atmos_aspeed)</f>
        <v>782.3050507902359</v>
      </c>
      <c r="BC148" s="162">
        <f t="shared" si="23"/>
        <v>14419.892831958136</v>
      </c>
      <c r="BE148">
        <v>0.77</v>
      </c>
      <c r="BF148" cm="1">
        <f t="array" ref="BF148">numeng*InterpolateXY(BF$90,BE148,Tmax_h,Tmax_M,Tmax_table)</f>
        <v>3555.7040663394737</v>
      </c>
      <c r="BG148" cm="1">
        <f t="array" ref="BG148">1*BF$91/(S*Linterp(BF$90,atmos_h,atmos_qms)*BE148^2)</f>
        <v>0.2255340947445427</v>
      </c>
      <c r="BH148" cm="1">
        <f t="array" ref="BH148">InterpolateXY(BG148,BE148,CD_CL,CD_M,CD_table)</f>
        <v>2.1255880921533916E-2</v>
      </c>
      <c r="BI148" cm="1">
        <f t="array" ref="BI148">BH148*S*Linterp(BF$90,atmos_h,atmos_qms)*BE148^2</f>
        <v>942.46862965929677</v>
      </c>
      <c r="BJ148" cm="1">
        <f t="array" ref="BJ148">BE148*Linterp(BF$90,atmos_h,atmos_aspeed)</f>
        <v>765.89564089753526</v>
      </c>
      <c r="BK148" s="162">
        <f t="shared" si="24"/>
        <v>12008.793777553889</v>
      </c>
      <c r="BM148">
        <v>0.77</v>
      </c>
      <c r="BN148" cm="1">
        <f t="array" ref="BN148">numeng*InterpolateXY(BN$90,BM148,Tmax_h,Tmax_M,Tmax_table)</f>
        <v>3040.4474868850953</v>
      </c>
      <c r="BO148" cm="1">
        <f t="array" ref="BO148">1*BN$91/(S*Linterp(BN$90,atmos_h,atmos_qms)*BM148^2)</f>
        <v>0.28462943856388789</v>
      </c>
      <c r="BP148" cm="1">
        <f t="array" ref="BP148">InterpolateXY(BO148,BM148,CD_CL,CD_M,CD_table)</f>
        <v>2.4949339910242993E-2</v>
      </c>
      <c r="BQ148" cm="1">
        <f t="array" ref="BQ148">BP148*S*Linterp(BN$90,atmos_h,atmos_qms)*BM148^2</f>
        <v>876.55514609192016</v>
      </c>
      <c r="BR148" cm="1">
        <f t="array" ref="BR148">BM148*Linterp(BN$90,atmos_h,atmos_aspeed)</f>
        <v>749.12687376690678</v>
      </c>
      <c r="BS148" s="162">
        <f t="shared" si="25"/>
        <v>9726.1794265592725</v>
      </c>
      <c r="BU148">
        <v>0.77</v>
      </c>
      <c r="BV148" cm="1">
        <f t="array" ref="BV148">numeng*InterpolateXY(BV$90,BU148,Tmax_h,Tmax_M,Tmax_table)</f>
        <v>2491.2352105848895</v>
      </c>
      <c r="BW148" cm="1">
        <f t="array" ref="BW148">1*BV$91/(S*Linterp(BV$90,atmos_h,atmos_qms)*BU148^2)</f>
        <v>0.36185675499790199</v>
      </c>
      <c r="BX148" cm="1">
        <f t="array" ref="BX148">InterpolateXY(BW148,BU148,CD_CL,CD_M,CD_table)</f>
        <v>3.165319502095261E-2</v>
      </c>
      <c r="BY148" cm="1">
        <f t="array" ref="BY148">BX148*S*Linterp(BV$90,atmos_h,atmos_qms)*BU148^2</f>
        <v>874.74379250253685</v>
      </c>
      <c r="BZ148" cm="1">
        <f t="array" ref="BZ148">BU148*Linterp(BV$90,atmos_h,atmos_aspeed)</f>
        <v>745.43739302450399</v>
      </c>
      <c r="CA148" s="162">
        <f t="shared" si="26"/>
        <v>7229.9588912507552</v>
      </c>
      <c r="CC148">
        <v>0.77</v>
      </c>
      <c r="CD148" cm="1">
        <f t="array" ref="CD148">numeng*InterpolateXY(CD$90,CC148,Tmax_h,Tmax_M,Tmax_table)</f>
        <v>1899.4276776763011</v>
      </c>
      <c r="CE148" cm="1">
        <f t="array" ref="CE148">1*CD$91/(S*Linterp(CD$90,atmos_h,atmos_qms)*CC148^2)</f>
        <v>0.4601566288782572</v>
      </c>
      <c r="CF148" cm="1">
        <f t="array" ref="CF148">InterpolateXY(CE148,CC148,CD_CL,CD_M,CD_table)</f>
        <v>4.8625111901844952E-2</v>
      </c>
      <c r="CG148" cm="1">
        <f t="array" ref="CG148">CF148*S*Linterp(CD$90,atmos_h,atmos_qms)*CC148^2</f>
        <v>1056.7078435962208</v>
      </c>
      <c r="CH148" cm="1">
        <f t="array" ref="CH148">CC148*Linterp(CD$90,atmos_h,atmos_aspeed)</f>
        <v>745.43739302450399</v>
      </c>
      <c r="CI148" s="162">
        <f t="shared" si="27"/>
        <v>3769.1692570001856</v>
      </c>
      <c r="CK148">
        <v>0.77</v>
      </c>
      <c r="CL148" cm="1">
        <f t="array" ref="CL148">numeng*InterpolateXY(CL$90,CK148,Tmax_h,Tmax_M,Tmax_table)</f>
        <v>1399.8941113698124</v>
      </c>
      <c r="CM148" cm="1">
        <f t="array" ref="CM148">1*CL$91/(S*Linterp(CL$90,atmos_h,atmos_qms)*CK148^2)</f>
        <v>0.58516006728084924</v>
      </c>
      <c r="CN148" cm="1">
        <f t="array" ref="CN148">InterpolateXY(CM148,CK148,CD_CL,CD_M,CD_table)</f>
        <v>8.0466201104397131E-2</v>
      </c>
      <c r="CO148" cm="1">
        <f t="array" ref="CO148">CN148*S*Linterp(CL$90,atmos_h,atmos_qms)*CK148^2</f>
        <v>1375.1143593634381</v>
      </c>
      <c r="CP148" cm="1">
        <f t="array" ref="CP148">CK148*Linterp(CL$90,atmos_h,atmos_aspeed)</f>
        <v>745.43739302450399</v>
      </c>
      <c r="CQ148" s="162">
        <f t="shared" si="28"/>
        <v>110.83052241255245</v>
      </c>
    </row>
    <row r="149" spans="9:95">
      <c r="I149">
        <v>0.78</v>
      </c>
      <c r="J149" cm="1">
        <f t="array" ref="J149">numeng*InterpolateXY(J$90,I149,Tmax_h,Tmax_M,Tmax_table)</f>
        <v>7372</v>
      </c>
      <c r="K149" cm="1">
        <f t="array" ref="K149">1*J$91/(S*Linterp(J$90,atmos_h,atmos_qms)*I149^2)</f>
        <v>6.5268407853631208E-2</v>
      </c>
      <c r="L149" cm="1">
        <f t="array" ref="L149">InterpolateXY(K149,I149,CD_CL,CD_M,CD_table)</f>
        <v>1.5455855098170389E-2</v>
      </c>
      <c r="M149" cm="1">
        <f t="array" ref="M149">L149*S*Linterp(J$90,atmos_h,atmos_qms)*I149^2</f>
        <v>2368.0453693356799</v>
      </c>
      <c r="N149" cm="1">
        <f t="array" ref="N149">I149*Linterp(J$90,atmos_h,atmos_aspeed)</f>
        <v>870.83100000000002</v>
      </c>
      <c r="O149" s="162">
        <f t="shared" si="18"/>
        <v>26145.592889856245</v>
      </c>
      <c r="Q149">
        <v>0.78</v>
      </c>
      <c r="R149" cm="1">
        <f t="array" ref="R149">numeng*InterpolateXY(R$90,Q149,Tmax_h,Tmax_M,Tmax_table)</f>
        <v>6755.4775391449102</v>
      </c>
      <c r="S149" cm="1">
        <f t="array" ref="S149">1*R$91/(S*Linterp(R$90,atmos_h,atmos_qms)*Q149^2)</f>
        <v>7.8443167491800164E-2</v>
      </c>
      <c r="T149" cm="1">
        <f t="array" ref="T149">InterpolateXY(S149,Q149,CD_CL,CD_M,CD_table)</f>
        <v>1.5620539593647502E-2</v>
      </c>
      <c r="U149" cm="1">
        <f t="array" ref="U149">T149*S*Linterp(R$90,atmos_h,atmos_qms)*Q149^2</f>
        <v>1991.3193325958377</v>
      </c>
      <c r="V149" cm="1">
        <f t="array" ref="V149">Q149*Linterp(R$90,atmos_h,atmos_aspeed)</f>
        <v>855.73209256879375</v>
      </c>
      <c r="W149" s="162">
        <f t="shared" si="19"/>
        <v>24461.058428514178</v>
      </c>
      <c r="Y149">
        <v>0.78</v>
      </c>
      <c r="Z149" cm="1">
        <f t="array" ref="Z149">numeng*InterpolateXY(Z$90,Y149,Tmax_h,Tmax_M,Tmax_table)</f>
        <v>6135.2510781614956</v>
      </c>
      <c r="AA149" cm="1">
        <f t="array" ref="AA149">1*Z$91/(S*Linterp(Z$90,atmos_h,atmos_qms)*Y149^2)</f>
        <v>9.4907845884148356E-2</v>
      </c>
      <c r="AB149" cm="1">
        <f t="array" ref="AB149">InterpolateXY(AA149,Y149,CD_CL,CD_M,CD_table)</f>
        <v>1.5826348073551856E-2</v>
      </c>
      <c r="AC149" cm="1">
        <f t="array" ref="AC149">AB149*S*Linterp(Z$90,atmos_h,atmos_qms)*Y149^2</f>
        <v>1667.5489709112867</v>
      </c>
      <c r="AD149" cm="1">
        <f t="array" ref="AD149">Y149*Linterp(Z$90,atmos_h,atmos_aspeed)</f>
        <v>840.36194460680656</v>
      </c>
      <c r="AE149" s="162">
        <f t="shared" si="20"/>
        <v>22526.920984636276</v>
      </c>
      <c r="AG149">
        <v>0.78</v>
      </c>
      <c r="AH149" cm="1">
        <f t="array" ref="AH149">numeng*InterpolateXY(AH$90,AG149,Tmax_h,Tmax_M,Tmax_table)</f>
        <v>5423.9848747769238</v>
      </c>
      <c r="AI149" cm="1">
        <f t="array" ref="AI149">1*AH$91/(S*Linterp(AH$90,atmos_h,atmos_qms)*AG149^2)</f>
        <v>0.11565430984582098</v>
      </c>
      <c r="AJ149" cm="1">
        <f t="array" ref="AJ149">InterpolateXY(AI149,AG149,CD_CL,CD_M,CD_table)</f>
        <v>1.6477036619218288E-2</v>
      </c>
      <c r="AK149" cm="1">
        <f t="array" ref="AK149">AJ149*S*Linterp(AH$90,atmos_h,atmos_qms)*AG149^2</f>
        <v>1424.6798620115294</v>
      </c>
      <c r="AL149" cm="1">
        <f t="array" ref="AL149">AG149*Linterp(AH$90,atmos_h,atmos_aspeed)</f>
        <v>824.70539081207653</v>
      </c>
      <c r="AM149" s="162">
        <f t="shared" si="21"/>
        <v>19789.490421176284</v>
      </c>
      <c r="AO149">
        <v>0.78</v>
      </c>
      <c r="AP149" cm="1">
        <f t="array" ref="AP149">numeng*InterpolateXY(AP$90,AO149,Tmax_h,Tmax_M,Tmax_table)</f>
        <v>4759.021796922053</v>
      </c>
      <c r="AQ149" cm="1">
        <f t="array" ref="AQ149">1*AP$91/(S*Linterp(AP$90,atmos_h,atmos_qms)*AO149^2)</f>
        <v>0.1420291880954829</v>
      </c>
      <c r="AR149" cm="1">
        <f t="array" ref="AR149">InterpolateXY(AQ149,AO149,CD_CL,CD_M,CD_table)</f>
        <v>1.746609455358061E-2</v>
      </c>
      <c r="AS149" cm="1">
        <f t="array" ref="AS149">AR149*S*Linterp(AP$90,atmos_h,atmos_qms)*AO149^2</f>
        <v>1229.7538828313629</v>
      </c>
      <c r="AT149" cm="1">
        <f t="array" ref="AT149">AO149*Linterp(AP$90,atmos_h,atmos_aspeed)</f>
        <v>808.74579771746983</v>
      </c>
      <c r="AU149" s="162">
        <f t="shared" si="22"/>
        <v>17125.683567239674</v>
      </c>
      <c r="AW149">
        <v>0.78</v>
      </c>
      <c r="AX149" cm="1">
        <f t="array" ref="AX149">numeng*InterpolateXY(AX$90,AW149,Tmax_h,Tmax_M,Tmax_table)</f>
        <v>4142.3614806480746</v>
      </c>
      <c r="AY149" cm="1">
        <f t="array" ref="AY149">1*AX$91/(S*Linterp(AX$90,atmos_h,atmos_qms)*AW149^2)</f>
        <v>0.17588246351087106</v>
      </c>
      <c r="AZ149" cm="1">
        <f t="array" ref="AZ149">InterpolateXY(AY149,AW149,CD_CL,CD_M,CD_table)</f>
        <v>1.8735592381657666E-2</v>
      </c>
      <c r="BA149" cm="1">
        <f t="array" ref="BA149">AZ149*S*Linterp(AX$90,atmos_h,atmos_qms)*AW149^2</f>
        <v>1065.233679792053</v>
      </c>
      <c r="BB149" cm="1">
        <f t="array" ref="BB149">AW149*Linterp(AX$90,atmos_h,atmos_aspeed)</f>
        <v>792.46485664465456</v>
      </c>
      <c r="BC149" s="162">
        <f t="shared" si="23"/>
        <v>14631.09384949589</v>
      </c>
      <c r="BE149">
        <v>0.78</v>
      </c>
      <c r="BF149" cm="1">
        <f t="array" ref="BF149">numeng*InterpolateXY(BF$90,BE149,Tmax_h,Tmax_M,Tmax_table)</f>
        <v>3575.1586761300518</v>
      </c>
      <c r="BG149" cm="1">
        <f t="array" ref="BG149">1*BF$91/(S*Linterp(BF$90,atmos_h,atmos_qms)*BE149^2)</f>
        <v>0.21978823927356897</v>
      </c>
      <c r="BH149" cm="1">
        <f t="array" ref="BH149">InterpolateXY(BG149,BE149,CD_CL,CD_M,CD_table)</f>
        <v>2.0876764954598063E-2</v>
      </c>
      <c r="BI149" cm="1">
        <f t="array" ref="BI149">BH149*S*Linterp(BF$90,atmos_h,atmos_qms)*BE149^2</f>
        <v>949.85814635026463</v>
      </c>
      <c r="BJ149" cm="1">
        <f t="array" ref="BJ149">BE149*Linterp(BF$90,atmos_h,atmos_aspeed)</f>
        <v>775.84233753256819</v>
      </c>
      <c r="BK149" s="162">
        <f t="shared" si="24"/>
        <v>12220.915798499038</v>
      </c>
      <c r="BM149">
        <v>0.78</v>
      </c>
      <c r="BN149" cm="1">
        <f t="array" ref="BN149">numeng*InterpolateXY(BN$90,BM149,Tmax_h,Tmax_M,Tmax_table)</f>
        <v>3057.8002242745738</v>
      </c>
      <c r="BO149" cm="1">
        <f t="array" ref="BO149">1*BN$91/(S*Linterp(BN$90,atmos_h,atmos_qms)*BM149^2)</f>
        <v>0.2773780311054061</v>
      </c>
      <c r="BP149" cm="1">
        <f t="array" ref="BP149">InterpolateXY(BO149,BM149,CD_CL,CD_M,CD_table)</f>
        <v>2.4476126944087882E-2</v>
      </c>
      <c r="BQ149" cm="1">
        <f t="array" ref="BQ149">BP149*S*Linterp(BN$90,atmos_h,atmos_qms)*BM149^2</f>
        <v>882.41043627520503</v>
      </c>
      <c r="BR149" cm="1">
        <f t="array" ref="BR149">BM149*Linterp(BN$90,atmos_h,atmos_aspeed)</f>
        <v>758.85579420543797</v>
      </c>
      <c r="BS149" s="162">
        <f t="shared" si="25"/>
        <v>9904.8428716719627</v>
      </c>
      <c r="BU149">
        <v>0.78</v>
      </c>
      <c r="BV149" cm="1">
        <f t="array" ref="BV149">numeng*InterpolateXY(BV$90,BU149,Tmax_h,Tmax_M,Tmax_table)</f>
        <v>2506.0053798176064</v>
      </c>
      <c r="BW149" cm="1">
        <f t="array" ref="BW149">1*BV$91/(S*Linterp(BV$90,atmos_h,atmos_qms)*BU149^2)</f>
        <v>0.3526378534488101</v>
      </c>
      <c r="BX149" cm="1">
        <f t="array" ref="BX149">InterpolateXY(BW149,BU149,CD_CL,CD_M,CD_table)</f>
        <v>3.0326415726368836E-2</v>
      </c>
      <c r="BY149" cm="1">
        <f t="array" ref="BY149">BX149*S*Linterp(BV$90,atmos_h,atmos_qms)*BU149^2</f>
        <v>859.98753196162761</v>
      </c>
      <c r="BZ149" cm="1">
        <f t="array" ref="BZ149">BU149*Linterp(BV$90,atmos_h,atmos_aspeed)</f>
        <v>755.11839812871835</v>
      </c>
      <c r="CA149" s="162">
        <f t="shared" si="26"/>
        <v>7457.630163385722</v>
      </c>
      <c r="CC149">
        <v>0.78</v>
      </c>
      <c r="CD149" cm="1">
        <f t="array" ref="CD149">numeng*InterpolateXY(CD$90,CC149,Tmax_h,Tmax_M,Tmax_table)</f>
        <v>1910.2682759182367</v>
      </c>
      <c r="CE149" cm="1">
        <f t="array" ref="CE149">1*CD$91/(S*Linterp(CD$90,atmos_h,atmos_qms)*CC149^2)</f>
        <v>0.44843337485522461</v>
      </c>
      <c r="CF149" cm="1">
        <f t="array" ref="CF149">InterpolateXY(CE149,CC149,CD_CL,CD_M,CD_table)</f>
        <v>4.62907745973479E-2</v>
      </c>
      <c r="CG149" cm="1">
        <f t="array" ref="CG149">CF149*S*Linterp(CD$90,atmos_h,atmos_qms)*CC149^2</f>
        <v>1032.2776401799429</v>
      </c>
      <c r="CH149" cm="1">
        <f t="array" ref="CH149">CC149*Linterp(CD$90,atmos_h,atmos_aspeed)</f>
        <v>755.11839812871835</v>
      </c>
      <c r="CI149" s="162">
        <f t="shared" si="27"/>
        <v>3977.9212945842928</v>
      </c>
      <c r="CK149">
        <v>0.78</v>
      </c>
      <c r="CL149" cm="1">
        <f t="array" ref="CL149">numeng*InterpolateXY(CL$90,CK149,Tmax_h,Tmax_M,Tmax_table)</f>
        <v>1407.2010836779627</v>
      </c>
      <c r="CM149" cm="1">
        <f t="array" ref="CM149">1*CL$91/(S*Linterp(CL$90,atmos_h,atmos_qms)*CK149^2)</f>
        <v>0.570252143147297</v>
      </c>
      <c r="CN149" cm="1">
        <f t="array" ref="CN149">InterpolateXY(CM149,CK149,CD_CL,CD_M,CD_table)</f>
        <v>7.579654965261369E-2</v>
      </c>
      <c r="CO149" cm="1">
        <f t="array" ref="CO149">CN149*S*Linterp(CL$90,atmos_h,atmos_qms)*CK149^2</f>
        <v>1329.176059458234</v>
      </c>
      <c r="CP149" cm="1">
        <f t="array" ref="CP149">CK149*Linterp(CL$90,atmos_h,atmos_aspeed)</f>
        <v>755.11839812871835</v>
      </c>
      <c r="CQ149" s="162">
        <f t="shared" si="28"/>
        <v>353.50878781653603</v>
      </c>
    </row>
    <row r="150" spans="9:95">
      <c r="I150">
        <v>0.79</v>
      </c>
      <c r="J150" cm="1">
        <f t="array" ref="J150">numeng*InterpolateXY(J$90,I150,Tmax_h,Tmax_M,Tmax_table)</f>
        <v>7396</v>
      </c>
      <c r="K150" cm="1">
        <f t="array" ref="K150">1*J$91/(S*Linterp(J$90,atmos_h,atmos_qms)*I150^2)</f>
        <v>6.3626501102626534E-2</v>
      </c>
      <c r="L150" cm="1">
        <f t="array" ref="L150">InterpolateXY(K150,I150,CD_CL,CD_M,CD_table)</f>
        <v>1.5415331263782832E-2</v>
      </c>
      <c r="M150" cm="1">
        <f t="array" ref="M150">L150*S*Linterp(J$90,atmos_h,atmos_qms)*I150^2</f>
        <v>2422.7846882415606</v>
      </c>
      <c r="N150" cm="1">
        <f t="array" ref="N150">I150*Linterp(J$90,atmos_h,atmos_aspeed)</f>
        <v>881.99550000000011</v>
      </c>
      <c r="O150" s="162">
        <f t="shared" si="18"/>
        <v>26318.121153012245</v>
      </c>
      <c r="Q150">
        <v>0.79</v>
      </c>
      <c r="R150" cm="1">
        <f t="array" ref="R150">numeng*InterpolateXY(R$90,Q150,Tmax_h,Tmax_M,Tmax_table)</f>
        <v>6781.3275807487817</v>
      </c>
      <c r="S150" cm="1">
        <f t="array" ref="S150">1*R$91/(S*Linterp(R$90,atmos_h,atmos_qms)*Q150^2)</f>
        <v>7.6469833523491765E-2</v>
      </c>
      <c r="T150" cm="1">
        <f t="array" ref="T150">InterpolateXY(S150,Q150,CD_CL,CD_M,CD_table)</f>
        <v>1.5575872919043646E-2</v>
      </c>
      <c r="U150" cm="1">
        <f t="array" ref="U150">T150*S*Linterp(R$90,atmos_h,atmos_qms)*Q150^2</f>
        <v>2036.8650226312693</v>
      </c>
      <c r="V150" cm="1">
        <f t="array" ref="V150">Q150*Linterp(R$90,atmos_h,atmos_aspeed)</f>
        <v>866.70301683249625</v>
      </c>
      <c r="W150" s="162">
        <f t="shared" si="19"/>
        <v>24672.240074215624</v>
      </c>
      <c r="Y150">
        <v>0.79</v>
      </c>
      <c r="Z150" cm="1">
        <f t="array" ref="Z150">numeng*InterpolateXY(Z$90,Y150,Tmax_h,Tmax_M,Tmax_table)</f>
        <v>6161.8361815334038</v>
      </c>
      <c r="AA150" cm="1">
        <f t="array" ref="AA150">1*Z$91/(S*Linterp(Z$90,atmos_h,atmos_qms)*Y150^2)</f>
        <v>9.2520322762242993E-2</v>
      </c>
      <c r="AB150" cm="1">
        <f t="array" ref="AB150">InterpolateXY(AA150,Y150,CD_CL,CD_M,CD_table)</f>
        <v>1.5776504034528037E-2</v>
      </c>
      <c r="AC150" cm="1">
        <f t="array" ref="AC150">AB150*S*Linterp(Z$90,atmos_h,atmos_qms)*Y150^2</f>
        <v>1705.1933633078868</v>
      </c>
      <c r="AD150" cm="1">
        <f t="array" ref="AD150">Y150*Linterp(Z$90,atmos_h,atmos_aspeed)</f>
        <v>851.13581569150926</v>
      </c>
      <c r="AE150" s="162">
        <f t="shared" si="20"/>
        <v>22759.249922016494</v>
      </c>
      <c r="AG150">
        <v>0.79</v>
      </c>
      <c r="AH150" cm="1">
        <f t="array" ref="AH150">numeng*InterpolateXY(AH$90,AG150,Tmax_h,Tmax_M,Tmax_table)</f>
        <v>5449.1541781401584</v>
      </c>
      <c r="AI150" cm="1">
        <f t="array" ref="AI150">1*AH$91/(S*Linterp(AH$90,atmos_h,atmos_qms)*AG150^2)</f>
        <v>0.11274488400928935</v>
      </c>
      <c r="AJ150" cm="1">
        <f t="array" ref="AJ150">InterpolateXY(AI150,AG150,CD_CL,CD_M,CD_table)</f>
        <v>1.634793315034835E-2</v>
      </c>
      <c r="AK150" cm="1">
        <f t="array" ref="AK150">AJ150*S*Linterp(AH$90,atmos_h,atmos_qms)*AG150^2</f>
        <v>1449.9933450640121</v>
      </c>
      <c r="AL150" cm="1">
        <f t="array" ref="AL150">AG150*Linterp(AH$90,atmos_h,atmos_aspeed)</f>
        <v>835.27853684812874</v>
      </c>
      <c r="AM150" s="162">
        <f t="shared" si="21"/>
        <v>20042.479255633123</v>
      </c>
      <c r="AO150">
        <v>0.79</v>
      </c>
      <c r="AP150" cm="1">
        <f t="array" ref="AP150">numeng*InterpolateXY(AP$90,AO150,Tmax_h,Tmax_M,Tmax_table)</f>
        <v>4782.4652540497473</v>
      </c>
      <c r="AQ150" cm="1">
        <f t="array" ref="AQ150">1*AP$91/(S*Linterp(AP$90,atmos_h,atmos_qms)*AO150^2)</f>
        <v>0.13845626988830606</v>
      </c>
      <c r="AR150" cm="1">
        <f t="array" ref="AR150">InterpolateXY(AQ150,AO150,CD_CL,CD_M,CD_table)</f>
        <v>1.7312110120811474E-2</v>
      </c>
      <c r="AS150" cm="1">
        <f t="array" ref="AS150">AR150*S*Linterp(AP$90,atmos_h,atmos_qms)*AO150^2</f>
        <v>1250.3666417401907</v>
      </c>
      <c r="AT150" cm="1">
        <f t="array" ref="AT150">AO150*Linterp(AP$90,atmos_h,atmos_aspeed)</f>
        <v>819.1143335856425</v>
      </c>
      <c r="AU150" s="162">
        <f t="shared" si="22"/>
        <v>17359.155605884291</v>
      </c>
      <c r="AW150">
        <v>0.79</v>
      </c>
      <c r="AX150" cm="1">
        <f t="array" ref="AX150">numeng*InterpolateXY(AX$90,AW150,Tmax_h,Tmax_M,Tmax_table)</f>
        <v>4163.8709301365116</v>
      </c>
      <c r="AY150" cm="1">
        <f t="array" ref="AY150">1*AX$91/(S*Linterp(AX$90,atmos_h,atmos_qms)*AW150^2)</f>
        <v>0.17145792469157817</v>
      </c>
      <c r="AZ150" cm="1">
        <f t="array" ref="AZ150">InterpolateXY(AY150,AW150,CD_CL,CD_M,CD_table)</f>
        <v>1.854967217593418E-2</v>
      </c>
      <c r="BA150" cm="1">
        <f t="array" ref="BA150">AZ150*S*Linterp(AX$90,atmos_h,atmos_qms)*AW150^2</f>
        <v>1081.8789629760006</v>
      </c>
      <c r="BB150" cm="1">
        <f t="array" ref="BB150">AW150*Linterp(AX$90,atmos_h,atmos_aspeed)</f>
        <v>802.62466249907322</v>
      </c>
      <c r="BC150" s="162">
        <f t="shared" si="23"/>
        <v>14842.096574802363</v>
      </c>
      <c r="BE150">
        <v>0.79</v>
      </c>
      <c r="BF150" cm="1">
        <f t="array" ref="BF150">numeng*InterpolateXY(BF$90,BE150,Tmax_h,Tmax_M,Tmax_table)</f>
        <v>3594.61328592063</v>
      </c>
      <c r="BG150" cm="1">
        <f t="array" ref="BG150">1*BF$91/(S*Linterp(BF$90,atmos_h,atmos_qms)*BE150^2)</f>
        <v>0.21425919688197301</v>
      </c>
      <c r="BH150" cm="1">
        <f t="array" ref="BH150">InterpolateXY(BG150,BE150,CD_CL,CD_M,CD_table)</f>
        <v>2.0511199805123309E-2</v>
      </c>
      <c r="BI150" cm="1">
        <f t="array" ref="BI150">BH150*S*Linterp(BF$90,atmos_h,atmos_qms)*BE150^2</f>
        <v>957.3077890524404</v>
      </c>
      <c r="BJ150" cm="1">
        <f t="array" ref="BJ150">BE150*Linterp(BF$90,atmos_h,atmos_aspeed)</f>
        <v>785.78903416760113</v>
      </c>
      <c r="BK150" s="162">
        <f t="shared" si="24"/>
        <v>12434.194435133759</v>
      </c>
      <c r="BM150">
        <v>0.79</v>
      </c>
      <c r="BN150" cm="1">
        <f t="array" ref="BN150">numeng*InterpolateXY(BN$90,BM150,Tmax_h,Tmax_M,Tmax_table)</f>
        <v>3075.1529616640528</v>
      </c>
      <c r="BO150" cm="1">
        <f t="array" ref="BO150">1*BN$91/(S*Linterp(BN$90,atmos_h,atmos_qms)*BM150^2)</f>
        <v>0.27040024695486153</v>
      </c>
      <c r="BP150" cm="1">
        <f t="array" ref="BP150">InterpolateXY(BO150,BM150,CD_CL,CD_M,CD_table)</f>
        <v>2.4020015434678844E-2</v>
      </c>
      <c r="BQ150" cm="1">
        <f t="array" ref="BQ150">BP150*S*Linterp(BN$90,atmos_h,atmos_qms)*BM150^2</f>
        <v>888.31336898477593</v>
      </c>
      <c r="BR150" cm="1">
        <f t="array" ref="BR150">BM150*Linterp(BN$90,atmos_h,atmos_aspeed)</f>
        <v>768.58471464396928</v>
      </c>
      <c r="BS150" s="162">
        <f t="shared" si="25"/>
        <v>10084.628905869216</v>
      </c>
      <c r="BU150">
        <v>0.79</v>
      </c>
      <c r="BV150" cm="1">
        <f t="array" ref="BV150">numeng*InterpolateXY(BV$90,BU150,Tmax_h,Tmax_M,Tmax_table)</f>
        <v>2520.7755490503228</v>
      </c>
      <c r="BW150" cm="1">
        <f t="array" ref="BW150">1*BV$91/(S*Linterp(BV$90,atmos_h,atmos_qms)*BU150^2)</f>
        <v>0.34376681627664801</v>
      </c>
      <c r="BX150" cm="1">
        <f t="array" ref="BX150">InterpolateXY(BW150,BU150,CD_CL,CD_M,CD_table)</f>
        <v>2.9426053822477649E-2</v>
      </c>
      <c r="BY150" cm="1">
        <f t="array" ref="BY150">BX150*S*Linterp(BV$90,atmos_h,atmos_qms)*BU150^2</f>
        <v>855.98878161634093</v>
      </c>
      <c r="BZ150" cm="1">
        <f t="array" ref="BZ150">BU150*Linterp(BV$90,atmos_h,atmos_aspeed)</f>
        <v>764.79940323293272</v>
      </c>
      <c r="CA150" s="162">
        <f t="shared" si="26"/>
        <v>7639.3675574615554</v>
      </c>
      <c r="CC150">
        <v>0.79</v>
      </c>
      <c r="CD150" cm="1">
        <f t="array" ref="CD150">numeng*InterpolateXY(CD$90,CC150,Tmax_h,Tmax_M,Tmax_table)</f>
        <v>1921.1088741601725</v>
      </c>
      <c r="CE150" cm="1">
        <f t="array" ref="CE150">1*CD$91/(S*Linterp(CD$90,atmos_h,atmos_qms)*CC150^2)</f>
        <v>0.43715248399602402</v>
      </c>
      <c r="CF150" cm="1">
        <f t="array" ref="CF150">InterpolateXY(CE150,CC150,CD_CL,CD_M,CD_table)</f>
        <v>4.4069683838245555E-2</v>
      </c>
      <c r="CG150" cm="1">
        <f t="array" ref="CG150">CF150*S*Linterp(CD$90,atmos_h,atmos_qms)*CC150^2</f>
        <v>1008.1078216782219</v>
      </c>
      <c r="CH150" cm="1">
        <f t="array" ref="CH150">CC150*Linterp(CD$90,atmos_h,atmos_aspeed)</f>
        <v>764.79940323293272</v>
      </c>
      <c r="CI150" s="162">
        <f t="shared" si="27"/>
        <v>4189.5759605354115</v>
      </c>
      <c r="CK150">
        <v>0.79</v>
      </c>
      <c r="CL150" cm="1">
        <f t="array" ref="CL150">numeng*InterpolateXY(CL$90,CK150,Tmax_h,Tmax_M,Tmax_table)</f>
        <v>1414.5080559861133</v>
      </c>
      <c r="CM150" cm="1">
        <f t="array" ref="CM150">1*CL$91/(S*Linterp(CL$90,atmos_h,atmos_qms)*CK150^2)</f>
        <v>0.55590675194811001</v>
      </c>
      <c r="CN150" cm="1">
        <f t="array" ref="CN150">InterpolateXY(CM150,CK150,CD_CL,CD_M,CD_table)</f>
        <v>7.1405696174496519E-2</v>
      </c>
      <c r="CO150" cm="1">
        <f t="array" ref="CO150">CN150*S*Linterp(CL$90,atmos_h,atmos_qms)*CK150^2</f>
        <v>1284.4905359444483</v>
      </c>
      <c r="CP150" cm="1">
        <f t="array" ref="CP150">CK150*Linterp(CL$90,atmos_h,atmos_aspeed)</f>
        <v>764.79940323293272</v>
      </c>
      <c r="CQ150" s="162">
        <f t="shared" si="28"/>
        <v>596.62393042614735</v>
      </c>
    </row>
    <row r="151" spans="9:95">
      <c r="I151">
        <v>0.8</v>
      </c>
      <c r="J151" cm="1">
        <f t="array" ref="J151">numeng*InterpolateXY(J$90,I151,Tmax_h,Tmax_M,Tmax_table)</f>
        <v>7420</v>
      </c>
      <c r="K151" cm="1">
        <f t="array" ref="K151">1*J$91/(S*Linterp(J$90,atmos_h,atmos_qms)*I151^2)</f>
        <v>6.2045780215858146E-2</v>
      </c>
      <c r="L151" cm="1">
        <f t="array" ref="L151">InterpolateXY(K151,I151,CD_CL,CD_M,CD_table)</f>
        <v>1.5375572252698226E-2</v>
      </c>
      <c r="M151" cm="1">
        <f t="array" ref="M151">L151*S*Linterp(J$90,atmos_h,atmos_qms)*I151^2</f>
        <v>2478.1012019200007</v>
      </c>
      <c r="N151" cm="1">
        <f t="array" ref="N151">I151*Linterp(J$90,atmos_h,atmos_aspeed)</f>
        <v>893.16000000000008</v>
      </c>
      <c r="O151" s="162">
        <f t="shared" si="18"/>
        <v>26483.437982958796</v>
      </c>
      <c r="Q151">
        <v>0.8</v>
      </c>
      <c r="R151" cm="1">
        <f t="array" ref="R151">numeng*InterpolateXY(R$90,Q151,Tmax_h,Tmax_M,Tmax_table)</f>
        <v>6807.1776223526522</v>
      </c>
      <c r="S151" cm="1">
        <f t="array" ref="S151">1*R$91/(S*Linterp(R$90,atmos_h,atmos_qms)*Q151^2)</f>
        <v>7.4570036096892514E-2</v>
      </c>
      <c r="T151" cm="1">
        <f t="array" ref="T151">InterpolateXY(S151,Q151,CD_CL,CD_M,CD_table)</f>
        <v>1.5532125451211156E-2</v>
      </c>
      <c r="U151" cm="1">
        <f t="array" ref="U151">T151*S*Linterp(R$90,atmos_h,atmos_qms)*Q151^2</f>
        <v>2082.8909658873577</v>
      </c>
      <c r="V151" cm="1">
        <f t="array" ref="V151">Q151*Linterp(R$90,atmos_h,atmos_aspeed)</f>
        <v>877.67394109619875</v>
      </c>
      <c r="W151" s="162">
        <f t="shared" si="19"/>
        <v>24878.29973188847</v>
      </c>
      <c r="Y151">
        <v>0.8</v>
      </c>
      <c r="Z151" cm="1">
        <f t="array" ref="Z151">numeng*InterpolateXY(Z$90,Y151,Tmax_h,Tmax_M,Tmax_table)</f>
        <v>6188.4212849053119</v>
      </c>
      <c r="AA151" cm="1">
        <f t="array" ref="AA151">1*Z$91/(S*Linterp(Z$90,atmos_h,atmos_qms)*Y151^2)</f>
        <v>9.0221770993618514E-2</v>
      </c>
      <c r="AB151" cm="1">
        <f t="array" ref="AB151">InterpolateXY(AA151,Y151,CD_CL,CD_M,CD_table)</f>
        <v>1.5727772137420232E-2</v>
      </c>
      <c r="AC151" cm="1">
        <f t="array" ref="AC151">AB151*S*Linterp(Z$90,atmos_h,atmos_qms)*Y151^2</f>
        <v>1743.2346942660517</v>
      </c>
      <c r="AD151" cm="1">
        <f t="array" ref="AD151">Y151*Linterp(Z$90,atmos_h,atmos_aspeed)</f>
        <v>861.90968677621186</v>
      </c>
      <c r="AE151" s="162">
        <f t="shared" si="20"/>
        <v>22988.096291998212</v>
      </c>
      <c r="AG151">
        <v>0.8</v>
      </c>
      <c r="AH151" cm="1">
        <f t="array" ref="AH151">numeng*InterpolateXY(AH$90,AG151,Tmax_h,Tmax_M,Tmax_table)</f>
        <v>5474.323481503392</v>
      </c>
      <c r="AI151" cm="1">
        <f t="array" ref="AI151">1*AH$91/(S*Linterp(AH$90,atmos_h,atmos_qms)*AG151^2)</f>
        <v>0.10994387829718356</v>
      </c>
      <c r="AJ151" cm="1">
        <f t="array" ref="AJ151">InterpolateXY(AI151,AG151,CD_CL,CD_M,CD_table)</f>
        <v>1.6222895436144382E-2</v>
      </c>
      <c r="AK151" cm="1">
        <f t="array" ref="AK151">AJ151*S*Linterp(AH$90,atmos_h,atmos_qms)*AG151^2</f>
        <v>1475.5615035057363</v>
      </c>
      <c r="AL151" cm="1">
        <f t="array" ref="AL151">AG151*Linterp(AH$90,atmos_h,atmos_aspeed)</f>
        <v>845.85168288418106</v>
      </c>
      <c r="AM151" s="162">
        <f t="shared" si="21"/>
        <v>20294.15729125556</v>
      </c>
      <c r="AO151">
        <v>0.8</v>
      </c>
      <c r="AP151" cm="1">
        <f t="array" ref="AP151">numeng*InterpolateXY(AP$90,AO151,Tmax_h,Tmax_M,Tmax_table)</f>
        <v>4805.9087111774425</v>
      </c>
      <c r="AQ151" cm="1">
        <f t="array" ref="AQ151">1*AP$91/(S*Linterp(AP$90,atmos_h,atmos_qms)*AO151^2)</f>
        <v>0.13501649693326845</v>
      </c>
      <c r="AR151" cm="1">
        <f t="array" ref="AR151">InterpolateXY(AQ151,AO151,CD_CL,CD_M,CD_table)</f>
        <v>1.7163118634997566E-2</v>
      </c>
      <c r="AS151" cm="1">
        <f t="array" ref="AS151">AR151*S*Linterp(AP$90,atmos_h,atmos_qms)*AO151^2</f>
        <v>1271.1867827144408</v>
      </c>
      <c r="AT151" cm="1">
        <f t="array" ref="AT151">AO151*Linterp(AP$90,atmos_h,atmos_aspeed)</f>
        <v>829.48286945381517</v>
      </c>
      <c r="AU151" s="162">
        <f t="shared" si="22"/>
        <v>17591.947727656887</v>
      </c>
      <c r="AW151">
        <v>0.8</v>
      </c>
      <c r="AX151" cm="1">
        <f t="array" ref="AX151">numeng*InterpolateXY(AX$90,AW151,Tmax_h,Tmax_M,Tmax_table)</f>
        <v>4185.3803796249476</v>
      </c>
      <c r="AY151" cm="1">
        <f t="array" ref="AY151">1*AX$91/(S*Linterp(AX$90,atmos_h,atmos_qms)*AW151^2)</f>
        <v>0.16719826687502179</v>
      </c>
      <c r="AZ151" cm="1">
        <f t="array" ref="AZ151">InterpolateXY(AY151,AW151,CD_CL,CD_M,CD_table)</f>
        <v>1.8369935007813316E-2</v>
      </c>
      <c r="BA151" cm="1">
        <f t="array" ref="BA151">AZ151*S*Linterp(AX$90,atmos_h,atmos_qms)*AW151^2</f>
        <v>1098.6917120106616</v>
      </c>
      <c r="BB151" cm="1">
        <f t="array" ref="BB151">AW151*Linterp(AX$90,atmos_h,atmos_aspeed)</f>
        <v>812.78446835349189</v>
      </c>
      <c r="BC151" s="162">
        <f t="shared" si="23"/>
        <v>15052.875646077751</v>
      </c>
      <c r="BE151">
        <v>0.8</v>
      </c>
      <c r="BF151" cm="1">
        <f t="array" ref="BF151">numeng*InterpolateXY(BF$90,BE151,Tmax_h,Tmax_M,Tmax_table)</f>
        <v>3614.0678957112077</v>
      </c>
      <c r="BG151" cm="1">
        <f t="array" ref="BG151">1*BF$91/(S*Linterp(BF$90,atmos_h,atmos_qms)*BE151^2)</f>
        <v>0.20893619495943644</v>
      </c>
      <c r="BH151" cm="1">
        <f t="array" ref="BH151">InterpolateXY(BG151,BE151,CD_CL,CD_M,CD_table)</f>
        <v>2.0158512184964776E-2</v>
      </c>
      <c r="BI151" cm="1">
        <f t="array" ref="BI151">BH151*S*Linterp(BF$90,atmos_h,atmos_qms)*BE151^2</f>
        <v>964.81666036267256</v>
      </c>
      <c r="BJ151" cm="1">
        <f t="array" ref="BJ151">BE151*Linterp(BF$90,atmos_h,atmos_aspeed)</f>
        <v>795.73573080263407</v>
      </c>
      <c r="BK151" s="162">
        <f t="shared" si="24"/>
        <v>12648.623207039087</v>
      </c>
      <c r="BM151">
        <v>0.8</v>
      </c>
      <c r="BN151" cm="1">
        <f t="array" ref="BN151">numeng*InterpolateXY(BN$90,BM151,Tmax_h,Tmax_M,Tmax_table)</f>
        <v>3092.5056990535313</v>
      </c>
      <c r="BO151" cm="1">
        <f t="array" ref="BO151">1*BN$91/(S*Linterp(BN$90,atmos_h,atmos_qms)*BM151^2)</f>
        <v>0.26368249081957668</v>
      </c>
      <c r="BP151" cm="1">
        <f t="array" ref="BP151">InterpolateXY(BO151,BM151,CD_CL,CD_M,CD_table)</f>
        <v>2.3580155676223541E-2</v>
      </c>
      <c r="BQ151" cm="1">
        <f t="array" ref="BQ151">BP151*S*Linterp(BN$90,atmos_h,atmos_qms)*BM151^2</f>
        <v>894.26323313815089</v>
      </c>
      <c r="BR151" cm="1">
        <f t="array" ref="BR151">BM151*Linterp(BN$90,atmos_h,atmos_aspeed)</f>
        <v>778.31363508250058</v>
      </c>
      <c r="BS151" s="162">
        <f t="shared" si="25"/>
        <v>10265.532506635918</v>
      </c>
      <c r="BU151">
        <v>0.8</v>
      </c>
      <c r="BV151" cm="1">
        <f t="array" ref="BV151">numeng*InterpolateXY(BV$90,BU151,Tmax_h,Tmax_M,Tmax_table)</f>
        <v>2535.5457182830396</v>
      </c>
      <c r="BW151" cm="1">
        <f t="array" ref="BW151">1*BV$91/(S*Linterp(BV$90,atmos_h,atmos_qms)*BU151^2)</f>
        <v>0.33522635943477508</v>
      </c>
      <c r="BX151" cm="1">
        <f t="array" ref="BX151">InterpolateXY(BW151,BU151,CD_CL,CD_M,CD_table)</f>
        <v>2.8712141704075475E-2</v>
      </c>
      <c r="BY151" cm="1">
        <f t="array" ref="BY151">BX151*S*Linterp(BV$90,atmos_h,atmos_qms)*BU151^2</f>
        <v>856.50011987383687</v>
      </c>
      <c r="BZ151" cm="1">
        <f t="array" ref="BZ151">BU151*Linterp(BV$90,atmos_h,atmos_aspeed)</f>
        <v>774.48040833714708</v>
      </c>
      <c r="CA151" s="162">
        <f t="shared" si="26"/>
        <v>7802.3275240358935</v>
      </c>
      <c r="CC151">
        <v>0.8</v>
      </c>
      <c r="CD151" cm="1">
        <f t="array" ref="CD151">numeng*InterpolateXY(CD$90,CC151,Tmax_h,Tmax_M,Tmax_table)</f>
        <v>1931.9494724021081</v>
      </c>
      <c r="CE151" cm="1">
        <f t="array" ref="CE151">1*CD$91/(S*Linterp(CD$90,atmos_h,atmos_qms)*CC151^2)</f>
        <v>0.42629197697174781</v>
      </c>
      <c r="CF151" cm="1">
        <f t="array" ref="CF151">InterpolateXY(CE151,CC151,CD_CL,CD_M,CD_table)</f>
        <v>4.1956037659174467E-2</v>
      </c>
      <c r="CG151" cm="1">
        <f t="array" ref="CG151">CF151*S*Linterp(CD$90,atmos_h,atmos_qms)*CC151^2</f>
        <v>984.20894423624281</v>
      </c>
      <c r="CH151" cm="1">
        <f t="array" ref="CH151">CC151*Linterp(CD$90,atmos_h,atmos_aspeed)</f>
        <v>774.48040833714708</v>
      </c>
      <c r="CI151" s="162">
        <f t="shared" si="27"/>
        <v>4404.0388275093774</v>
      </c>
      <c r="CK151">
        <v>0.8</v>
      </c>
      <c r="CL151" cm="1">
        <f t="array" ref="CL151">numeng*InterpolateXY(CL$90,CK151,Tmax_h,Tmax_M,Tmax_table)</f>
        <v>1421.8150282942636</v>
      </c>
      <c r="CM151" cm="1">
        <f t="array" ref="CM151">1*CL$91/(S*Linterp(CL$90,atmos_h,atmos_qms)*CK151^2)</f>
        <v>0.54209594357939916</v>
      </c>
      <c r="CN151" cm="1">
        <f t="array" ref="CN151">InterpolateXY(CM151,CK151,CD_CL,CD_M,CD_table)</f>
        <v>6.7279048681806869E-2</v>
      </c>
      <c r="CO151" cm="1">
        <f t="array" ref="CO151">CN151*S*Linterp(CL$90,atmos_h,atmos_qms)*CK151^2</f>
        <v>1241.0911662162755</v>
      </c>
      <c r="CP151" cm="1">
        <f t="array" ref="CP151">CK151*Linterp(CL$90,atmos_h,atmos_aspeed)</f>
        <v>774.48040833714708</v>
      </c>
      <c r="CQ151" s="162">
        <f t="shared" si="28"/>
        <v>839.80254299055878</v>
      </c>
    </row>
    <row r="152" spans="9:95">
      <c r="I152">
        <v>0.81</v>
      </c>
      <c r="J152" cm="1">
        <f t="array" ref="J152">numeng*InterpolateXY(J$90,I152,Tmax_h,Tmax_M,Tmax_table)</f>
        <v>7444</v>
      </c>
      <c r="K152" cm="1">
        <f t="array" ref="K152">1*J$91/(S*Linterp(J$90,atmos_h,atmos_qms)*I152^2)</f>
        <v>6.052324239925197E-2</v>
      </c>
      <c r="L152" cm="1">
        <f t="array" ref="L152">InterpolateXY(K152,I152,CD_CL,CD_M,CD_table)</f>
        <v>1.5436540529990649E-2</v>
      </c>
      <c r="M152" cm="1">
        <f t="array" ref="M152">L152*S*Linterp(J$90,atmos_h,atmos_qms)*I152^2</f>
        <v>2550.5144665186403</v>
      </c>
      <c r="N152" cm="1">
        <f t="array" ref="N152">I152*Linterp(J$90,atmos_h,atmos_aspeed)</f>
        <v>904.32450000000006</v>
      </c>
      <c r="O152" s="162">
        <f t="shared" si="18"/>
        <v>26551.793149936591</v>
      </c>
      <c r="Q152">
        <v>0.81</v>
      </c>
      <c r="R152" cm="1">
        <f t="array" ref="R152">numeng*InterpolateXY(R$90,Q152,Tmax_h,Tmax_M,Tmax_table)</f>
        <v>6833.0276639565227</v>
      </c>
      <c r="S152" cm="1">
        <f t="array" ref="S152">1*R$91/(S*Linterp(R$90,atmos_h,atmos_qms)*Q152^2)</f>
        <v>7.2740166288692593E-2</v>
      </c>
      <c r="T152" cm="1">
        <f t="array" ref="T152">InterpolateXY(S152,Q152,CD_CL,CD_M,CD_table)</f>
        <v>1.5589252078608657E-2</v>
      </c>
      <c r="U152" cm="1">
        <f t="array" ref="U152">T152*S*Linterp(R$90,atmos_h,atmos_qms)*Q152^2</f>
        <v>2143.1422106924711</v>
      </c>
      <c r="V152" cm="1">
        <f t="array" ref="V152">Q152*Linterp(R$90,atmos_h,atmos_aspeed)</f>
        <v>888.64486535990125</v>
      </c>
      <c r="W152" s="162">
        <f t="shared" si="19"/>
        <v>25005.855763015155</v>
      </c>
      <c r="Y152">
        <v>0.81</v>
      </c>
      <c r="Z152" cm="1">
        <f t="array" ref="Z152">numeng*InterpolateXY(Z$90,Y152,Tmax_h,Tmax_M,Tmax_table)</f>
        <v>6215.0063882772201</v>
      </c>
      <c r="AA152" cm="1">
        <f t="array" ref="AA152">1*Z$91/(S*Linterp(Z$90,atmos_h,atmos_qms)*Y152^2)</f>
        <v>8.8007824166919449E-2</v>
      </c>
      <c r="AB152" cm="1">
        <f t="array" ref="AB152">InterpolateXY(AA152,Y152,CD_CL,CD_M,CD_table)</f>
        <v>1.5780097802086494E-2</v>
      </c>
      <c r="AC152" cm="1">
        <f t="array" ref="AC152">AB152*S*Linterp(Z$90,atmos_h,atmos_qms)*Y152^2</f>
        <v>1793.0335116747437</v>
      </c>
      <c r="AD152" cm="1">
        <f t="array" ref="AD152">Y152*Linterp(Z$90,atmos_h,atmos_aspeed)</f>
        <v>872.68355786091456</v>
      </c>
      <c r="AE152" s="162">
        <f t="shared" si="20"/>
        <v>23153.898136307471</v>
      </c>
      <c r="AG152">
        <v>0.81</v>
      </c>
      <c r="AH152" cm="1">
        <f t="array" ref="AH152">numeng*InterpolateXY(AH$90,AG152,Tmax_h,Tmax_M,Tmax_table)</f>
        <v>5499.4927848666257</v>
      </c>
      <c r="AI152" cm="1">
        <f t="array" ref="AI152">1*AH$91/(S*Linterp(AH$90,atmos_h,atmos_qms)*AG152^2)</f>
        <v>0.10724597181862137</v>
      </c>
      <c r="AJ152" cm="1">
        <f t="array" ref="AJ152">InterpolateXY(AI152,AG152,CD_CL,CD_M,CD_table)</f>
        <v>1.6201723943198302E-2</v>
      </c>
      <c r="AK152" cm="1">
        <f t="array" ref="AK152">AJ152*S*Linterp(AH$90,atmos_h,atmos_qms)*AG152^2</f>
        <v>1510.7069914569192</v>
      </c>
      <c r="AL152" cm="1">
        <f t="array" ref="AL152">AG152*Linterp(AH$90,atmos_h,atmos_aspeed)</f>
        <v>856.42482892023327</v>
      </c>
      <c r="AM152" s="162">
        <f t="shared" si="21"/>
        <v>20496.571144322188</v>
      </c>
      <c r="AO152">
        <v>0.81</v>
      </c>
      <c r="AP152" cm="1">
        <f t="array" ref="AP152">numeng*InterpolateXY(AP$90,AO152,Tmax_h,Tmax_M,Tmax_table)</f>
        <v>4829.3521683051376</v>
      </c>
      <c r="AQ152" cm="1">
        <f t="array" ref="AQ152">1*AP$91/(S*Linterp(AP$90,atmos_h,atmos_qms)*AO152^2)</f>
        <v>0.13170333491432981</v>
      </c>
      <c r="AR152" cm="1">
        <f t="array" ref="AR152">InterpolateXY(AQ152,AO152,CD_CL,CD_M,CD_table)</f>
        <v>1.7118875059287369E-2</v>
      </c>
      <c r="AS152" cm="1">
        <f t="array" ref="AS152">AR152*S*Linterp(AP$90,atmos_h,atmos_qms)*AO152^2</f>
        <v>1299.8057391958091</v>
      </c>
      <c r="AT152" cm="1">
        <f t="array" ref="AT152">AO152*Linterp(AP$90,atmos_h,atmos_aspeed)</f>
        <v>839.85140532198784</v>
      </c>
      <c r="AU152" s="162">
        <f t="shared" si="22"/>
        <v>17785.76717182004</v>
      </c>
      <c r="AW152">
        <v>0.81</v>
      </c>
      <c r="AX152" cm="1">
        <f t="array" ref="AX152">numeng*InterpolateXY(AX$90,AW152,Tmax_h,Tmax_M,Tmax_table)</f>
        <v>4206.8898291133846</v>
      </c>
      <c r="AY152" cm="1">
        <f t="array" ref="AY152">1*AX$91/(S*Linterp(AX$90,atmos_h,atmos_qms)*AW152^2)</f>
        <v>0.16309539826248126</v>
      </c>
      <c r="AZ152" cm="1">
        <f t="array" ref="AZ152">InterpolateXY(AY152,AW152,CD_CL,CD_M,CD_table)</f>
        <v>1.8296077434843048E-2</v>
      </c>
      <c r="BA152" cm="1">
        <f t="array" ref="BA152">AZ152*S*Linterp(AX$90,atmos_h,atmos_qms)*AW152^2</f>
        <v>1121.8021863129361</v>
      </c>
      <c r="BB152" cm="1">
        <f t="array" ref="BB152">AW152*Linterp(AX$90,atmos_h,atmos_aspeed)</f>
        <v>822.94427420791055</v>
      </c>
      <c r="BC152" s="162">
        <f t="shared" si="23"/>
        <v>15233.131266433254</v>
      </c>
      <c r="BE152">
        <v>0.81</v>
      </c>
      <c r="BF152" cm="1">
        <f t="array" ref="BF152">numeng*InterpolateXY(BF$90,BE152,Tmax_h,Tmax_M,Tmax_table)</f>
        <v>3633.5225055017859</v>
      </c>
      <c r="BG152" cm="1">
        <f t="array" ref="BG152">1*BF$91/(S*Linterp(BF$90,atmos_h,atmos_qms)*BE152^2)</f>
        <v>0.20380912174064827</v>
      </c>
      <c r="BH152" cm="1">
        <f t="array" ref="BH152">InterpolateXY(BG152,BE152,CD_CL,CD_M,CD_table)</f>
        <v>1.9918070108790514E-2</v>
      </c>
      <c r="BI152" cm="1">
        <f t="array" ref="BI152">BH152*S*Linterp(BF$90,atmos_h,atmos_qms)*BE152^2</f>
        <v>977.2904146133709</v>
      </c>
      <c r="BJ152" cm="1">
        <f t="array" ref="BJ152">BE152*Linterp(BF$90,atmos_h,atmos_aspeed)</f>
        <v>805.682427437667</v>
      </c>
      <c r="BK152" s="162">
        <f t="shared" si="24"/>
        <v>12840.477112948847</v>
      </c>
      <c r="BM152">
        <v>0.81</v>
      </c>
      <c r="BN152" cm="1">
        <f t="array" ref="BN152">numeng*InterpolateXY(BN$90,BM152,Tmax_h,Tmax_M,Tmax_table)</f>
        <v>3109.8584364430103</v>
      </c>
      <c r="BO152" cm="1">
        <f t="array" ref="BO152">1*BN$91/(S*Linterp(BN$90,atmos_h,atmos_qms)*BM152^2)</f>
        <v>0.25721200140912825</v>
      </c>
      <c r="BP152" cm="1">
        <f t="array" ref="BP152">InterpolateXY(BO152,BM152,CD_CL,CD_M,CD_table)</f>
        <v>2.3255750088070515E-2</v>
      </c>
      <c r="BQ152" cm="1">
        <f t="array" ref="BQ152">BP152*S*Linterp(BN$90,atmos_h,atmos_qms)*BM152^2</f>
        <v>904.14716112252074</v>
      </c>
      <c r="BR152" cm="1">
        <f t="array" ref="BR152">BM152*Linterp(BN$90,atmos_h,atmos_aspeed)</f>
        <v>788.04255552103177</v>
      </c>
      <c r="BS152" s="162">
        <f t="shared" si="25"/>
        <v>10429.166100870676</v>
      </c>
      <c r="BU152">
        <v>0.81</v>
      </c>
      <c r="BV152" cm="1">
        <f t="array" ref="BV152">numeng*InterpolateXY(BV$90,BU152,Tmax_h,Tmax_M,Tmax_table)</f>
        <v>2550.3158875157565</v>
      </c>
      <c r="BW152" cm="1">
        <f t="array" ref="BW152">1*BV$91/(S*Linterp(BV$90,atmos_h,atmos_qms)*BU152^2)</f>
        <v>0.32700025916515174</v>
      </c>
      <c r="BX152" cm="1">
        <f t="array" ref="BX152">InterpolateXY(BW152,BU152,CD_CL,CD_M,CD_table)</f>
        <v>2.8123771057168578E-2</v>
      </c>
      <c r="BY152" cm="1">
        <f t="array" ref="BY152">BX152*S*Linterp(BV$90,atmos_h,atmos_qms)*BU152^2</f>
        <v>860.0534791308728</v>
      </c>
      <c r="BZ152" cm="1">
        <f t="array" ref="BZ152">BU152*Linterp(BV$90,atmos_h,atmos_aspeed)</f>
        <v>784.16141344136145</v>
      </c>
      <c r="CA152" s="162">
        <f t="shared" si="26"/>
        <v>7952.6313554753397</v>
      </c>
      <c r="CC152">
        <v>0.81</v>
      </c>
      <c r="CD152" cm="1">
        <f t="array" ref="CD152">numeng*InterpolateXY(CD$90,CC152,Tmax_h,Tmax_M,Tmax_table)</f>
        <v>1942.7900706440437</v>
      </c>
      <c r="CE152" cm="1">
        <f t="array" ref="CE152">1*CD$91/(S*Linterp(CD$90,atmos_h,atmos_qms)*CC152^2)</f>
        <v>0.41583122277384332</v>
      </c>
      <c r="CF152" cm="1">
        <f t="array" ref="CF152">InterpolateXY(CE152,CC152,CD_CL,CD_M,CD_table)</f>
        <v>3.9866190558212243E-2</v>
      </c>
      <c r="CG152" cm="1">
        <f t="array" ref="CG152">CF152*S*Linterp(CD$90,atmos_h,atmos_qms)*CC152^2</f>
        <v>958.71085129877633</v>
      </c>
      <c r="CH152" cm="1">
        <f t="array" ref="CH152">CC152*Linterp(CD$90,atmos_h,atmos_aspeed)</f>
        <v>784.16141344136145</v>
      </c>
      <c r="CI152" s="162">
        <f t="shared" si="27"/>
        <v>4630.0617094803383</v>
      </c>
      <c r="CK152">
        <v>0.81</v>
      </c>
      <c r="CL152" cm="1">
        <f t="array" ref="CL152">numeng*InterpolateXY(CL$90,CK152,Tmax_h,Tmax_M,Tmax_table)</f>
        <v>1429.1220006024139</v>
      </c>
      <c r="CM152" cm="1">
        <f t="array" ref="CM152">1*CL$91/(S*Linterp(CL$90,atmos_h,atmos_qms)*CK152^2)</f>
        <v>0.52879348253439329</v>
      </c>
      <c r="CN152" cm="1">
        <f t="array" ref="CN152">InterpolateXY(CM152,CK152,CD_CL,CD_M,CD_table)</f>
        <v>6.3255291363977714E-2</v>
      </c>
      <c r="CO152" cm="1">
        <f t="array" ref="CO152">CN152*S*Linterp(CL$90,atmos_h,atmos_qms)*CK152^2</f>
        <v>1196.2191943215473</v>
      </c>
      <c r="CP152" cm="1">
        <f t="array" ref="CP152">CK152*Linterp(CL$90,atmos_h,atmos_aspeed)</f>
        <v>784.16141344136145</v>
      </c>
      <c r="CQ152" s="162">
        <f t="shared" si="28"/>
        <v>1095.8003626059835</v>
      </c>
    </row>
    <row r="153" spans="9:95">
      <c r="I153">
        <v>0.82</v>
      </c>
      <c r="J153" cm="1">
        <f t="array" ref="J153">numeng*InterpolateXY(J$90,I153,Tmax_h,Tmax_M,Tmax_table)</f>
        <v>7468</v>
      </c>
      <c r="K153" cm="1">
        <f t="array" ref="K153">1*J$91/(S*Linterp(J$90,atmos_h,atmos_qms)*I153^2)</f>
        <v>5.905606683246465E-2</v>
      </c>
      <c r="L153" cm="1">
        <f t="array" ref="L153">InterpolateXY(K153,I153,CD_CL,CD_M,CD_table)</f>
        <v>1.5498200835405807E-2</v>
      </c>
      <c r="M153" cm="1">
        <f t="array" ref="M153">L153*S*Linterp(J$90,atmos_h,atmos_qms)*I153^2</f>
        <v>2624.3198483523197</v>
      </c>
      <c r="N153" cm="1">
        <f t="array" ref="N153">I153*Linterp(J$90,atmos_h,atmos_aspeed)</f>
        <v>915.48900000000003</v>
      </c>
      <c r="O153" s="162">
        <f t="shared" si="18"/>
        <v>26606.015390110704</v>
      </c>
      <c r="Q153">
        <v>0.82</v>
      </c>
      <c r="R153" cm="1">
        <f t="array" ref="R153">numeng*InterpolateXY(R$90,Q153,Tmax_h,Tmax_M,Tmax_table)</f>
        <v>6858.8777055603941</v>
      </c>
      <c r="S153" cm="1">
        <f t="array" ref="S153">1*R$91/(S*Linterp(R$90,atmos_h,atmos_qms)*Q153^2)</f>
        <v>7.0976833881634782E-2</v>
      </c>
      <c r="T153" cm="1">
        <f t="array" ref="T153">InterpolateXY(S153,Q153,CD_CL,CD_M,CD_table)</f>
        <v>1.5647210423520436E-2</v>
      </c>
      <c r="U153" cm="1">
        <f t="array" ref="U153">T153*S*Linterp(R$90,atmos_h,atmos_qms)*Q153^2</f>
        <v>2204.5517625672992</v>
      </c>
      <c r="V153" cm="1">
        <f t="array" ref="V153">Q153*Linterp(R$90,atmos_h,atmos_aspeed)</f>
        <v>899.61578962360363</v>
      </c>
      <c r="W153" s="162">
        <f t="shared" si="19"/>
        <v>25122.63065022814</v>
      </c>
      <c r="Y153">
        <v>0.82</v>
      </c>
      <c r="Z153" cm="1">
        <f t="array" ref="Z153">numeng*InterpolateXY(Z$90,Y153,Tmax_h,Tmax_M,Tmax_table)</f>
        <v>6241.5914916491283</v>
      </c>
      <c r="AA153" cm="1">
        <f t="array" ref="AA153">1*Z$91/(S*Linterp(Z$90,atmos_h,atmos_qms)*Y153^2)</f>
        <v>8.5874380481730919E-2</v>
      </c>
      <c r="AB153" cm="1">
        <f t="array" ref="AB153">InterpolateXY(AA153,Y153,CD_CL,CD_M,CD_table)</f>
        <v>1.5833429756021637E-2</v>
      </c>
      <c r="AC153" cm="1">
        <f t="array" ref="AC153">AB153*S*Linterp(Z$90,atmos_h,atmos_qms)*Y153^2</f>
        <v>1843.7896922458813</v>
      </c>
      <c r="AD153" cm="1">
        <f t="array" ref="AD153">Y153*Linterp(Z$90,atmos_h,atmos_aspeed)</f>
        <v>883.45742894561715</v>
      </c>
      <c r="AE153" s="162">
        <f t="shared" si="20"/>
        <v>23311.624024279208</v>
      </c>
      <c r="AG153">
        <v>0.82</v>
      </c>
      <c r="AH153" cm="1">
        <f t="array" ref="AH153">numeng*InterpolateXY(AH$90,AG153,Tmax_h,Tmax_M,Tmax_table)</f>
        <v>5524.6620882298603</v>
      </c>
      <c r="AI153" cm="1">
        <f t="array" ref="AI153">1*AH$91/(S*Linterp(AH$90,atmos_h,atmos_qms)*AG153^2)</f>
        <v>0.10464616613652217</v>
      </c>
      <c r="AJ153" cm="1">
        <f t="array" ref="AJ153">InterpolateXY(AI153,AG153,CD_CL,CD_M,CD_table)</f>
        <v>1.618423123011958E-2</v>
      </c>
      <c r="AK153" cm="1">
        <f t="array" ref="AK153">AJ153*S*Linterp(AH$90,atmos_h,atmos_qms)*AG153^2</f>
        <v>1546.567048524789</v>
      </c>
      <c r="AL153" cm="1">
        <f t="array" ref="AL153">AG153*Linterp(AH$90,atmos_h,atmos_aspeed)</f>
        <v>866.99797495628547</v>
      </c>
      <c r="AM153" s="162">
        <f t="shared" si="21"/>
        <v>20694.002061647643</v>
      </c>
      <c r="AO153">
        <v>0.82</v>
      </c>
      <c r="AP153" cm="1">
        <f t="array" ref="AP153">numeng*InterpolateXY(AP$90,AO153,Tmax_h,Tmax_M,Tmax_table)</f>
        <v>4852.7956254328319</v>
      </c>
      <c r="AQ153" cm="1">
        <f t="array" ref="AQ153">1*AP$91/(S*Linterp(AP$90,atmos_h,atmos_qms)*AO153^2)</f>
        <v>0.1285106455045982</v>
      </c>
      <c r="AR153" cm="1">
        <f t="array" ref="AR153">InterpolateXY(AQ153,AO153,CD_CL,CD_M,CD_table)</f>
        <v>1.7079149206422433E-2</v>
      </c>
      <c r="AS153" cm="1">
        <f t="array" ref="AS153">AR153*S*Linterp(AP$90,atmos_h,atmos_qms)*AO153^2</f>
        <v>1329.006569016987</v>
      </c>
      <c r="AT153" cm="1">
        <f t="array" ref="AT153">AO153*Linterp(AP$90,atmos_h,atmos_aspeed)</f>
        <v>850.21994119016051</v>
      </c>
      <c r="AU153" s="162">
        <f t="shared" si="22"/>
        <v>17975.974345874467</v>
      </c>
      <c r="AW153">
        <v>0.82</v>
      </c>
      <c r="AX153" cm="1">
        <f t="array" ref="AX153">numeng*InterpolateXY(AX$90,AW153,Tmax_h,Tmax_M,Tmax_table)</f>
        <v>4228.3992786018207</v>
      </c>
      <c r="AY153" cm="1">
        <f t="array" ref="AY153">1*AX$91/(S*Linterp(AX$90,atmos_h,atmos_qms)*AW153^2)</f>
        <v>0.15914171743012193</v>
      </c>
      <c r="AZ153" cm="1">
        <f t="array" ref="AZ153">InterpolateXY(AY153,AW153,CD_CL,CD_M,CD_table)</f>
        <v>1.8227814403629573E-2</v>
      </c>
      <c r="BA153" cm="1">
        <f t="array" ref="BA153">AZ153*S*Linterp(AX$90,atmos_h,atmos_qms)*AW153^2</f>
        <v>1145.3825368972334</v>
      </c>
      <c r="BB153" cm="1">
        <f t="array" ref="BB153">AW153*Linterp(AX$90,atmos_h,atmos_aspeed)</f>
        <v>833.1040800623291</v>
      </c>
      <c r="BC153" s="162">
        <f t="shared" si="23"/>
        <v>15410.842958487356</v>
      </c>
      <c r="BE153">
        <v>0.82</v>
      </c>
      <c r="BF153" cm="1">
        <f t="array" ref="BF153">numeng*InterpolateXY(BF$90,BE153,Tmax_h,Tmax_M,Tmax_table)</f>
        <v>3652.9771152923636</v>
      </c>
      <c r="BG153" cm="1">
        <f t="array" ref="BG153">1*BF$91/(S*Linterp(BF$90,atmos_h,atmos_qms)*BE153^2)</f>
        <v>0.1988684782481252</v>
      </c>
      <c r="BH153" cm="1">
        <f t="array" ref="BH153">InterpolateXY(BG153,BE153,CD_CL,CD_M,CD_table)</f>
        <v>1.9717567934304694E-2</v>
      </c>
      <c r="BI153" cm="1">
        <f t="array" ref="BI153">BH153*S*Linterp(BF$90,atmos_h,atmos_qms)*BE153^2</f>
        <v>991.48784704348077</v>
      </c>
      <c r="BJ153" cm="1">
        <f t="array" ref="BJ153">BE153*Linterp(BF$90,atmos_h,atmos_aspeed)</f>
        <v>815.62912407269982</v>
      </c>
      <c r="BK153" s="162">
        <f t="shared" si="24"/>
        <v>13024.728963544361</v>
      </c>
      <c r="BM153">
        <v>0.82</v>
      </c>
      <c r="BN153" cm="1">
        <f t="array" ref="BN153">numeng*InterpolateXY(BN$90,BM153,Tmax_h,Tmax_M,Tmax_table)</f>
        <v>3127.2111738324888</v>
      </c>
      <c r="BO153" cm="1">
        <f t="array" ref="BO153">1*BN$91/(S*Linterp(BN$90,atmos_h,atmos_qms)*BM153^2)</f>
        <v>0.2509767907860338</v>
      </c>
      <c r="BP153" cm="1">
        <f t="array" ref="BP153">InterpolateXY(BO153,BM153,CD_CL,CD_M,CD_table)</f>
        <v>2.2946049424127112E-2</v>
      </c>
      <c r="BQ153" cm="1">
        <f t="array" ref="BQ153">BP153*S*Linterp(BN$90,atmos_h,atmos_qms)*BM153^2</f>
        <v>914.2697757933081</v>
      </c>
      <c r="BR153" cm="1">
        <f t="array" ref="BR153">BM153*Linterp(BN$90,atmos_h,atmos_aspeed)</f>
        <v>797.77147595956296</v>
      </c>
      <c r="BS153" s="162">
        <f t="shared" si="25"/>
        <v>10592.529151954415</v>
      </c>
      <c r="BU153">
        <v>0.82</v>
      </c>
      <c r="BV153" cm="1">
        <f t="array" ref="BV153">numeng*InterpolateXY(BV$90,BU153,Tmax_h,Tmax_M,Tmax_table)</f>
        <v>2565.0860567484729</v>
      </c>
      <c r="BW153" cm="1">
        <f t="array" ref="BW153">1*BV$91/(S*Linterp(BV$90,atmos_h,atmos_qms)*BU153^2)</f>
        <v>0.31907327489330178</v>
      </c>
      <c r="BX153" cm="1">
        <f t="array" ref="BX153">InterpolateXY(BW153,BU153,CD_CL,CD_M,CD_table)</f>
        <v>2.755970358508077E-2</v>
      </c>
      <c r="BY153" cm="1">
        <f t="array" ref="BY153">BX153*S*Linterp(BV$90,atmos_h,atmos_qms)*BU153^2</f>
        <v>863.74214807857993</v>
      </c>
      <c r="BZ153" cm="1">
        <f t="array" ref="BZ153">BU153*Linterp(BV$90,atmos_h,atmos_aspeed)</f>
        <v>793.8424185455757</v>
      </c>
      <c r="CA153" s="162">
        <f t="shared" si="26"/>
        <v>8103.5937794177462</v>
      </c>
      <c r="CC153">
        <v>0.82</v>
      </c>
      <c r="CD153" cm="1">
        <f t="array" ref="CD153">numeng*InterpolateXY(CD$90,CC153,Tmax_h,Tmax_M,Tmax_table)</f>
        <v>1953.6306688859793</v>
      </c>
      <c r="CE153" cm="1">
        <f t="array" ref="CE153">1*CD$91/(S*Linterp(CD$90,atmos_h,atmos_qms)*CC153^2)</f>
        <v>0.40575084066317474</v>
      </c>
      <c r="CF153" cm="1">
        <f t="array" ref="CF153">InterpolateXY(CE153,CC153,CD_CL,CD_M,CD_table)</f>
        <v>3.7896429429825199E-2</v>
      </c>
      <c r="CG153" cm="1">
        <f t="array" ref="CG153">CF153*S*Linterp(CD$90,atmos_h,atmos_qms)*CC153^2</f>
        <v>933.9827705072853</v>
      </c>
      <c r="CH153" cm="1">
        <f t="array" ref="CH153">CC153*Linterp(CD$90,atmos_h,atmos_aspeed)</f>
        <v>793.8424185455757</v>
      </c>
      <c r="CI153" s="162">
        <f t="shared" si="27"/>
        <v>4856.638522283135</v>
      </c>
      <c r="CK153">
        <v>0.82</v>
      </c>
      <c r="CL153" cm="1">
        <f t="array" ref="CL153">numeng*InterpolateXY(CL$90,CK153,Tmax_h,Tmax_M,Tmax_table)</f>
        <v>1436.4289729105642</v>
      </c>
      <c r="CM153" cm="1">
        <f t="array" ref="CM153">1*CL$91/(S*Linterp(CL$90,atmos_h,atmos_qms)*CK153^2)</f>
        <v>0.5159747232165609</v>
      </c>
      <c r="CN153" cm="1">
        <f t="array" ref="CN153">InterpolateXY(CM153,CK153,CD_CL,CD_M,CD_table)</f>
        <v>5.94448991247103E-2</v>
      </c>
      <c r="CO153" cm="1">
        <f t="array" ref="CO153">CN153*S*Linterp(CL$90,atmos_h,atmos_qms)*CK153^2</f>
        <v>1152.0893650397009</v>
      </c>
      <c r="CP153" cm="1">
        <f t="array" ref="CP153">CK153*Linterp(CL$90,atmos_h,atmos_aspeed)</f>
        <v>793.8424185455757</v>
      </c>
      <c r="CQ153" s="162">
        <f t="shared" si="28"/>
        <v>1354.3250520030406</v>
      </c>
    </row>
    <row r="154" spans="9:95">
      <c r="I154">
        <v>0.83</v>
      </c>
      <c r="J154" cm="1">
        <f t="array" ref="J154">numeng*InterpolateXY(J$90,I154,Tmax_h,Tmax_M,Tmax_table)</f>
        <v>7492</v>
      </c>
      <c r="K154" cm="1">
        <f t="array" ref="K154">1*J$91/(S*Linterp(J$90,atmos_h,atmos_qms)*I154^2)</f>
        <v>5.7641601594061884E-2</v>
      </c>
      <c r="L154" cm="1">
        <f t="array" ref="L154">InterpolateXY(K154,I154,CD_CL,CD_M,CD_table)</f>
        <v>1.5560520019925774E-2</v>
      </c>
      <c r="M154" cm="1">
        <f t="array" ref="M154">L154*S*Linterp(J$90,atmos_h,atmos_qms)*I154^2</f>
        <v>2699.5294352696801</v>
      </c>
      <c r="N154" cm="1">
        <f t="array" ref="N154">I154*Linterp(J$90,atmos_h,atmos_aspeed)</f>
        <v>926.65350000000001</v>
      </c>
      <c r="O154" s="162">
        <f t="shared" si="18"/>
        <v>26645.757734725965</v>
      </c>
      <c r="Q154">
        <v>0.83</v>
      </c>
      <c r="R154" cm="1">
        <f t="array" ref="R154">numeng*InterpolateXY(R$90,Q154,Tmax_h,Tmax_M,Tmax_table)</f>
        <v>6884.7277471642647</v>
      </c>
      <c r="S154" cm="1">
        <f t="array" ref="S154">1*R$91/(S*Linterp(R$90,atmos_h,atmos_qms)*Q154^2)</f>
        <v>6.9276851650473537E-2</v>
      </c>
      <c r="T154" cm="1">
        <f t="array" ref="T154">InterpolateXY(S154,Q154,CD_CL,CD_M,CD_table)</f>
        <v>1.5705960645630918E-2</v>
      </c>
      <c r="U154" cm="1">
        <f t="array" ref="U154">T154*S*Linterp(R$90,atmos_h,atmos_qms)*Q154^2</f>
        <v>2267.1296791709156</v>
      </c>
      <c r="V154" cm="1">
        <f t="array" ref="V154">Q154*Linterp(R$90,atmos_h,atmos_aspeed)</f>
        <v>910.58671388730613</v>
      </c>
      <c r="W154" s="162">
        <f t="shared" si="19"/>
        <v>25228.340704718623</v>
      </c>
      <c r="Y154">
        <v>0.83</v>
      </c>
      <c r="Z154" cm="1">
        <f t="array" ref="Z154">numeng*InterpolateXY(Z$90,Y154,Tmax_h,Tmax_M,Tmax_table)</f>
        <v>6268.1765950210365</v>
      </c>
      <c r="AA154" cm="1">
        <f t="array" ref="AA154">1*Z$91/(S*Linterp(Z$90,atmos_h,atmos_qms)*Y154^2)</f>
        <v>8.3817583736269227E-2</v>
      </c>
      <c r="AB154" cm="1">
        <f t="array" ref="AB154">InterpolateXY(AA154,Y154,CD_CL,CD_M,CD_table)</f>
        <v>1.5887719796703365E-2</v>
      </c>
      <c r="AC154" cm="1">
        <f t="array" ref="AC154">AB154*S*Linterp(Z$90,atmos_h,atmos_qms)*Y154^2</f>
        <v>1895.5115488289237</v>
      </c>
      <c r="AD154" cm="1">
        <f t="array" ref="AD154">Y154*Linterp(Z$90,atmos_h,atmos_aspeed)</f>
        <v>894.23130003031974</v>
      </c>
      <c r="AE154" s="162">
        <f t="shared" si="20"/>
        <v>23461.043693121068</v>
      </c>
      <c r="AG154">
        <v>0.83</v>
      </c>
      <c r="AH154" cm="1">
        <f t="array" ref="AH154">numeng*InterpolateXY(AH$90,AG154,Tmax_h,Tmax_M,Tmax_table)</f>
        <v>5549.8313915930939</v>
      </c>
      <c r="AI154" cm="1">
        <f t="array" ref="AI154">1*AH$91/(S*Linterp(AH$90,atmos_h,atmos_qms)*AG154^2)</f>
        <v>0.10213976209928509</v>
      </c>
      <c r="AJ154" cm="1">
        <f t="array" ref="AJ154">InterpolateXY(AI154,AG154,CD_CL,CD_M,CD_table)</f>
        <v>1.617024107872319E-2</v>
      </c>
      <c r="AK154" cm="1">
        <f t="array" ref="AK154">AJ154*S*Linterp(AH$90,atmos_h,atmos_qms)*AG154^2</f>
        <v>1583.1484963715586</v>
      </c>
      <c r="AL154" cm="1">
        <f t="array" ref="AL154">AG154*Linterp(AH$90,atmos_h,atmos_aspeed)</f>
        <v>877.57112099233768</v>
      </c>
      <c r="AM154" s="162">
        <f t="shared" si="21"/>
        <v>20886.278129884169</v>
      </c>
      <c r="AO154">
        <v>0.83</v>
      </c>
      <c r="AP154" cm="1">
        <f t="array" ref="AP154">numeng*InterpolateXY(AP$90,AO154,Tmax_h,Tmax_M,Tmax_table)</f>
        <v>4876.2390825605271</v>
      </c>
      <c r="AQ154" cm="1">
        <f t="array" ref="AQ154">1*AP$91/(S*Linterp(AP$90,atmos_h,atmos_qms)*AO154^2)</f>
        <v>0.12543265791448949</v>
      </c>
      <c r="AR154" cm="1">
        <f t="array" ref="AR154">InterpolateXY(AQ154,AO154,CD_CL,CD_M,CD_table)</f>
        <v>1.7043724671793357E-2</v>
      </c>
      <c r="AS154" cm="1">
        <f t="array" ref="AS154">AR154*S*Linterp(AP$90,atmos_h,atmos_qms)*AO154^2</f>
        <v>1358.7948270547276</v>
      </c>
      <c r="AT154" cm="1">
        <f t="array" ref="AT154">AO154*Linterp(AP$90,atmos_h,atmos_aspeed)</f>
        <v>860.58847705833318</v>
      </c>
      <c r="AU154" s="162">
        <f t="shared" si="22"/>
        <v>18162.431969899913</v>
      </c>
      <c r="AW154">
        <v>0.83</v>
      </c>
      <c r="AX154" cm="1">
        <f t="array" ref="AX154">numeng*InterpolateXY(AX$90,AW154,Tmax_h,Tmax_M,Tmax_table)</f>
        <v>4249.9087280902577</v>
      </c>
      <c r="AY154" cm="1">
        <f t="array" ref="AY154">1*AX$91/(S*Linterp(AX$90,atmos_h,atmos_qms)*AW154^2)</f>
        <v>0.15533007809553487</v>
      </c>
      <c r="AZ154" cm="1">
        <f t="array" ref="AZ154">InterpolateXY(AY154,AW154,CD_CL,CD_M,CD_table)</f>
        <v>1.8164877928582557E-2</v>
      </c>
      <c r="BA154" cm="1">
        <f t="array" ref="BA154">AZ154*S*Linterp(AX$90,atmos_h,atmos_qms)*AW154^2</f>
        <v>1169.4372494559846</v>
      </c>
      <c r="BB154" cm="1">
        <f t="array" ref="BB154">AW154*Linterp(AX$90,atmos_h,atmos_aspeed)</f>
        <v>843.26388591674777</v>
      </c>
      <c r="BC154" s="162">
        <f t="shared" si="23"/>
        <v>15585.902097173081</v>
      </c>
      <c r="BE154">
        <v>0.83</v>
      </c>
      <c r="BF154" cm="1">
        <f t="array" ref="BF154">numeng*InterpolateXY(BF$90,BE154,Tmax_h,Tmax_M,Tmax_table)</f>
        <v>3672.4317250829413</v>
      </c>
      <c r="BG154" cm="1">
        <f t="array" ref="BG154">1*BF$91/(S*Linterp(BF$90,atmos_h,atmos_qms)*BE154^2)</f>
        <v>0.19410533426337548</v>
      </c>
      <c r="BH154" cm="1">
        <f t="array" ref="BH154">InterpolateXY(BG154,BE154,CD_CL,CD_M,CD_table)</f>
        <v>1.961895003487658E-2</v>
      </c>
      <c r="BI154" cm="1">
        <f t="array" ref="BI154">BH154*S*Linterp(BF$90,atmos_h,atmos_qms)*BE154^2</f>
        <v>1010.7372942289281</v>
      </c>
      <c r="BJ154" cm="1">
        <f t="array" ref="BJ154">BE154*Linterp(BF$90,atmos_h,atmos_aspeed)</f>
        <v>825.57582070773276</v>
      </c>
      <c r="BK154" s="162">
        <f t="shared" si="24"/>
        <v>13184.583385353022</v>
      </c>
      <c r="BM154">
        <v>0.83</v>
      </c>
      <c r="BN154" cm="1">
        <f t="array" ref="BN154">numeng*InterpolateXY(BN$90,BM154,Tmax_h,Tmax_M,Tmax_table)</f>
        <v>3144.5639112219674</v>
      </c>
      <c r="BO154" cm="1">
        <f t="array" ref="BO154">1*BN$91/(S*Linterp(BN$90,atmos_h,atmos_qms)*BM154^2)</f>
        <v>0.24496558880030353</v>
      </c>
      <c r="BP154" cm="1">
        <f t="array" ref="BP154">InterpolateXY(BO154,BM154,CD_CL,CD_M,CD_table)</f>
        <v>2.2650349300018972E-2</v>
      </c>
      <c r="BQ154" cm="1">
        <f t="array" ref="BQ154">BP154*S*Linterp(BN$90,atmos_h,atmos_qms)*BM154^2</f>
        <v>924.63392148044034</v>
      </c>
      <c r="BR154" cm="1">
        <f t="array" ref="BR154">BM154*Linterp(BN$90,atmos_h,atmos_aspeed)</f>
        <v>807.50039639809427</v>
      </c>
      <c r="BS154" s="162">
        <f t="shared" si="25"/>
        <v>10755.566080153802</v>
      </c>
      <c r="BU154">
        <v>0.83</v>
      </c>
      <c r="BV154" cm="1">
        <f t="array" ref="BV154">numeng*InterpolateXY(BV$90,BU154,Tmax_h,Tmax_M,Tmax_table)</f>
        <v>2579.8562259811897</v>
      </c>
      <c r="BW154" cm="1">
        <f t="array" ref="BW154">1*BV$91/(S*Linterp(BV$90,atmos_h,atmos_qms)*BU154^2)</f>
        <v>0.31143107858652358</v>
      </c>
      <c r="BX154" cm="1">
        <f t="array" ref="BX154">InterpolateXY(BW154,BU154,CD_CL,CD_M,CD_table)</f>
        <v>2.7018775135155042E-2</v>
      </c>
      <c r="BY154" cm="1">
        <f t="array" ref="BY154">BX154*S*Linterp(BV$90,atmos_h,atmos_qms)*BU154^2</f>
        <v>867.56836401118937</v>
      </c>
      <c r="BZ154" cm="1">
        <f t="array" ref="BZ154">BU154*Linterp(BV$90,atmos_h,atmos_aspeed)</f>
        <v>803.52342364979006</v>
      </c>
      <c r="CA154" s="162">
        <f t="shared" si="26"/>
        <v>8255.1804307446837</v>
      </c>
      <c r="CC154">
        <v>0.83</v>
      </c>
      <c r="CD154" cm="1">
        <f t="array" ref="CD154">numeng*InterpolateXY(CD$90,CC154,Tmax_h,Tmax_M,Tmax_table)</f>
        <v>1964.4712671279151</v>
      </c>
      <c r="CE154" cm="1">
        <f t="array" ref="CE154">1*CD$91/(S*Linterp(CD$90,atmos_h,atmos_qms)*CC154^2)</f>
        <v>0.39603261033810233</v>
      </c>
      <c r="CF154" cm="1">
        <f t="array" ref="CF154">InterpolateXY(CE154,CC154,CD_CL,CD_M,CD_table)</f>
        <v>3.623570945618023E-2</v>
      </c>
      <c r="CG154" cm="1">
        <f t="array" ref="CG154">CF154*S*Linterp(CD$90,atmos_h,atmos_qms)*CC154^2</f>
        <v>914.96782109041362</v>
      </c>
      <c r="CH154" cm="1">
        <f t="array" ref="CH154">CC154*Linterp(CD$90,atmos_h,atmos_aspeed)</f>
        <v>803.52342364979006</v>
      </c>
      <c r="CI154" s="162">
        <f t="shared" si="27"/>
        <v>5059.8036125538347</v>
      </c>
      <c r="CK154">
        <v>0.83</v>
      </c>
      <c r="CL154" cm="1">
        <f t="array" ref="CL154">numeng*InterpolateXY(CL$90,CK154,Tmax_h,Tmax_M,Tmax_table)</f>
        <v>1443.7359452187147</v>
      </c>
      <c r="CM154" cm="1">
        <f t="array" ref="CM154">1*CL$91/(S*Linterp(CL$90,atmos_h,atmos_qms)*CK154^2)</f>
        <v>0.50361649570447886</v>
      </c>
      <c r="CN154" cm="1">
        <f t="array" ref="CN154">InterpolateXY(CM154,CK154,CD_CL,CD_M,CD_table)</f>
        <v>5.583716022500302E-2</v>
      </c>
      <c r="CO154" cm="1">
        <f t="array" ref="CO154">CN154*S*Linterp(CL$90,atmos_h,atmos_qms)*CK154^2</f>
        <v>1108.7238146736192</v>
      </c>
      <c r="CP154" cm="1">
        <f t="array" ref="CP154">CK154*Linterp(CL$90,atmos_h,atmos_aspeed)</f>
        <v>803.52342364979006</v>
      </c>
      <c r="CQ154" s="162">
        <f t="shared" si="28"/>
        <v>1615.140564598833</v>
      </c>
    </row>
    <row r="155" spans="9:95">
      <c r="I155">
        <v>0.84</v>
      </c>
      <c r="J155" cm="1">
        <f t="array" ref="J155">numeng*InterpolateXY(J$90,I155,Tmax_h,Tmax_M,Tmax_table)</f>
        <v>7516</v>
      </c>
      <c r="K155" cm="1">
        <f t="array" ref="K155">1*J$91/(S*Linterp(J$90,atmos_h,atmos_qms)*I155^2)</f>
        <v>5.6277351669712629E-2</v>
      </c>
      <c r="L155" cm="1">
        <f t="array" ref="L155">InterpolateXY(K155,I155,CD_CL,CD_M,CD_table)</f>
        <v>1.5623466895871407E-2</v>
      </c>
      <c r="M155" cm="1">
        <f t="array" ref="M155">L155*S*Linterp(J$90,atmos_h,atmos_qms)*I155^2</f>
        <v>2776.1553151193598</v>
      </c>
      <c r="N155" cm="1">
        <f t="array" ref="N155">I155*Linterp(J$90,atmos_h,atmos_aspeed)</f>
        <v>937.81799999999998</v>
      </c>
      <c r="O155" s="162">
        <f t="shared" si="18"/>
        <v>26670.669976112349</v>
      </c>
      <c r="Q155">
        <v>0.84</v>
      </c>
      <c r="R155" cm="1">
        <f t="array" ref="R155">numeng*InterpolateXY(R$90,Q155,Tmax_h,Tmax_M,Tmax_table)</f>
        <v>6910.5777887681352</v>
      </c>
      <c r="S155" cm="1">
        <f t="array" ref="S155">1*R$91/(S*Linterp(R$90,atmos_h,atmos_qms)*Q155^2)</f>
        <v>6.7637220949562399E-2</v>
      </c>
      <c r="T155" cm="1">
        <f t="array" ref="T155">InterpolateXY(S155,Q155,CD_CL,CD_M,CD_table)</f>
        <v>1.5765465261869529E-2</v>
      </c>
      <c r="U155" cm="1">
        <f t="array" ref="U155">T155*S*Linterp(R$90,atmos_h,atmos_qms)*Q155^2</f>
        <v>2330.88601816239</v>
      </c>
      <c r="V155" cm="1">
        <f t="array" ref="V155">Q155*Linterp(R$90,atmos_h,atmos_aspeed)</f>
        <v>921.55763815100863</v>
      </c>
      <c r="W155" s="162">
        <f t="shared" si="19"/>
        <v>25322.69958947425</v>
      </c>
      <c r="Y155">
        <v>0.84</v>
      </c>
      <c r="Z155" cm="1">
        <f t="array" ref="Z155">numeng*InterpolateXY(Z$90,Y155,Tmax_h,Tmax_M,Tmax_table)</f>
        <v>6294.7616983929447</v>
      </c>
      <c r="AA155" cm="1">
        <f t="array" ref="AA155">1*Z$91/(S*Linterp(Z$90,atmos_h,atmos_qms)*Y155^2)</f>
        <v>8.1833805889903452E-2</v>
      </c>
      <c r="AB155" cm="1">
        <f t="array" ref="AB155">InterpolateXY(AA155,Y155,CD_CL,CD_M,CD_table)</f>
        <v>1.5942922573623793E-2</v>
      </c>
      <c r="AC155" cm="1">
        <f t="array" ref="AC155">AB155*S*Linterp(Z$90,atmos_h,atmos_qms)*Y155^2</f>
        <v>1948.2073942733255</v>
      </c>
      <c r="AD155" cm="1">
        <f t="array" ref="AD155">Y155*Linterp(Z$90,atmos_h,atmos_aspeed)</f>
        <v>905.00517111502245</v>
      </c>
      <c r="AE155" s="162">
        <f t="shared" si="20"/>
        <v>23601.924730563082</v>
      </c>
      <c r="AG155">
        <v>0.84</v>
      </c>
      <c r="AH155" cm="1">
        <f t="array" ref="AH155">numeng*InterpolateXY(AH$90,AG155,Tmax_h,Tmax_M,Tmax_table)</f>
        <v>5575.0006949563276</v>
      </c>
      <c r="AI155" cm="1">
        <f t="array" ref="AI155">1*AH$91/(S*Linterp(AH$90,atmos_h,atmos_qms)*AG155^2)</f>
        <v>9.9722338591549747E-2</v>
      </c>
      <c r="AJ155" cm="1">
        <f t="array" ref="AJ155">InterpolateXY(AI155,AG155,CD_CL,CD_M,CD_table)</f>
        <v>1.6166529232394374E-2</v>
      </c>
      <c r="AK155" cm="1">
        <f t="array" ref="AK155">AJ155*S*Linterp(AH$90,atmos_h,atmos_qms)*AG155^2</f>
        <v>1621.1542429435453</v>
      </c>
      <c r="AL155" cm="1">
        <f t="array" ref="AL155">AG155*Linterp(AH$90,atmos_h,atmos_aspeed)</f>
        <v>888.14426702839</v>
      </c>
      <c r="AM155" s="162">
        <f t="shared" si="21"/>
        <v>21069.51635439416</v>
      </c>
      <c r="AO155">
        <v>0.84</v>
      </c>
      <c r="AP155" cm="1">
        <f t="array" ref="AP155">numeng*InterpolateXY(AP$90,AO155,Tmax_h,Tmax_M,Tmax_table)</f>
        <v>4899.6825396882214</v>
      </c>
      <c r="AQ155" cm="1">
        <f t="array" ref="AQ155">1*AP$91/(S*Linterp(AP$90,atmos_h,atmos_qms)*AO155^2)</f>
        <v>0.1224639427966154</v>
      </c>
      <c r="AR155" cm="1">
        <f t="array" ref="AR155">InterpolateXY(AQ155,AO155,CD_CL,CD_M,CD_table)</f>
        <v>1.7012397854873077E-2</v>
      </c>
      <c r="AS155" cm="1">
        <f t="array" ref="AS155">AR155*S*Linterp(AP$90,atmos_h,atmos_qms)*AO155^2</f>
        <v>1389.1760681857825</v>
      </c>
      <c r="AT155" cm="1">
        <f t="array" ref="AT155">AO155*Linterp(AP$90,atmos_h,atmos_aspeed)</f>
        <v>870.95701292650585</v>
      </c>
      <c r="AU155" s="162">
        <f t="shared" si="22"/>
        <v>18345.001381673595</v>
      </c>
      <c r="AW155">
        <v>0.84</v>
      </c>
      <c r="AX155" cm="1">
        <f t="array" ref="AX155">numeng*InterpolateXY(AX$90,AW155,Tmax_h,Tmax_M,Tmax_table)</f>
        <v>4271.4181775786938</v>
      </c>
      <c r="AY155" cm="1">
        <f t="array" ref="AY155">1*AX$91/(S*Linterp(AX$90,atmos_h,atmos_qms)*AW155^2)</f>
        <v>0.1516537568027409</v>
      </c>
      <c r="AZ155" cm="1">
        <f t="array" ref="AZ155">InterpolateXY(AY155,AW155,CD_CL,CD_M,CD_table)</f>
        <v>1.8107015880102783E-2</v>
      </c>
      <c r="BA155" cm="1">
        <f t="array" ref="BA155">AZ155*S*Linterp(AX$90,atmos_h,atmos_qms)*AW155^2</f>
        <v>1193.9708096816184</v>
      </c>
      <c r="BB155" cm="1">
        <f t="array" ref="BB155">AW155*Linterp(AX$90,atmos_h,atmos_aspeed)</f>
        <v>853.42369177116643</v>
      </c>
      <c r="BC155" s="162">
        <f t="shared" si="23"/>
        <v>15758.198963653087</v>
      </c>
      <c r="BE155">
        <v>0.84</v>
      </c>
      <c r="BF155" cm="1">
        <f t="array" ref="BF155">numeng*InterpolateXY(BF$90,BE155,Tmax_h,Tmax_M,Tmax_table)</f>
        <v>3691.8863348735194</v>
      </c>
      <c r="BG155" cm="1">
        <f t="array" ref="BG155">1*BF$91/(S*Linterp(BF$90,atmos_h,atmos_qms)*BE155^2)</f>
        <v>0.18951128794506714</v>
      </c>
      <c r="BH155" cm="1">
        <f t="array" ref="BH155">InterpolateXY(BG155,BE155,CD_CL,CD_M,CD_table)</f>
        <v>1.9526673297940018E-2</v>
      </c>
      <c r="BI155" cm="1">
        <f t="array" ref="BI155">BH155*S*Linterp(BF$90,atmos_h,atmos_qms)*BE155^2</f>
        <v>1030.3699325604359</v>
      </c>
      <c r="BJ155" cm="1">
        <f t="array" ref="BJ155">BE155*Linterp(BF$90,atmos_h,atmos_aspeed)</f>
        <v>835.5225173427657</v>
      </c>
      <c r="BK155" s="162">
        <f t="shared" si="24"/>
        <v>13342.541306458133</v>
      </c>
      <c r="BM155">
        <v>0.84</v>
      </c>
      <c r="BN155" cm="1">
        <f t="array" ref="BN155">numeng*InterpolateXY(BN$90,BM155,Tmax_h,Tmax_M,Tmax_table)</f>
        <v>3161.9166486114464</v>
      </c>
      <c r="BO155" cm="1">
        <f t="array" ref="BO155">1*BN$91/(S*Linterp(BN$90,atmos_h,atmos_qms)*BM155^2)</f>
        <v>0.23916779212660025</v>
      </c>
      <c r="BP155" cm="1">
        <f t="array" ref="BP155">InterpolateXY(BO155,BM155,CD_CL,CD_M,CD_table)</f>
        <v>2.2367987007912517E-2</v>
      </c>
      <c r="BQ155" cm="1">
        <f t="array" ref="BQ155">BP155*S*Linterp(BN$90,atmos_h,atmos_qms)*BM155^2</f>
        <v>935.24244251384505</v>
      </c>
      <c r="BR155" cm="1">
        <f t="array" ref="BR155">BM155*Linterp(BN$90,atmos_h,atmos_aspeed)</f>
        <v>817.22931683662546</v>
      </c>
      <c r="BS155" s="162">
        <f t="shared" si="25"/>
        <v>10918.220641601267</v>
      </c>
      <c r="BU155">
        <v>0.84</v>
      </c>
      <c r="BV155" cm="1">
        <f t="array" ref="BV155">numeng*InterpolateXY(BV$90,BU155,Tmax_h,Tmax_M,Tmax_table)</f>
        <v>2594.6263952139066</v>
      </c>
      <c r="BW155" cm="1">
        <f t="array" ref="BW155">1*BV$91/(S*Linterp(BV$90,atmos_h,atmos_qms)*BU155^2)</f>
        <v>0.30406018996351492</v>
      </c>
      <c r="BX155" cm="1">
        <f t="array" ref="BX155">InterpolateXY(BW155,BU155,CD_CL,CD_M,CD_table)</f>
        <v>2.6499890434535586E-2</v>
      </c>
      <c r="BY155" cm="1">
        <f t="array" ref="BY155">BX155*S*Linterp(BV$90,atmos_h,atmos_qms)*BU155^2</f>
        <v>871.53436422293191</v>
      </c>
      <c r="BZ155" cm="1">
        <f t="array" ref="BZ155">BU155*Linterp(BV$90,atmos_h,atmos_aspeed)</f>
        <v>813.20442875400431</v>
      </c>
      <c r="CA155" s="162">
        <f t="shared" si="26"/>
        <v>8407.3564245155576</v>
      </c>
      <c r="CC155">
        <v>0.84</v>
      </c>
      <c r="CD155" cm="1">
        <f t="array" ref="CD155">numeng*InterpolateXY(CD$90,CC155,Tmax_h,Tmax_M,Tmax_table)</f>
        <v>1975.3118653698507</v>
      </c>
      <c r="CE155" cm="1">
        <f t="array" ref="CE155">1*CD$91/(S*Linterp(CD$90,atmos_h,atmos_qms)*CC155^2)</f>
        <v>0.38665938954353557</v>
      </c>
      <c r="CF155" cm="1">
        <f t="array" ref="CF155">InterpolateXY(CE155,CC155,CD_CL,CD_M,CD_table)</f>
        <v>3.4959728281638916E-2</v>
      </c>
      <c r="CG155" cm="1">
        <f t="array" ref="CG155">CF155*S*Linterp(CD$90,atmos_h,atmos_qms)*CC155^2</f>
        <v>904.14792003137586</v>
      </c>
      <c r="CH155" cm="1">
        <f t="array" ref="CH155">CC155*Linterp(CD$90,atmos_h,atmos_aspeed)</f>
        <v>813.20442875400431</v>
      </c>
      <c r="CI155" s="162">
        <f t="shared" si="27"/>
        <v>5226.4515856251592</v>
      </c>
      <c r="CK155">
        <v>0.84</v>
      </c>
      <c r="CL155" cm="1">
        <f t="array" ref="CL155">numeng*InterpolateXY(CL$90,CK155,Tmax_h,Tmax_M,Tmax_table)</f>
        <v>1451.042917526865</v>
      </c>
      <c r="CM155" cm="1">
        <f t="array" ref="CM155">1*CL$91/(S*Linterp(CL$90,atmos_h,atmos_qms)*CK155^2)</f>
        <v>0.49169700097904695</v>
      </c>
      <c r="CN155" cm="1">
        <f t="array" ref="CN155">InterpolateXY(CM155,CK155,CD_CL,CD_M,CD_table)</f>
        <v>5.3084593475151501E-2</v>
      </c>
      <c r="CO155" cm="1">
        <f t="array" ref="CO155">CN155*S*Linterp(CL$90,atmos_h,atmos_qms)*CK155^2</f>
        <v>1079.6200377356711</v>
      </c>
      <c r="CP155" cm="1">
        <f t="array" ref="CP155">CK155*Linterp(CL$90,atmos_h,atmos_aspeed)</f>
        <v>813.20442875400431</v>
      </c>
      <c r="CQ155" s="162">
        <f t="shared" si="28"/>
        <v>1812.2563847205906</v>
      </c>
    </row>
    <row r="156" spans="9:95">
      <c r="I156">
        <v>0.85</v>
      </c>
      <c r="J156" cm="1">
        <f t="array" ref="J156">numeng*InterpolateXY(J$90,I156,Tmax_h,Tmax_M,Tmax_table)</f>
        <v>7540</v>
      </c>
      <c r="K156" cm="1">
        <f t="array" ref="K156">1*J$91/(S*Linterp(J$90,atmos_h,atmos_qms)*I156^2)</f>
        <v>5.4960967942075063E-2</v>
      </c>
      <c r="L156" cm="1">
        <f t="array" ref="L156">InterpolateXY(K156,I156,CD_CL,CD_M,CD_table)</f>
        <v>1.5687012099275938E-2</v>
      </c>
      <c r="M156" cm="1">
        <f t="array" ref="M156">L156*S*Linterp(J$90,atmos_h,atmos_qms)*I156^2</f>
        <v>2854.2095757499997</v>
      </c>
      <c r="N156" cm="1">
        <f t="array" ref="N156">I156*Linterp(J$90,atmos_h,atmos_aspeed)</f>
        <v>948.98249999999996</v>
      </c>
      <c r="O156" s="162">
        <f t="shared" si="18"/>
        <v>26680.398667684953</v>
      </c>
      <c r="Q156">
        <v>0.85</v>
      </c>
      <c r="R156" cm="1">
        <f t="array" ref="R156">numeng*InterpolateXY(R$90,Q156,Tmax_h,Tmax_M,Tmax_table)</f>
        <v>6936.4278303720066</v>
      </c>
      <c r="S156" cm="1">
        <f t="array" ref="S156">1*R$91/(S*Linterp(R$90,atmos_h,atmos_qms)*Q156^2)</f>
        <v>6.6055118480292344E-2</v>
      </c>
      <c r="T156" cm="1">
        <f t="array" ref="T156">InterpolateXY(S156,Q156,CD_CL,CD_M,CD_table)</f>
        <v>1.5825688981003654E-2</v>
      </c>
      <c r="U156" cm="1">
        <f t="array" ref="U156">T156*S*Linterp(R$90,atmos_h,atmos_qms)*Q156^2</f>
        <v>2395.8308372007955</v>
      </c>
      <c r="V156" cm="1">
        <f t="array" ref="V156">Q156*Linterp(R$90,atmos_h,atmos_aspeed)</f>
        <v>932.52856241471113</v>
      </c>
      <c r="W156" s="162">
        <f t="shared" si="19"/>
        <v>25405.418319279062</v>
      </c>
      <c r="Y156">
        <v>0.85</v>
      </c>
      <c r="Z156" cm="1">
        <f t="array" ref="Z156">numeng*InterpolateXY(Z$90,Y156,Tmax_h,Tmax_M,Tmax_table)</f>
        <v>6321.3468017648529</v>
      </c>
      <c r="AA156" cm="1">
        <f t="array" ref="AA156">1*Z$91/(S*Linterp(Z$90,atmos_h,atmos_qms)*Y156^2)</f>
        <v>7.991963105317075E-2</v>
      </c>
      <c r="AB156" cm="1">
        <f t="array" ref="AB156">InterpolateXY(AA156,Y156,CD_CL,CD_M,CD_table)</f>
        <v>1.5998995388164634E-2</v>
      </c>
      <c r="AC156" cm="1">
        <f t="array" ref="AC156">AB156*S*Linterp(Z$90,atmos_h,atmos_qms)*Y156^2</f>
        <v>2001.8855414285456</v>
      </c>
      <c r="AD156" cm="1">
        <f t="array" ref="AD156">Y156*Linterp(Z$90,atmos_h,atmos_aspeed)</f>
        <v>915.77904219972504</v>
      </c>
      <c r="AE156" s="162">
        <f t="shared" si="20"/>
        <v>23734.032574857603</v>
      </c>
      <c r="AG156">
        <v>0.85</v>
      </c>
      <c r="AH156" cm="1">
        <f t="array" ref="AH156">numeng*InterpolateXY(AH$90,AG156,Tmax_h,Tmax_M,Tmax_table)</f>
        <v>5600.1699983195622</v>
      </c>
      <c r="AI156" cm="1">
        <f t="array" ref="AI156">1*AH$91/(S*Linterp(AH$90,atmos_h,atmos_qms)*AG156^2)</f>
        <v>9.7389733024494815E-2</v>
      </c>
      <c r="AJ156" cm="1">
        <f t="array" ref="AJ156">InterpolateXY(AI156,AG156,CD_CL,CD_M,CD_table)</f>
        <v>1.6217371662806186E-2</v>
      </c>
      <c r="AK156" cm="1">
        <f t="array" ref="AK156">AJ156*S*Linterp(AH$90,atmos_h,atmos_qms)*AG156^2</f>
        <v>1665.2034212607709</v>
      </c>
      <c r="AL156" cm="1">
        <f t="array" ref="AL156">AG156*Linterp(AH$90,atmos_h,atmos_aspeed)</f>
        <v>898.71741306444233</v>
      </c>
      <c r="AM156" s="162">
        <f t="shared" si="21"/>
        <v>21218.537895775924</v>
      </c>
      <c r="AO156">
        <v>0.85</v>
      </c>
      <c r="AP156" cm="1">
        <f t="array" ref="AP156">numeng*InterpolateXY(AP$90,AO156,Tmax_h,Tmax_M,Tmax_table)</f>
        <v>4923.1259968159166</v>
      </c>
      <c r="AQ156" cm="1">
        <f t="array" ref="AQ156">1*AP$91/(S*Linterp(AP$90,atmos_h,atmos_qms)*AO156^2)</f>
        <v>0.11959938828690909</v>
      </c>
      <c r="AR156" cm="1">
        <f t="array" ref="AR156">InterpolateXY(AQ156,AO156,CD_CL,CD_M,CD_table)</f>
        <v>1.6984977060759091E-2</v>
      </c>
      <c r="AS156" cm="1">
        <f t="array" ref="AS156">AR156*S*Linterp(AP$90,atmos_h,atmos_qms)*AO156^2</f>
        <v>1420.1558472869046</v>
      </c>
      <c r="AT156" cm="1">
        <f t="array" ref="AT156">AO156*Linterp(AP$90,atmos_h,atmos_aspeed)</f>
        <v>881.32554879467853</v>
      </c>
      <c r="AU156" s="162">
        <f t="shared" si="22"/>
        <v>18523.5425366702</v>
      </c>
      <c r="AW156">
        <v>0.85</v>
      </c>
      <c r="AX156" cm="1">
        <f t="array" ref="AX156">numeng*InterpolateXY(AX$90,AW156,Tmax_h,Tmax_M,Tmax_table)</f>
        <v>4292.9276270671307</v>
      </c>
      <c r="AY156" cm="1">
        <f t="array" ref="AY156">1*AX$91/(S*Linterp(AX$90,atmos_h,atmos_qms)*AW156^2)</f>
        <v>0.1481064232526145</v>
      </c>
      <c r="AZ156" cm="1">
        <f t="array" ref="AZ156">InterpolateXY(AY156,AW156,CD_CL,CD_M,CD_table)</f>
        <v>1.8053990871973045E-2</v>
      </c>
      <c r="BA156" cm="1">
        <f t="array" ref="BA156">AZ156*S*Linterp(AX$90,atmos_h,atmos_qms)*AW156^2</f>
        <v>1218.9877032665659</v>
      </c>
      <c r="BB156" cm="1">
        <f t="array" ref="BB156">AW156*Linterp(AX$90,atmos_h,atmos_aspeed)</f>
        <v>863.5834976255851</v>
      </c>
      <c r="BC156" s="162">
        <f t="shared" si="23"/>
        <v>15927.622745319697</v>
      </c>
      <c r="BE156">
        <v>0.85</v>
      </c>
      <c r="BF156" cm="1">
        <f t="array" ref="BF156">numeng*InterpolateXY(BF$90,BE156,Tmax_h,Tmax_M,Tmax_table)</f>
        <v>3711.3409446640972</v>
      </c>
      <c r="BG156" cm="1">
        <f t="array" ref="BG156">1*BF$91/(S*Linterp(BF$90,atmos_h,atmos_qms)*BE156^2)</f>
        <v>0.18507842875299568</v>
      </c>
      <c r="BH156" cm="1">
        <f t="array" ref="BH156">InterpolateXY(BG156,BE156,CD_CL,CD_M,CD_table)</f>
        <v>1.9440441078237339E-2</v>
      </c>
      <c r="BI156" cm="1">
        <f t="array" ref="BI156">BH156*S*Linterp(BF$90,atmos_h,atmos_qms)*BE156^2</f>
        <v>1050.3893516506134</v>
      </c>
      <c r="BJ156" cm="1">
        <f t="array" ref="BJ156">BE156*Linterp(BF$90,atmos_h,atmos_aspeed)</f>
        <v>845.46921397779863</v>
      </c>
      <c r="BK156" s="162">
        <f t="shared" si="24"/>
        <v>13498.51591066849</v>
      </c>
      <c r="BM156">
        <v>0.85</v>
      </c>
      <c r="BN156" cm="1">
        <f t="array" ref="BN156">numeng*InterpolateXY(BN$90,BM156,Tmax_h,Tmax_M,Tmax_table)</f>
        <v>3179.2693860009249</v>
      </c>
      <c r="BO156" cm="1">
        <f t="array" ref="BO156">1*BN$91/(S*Linterp(BN$90,atmos_h,atmos_qms)*BM156^2)</f>
        <v>0.23357341747339672</v>
      </c>
      <c r="BP156" cm="1">
        <f t="array" ref="BP156">InterpolateXY(BO156,BM156,CD_CL,CD_M,CD_table)</f>
        <v>2.2098338592087294E-2</v>
      </c>
      <c r="BQ156" cm="1">
        <f t="array" ref="BQ156">BP156*S*Linterp(BN$90,atmos_h,atmos_qms)*BM156^2</f>
        <v>946.0981832234495</v>
      </c>
      <c r="BR156" cm="1">
        <f t="array" ref="BR156">BM156*Linterp(BN$90,atmos_h,atmos_aspeed)</f>
        <v>826.95823727515676</v>
      </c>
      <c r="BS156" s="162">
        <f t="shared" si="25"/>
        <v>11080.435928295015</v>
      </c>
      <c r="BU156">
        <v>0.85</v>
      </c>
      <c r="BV156" cm="1">
        <f t="array" ref="BV156">numeng*InterpolateXY(BV$90,BU156,Tmax_h,Tmax_M,Tmax_table)</f>
        <v>2609.396564446623</v>
      </c>
      <c r="BW156" cm="1">
        <f t="array" ref="BW156">1*BV$91/(S*Linterp(BV$90,atmos_h,atmos_qms)*BU156^2)</f>
        <v>0.29694791700796691</v>
      </c>
      <c r="BX156" cm="1">
        <f t="array" ref="BX156">InterpolateXY(BW156,BU156,CD_CL,CD_M,CD_table)</f>
        <v>2.6059244812997932E-2</v>
      </c>
      <c r="BY156" cm="1">
        <f t="array" ref="BY156">BX156*S*Linterp(BV$90,atmos_h,atmos_qms)*BU156^2</f>
        <v>877.56954403215366</v>
      </c>
      <c r="BZ156" cm="1">
        <f t="array" ref="BZ156">BU156*Linterp(BV$90,atmos_h,atmos_aspeed)</f>
        <v>822.88543385821868</v>
      </c>
      <c r="CA156" s="162">
        <f t="shared" si="26"/>
        <v>8550.5713743668803</v>
      </c>
      <c r="CC156">
        <v>0.85</v>
      </c>
      <c r="CD156" cm="1">
        <f t="array" ref="CD156">numeng*InterpolateXY(CD$90,CC156,Tmax_h,Tmax_M,Tmax_table)</f>
        <v>1986.1524636117865</v>
      </c>
      <c r="CE156" cm="1">
        <f t="array" ref="CE156">1*CD$91/(S*Linterp(CD$90,atmos_h,atmos_qms)*CC156^2)</f>
        <v>0.37761503842480093</v>
      </c>
      <c r="CF156" cm="1">
        <f t="array" ref="CF156">InterpolateXY(CE156,CC156,CD_CL,CD_M,CD_table)</f>
        <v>3.3785091081918718E-2</v>
      </c>
      <c r="CG156" cm="1">
        <f t="array" ref="CG156">CF156*S*Linterp(CD$90,atmos_h,atmos_qms)*CC156^2</f>
        <v>894.69665251816366</v>
      </c>
      <c r="CH156" cm="1">
        <f t="array" ref="CH156">CC156*Linterp(CD$90,atmos_h,atmos_aspeed)</f>
        <v>822.88543385821868</v>
      </c>
      <c r="CI156" s="162">
        <f t="shared" si="27"/>
        <v>5388.8585318930982</v>
      </c>
      <c r="CK156">
        <v>0.85</v>
      </c>
      <c r="CL156" cm="1">
        <f t="array" ref="CL156">numeng*InterpolateXY(CL$90,CK156,Tmax_h,Tmax_M,Tmax_table)</f>
        <v>1458.3498898350153</v>
      </c>
      <c r="CM156" cm="1">
        <f t="array" ref="CM156">1*CL$91/(S*Linterp(CL$90,atmos_h,atmos_qms)*CK156^2)</f>
        <v>0.48019571472777234</v>
      </c>
      <c r="CN156" cm="1">
        <f t="array" ref="CN156">InterpolateXY(CM156,CK156,CD_CL,CD_M,CD_table)</f>
        <v>5.0754543649451818E-2</v>
      </c>
      <c r="CO156" cm="1">
        <f t="array" ref="CO156">CN156*S*Linterp(CL$90,atmos_h,atmos_qms)*CK156^2</f>
        <v>1056.955364089933</v>
      </c>
      <c r="CP156" cm="1">
        <f t="array" ref="CP156">CK156*Linterp(CL$90,atmos_h,atmos_aspeed)</f>
        <v>822.88543385821868</v>
      </c>
      <c r="CQ156" s="162">
        <f t="shared" si="28"/>
        <v>1981.8102507963358</v>
      </c>
    </row>
    <row r="157" spans="9:95">
      <c r="I157">
        <v>0.86</v>
      </c>
      <c r="J157" cm="1">
        <f t="array" ref="J157">numeng*InterpolateXY(J$90,I157,Tmax_h,Tmax_M,Tmax_table)</f>
        <v>7564</v>
      </c>
      <c r="K157" cm="1">
        <f t="array" ref="K157">1*J$91/(S*Linterp(J$90,atmos_h,atmos_qms)*I157^2)</f>
        <v>5.3690237071591707E-2</v>
      </c>
      <c r="L157" cm="1">
        <f t="array" ref="L157">InterpolateXY(K157,I157,CD_CL,CD_M,CD_table)</f>
        <v>1.5872201768136328E-2</v>
      </c>
      <c r="M157" cm="1">
        <f t="array" ref="M157">L157*S*Linterp(J$90,atmos_h,atmos_qms)*I157^2</f>
        <v>2956.2547371455998</v>
      </c>
      <c r="N157" cm="1">
        <f t="array" ref="N157">I157*Linterp(J$90,atmos_h,atmos_aspeed)</f>
        <v>960.14700000000005</v>
      </c>
      <c r="O157" s="162">
        <f t="shared" si="18"/>
        <v>26544.67674536318</v>
      </c>
      <c r="Q157">
        <v>0.86</v>
      </c>
      <c r="R157" cm="1">
        <f t="array" ref="R157">numeng*InterpolateXY(R$90,Q157,Tmax_h,Tmax_M,Tmax_table)</f>
        <v>6962.2778719758771</v>
      </c>
      <c r="S157" cm="1">
        <f t="array" ref="S157">1*R$91/(S*Linterp(R$90,atmos_h,atmos_qms)*Q157^2)</f>
        <v>6.4527884129274238E-2</v>
      </c>
      <c r="T157" cm="1">
        <f t="array" ref="T157">InterpolateXY(S157,Q157,CD_CL,CD_M,CD_table)</f>
        <v>1.6007889109298512E-2</v>
      </c>
      <c r="U157" cm="1">
        <f t="array" ref="U157">T157*S*Linterp(R$90,atmos_h,atmos_qms)*Q157^2</f>
        <v>2480.7708055681073</v>
      </c>
      <c r="V157" cm="1">
        <f t="array" ref="V157">Q157*Linterp(R$90,atmos_h,atmos_aspeed)</f>
        <v>943.49948667841363</v>
      </c>
      <c r="W157" s="162">
        <f t="shared" si="19"/>
        <v>25369.797700208488</v>
      </c>
      <c r="Y157">
        <v>0.86</v>
      </c>
      <c r="Z157" cm="1">
        <f t="array" ref="Z157">numeng*InterpolateXY(Z$90,Y157,Tmax_h,Tmax_M,Tmax_table)</f>
        <v>6347.9319051367611</v>
      </c>
      <c r="AA157" cm="1">
        <f t="array" ref="AA157">1*Z$91/(S*Linterp(Z$90,atmos_h,atmos_qms)*Y157^2)</f>
        <v>7.8071840773277265E-2</v>
      </c>
      <c r="AB157" cm="1">
        <f t="array" ref="AB157">InterpolateXY(AA157,Y157,CD_CL,CD_M,CD_table)</f>
        <v>1.617745944648143E-2</v>
      </c>
      <c r="AC157" cm="1">
        <f t="array" ref="AC157">AB157*S*Linterp(Z$90,atmos_h,atmos_qms)*Y157^2</f>
        <v>2072.1247617897484</v>
      </c>
      <c r="AD157" cm="1">
        <f t="array" ref="AD157">Y157*Linterp(Z$90,atmos_h,atmos_aspeed)</f>
        <v>926.55291328442775</v>
      </c>
      <c r="AE157" s="162">
        <f t="shared" si="20"/>
        <v>23770.569391863246</v>
      </c>
      <c r="AG157">
        <v>0.86</v>
      </c>
      <c r="AH157" cm="1">
        <f t="array" ref="AH157">numeng*InterpolateXY(AH$90,AG157,Tmax_h,Tmax_M,Tmax_table)</f>
        <v>5625.3393016827958</v>
      </c>
      <c r="AI157" cm="1">
        <f t="array" ref="AI157">1*AH$91/(S*Linterp(AH$90,atmos_h,atmos_qms)*AG157^2)</f>
        <v>9.5138023404810035E-2</v>
      </c>
      <c r="AJ157" cm="1">
        <f t="array" ref="AJ157">InterpolateXY(AI157,AG157,CD_CL,CD_M,CD_table)</f>
        <v>1.6391128053028222E-2</v>
      </c>
      <c r="AK157" cm="1">
        <f t="array" ref="AK157">AJ157*S*Linterp(AH$90,atmos_h,atmos_qms)*AG157^2</f>
        <v>1722.8787677545456</v>
      </c>
      <c r="AL157" cm="1">
        <f t="array" ref="AL157">AG157*Linterp(AH$90,atmos_h,atmos_aspeed)</f>
        <v>909.29055910049453</v>
      </c>
      <c r="AM157" s="162">
        <f t="shared" si="21"/>
        <v>21290.823124579401</v>
      </c>
      <c r="AO157">
        <v>0.86</v>
      </c>
      <c r="AP157" cm="1">
        <f t="array" ref="AP157">numeng*InterpolateXY(AP$90,AO157,Tmax_h,Tmax_M,Tmax_table)</f>
        <v>4946.5694539436108</v>
      </c>
      <c r="AQ157" cm="1">
        <f t="array" ref="AQ157">1*AP$91/(S*Linterp(AP$90,atmos_h,atmos_qms)*AO157^2)</f>
        <v>0.11683417798444</v>
      </c>
      <c r="AR157" cm="1">
        <f t="array" ref="AR157">InterpolateXY(AQ157,AO157,CD_CL,CD_M,CD_table)</f>
        <v>1.7084291725095565E-2</v>
      </c>
      <c r="AS157" cm="1">
        <f t="array" ref="AS157">AR157*S*Linterp(AP$90,atmos_h,atmos_qms)*AO157^2</f>
        <v>1462.2683207794603</v>
      </c>
      <c r="AT157" cm="1">
        <f t="array" ref="AT157">AO157*Linterp(AP$90,atmos_h,atmos_aspeed)</f>
        <v>891.69408466285131</v>
      </c>
      <c r="AU157" s="162">
        <f t="shared" si="22"/>
        <v>18641.584257759259</v>
      </c>
      <c r="AW157">
        <v>0.86</v>
      </c>
      <c r="AX157" cm="1">
        <f t="array" ref="AX157">numeng*InterpolateXY(AX$90,AW157,Tmax_h,Tmax_M,Tmax_table)</f>
        <v>4314.4370765555668</v>
      </c>
      <c r="AY157" cm="1">
        <f t="array" ref="AY157">1*AX$91/(S*Linterp(AX$90,atmos_h,atmos_qms)*AW157^2)</f>
        <v>0.14468211303409137</v>
      </c>
      <c r="AZ157" cm="1">
        <f t="array" ref="AZ157">InterpolateXY(AY157,AW157,CD_CL,CD_M,CD_table)</f>
        <v>1.8130260165560474E-2</v>
      </c>
      <c r="BA157" cm="1">
        <f t="array" ref="BA157">AZ157*S*Linterp(AX$90,atmos_h,atmos_qms)*AW157^2</f>
        <v>1253.1099930292316</v>
      </c>
      <c r="BB157" cm="1">
        <f t="array" ref="BB157">AW157*Linterp(AX$90,atmos_h,atmos_aspeed)</f>
        <v>873.74330348000376</v>
      </c>
      <c r="BC157" s="162">
        <f t="shared" si="23"/>
        <v>16048.884233958632</v>
      </c>
      <c r="BE157">
        <v>0.86</v>
      </c>
      <c r="BF157" cm="1">
        <f t="array" ref="BF157">numeng*InterpolateXY(BF$90,BE157,Tmax_h,Tmax_M,Tmax_table)</f>
        <v>3730.7955544546753</v>
      </c>
      <c r="BG157" cm="1">
        <f t="array" ref="BG157">1*BF$91/(S*Linterp(BF$90,atmos_h,atmos_qms)*BE157^2)</f>
        <v>0.18079930337214625</v>
      </c>
      <c r="BH157" cm="1">
        <f t="array" ref="BH157">InterpolateXY(BG157,BE157,CD_CL,CD_M,CD_table)</f>
        <v>1.9486821834657813E-2</v>
      </c>
      <c r="BI157" cm="1">
        <f t="array" ref="BI157">BH157*S*Linterp(BF$90,atmos_h,atmos_qms)*BE157^2</f>
        <v>1077.8150950364741</v>
      </c>
      <c r="BJ157" cm="1">
        <f t="array" ref="BJ157">BE157*Linterp(BF$90,atmos_h,atmos_aspeed)</f>
        <v>855.41591061283157</v>
      </c>
      <c r="BK157" s="162">
        <f t="shared" si="24"/>
        <v>13616.410173187613</v>
      </c>
      <c r="BM157">
        <v>0.86</v>
      </c>
      <c r="BN157" cm="1">
        <f t="array" ref="BN157">numeng*InterpolateXY(BN$90,BM157,Tmax_h,Tmax_M,Tmax_table)</f>
        <v>3196.6221233904039</v>
      </c>
      <c r="BO157" cm="1">
        <f t="array" ref="BO157">1*BN$91/(S*Linterp(BN$90,atmos_h,atmos_qms)*BM157^2)</f>
        <v>0.22817305857832493</v>
      </c>
      <c r="BP157" cm="1">
        <f t="array" ref="BP157">InterpolateXY(BO157,BM157,CD_CL,CD_M,CD_table)</f>
        <v>2.1971633467003142E-2</v>
      </c>
      <c r="BQ157" cm="1">
        <f t="array" ref="BQ157">BP157*S*Linterp(BN$90,atmos_h,atmos_qms)*BM157^2</f>
        <v>962.9372373715604</v>
      </c>
      <c r="BR157" cm="1">
        <f t="array" ref="BR157">BM157*Linterp(BN$90,atmos_h,atmos_aspeed)</f>
        <v>836.68715771368807</v>
      </c>
      <c r="BS157" s="162">
        <f t="shared" si="25"/>
        <v>11213.372751066776</v>
      </c>
      <c r="BU157">
        <v>0.86</v>
      </c>
      <c r="BV157" cm="1">
        <f t="array" ref="BV157">numeng*InterpolateXY(BV$90,BU157,Tmax_h,Tmax_M,Tmax_table)</f>
        <v>2624.1667336793398</v>
      </c>
      <c r="BW157" cm="1">
        <f t="array" ref="BW157">1*BV$91/(S*Linterp(BV$90,atmos_h,atmos_qms)*BU157^2)</f>
        <v>0.290082301295641</v>
      </c>
      <c r="BX157" cm="1">
        <f t="array" ref="BX157">InterpolateXY(BW157,BU157,CD_CL,CD_M,CD_table)</f>
        <v>2.5847152061107128E-2</v>
      </c>
      <c r="BY157" cm="1">
        <f t="array" ref="BY157">BX157*S*Linterp(BV$90,atmos_h,atmos_qms)*BU157^2</f>
        <v>891.02823390678634</v>
      </c>
      <c r="BZ157" cm="1">
        <f t="array" ref="BZ157">BU157*Linterp(BV$90,atmos_h,atmos_aspeed)</f>
        <v>832.56643896243304</v>
      </c>
      <c r="CA157" s="162">
        <f t="shared" si="26"/>
        <v>8657.71769390597</v>
      </c>
      <c r="CC157">
        <v>0.86</v>
      </c>
      <c r="CD157" cm="1">
        <f t="array" ref="CD157">numeng*InterpolateXY(CD$90,CC157,Tmax_h,Tmax_M,Tmax_table)</f>
        <v>1996.9930618537221</v>
      </c>
      <c r="CE157" cm="1">
        <f t="array" ref="CE157">1*CD$91/(S*Linterp(CD$90,atmos_h,atmos_qms)*CC157^2)</f>
        <v>0.36888435000259423</v>
      </c>
      <c r="CF157" cm="1">
        <f t="array" ref="CF157">InterpolateXY(CE157,CC157,CD_CL,CD_M,CD_table)</f>
        <v>3.2866195729319973E-2</v>
      </c>
      <c r="CG157" cm="1">
        <f t="array" ref="CG157">CF157*S*Linterp(CD$90,atmos_h,atmos_qms)*CC157^2</f>
        <v>890.9620516318688</v>
      </c>
      <c r="CH157" cm="1">
        <f t="array" ref="CH157">CC157*Linterp(CD$90,atmos_h,atmos_aspeed)</f>
        <v>832.56643896243304</v>
      </c>
      <c r="CI157" s="162">
        <f t="shared" si="27"/>
        <v>5525.0657973745847</v>
      </c>
      <c r="CK157">
        <v>0.86</v>
      </c>
      <c r="CL157" cm="1">
        <f t="array" ref="CL157">numeng*InterpolateXY(CL$90,CK157,Tmax_h,Tmax_M,Tmax_table)</f>
        <v>1465.6568621431659</v>
      </c>
      <c r="CM157" cm="1">
        <f t="array" ref="CM157">1*CL$91/(S*Linterp(CL$90,atmos_h,atmos_qms)*CK157^2)</f>
        <v>0.4690932989329577</v>
      </c>
      <c r="CN157" cm="1">
        <f t="array" ref="CN157">InterpolateXY(CM157,CK157,CD_CL,CD_M,CD_table)</f>
        <v>4.8723470282377321E-2</v>
      </c>
      <c r="CO157" cm="1">
        <f t="array" ref="CO157">CN157*S*Linterp(CL$90,atmos_h,atmos_qms)*CK157^2</f>
        <v>1038.673338400019</v>
      </c>
      <c r="CP157" cm="1">
        <f t="array" ref="CP157">CK157*Linterp(CL$90,atmos_h,atmos_aspeed)</f>
        <v>832.56643896243304</v>
      </c>
      <c r="CQ157" s="162">
        <f t="shared" si="28"/>
        <v>2132.9529111507795</v>
      </c>
    </row>
    <row r="158" spans="9:95">
      <c r="I158">
        <v>0.87</v>
      </c>
      <c r="J158" cm="1">
        <f t="array" ref="J158">numeng*InterpolateXY(J$90,I158,Tmax_h,Tmax_M,Tmax_table)</f>
        <v>7588</v>
      </c>
      <c r="K158" cm="1">
        <f t="array" ref="K158">1*J$91/(S*Linterp(J$90,atmos_h,atmos_qms)*I158^2)</f>
        <v>5.2463072186747561E-2</v>
      </c>
      <c r="L158" cm="1">
        <f t="array" ref="L158">InterpolateXY(K158,I158,CD_CL,CD_M,CD_table)</f>
        <v>1.6057886925221813E-2</v>
      </c>
      <c r="M158" cm="1">
        <f t="array" ref="M158">L158*S*Linterp(J$90,atmos_h,atmos_qms)*I158^2</f>
        <v>3060.7980539268001</v>
      </c>
      <c r="N158" cm="1">
        <f t="array" ref="N158">I158*Linterp(J$90,atmos_h,atmos_aspeed)</f>
        <v>971.31150000000002</v>
      </c>
      <c r="O158" s="162">
        <f t="shared" ref="O158:O171" si="29">(J158-M158)*N158*(60/1)/J$91</f>
        <v>26383.939878259669</v>
      </c>
      <c r="Q158">
        <v>0.87</v>
      </c>
      <c r="R158" cm="1">
        <f t="array" ref="R158">numeng*InterpolateXY(R$90,Q158,Tmax_h,Tmax_M,Tmax_table)</f>
        <v>6988.1279135797486</v>
      </c>
      <c r="S158" cm="1">
        <f t="array" ref="S158">1*R$91/(S*Linterp(R$90,atmos_h,atmos_qms)*Q158^2)</f>
        <v>6.3053009779378014E-2</v>
      </c>
      <c r="T158" cm="1">
        <f t="array" ref="T158">InterpolateXY(S158,Q158,CD_CL,CD_M,CD_table)</f>
        <v>1.61906847426334E-2</v>
      </c>
      <c r="U158" cm="1">
        <f t="array" ref="U158">T158*S*Linterp(R$90,atmos_h,atmos_qms)*Q158^2</f>
        <v>2567.7893568101631</v>
      </c>
      <c r="V158" cm="1">
        <f t="array" ref="V158">Q158*Linterp(R$90,atmos_h,atmos_aspeed)</f>
        <v>954.47041094211613</v>
      </c>
      <c r="W158" s="162">
        <f t="shared" ref="W158:W221" si="30">(R158-U158)*V158*(60/1)/R$91</f>
        <v>25314.494152698884</v>
      </c>
      <c r="Y158">
        <v>0.87</v>
      </c>
      <c r="Z158" cm="1">
        <f t="array" ref="Z158">numeng*InterpolateXY(Z$90,Y158,Tmax_h,Tmax_M,Tmax_table)</f>
        <v>6374.5170085086702</v>
      </c>
      <c r="AA158" cm="1">
        <f t="array" ref="AA158">1*Z$91/(S*Linterp(Z$90,atmos_h,atmos_qms)*Y158^2)</f>
        <v>7.6287400496651961E-2</v>
      </c>
      <c r="AB158" cm="1">
        <f t="array" ref="AB158">InterpolateXY(AA158,Y158,CD_CL,CD_M,CD_table)</f>
        <v>1.6356644002228016E-2</v>
      </c>
      <c r="AC158" cm="1">
        <f t="array" ref="AC158">AB158*S*Linterp(Z$90,atmos_h,atmos_qms)*Y158^2</f>
        <v>2144.0819710386995</v>
      </c>
      <c r="AD158" cm="1">
        <f t="array" ref="AD158">Y158*Linterp(Z$90,atmos_h,atmos_aspeed)</f>
        <v>937.32678436913034</v>
      </c>
      <c r="AE158" s="162">
        <f t="shared" ref="AE158:AE221" si="31">(Z158-AC158)*AD158*(60/1)/Z$91</f>
        <v>23791.800420925374</v>
      </c>
      <c r="AG158">
        <v>0.87</v>
      </c>
      <c r="AH158" cm="1">
        <f t="array" ref="AH158">numeng*InterpolateXY(AH$90,AG158,Tmax_h,Tmax_M,Tmax_table)</f>
        <v>5650.5086050460304</v>
      </c>
      <c r="AI158" cm="1">
        <f t="array" ref="AI158">1*AH$91/(S*Linterp(AH$90,atmos_h,atmos_qms)*AG158^2)</f>
        <v>9.2963511838020207E-2</v>
      </c>
      <c r="AJ158" cm="1">
        <f t="array" ref="AJ158">InterpolateXY(AI158,AG158,CD_CL,CD_M,CD_table)</f>
        <v>1.6565762438448775E-2</v>
      </c>
      <c r="AK158" cm="1">
        <f t="array" ref="AK158">AJ158*S*Linterp(AH$90,atmos_h,atmos_qms)*AG158^2</f>
        <v>1781.9639244387618</v>
      </c>
      <c r="AL158" cm="1">
        <f t="array" ref="AL158">AG158*Linterp(AH$90,atmos_h,atmos_aspeed)</f>
        <v>919.86370513654686</v>
      </c>
      <c r="AM158" s="162">
        <f t="shared" ref="AM158:AM221" si="32">(AH158-AK158)*AL158*(60/1)/AH$91</f>
        <v>21351.203060338088</v>
      </c>
      <c r="AO158">
        <v>0.87</v>
      </c>
      <c r="AP158" cm="1">
        <f t="array" ref="AP158">numeng*InterpolateXY(AP$90,AO158,Tmax_h,Tmax_M,Tmax_table)</f>
        <v>4970.012911071306</v>
      </c>
      <c r="AQ158" cm="1">
        <f t="array" ref="AQ158">1*AP$91/(S*Linterp(AP$90,atmos_h,atmos_qms)*AO158^2)</f>
        <v>0.11416377069268306</v>
      </c>
      <c r="AR158" cm="1">
        <f t="array" ref="AR158">InterpolateXY(AQ158,AO158,CD_CL,CD_M,CD_table)</f>
        <v>1.7186841053458739E-2</v>
      </c>
      <c r="AS158" cm="1">
        <f t="array" ref="AS158">AR158*S*Linterp(AP$90,atmos_h,atmos_qms)*AO158^2</f>
        <v>1505.4549222733644</v>
      </c>
      <c r="AT158" cm="1">
        <f t="array" ref="AT158">AO158*Linterp(AP$90,atmos_h,atmos_aspeed)</f>
        <v>902.06262053102398</v>
      </c>
      <c r="AU158" s="162">
        <f t="shared" ref="AU158:AU221" si="33">(AP158-AS158)*AT158*(60/1)/AP$91</f>
        <v>18751.489550140592</v>
      </c>
      <c r="AW158">
        <v>0.87</v>
      </c>
      <c r="AX158" cm="1">
        <f t="array" ref="AX158">numeng*InterpolateXY(AX$90,AW158,Tmax_h,Tmax_M,Tmax_table)</f>
        <v>4335.9465260440038</v>
      </c>
      <c r="AY158" cm="1">
        <f t="array" ref="AY158">1*AX$91/(S*Linterp(AX$90,atmos_h,atmos_qms)*AW158^2)</f>
        <v>0.14137520253668115</v>
      </c>
      <c r="AZ158" cm="1">
        <f t="array" ref="AZ158">InterpolateXY(AY158,AW158,CD_CL,CD_M,CD_table)</f>
        <v>1.8210535119429945E-2</v>
      </c>
      <c r="BA158" cm="1">
        <f t="array" ref="BA158">AZ158*S*Linterp(AX$90,atmos_h,atmos_qms)*AW158^2</f>
        <v>1288.0996661847435</v>
      </c>
      <c r="BB158" cm="1">
        <f t="array" ref="BB158">AW158*Linterp(AX$90,atmos_h,atmos_aspeed)</f>
        <v>883.90310933442242</v>
      </c>
      <c r="BC158" s="162">
        <f t="shared" ref="BC158:BC221" si="34">(AX158-BA158)*BB158*(60/1)/AX$91</f>
        <v>16164.007897228536</v>
      </c>
      <c r="BE158">
        <v>0.87</v>
      </c>
      <c r="BF158" cm="1">
        <f t="array" ref="BF158">numeng*InterpolateXY(BF$90,BE158,Tmax_h,Tmax_M,Tmax_table)</f>
        <v>3750.250164245253</v>
      </c>
      <c r="BG158" cm="1">
        <f t="array" ref="BG158">1*BF$91/(S*Linterp(BF$90,atmos_h,atmos_qms)*BE158^2)</f>
        <v>0.17666688436258338</v>
      </c>
      <c r="BH158" cm="1">
        <f t="array" ref="BH158">InterpolateXY(BG158,BE158,CD_CL,CD_M,CD_table)</f>
        <v>1.9538208189720387E-2</v>
      </c>
      <c r="BI158" cm="1">
        <f t="array" ref="BI158">BH158*S*Linterp(BF$90,atmos_h,atmos_qms)*BE158^2</f>
        <v>1105.9349498472518</v>
      </c>
      <c r="BJ158" cm="1">
        <f t="array" ref="BJ158">BE158*Linterp(BF$90,atmos_h,atmos_aspeed)</f>
        <v>865.3626072478645</v>
      </c>
      <c r="BK158" s="162">
        <f t="shared" ref="BK158:BK221" si="35">(BF158-BI158)*BJ158*(60/1)/BF$91</f>
        <v>13729.749049899903</v>
      </c>
      <c r="BM158">
        <v>0.87</v>
      </c>
      <c r="BN158" cm="1">
        <f t="array" ref="BN158">numeng*InterpolateXY(BN$90,BM158,Tmax_h,Tmax_M,Tmax_table)</f>
        <v>3213.9748607798824</v>
      </c>
      <c r="BO158" cm="1">
        <f t="array" ref="BO158">1*BN$91/(S*Linterp(BN$90,atmos_h,atmos_qms)*BM158^2)</f>
        <v>0.22295784664358448</v>
      </c>
      <c r="BP158" cm="1">
        <f t="array" ref="BP158">InterpolateXY(BO158,BM158,CD_CL,CD_M,CD_table)</f>
        <v>2.1855456984552747E-2</v>
      </c>
      <c r="BQ158" cm="1">
        <f t="array" ref="BQ158">BP158*S*Linterp(BN$90,atmos_h,atmos_qms)*BM158^2</f>
        <v>980.25063094058305</v>
      </c>
      <c r="BR158" cm="1">
        <f t="array" ref="BR158">BM158*Linterp(BN$90,atmos_h,atmos_aspeed)</f>
        <v>846.41607815221926</v>
      </c>
      <c r="BS158" s="162">
        <f t="shared" ref="BS158:BS221" si="36">(BN158-BQ158)*BR158*(60/1)/BN$91</f>
        <v>11343.960613764997</v>
      </c>
      <c r="BU158">
        <v>0.87</v>
      </c>
      <c r="BV158" cm="1">
        <f t="array" ref="BV158">numeng*InterpolateXY(BV$90,BU158,Tmax_h,Tmax_M,Tmax_table)</f>
        <v>2638.9369029120567</v>
      </c>
      <c r="BW158" cm="1">
        <f t="array" ref="BW158">1*BV$91/(S*Linterp(BV$90,atmos_h,atmos_qms)*BU158^2)</f>
        <v>0.28345206769488185</v>
      </c>
      <c r="BX158" cm="1">
        <f t="array" ref="BX158">InterpolateXY(BW158,BU158,CD_CL,CD_M,CD_table)</f>
        <v>2.5648444644469092E-2</v>
      </c>
      <c r="BY158" cm="1">
        <f t="array" ref="BY158">BX158*S*Linterp(BV$90,atmos_h,atmos_qms)*BU158^2</f>
        <v>904.86002988265409</v>
      </c>
      <c r="BZ158" cm="1">
        <f t="array" ref="BZ158">BU158*Linterp(BV$90,atmos_h,atmos_aspeed)</f>
        <v>842.2474440666474</v>
      </c>
      <c r="CA158" s="162">
        <f t="shared" ref="CA158:CA221" si="37">(BV158-BY158)*BZ158*(60/1)/BV$91</f>
        <v>8763.1308847445907</v>
      </c>
      <c r="CC158">
        <v>0.87</v>
      </c>
      <c r="CD158" cm="1">
        <f t="array" ref="CD158">numeng*InterpolateXY(CD$90,CC158,Tmax_h,Tmax_M,Tmax_table)</f>
        <v>2007.8336600956579</v>
      </c>
      <c r="CE158" cm="1">
        <f t="array" ref="CE158">1*CD$91/(S*Linterp(CD$90,atmos_h,atmos_qms)*CC158^2)</f>
        <v>0.36045298620943145</v>
      </c>
      <c r="CF158" cm="1">
        <f t="array" ref="CF158">InterpolateXY(CE158,CC158,CD_CL,CD_M,CD_table)</f>
        <v>3.2025579622306545E-2</v>
      </c>
      <c r="CG158" cm="1">
        <f t="array" ref="CG158">CF158*S*Linterp(CD$90,atmos_h,atmos_qms)*CC158^2</f>
        <v>888.48146214826897</v>
      </c>
      <c r="CH158" cm="1">
        <f t="array" ref="CH158">CC158*Linterp(CD$90,atmos_h,atmos_aspeed)</f>
        <v>842.2474440666474</v>
      </c>
      <c r="CI158" s="162">
        <f t="shared" ref="CI158:CI221" si="38">(CD158-CG158)*CH158*(60/1)/CD$91</f>
        <v>5656.6291663894344</v>
      </c>
      <c r="CK158">
        <v>0.87</v>
      </c>
      <c r="CL158" cm="1">
        <f t="array" ref="CL158">numeng*InterpolateXY(CL$90,CK158,Tmax_h,Tmax_M,Tmax_table)</f>
        <v>1472.9638344513162</v>
      </c>
      <c r="CM158" cm="1">
        <f t="array" ref="CM158">1*CL$91/(S*Linterp(CL$90,atmos_h,atmos_qms)*CK158^2)</f>
        <v>0.4583715205321911</v>
      </c>
      <c r="CN158" cm="1">
        <f t="array" ref="CN158">InterpolateXY(CM158,CK158,CD_CL,CD_M,CD_table)</f>
        <v>4.6814046049628195E-2</v>
      </c>
      <c r="CO158" cm="1">
        <f t="array" ref="CO158">CN158*S*Linterp(CL$90,atmos_h,atmos_qms)*CK158^2</f>
        <v>1021.3122751447311</v>
      </c>
      <c r="CP158" cm="1">
        <f t="array" ref="CP158">CK158*Linterp(CL$90,atmos_h,atmos_aspeed)</f>
        <v>842.2474440666474</v>
      </c>
      <c r="CQ158" s="162">
        <f t="shared" ref="CQ158:CQ221" si="39">(CL158-CO158)*CP158*(60/1)/CL$91</f>
        <v>2282.4142286081228</v>
      </c>
    </row>
    <row r="159" spans="9:95">
      <c r="I159">
        <v>0.88</v>
      </c>
      <c r="J159" cm="1">
        <f t="array" ref="J159">numeng*InterpolateXY(J$90,I159,Tmax_h,Tmax_M,Tmax_table)</f>
        <v>7612</v>
      </c>
      <c r="K159" cm="1">
        <f t="array" ref="K159">1*J$91/(S*Linterp(J$90,atmos_h,atmos_qms)*I159^2)</f>
        <v>5.1277504310626582E-2</v>
      </c>
      <c r="L159" cm="1">
        <f t="array" ref="L159">InterpolateXY(K159,I159,CD_CL,CD_M,CD_table)</f>
        <v>1.624404545414147E-2</v>
      </c>
      <c r="M159" cm="1">
        <f t="array" ref="M159">L159*S*Linterp(J$90,atmos_h,atmos_qms)*I159^2</f>
        <v>3167.8697457151998</v>
      </c>
      <c r="N159" cm="1">
        <f t="array" ref="N159">I159*Linterp(J$90,atmos_h,atmos_aspeed)</f>
        <v>982.476</v>
      </c>
      <c r="O159" s="162">
        <f t="shared" si="29"/>
        <v>26197.507894252281</v>
      </c>
      <c r="Q159">
        <v>0.88</v>
      </c>
      <c r="R159" cm="1">
        <f t="array" ref="R159">numeng*InterpolateXY(R$90,Q159,Tmax_h,Tmax_M,Tmax_table)</f>
        <v>7013.9779551836191</v>
      </c>
      <c r="S159" cm="1">
        <f t="array" ref="S159">1*R$91/(S*Linterp(R$90,atmos_h,atmos_qms)*Q159^2)</f>
        <v>6.1628129005696308E-2</v>
      </c>
      <c r="T159" cm="1">
        <f t="array" ref="T159">InterpolateXY(S159,Q159,CD_CL,CD_M,CD_table)</f>
        <v>1.6374049300311548E-2</v>
      </c>
      <c r="U159" cm="1">
        <f t="array" ref="U159">T159*S*Linterp(R$90,atmos_h,atmos_qms)*Q159^2</f>
        <v>2656.9116350746413</v>
      </c>
      <c r="V159" cm="1">
        <f t="array" ref="V159">Q159*Linterp(R$90,atmos_h,atmos_aspeed)</f>
        <v>965.44133520581863</v>
      </c>
      <c r="W159" s="162">
        <f t="shared" si="30"/>
        <v>25238.951553997882</v>
      </c>
      <c r="Y159">
        <v>0.88</v>
      </c>
      <c r="Z159" cm="1">
        <f t="array" ref="Z159">numeng*InterpolateXY(Z$90,Y159,Tmax_h,Tmax_M,Tmax_table)</f>
        <v>6401.1021118805784</v>
      </c>
      <c r="AA159" cm="1">
        <f t="array" ref="AA159">1*Z$91/(S*Linterp(Z$90,atmos_h,atmos_qms)*Y159^2)</f>
        <v>7.4563447102164088E-2</v>
      </c>
      <c r="AB159" cm="1">
        <f t="array" ref="AB159">InterpolateXY(AA159,Y159,CD_CL,CD_M,CD_table)</f>
        <v>1.653651689560318E-2</v>
      </c>
      <c r="AC159" cm="1">
        <f t="array" ref="AC159">AB159*S*Linterp(Z$90,atmos_h,atmos_qms)*Y159^2</f>
        <v>2217.7779512990401</v>
      </c>
      <c r="AD159" cm="1">
        <f t="array" ref="AD159">Y159*Linterp(Z$90,atmos_h,atmos_aspeed)</f>
        <v>948.10065545383304</v>
      </c>
      <c r="AE159" s="162">
        <f t="shared" si="31"/>
        <v>23797.274271739276</v>
      </c>
      <c r="AG159">
        <v>0.88</v>
      </c>
      <c r="AH159" cm="1">
        <f t="array" ref="AH159">numeng*InterpolateXY(AH$90,AG159,Tmax_h,Tmax_M,Tmax_table)</f>
        <v>5675.6779084092641</v>
      </c>
      <c r="AI159" cm="1">
        <f t="array" ref="AI159">1*AH$91/(S*Linterp(AH$90,atmos_h,atmos_qms)*AG159^2)</f>
        <v>9.0862709336515357E-2</v>
      </c>
      <c r="AJ159" cm="1">
        <f t="array" ref="AJ159">InterpolateXY(AI159,AG159,CD_CL,CD_M,CD_table)</f>
        <v>1.6741235629266632E-2</v>
      </c>
      <c r="AK159" cm="1">
        <f t="array" ref="AK159">AJ159*S*Linterp(AH$90,atmos_h,atmos_qms)*AG159^2</f>
        <v>1842.4759454689479</v>
      </c>
      <c r="AL159" cm="1">
        <f t="array" ref="AL159">AG159*Linterp(AH$90,atmos_h,atmos_aspeed)</f>
        <v>930.43685117259906</v>
      </c>
      <c r="AM159" s="162">
        <f t="shared" si="32"/>
        <v>21399.314185840882</v>
      </c>
      <c r="AO159">
        <v>0.88</v>
      </c>
      <c r="AP159" cm="1">
        <f t="array" ref="AP159">numeng*InterpolateXY(AP$90,AO159,Tmax_h,Tmax_M,Tmax_table)</f>
        <v>4993.4563681990012</v>
      </c>
      <c r="AQ159" cm="1">
        <f t="array" ref="AQ159">1*AP$91/(S*Linterp(AP$90,atmos_h,atmos_qms)*AO159^2)</f>
        <v>0.11158388176303179</v>
      </c>
      <c r="AR159" cm="1">
        <f t="array" ref="AR159">InterpolateXY(AQ159,AO159,CD_CL,CD_M,CD_table)</f>
        <v>1.729248066483104E-2</v>
      </c>
      <c r="AS159" cm="1">
        <f t="array" ref="AS159">AR159*S*Linterp(AP$90,atmos_h,atmos_qms)*AO159^2</f>
        <v>1549.72926121666</v>
      </c>
      <c r="AT159" cm="1">
        <f t="array" ref="AT159">AO159*Linterp(AP$90,atmos_h,atmos_aspeed)</f>
        <v>912.43115639919665</v>
      </c>
      <c r="AU159" s="162">
        <f t="shared" si="33"/>
        <v>18852.983439282943</v>
      </c>
      <c r="AW159">
        <v>0.88</v>
      </c>
      <c r="AX159" cm="1">
        <f t="array" ref="AX159">numeng*InterpolateXY(AX$90,AW159,Tmax_h,Tmax_M,Tmax_table)</f>
        <v>4357.4559755324408</v>
      </c>
      <c r="AY159" cm="1">
        <f t="array" ref="AY159">1*AX$91/(S*Linterp(AX$90,atmos_h,atmos_qms)*AW159^2)</f>
        <v>0.13818038584712547</v>
      </c>
      <c r="AZ159" cm="1">
        <f t="array" ref="AZ159">InterpolateXY(AY159,AW159,CD_CL,CD_M,CD_table)</f>
        <v>1.8294636938719688E-2</v>
      </c>
      <c r="BA159" cm="1">
        <f t="array" ref="BA159">AZ159*S*Linterp(AX$90,atmos_h,atmos_qms)*AW159^2</f>
        <v>1323.9677126795534</v>
      </c>
      <c r="BB159" cm="1">
        <f t="array" ref="BB159">AW159*Linterp(AX$90,atmos_h,atmos_aspeed)</f>
        <v>894.06291518884109</v>
      </c>
      <c r="BC159" s="162">
        <f t="shared" si="34"/>
        <v>16272.776156864318</v>
      </c>
      <c r="BE159">
        <v>0.88</v>
      </c>
      <c r="BF159" cm="1">
        <f t="array" ref="BF159">numeng*InterpolateXY(BF$90,BE159,Tmax_h,Tmax_M,Tmax_table)</f>
        <v>3769.7047740358312</v>
      </c>
      <c r="BG159" cm="1">
        <f t="array" ref="BG159">1*BF$91/(S*Linterp(BF$90,atmos_h,atmos_qms)*BE159^2)</f>
        <v>0.17267454128879051</v>
      </c>
      <c r="BH159" cm="1">
        <f t="array" ref="BH159">InterpolateXY(BG159,BE159,CD_CL,CD_M,CD_table)</f>
        <v>1.9594376715761627E-2</v>
      </c>
      <c r="BI159" cm="1">
        <f t="array" ref="BI159">BH159*S*Linterp(BF$90,atmos_h,atmos_qms)*BE159^2</f>
        <v>1134.7577106338392</v>
      </c>
      <c r="BJ159" cm="1">
        <f t="array" ref="BJ159">BE159*Linterp(BF$90,atmos_h,atmos_aspeed)</f>
        <v>875.30930388289744</v>
      </c>
      <c r="BK159" s="162">
        <f t="shared" si="35"/>
        <v>13838.362079008093</v>
      </c>
      <c r="BM159">
        <v>0.88</v>
      </c>
      <c r="BN159" cm="1">
        <f t="array" ref="BN159">numeng*InterpolateXY(BN$90,BM159,Tmax_h,Tmax_M,Tmax_table)</f>
        <v>3231.3275981693614</v>
      </c>
      <c r="BO159" cm="1">
        <f t="array" ref="BO159">1*BN$91/(S*Linterp(BN$90,atmos_h,atmos_qms)*BM159^2)</f>
        <v>0.21791941390047664</v>
      </c>
      <c r="BP159" cm="1">
        <f t="array" ref="BP159">InterpolateXY(BO159,BM159,CD_CL,CD_M,CD_table)</f>
        <v>2.1749339192949933E-2</v>
      </c>
      <c r="BQ159" cm="1">
        <f t="array" ref="BQ159">BP159*S*Linterp(BN$90,atmos_h,atmos_qms)*BM159^2</f>
        <v>998.04504810584774</v>
      </c>
      <c r="BR159" cm="1">
        <f t="array" ref="BR159">BM159*Linterp(BN$90,atmos_h,atmos_aspeed)</f>
        <v>856.14499859075056</v>
      </c>
      <c r="BS159" s="162">
        <f t="shared" si="36"/>
        <v>11472.082114061248</v>
      </c>
      <c r="BU159">
        <v>0.88</v>
      </c>
      <c r="BV159" cm="1">
        <f t="array" ref="BV159">numeng*InterpolateXY(BV$90,BU159,Tmax_h,Tmax_M,Tmax_table)</f>
        <v>2653.7070721447735</v>
      </c>
      <c r="BW159" cm="1">
        <f t="array" ref="BW159">1*BV$91/(S*Linterp(BV$90,atmos_h,atmos_qms)*BU159^2)</f>
        <v>0.27704657804526867</v>
      </c>
      <c r="BX159" cm="1">
        <f t="array" ref="BX159">InterpolateXY(BW159,BU159,CD_CL,CD_M,CD_table)</f>
        <v>2.5462525101242871E-2</v>
      </c>
      <c r="BY159" cm="1">
        <f t="array" ref="BY159">BX159*S*Linterp(BV$90,atmos_h,atmos_qms)*BU159^2</f>
        <v>919.07018960119979</v>
      </c>
      <c r="BZ159" cm="1">
        <f t="array" ref="BZ159">BU159*Linterp(BV$90,atmos_h,atmos_aspeed)</f>
        <v>851.92844917086177</v>
      </c>
      <c r="CA159" s="162">
        <f t="shared" si="37"/>
        <v>8866.7190553195505</v>
      </c>
      <c r="CC159">
        <v>0.88</v>
      </c>
      <c r="CD159" cm="1">
        <f t="array" ref="CD159">numeng*InterpolateXY(CD$90,CC159,Tmax_h,Tmax_M,Tmax_table)</f>
        <v>2018.6742583375935</v>
      </c>
      <c r="CE159" cm="1">
        <f t="array" ref="CE159">1*CD$91/(S*Linterp(CD$90,atmos_h,atmos_qms)*CC159^2)</f>
        <v>0.35230741898491563</v>
      </c>
      <c r="CF159" cm="1">
        <f t="array" ref="CF159">InterpolateXY(CE159,CC159,CD_CL,CD_M,CD_table)</f>
        <v>3.1259475298092206E-2</v>
      </c>
      <c r="CG159" cm="1">
        <f t="array" ref="CG159">CF159*S*Linterp(CD$90,atmos_h,atmos_qms)*CC159^2</f>
        <v>887.2783714904001</v>
      </c>
      <c r="CH159" cm="1">
        <f t="array" ref="CH159">CC159*Linterp(CD$90,atmos_h,atmos_aspeed)</f>
        <v>851.92844917086177</v>
      </c>
      <c r="CI159" s="162">
        <f t="shared" si="38"/>
        <v>5783.2100596801283</v>
      </c>
      <c r="CK159">
        <v>0.88</v>
      </c>
      <c r="CL159" cm="1">
        <f t="array" ref="CL159">numeng*InterpolateXY(CL$90,CK159,Tmax_h,Tmax_M,Tmax_table)</f>
        <v>1480.2708067594665</v>
      </c>
      <c r="CM159" cm="1">
        <f t="array" ref="CM159">1*CL$91/(S*Linterp(CL$90,atmos_h,atmos_qms)*CK159^2)</f>
        <v>0.4480131765119002</v>
      </c>
      <c r="CN159" cm="1">
        <f t="array" ref="CN159">InterpolateXY(CM159,CK159,CD_CL,CD_M,CD_table)</f>
        <v>4.5020465249329705E-2</v>
      </c>
      <c r="CO159" cm="1">
        <f t="array" ref="CO159">CN159*S*Linterp(CL$90,atmos_h,atmos_qms)*CK159^2</f>
        <v>1004.8915435890951</v>
      </c>
      <c r="CP159" cm="1">
        <f t="array" ref="CP159">CK159*Linterp(CL$90,atmos_h,atmos_aspeed)</f>
        <v>851.92844917086177</v>
      </c>
      <c r="CQ159" s="162">
        <f t="shared" si="39"/>
        <v>2429.9347106443288</v>
      </c>
    </row>
    <row r="160" spans="9:95">
      <c r="I160">
        <v>0.89</v>
      </c>
      <c r="J160" cm="1">
        <f t="array" ref="J160">numeng*InterpolateXY(J$90,I160,Tmax_h,Tmax_M,Tmax_table)</f>
        <v>7636</v>
      </c>
      <c r="K160" cm="1">
        <f t="array" ref="K160">1*J$91/(S*Linterp(J$90,atmos_h,atmos_qms)*I160^2)</f>
        <v>5.0131674457958873E-2</v>
      </c>
      <c r="L160" cm="1">
        <f t="array" ref="L160">InterpolateXY(K160,I160,CD_CL,CD_M,CD_table)</f>
        <v>1.6430656464681122E-2</v>
      </c>
      <c r="M160" cm="1">
        <f t="array" ref="M160">L160*S*Linterp(J$90,atmos_h,atmos_qms)*I160^2</f>
        <v>3277.5000321324001</v>
      </c>
      <c r="N160" cm="1">
        <f t="array" ref="N160">I160*Linterp(J$90,atmos_h,atmos_aspeed)</f>
        <v>993.64050000000009</v>
      </c>
      <c r="O160" s="162">
        <f t="shared" si="29"/>
        <v>25984.692523931673</v>
      </c>
      <c r="Q160">
        <v>0.89</v>
      </c>
      <c r="R160" cm="1">
        <f t="array" ref="R160">numeng*InterpolateXY(R$90,Q160,Tmax_h,Tmax_M,Tmax_table)</f>
        <v>7039.8279967874905</v>
      </c>
      <c r="S160" cm="1">
        <f t="array" ref="S160">1*R$91/(S*Linterp(R$90,atmos_h,atmos_qms)*Q160^2)</f>
        <v>6.0251007577340254E-2</v>
      </c>
      <c r="T160" cm="1">
        <f t="array" ref="T160">InterpolateXY(S160,Q160,CD_CL,CD_M,CD_table)</f>
        <v>1.6557957675322942E-2</v>
      </c>
      <c r="U160" cm="1">
        <f t="array" ref="U160">T160*S*Linterp(R$90,atmos_h,atmos_qms)*Q160^2</f>
        <v>2748.1627845092185</v>
      </c>
      <c r="V160" cm="1">
        <f t="array" ref="V160">Q160*Linterp(R$90,atmos_h,atmos_aspeed)</f>
        <v>976.41225946952113</v>
      </c>
      <c r="W160" s="162">
        <f t="shared" si="30"/>
        <v>25142.607160844222</v>
      </c>
      <c r="Y160">
        <v>0.89</v>
      </c>
      <c r="Z160" cm="1">
        <f t="array" ref="Z160">numeng*InterpolateXY(Z$90,Y160,Tmax_h,Tmax_M,Tmax_table)</f>
        <v>6427.6872152524866</v>
      </c>
      <c r="AA160" cm="1">
        <f t="array" ref="AA160">1*Z$91/(S*Linterp(Z$90,atmos_h,atmos_qms)*Y160^2)</f>
        <v>7.2897277409311789E-2</v>
      </c>
      <c r="AB160" cm="1">
        <f t="array" ref="AB160">InterpolateXY(AA160,Y160,CD_CL,CD_M,CD_table)</f>
        <v>1.6717047749809144E-2</v>
      </c>
      <c r="AC160" cm="1">
        <f t="array" ref="AC160">AB160*S*Linterp(Z$90,atmos_h,atmos_qms)*Y160^2</f>
        <v>2293.2334846944141</v>
      </c>
      <c r="AD160" cm="1">
        <f t="array" ref="AD160">Y160*Linterp(Z$90,atmos_h,atmos_aspeed)</f>
        <v>958.87452653853575</v>
      </c>
      <c r="AE160" s="162">
        <f t="shared" si="31"/>
        <v>23786.534180306127</v>
      </c>
      <c r="AG160">
        <v>0.89</v>
      </c>
      <c r="AH160" cm="1">
        <f t="array" ref="AH160">numeng*InterpolateXY(AH$90,AG160,Tmax_h,Tmax_M,Tmax_table)</f>
        <v>5700.8472117724987</v>
      </c>
      <c r="AI160" cm="1">
        <f t="array" ref="AI160">1*AH$91/(S*Linterp(AH$90,atmos_h,atmos_qms)*AG160^2)</f>
        <v>8.8832321815676671E-2</v>
      </c>
      <c r="AJ160" cm="1">
        <f t="array" ref="AJ160">InterpolateXY(AI160,AG160,CD_CL,CD_M,CD_table)</f>
        <v>1.6917510608441211E-2</v>
      </c>
      <c r="AK160" cm="1">
        <f t="array" ref="AK160">AJ160*S*Linterp(AH$90,atmos_h,atmos_qms)*AG160^2</f>
        <v>1904.4318850006348</v>
      </c>
      <c r="AL160" cm="1">
        <f t="array" ref="AL160">AG160*Linterp(AH$90,atmos_h,atmos_aspeed)</f>
        <v>941.00999720865138</v>
      </c>
      <c r="AM160" s="162">
        <f t="shared" si="32"/>
        <v>21434.788656290839</v>
      </c>
      <c r="AO160">
        <v>0.89</v>
      </c>
      <c r="AP160" cm="1">
        <f t="array" ref="AP160">numeng*InterpolateXY(AP$90,AO160,Tmax_h,Tmax_M,Tmax_table)</f>
        <v>5016.8998253266955</v>
      </c>
      <c r="AQ160" cm="1">
        <f t="array" ref="AQ160">1*AP$91/(S*Linterp(AP$90,atmos_h,atmos_qms)*AO160^2)</f>
        <v>0.10909046589735111</v>
      </c>
      <c r="AR160" cm="1">
        <f t="array" ref="AR160">InterpolateXY(AQ160,AO160,CD_CL,CD_M,CD_table)</f>
        <v>1.740107418296603E-2</v>
      </c>
      <c r="AS160" cm="1">
        <f t="array" ref="AS160">AR160*S*Linterp(AP$90,atmos_h,atmos_qms)*AO160^2</f>
        <v>1595.1049470573907</v>
      </c>
      <c r="AT160" cm="1">
        <f t="array" ref="AT160">AO160*Linterp(AP$90,atmos_h,atmos_aspeed)</f>
        <v>922.79969226736932</v>
      </c>
      <c r="AU160" s="162">
        <f t="shared" si="33"/>
        <v>18945.787564013848</v>
      </c>
      <c r="AW160">
        <v>0.89</v>
      </c>
      <c r="AX160" cm="1">
        <f t="array" ref="AX160">numeng*InterpolateXY(AX$90,AW160,Tmax_h,Tmax_M,Tmax_table)</f>
        <v>4378.9654250208769</v>
      </c>
      <c r="AY160" cm="1">
        <f t="array" ref="AY160">1*AX$91/(S*Linterp(AX$90,atmos_h,atmos_qms)*AW160^2)</f>
        <v>0.13509265345286448</v>
      </c>
      <c r="AZ160" cm="1">
        <f t="array" ref="AZ160">InterpolateXY(AY160,AW160,CD_CL,CD_M,CD_table)</f>
        <v>1.8382396741311105E-2</v>
      </c>
      <c r="BA160" cm="1">
        <f t="array" ref="BA160">AZ160*S*Linterp(AX$90,atmos_h,atmos_qms)*AW160^2</f>
        <v>1360.7251224601162</v>
      </c>
      <c r="BB160" cm="1">
        <f t="array" ref="BB160">AW160*Linterp(AX$90,atmos_h,atmos_aspeed)</f>
        <v>904.22272104325975</v>
      </c>
      <c r="BC160" s="162">
        <f t="shared" si="34"/>
        <v>16374.968754863536</v>
      </c>
      <c r="BE160">
        <v>0.89</v>
      </c>
      <c r="BF160" cm="1">
        <f t="array" ref="BF160">numeng*InterpolateXY(BF$90,BE160,Tmax_h,Tmax_M,Tmax_table)</f>
        <v>3789.1593838264089</v>
      </c>
      <c r="BG160" cm="1">
        <f t="array" ref="BG160">1*BF$91/(S*Linterp(BF$90,atmos_h,atmos_qms)*BE160^2)</f>
        <v>0.16881601410685437</v>
      </c>
      <c r="BH160" cm="1">
        <f t="array" ref="BH160">InterpolateXY(BG160,BE160,CD_CL,CD_M,CD_table)</f>
        <v>1.9655116372392683E-2</v>
      </c>
      <c r="BI160" cm="1">
        <f t="array" ref="BI160">BH160*S*Linterp(BF$90,atmos_h,atmos_qms)*BE160^2</f>
        <v>1164.2921719471301</v>
      </c>
      <c r="BJ160" cm="1">
        <f t="array" ref="BJ160">BE160*Linterp(BF$90,atmos_h,atmos_aspeed)</f>
        <v>885.25600051793037</v>
      </c>
      <c r="BK160" s="162">
        <f t="shared" si="35"/>
        <v>13942.076699273408</v>
      </c>
      <c r="BM160">
        <v>0.89</v>
      </c>
      <c r="BN160" cm="1">
        <f t="array" ref="BN160">numeng*InterpolateXY(BN$90,BM160,Tmax_h,Tmax_M,Tmax_table)</f>
        <v>3248.6803355588399</v>
      </c>
      <c r="BO160" cm="1">
        <f t="array" ref="BO160">1*BN$91/(S*Linterp(BN$90,atmos_h,atmos_qms)*BM160^2)</f>
        <v>0.21304986002339235</v>
      </c>
      <c r="BP160" cm="1">
        <f t="array" ref="BP160">InterpolateXY(BO160,BM160,CD_CL,CD_M,CD_table)</f>
        <v>2.1652836195471377E-2</v>
      </c>
      <c r="BQ160" cm="1">
        <f t="array" ref="BQ160">BP160*S*Linterp(BN$90,atmos_h,atmos_qms)*BM160^2</f>
        <v>1016.3271730426834</v>
      </c>
      <c r="BR160" cm="1">
        <f t="array" ref="BR160">BM160*Linterp(BN$90,atmos_h,atmos_aspeed)</f>
        <v>865.87391902928186</v>
      </c>
      <c r="BS160" s="162">
        <f t="shared" si="36"/>
        <v>11597.618288911655</v>
      </c>
      <c r="BU160">
        <v>0.89</v>
      </c>
      <c r="BV160" cm="1">
        <f t="array" ref="BV160">numeng*InterpolateXY(BV$90,BU160,Tmax_h,Tmax_M,Tmax_table)</f>
        <v>2668.4772413774899</v>
      </c>
      <c r="BW160" cm="1">
        <f t="array" ref="BW160">1*BV$91/(S*Linterp(BV$90,atmos_h,atmos_qms)*BU160^2)</f>
        <v>0.27085578845885128</v>
      </c>
      <c r="BX160" cm="1">
        <f t="array" ref="BX160">InterpolateXY(BW160,BU160,CD_CL,CD_M,CD_table)</f>
        <v>2.5288829094061747E-2</v>
      </c>
      <c r="BY160" cm="1">
        <f t="array" ref="BY160">BX160*S*Linterp(BV$90,atmos_h,atmos_qms)*BU160^2</f>
        <v>933.6639707038662</v>
      </c>
      <c r="BZ160" cm="1">
        <f t="array" ref="BZ160">BU160*Linterp(BV$90,atmos_h,atmos_aspeed)</f>
        <v>861.60945427507613</v>
      </c>
      <c r="CA160" s="162">
        <f t="shared" si="37"/>
        <v>8968.3890924855641</v>
      </c>
      <c r="CC160">
        <v>0.89</v>
      </c>
      <c r="CD160" cm="1">
        <f t="array" ref="CD160">numeng*InterpolateXY(CD$90,CC160,Tmax_h,Tmax_M,Tmax_table)</f>
        <v>2029.5148565795294</v>
      </c>
      <c r="CE160" cm="1">
        <f t="array" ref="CE160">1*CD$91/(S*Linterp(CD$90,atmos_h,atmos_qms)*CC160^2)</f>
        <v>0.34443487597767786</v>
      </c>
      <c r="CF160" cm="1">
        <f t="array" ref="CF160">InterpolateXY(CE160,CC160,CD_CL,CD_M,CD_table)</f>
        <v>3.0755439808694718E-2</v>
      </c>
      <c r="CG160" cm="1">
        <f t="array" ref="CG160">CF160*S*Linterp(CD$90,atmos_h,atmos_qms)*CC160^2</f>
        <v>892.92467034284641</v>
      </c>
      <c r="CH160" cm="1">
        <f t="array" ref="CH160">CC160*Linterp(CD$90,atmos_h,atmos_aspeed)</f>
        <v>861.60945427507613</v>
      </c>
      <c r="CI160" s="162">
        <f t="shared" si="38"/>
        <v>5875.7811005867725</v>
      </c>
      <c r="CK160">
        <v>0.89</v>
      </c>
      <c r="CL160" cm="1">
        <f t="array" ref="CL160">numeng*InterpolateXY(CL$90,CK160,Tmax_h,Tmax_M,Tmax_table)</f>
        <v>1487.577779067617</v>
      </c>
      <c r="CM160" cm="1">
        <f t="array" ref="CM160">1*CL$91/(S*Linterp(CL$90,atmos_h,atmos_qms)*CK160^2)</f>
        <v>0.43800202485900197</v>
      </c>
      <c r="CN160" cm="1">
        <f t="array" ref="CN160">InterpolateXY(CM160,CK160,CD_CL,CD_M,CD_table)</f>
        <v>4.3337256815046389E-2</v>
      </c>
      <c r="CO160" cm="1">
        <f t="array" ref="CO160">CN160*S*Linterp(CL$90,atmos_h,atmos_qms)*CK160^2</f>
        <v>989.43051299813442</v>
      </c>
      <c r="CP160" cm="1">
        <f t="array" ref="CP160">CK160*Linterp(CL$90,atmos_h,atmos_aspeed)</f>
        <v>861.60945427507613</v>
      </c>
      <c r="CQ160" s="162">
        <f t="shared" si="39"/>
        <v>2575.2503644004883</v>
      </c>
    </row>
    <row r="161" spans="9:95">
      <c r="I161">
        <v>0.9</v>
      </c>
      <c r="J161" cm="1">
        <f t="array" ref="J161">numeng*InterpolateXY(J$90,I161,Tmax_h,Tmax_M,Tmax_table)</f>
        <v>7660</v>
      </c>
      <c r="K161" cm="1">
        <f t="array" ref="K161">1*J$91/(S*Linterp(J$90,atmos_h,atmos_qms)*I161^2)</f>
        <v>4.9023826343394097E-2</v>
      </c>
      <c r="L161" cm="1">
        <f t="array" ref="L161">InterpolateXY(K161,I161,CD_CL,CD_M,CD_table)</f>
        <v>1.6617700211926767E-2</v>
      </c>
      <c r="M161" cm="1">
        <f t="array" ref="M161">L161*S*Linterp(J$90,atmos_h,atmos_qms)*I161^2</f>
        <v>3389.7191328000008</v>
      </c>
      <c r="N161" cm="1">
        <f t="array" ref="N161">I161*Linterp(J$90,atmos_h,atmos_aspeed)</f>
        <v>1004.8050000000001</v>
      </c>
      <c r="O161" s="162">
        <f t="shared" si="29"/>
        <v>25744.797400601372</v>
      </c>
      <c r="Q161">
        <v>0.9</v>
      </c>
      <c r="R161" cm="1">
        <f t="array" ref="R161">numeng*InterpolateXY(R$90,Q161,Tmax_h,Tmax_M,Tmax_table)</f>
        <v>7065.678038391361</v>
      </c>
      <c r="S161" cm="1">
        <f t="array" ref="S161">1*R$91/(S*Linterp(R$90,atmos_h,atmos_qms)*Q161^2)</f>
        <v>5.8919534693841008E-2</v>
      </c>
      <c r="T161" cm="1">
        <f t="array" ref="T161">InterpolateXY(S161,Q161,CD_CL,CD_M,CD_table)</f>
        <v>1.6742386137142396E-2</v>
      </c>
      <c r="U161" cm="1">
        <f t="array" ref="U161">T161*S*Linterp(R$90,atmos_h,atmos_qms)*Q161^2</f>
        <v>2841.5679492615745</v>
      </c>
      <c r="V161" cm="1">
        <f t="array" ref="V161">Q161*Linterp(R$90,atmos_h,atmos_aspeed)</f>
        <v>987.38318373322363</v>
      </c>
      <c r="W161" s="162">
        <f t="shared" si="30"/>
        <v>25024.891609467595</v>
      </c>
      <c r="Y161">
        <v>0.9</v>
      </c>
      <c r="Z161" cm="1">
        <f t="array" ref="Z161">numeng*InterpolateXY(Z$90,Y161,Tmax_h,Tmax_M,Tmax_table)</f>
        <v>6454.2723186243948</v>
      </c>
      <c r="AA161" cm="1">
        <f t="array" ref="AA161">1*Z$91/(S*Linterp(Z$90,atmos_h,atmos_qms)*Y161^2)</f>
        <v>7.1286337575204764E-2</v>
      </c>
      <c r="AB161" cm="1">
        <f t="array" ref="AB161">InterpolateXY(AA161,Y161,CD_CL,CD_M,CD_table)</f>
        <v>1.6898207853447582E-2</v>
      </c>
      <c r="AC161" cm="1">
        <f t="array" ref="AC161">AB161*S*Linterp(Z$90,atmos_h,atmos_qms)*Y161^2</f>
        <v>2370.4693533484624</v>
      </c>
      <c r="AD161" cm="1">
        <f t="array" ref="AD161">Y161*Linterp(Z$90,atmos_h,atmos_aspeed)</f>
        <v>969.64839762323834</v>
      </c>
      <c r="AE161" s="162">
        <f t="shared" si="31"/>
        <v>23759.118008933023</v>
      </c>
      <c r="AG161">
        <v>0.9</v>
      </c>
      <c r="AH161" cm="1">
        <f t="array" ref="AH161">numeng*InterpolateXY(AH$90,AG161,Tmax_h,Tmax_M,Tmax_table)</f>
        <v>5726.0165151357323</v>
      </c>
      <c r="AI161" cm="1">
        <f t="array" ref="AI161">1*AH$91/(S*Linterp(AH$90,atmos_h,atmos_qms)*AG161^2)</f>
        <v>8.6869237173083313E-2</v>
      </c>
      <c r="AJ161" cm="1">
        <f t="array" ref="AJ161">InterpolateXY(AI161,AG161,CD_CL,CD_M,CD_table)</f>
        <v>1.7094552388380851E-2</v>
      </c>
      <c r="AK161" cm="1">
        <f t="array" ref="AK161">AJ161*S*Linterp(AH$90,atmos_h,atmos_qms)*AG161^2</f>
        <v>1967.8487971893517</v>
      </c>
      <c r="AL161" cm="1">
        <f t="array" ref="AL161">AG161*Linterp(AH$90,atmos_h,atmos_aspeed)</f>
        <v>951.58314324470359</v>
      </c>
      <c r="AM161" s="162">
        <f t="shared" si="32"/>
        <v>21457.254299305147</v>
      </c>
      <c r="AO161">
        <v>0.9</v>
      </c>
      <c r="AP161" cm="1">
        <f t="array" ref="AP161">numeng*InterpolateXY(AP$90,AO161,Tmax_h,Tmax_M,Tmax_table)</f>
        <v>5040.3432824543906</v>
      </c>
      <c r="AQ161" cm="1">
        <f t="array" ref="AQ161">1*AP$91/(S*Linterp(AP$90,atmos_h,atmos_qms)*AO161^2)</f>
        <v>0.10667970128060718</v>
      </c>
      <c r="AR161" cm="1">
        <f t="array" ref="AR161">InterpolateXY(AQ161,AO161,CD_CL,CD_M,CD_table)</f>
        <v>1.7512492708406952E-2</v>
      </c>
      <c r="AS161" cm="1">
        <f t="array" ref="AS161">AR161*S*Linterp(AP$90,atmos_h,atmos_qms)*AO161^2</f>
        <v>1641.5955892435998</v>
      </c>
      <c r="AT161" cm="1">
        <f t="array" ref="AT161">AO161*Linterp(AP$90,atmos_h,atmos_aspeed)</f>
        <v>933.16822813554211</v>
      </c>
      <c r="AU161" s="162">
        <f t="shared" si="33"/>
        <v>19029.620176519649</v>
      </c>
      <c r="AW161">
        <v>0.9</v>
      </c>
      <c r="AX161" cm="1">
        <f t="array" ref="AX161">numeng*InterpolateXY(AX$90,AW161,Tmax_h,Tmax_M,Tmax_table)</f>
        <v>4400.4748745093138</v>
      </c>
      <c r="AY161" cm="1">
        <f t="array" ref="AY161">1*AX$91/(S*Linterp(AX$90,atmos_h,atmos_qms)*AW161^2)</f>
        <v>0.13210727259260985</v>
      </c>
      <c r="AZ161" cm="1">
        <f t="array" ref="AZ161">InterpolateXY(AY161,AW161,CD_CL,CD_M,CD_table)</f>
        <v>1.8473654904000651E-2</v>
      </c>
      <c r="BA161" cm="1">
        <f t="array" ref="BA161">AZ161*S*Linterp(AX$90,atmos_h,atmos_qms)*AW161^2</f>
        <v>1398.3828854728836</v>
      </c>
      <c r="BB161" cm="1">
        <f t="array" ref="BB161">AW161*Linterp(AX$90,atmos_h,atmos_aspeed)</f>
        <v>914.38252689767842</v>
      </c>
      <c r="BC161" s="162">
        <f t="shared" si="34"/>
        <v>16470.36275348645</v>
      </c>
      <c r="BE161">
        <v>0.9</v>
      </c>
      <c r="BF161" cm="1">
        <f t="array" ref="BF161">numeng*InterpolateXY(BF$90,BE161,Tmax_h,Tmax_M,Tmax_table)</f>
        <v>3808.613993616987</v>
      </c>
      <c r="BG161" cm="1">
        <f t="array" ref="BG161">1*BF$91/(S*Linterp(BF$90,atmos_h,atmos_qms)*BE161^2)</f>
        <v>0.16508538860992514</v>
      </c>
      <c r="BH161" cm="1">
        <f t="array" ref="BH161">InterpolateXY(BG161,BE161,CD_CL,CD_M,CD_table)</f>
        <v>1.972022768945517E-2</v>
      </c>
      <c r="BI161" cm="1">
        <f t="array" ref="BI161">BH161*S*Linterp(BF$90,atmos_h,atmos_qms)*BE161^2</f>
        <v>1194.5471283380173</v>
      </c>
      <c r="BJ161" cm="1">
        <f t="array" ref="BJ161">BE161*Linterp(BF$90,atmos_h,atmos_aspeed)</f>
        <v>895.20269715296331</v>
      </c>
      <c r="BK161" s="162">
        <f t="shared" si="35"/>
        <v>14040.718250015554</v>
      </c>
      <c r="BM161">
        <v>0.9</v>
      </c>
      <c r="BN161" cm="1">
        <f t="array" ref="BN161">numeng*InterpolateXY(BN$90,BM161,Tmax_h,Tmax_M,Tmax_table)</f>
        <v>3266.0330729483189</v>
      </c>
      <c r="BO161" cm="1">
        <f t="array" ref="BO161">1*BN$91/(S*Linterp(BN$90,atmos_h,atmos_qms)*BM161^2)</f>
        <v>0.20834172114139393</v>
      </c>
      <c r="BP161" cm="1">
        <f t="array" ref="BP161">InterpolateXY(BO161,BM161,CD_CL,CD_M,CD_table)</f>
        <v>2.1565528431907816E-2</v>
      </c>
      <c r="BQ161" cm="1">
        <f t="array" ref="BQ161">BP161*S*Linterp(BN$90,atmos_h,atmos_qms)*BM161^2</f>
        <v>1035.1036899264202</v>
      </c>
      <c r="BR161" cm="1">
        <f t="array" ref="BR161">BM161*Linterp(BN$90,atmos_h,atmos_aspeed)</f>
        <v>875.60283946781306</v>
      </c>
      <c r="BS161" s="162">
        <f t="shared" si="36"/>
        <v>11720.448614556904</v>
      </c>
      <c r="BU161">
        <v>0.9</v>
      </c>
      <c r="BV161" cm="1">
        <f t="array" ref="BV161">numeng*InterpolateXY(BV$90,BU161,Tmax_h,Tmax_M,Tmax_table)</f>
        <v>2683.2474106102068</v>
      </c>
      <c r="BW161" cm="1">
        <f t="array" ref="BW161">1*BV$91/(S*Linterp(BV$90,atmos_h,atmos_qms)*BU161^2)</f>
        <v>0.26487020992377291</v>
      </c>
      <c r="BX161" cm="1">
        <f t="array" ref="BX161">InterpolateXY(BW161,BU161,CD_CL,CD_M,CD_table)</f>
        <v>2.5126823225197693E-2</v>
      </c>
      <c r="BY161" cm="1">
        <f t="array" ref="BY161">BX161*S*Linterp(BV$90,atmos_h,atmos_qms)*BU161^2</f>
        <v>948.64663083209507</v>
      </c>
      <c r="BZ161" cm="1">
        <f t="array" ref="BZ161">BU161*Linterp(BV$90,atmos_h,atmos_aspeed)</f>
        <v>871.29045937929038</v>
      </c>
      <c r="CA161" s="162">
        <f t="shared" si="37"/>
        <v>9068.0466615152782</v>
      </c>
      <c r="CC161">
        <v>0.9</v>
      </c>
      <c r="CD161" cm="1">
        <f t="array" ref="CD161">numeng*InterpolateXY(CD$90,CC161,Tmax_h,Tmax_M,Tmax_table)</f>
        <v>2040.3554548214649</v>
      </c>
      <c r="CE161" cm="1">
        <f t="array" ref="CE161">1*CD$91/(S*Linterp(CD$90,atmos_h,atmos_qms)*CC161^2)</f>
        <v>0.33682329044681314</v>
      </c>
      <c r="CF161" cm="1">
        <f t="array" ref="CF161">InterpolateXY(CE161,CC161,CD_CL,CD_M,CD_table)</f>
        <v>3.0355827487593995E-2</v>
      </c>
      <c r="CG161" cm="1">
        <f t="array" ref="CG161">CF161*S*Linterp(CD$90,atmos_h,atmos_qms)*CC161^2</f>
        <v>901.23896857979901</v>
      </c>
      <c r="CH161" cm="1">
        <f t="array" ref="CH161">CC161*Linterp(CD$90,atmos_h,atmos_aspeed)</f>
        <v>871.29045937929038</v>
      </c>
      <c r="CI161" s="162">
        <f t="shared" si="38"/>
        <v>5955.0079595041443</v>
      </c>
      <c r="CK161">
        <v>0.9</v>
      </c>
      <c r="CL161" cm="1">
        <f t="array" ref="CL161">numeng*InterpolateXY(CL$90,CK161,Tmax_h,Tmax_M,Tmax_table)</f>
        <v>1494.8847513757673</v>
      </c>
      <c r="CM161" cm="1">
        <f t="array" ref="CM161">1*CL$91/(S*Linterp(CL$90,atmos_h,atmos_qms)*CK161^2)</f>
        <v>0.42832272085285855</v>
      </c>
      <c r="CN161" cm="1">
        <f t="array" ref="CN161">InterpolateXY(CM161,CK161,CD_CL,CD_M,CD_table)</f>
        <v>4.1759261675698225E-2</v>
      </c>
      <c r="CO161" cm="1">
        <f t="array" ref="CO161">CN161*S*Linterp(CL$90,atmos_h,atmos_qms)*CK161^2</f>
        <v>974.94855263687396</v>
      </c>
      <c r="CP161" cm="1">
        <f t="array" ref="CP161">CK161*Linterp(CL$90,atmos_h,atmos_aspeed)</f>
        <v>871.29045937929038</v>
      </c>
      <c r="CQ161" s="162">
        <f t="shared" si="39"/>
        <v>2718.0926966827942</v>
      </c>
    </row>
    <row r="162" spans="9:95">
      <c r="I162">
        <v>0.91</v>
      </c>
      <c r="J162" cm="1">
        <f t="array" ref="J162">numeng*InterpolateXY(J$90,I162,Tmax_h,Tmax_M,Tmax_table)</f>
        <v>7684</v>
      </c>
      <c r="K162" cm="1">
        <f t="array" ref="K162">1*J$91/(S*Linterp(J$90,atmos_h,atmos_qms)*I162^2)</f>
        <v>4.7952299647565776E-2</v>
      </c>
      <c r="L162" cm="1">
        <f t="array" ref="L162">InterpolateXY(K162,I162,CD_CL,CD_M,CD_table)</f>
        <v>1.6856596590541707E-2</v>
      </c>
      <c r="M162" cm="1">
        <f t="array" ref="M162">L162*S*Linterp(J$90,atmos_h,atmos_qms)*I162^2</f>
        <v>3515.2842959425002</v>
      </c>
      <c r="N162" cm="1">
        <f t="array" ref="N162">I162*Linterp(J$90,atmos_h,atmos_aspeed)</f>
        <v>1015.9695</v>
      </c>
      <c r="O162" s="162">
        <f t="shared" si="29"/>
        <v>25411.728056960681</v>
      </c>
      <c r="Q162">
        <v>0.91</v>
      </c>
      <c r="R162" cm="1">
        <f t="array" ref="R162">numeng*InterpolateXY(R$90,Q162,Tmax_h,Tmax_M,Tmax_table)</f>
        <v>7091.5280799952316</v>
      </c>
      <c r="S162" cm="1">
        <f t="array" ref="S162">1*R$91/(S*Linterp(R$90,atmos_h,atmos_qms)*Q162^2)</f>
        <v>5.7631714891934804E-2</v>
      </c>
      <c r="T162" cm="1">
        <f t="array" ref="T162">InterpolateXY(S162,Q162,CD_CL,CD_M,CD_table)</f>
        <v>1.6979041193382977E-2</v>
      </c>
      <c r="U162" cm="1">
        <f t="array" ref="U162">T162*S*Linterp(R$90,atmos_h,atmos_qms)*Q162^2</f>
        <v>2946.1280521012372</v>
      </c>
      <c r="V162" cm="1">
        <f t="array" ref="V162">Q162*Linterp(R$90,atmos_h,atmos_aspeed)</f>
        <v>998.35410799692613</v>
      </c>
      <c r="W162" s="162">
        <f t="shared" si="30"/>
        <v>24831.462882831253</v>
      </c>
      <c r="Y162">
        <v>0.91</v>
      </c>
      <c r="Z162" cm="1">
        <f t="array" ref="Z162">numeng*InterpolateXY(Z$90,Y162,Tmax_h,Tmax_M,Tmax_table)</f>
        <v>6480.8574219963029</v>
      </c>
      <c r="AA162" cm="1">
        <f t="array" ref="AA162">1*Z$91/(S*Linterp(Z$90,atmos_h,atmos_qms)*Y162^2)</f>
        <v>6.9728213302639605E-2</v>
      </c>
      <c r="AB162" cm="1">
        <f t="array" ref="AB162">InterpolateXY(AA162,Y162,CD_CL,CD_M,CD_table)</f>
        <v>1.7132061898278393E-2</v>
      </c>
      <c r="AC162" cm="1">
        <f t="array" ref="AC162">AB162*S*Linterp(Z$90,atmos_h,atmos_qms)*Y162^2</f>
        <v>2456.9770379631755</v>
      </c>
      <c r="AD162" cm="1">
        <f t="array" ref="AD162">Y162*Linterp(Z$90,atmos_h,atmos_aspeed)</f>
        <v>980.42226870794104</v>
      </c>
      <c r="AE162" s="162">
        <f t="shared" si="31"/>
        <v>23670.611610738841</v>
      </c>
      <c r="AG162">
        <v>0.91</v>
      </c>
      <c r="AH162" cm="1">
        <f t="array" ref="AH162">numeng*InterpolateXY(AH$90,AG162,Tmax_h,Tmax_M,Tmax_table)</f>
        <v>5751.185818498966</v>
      </c>
      <c r="AI162" cm="1">
        <f t="array" ref="AI162">1*AH$91/(S*Linterp(AH$90,atmos_h,atmos_qms)*AG162^2)</f>
        <v>8.4970513356113372E-2</v>
      </c>
      <c r="AJ162" cm="1">
        <f t="array" ref="AJ162">InterpolateXY(AI162,AG162,CD_CL,CD_M,CD_table)</f>
        <v>1.7324876993954835E-2</v>
      </c>
      <c r="AK162" cm="1">
        <f t="array" ref="AK162">AJ162*S*Linterp(AH$90,atmos_h,atmos_qms)*AG162^2</f>
        <v>2038.9281304381293</v>
      </c>
      <c r="AL162" cm="1">
        <f t="array" ref="AL162">AG162*Linterp(AH$90,atmos_h,atmos_aspeed)</f>
        <v>962.15628928075591</v>
      </c>
      <c r="AM162" s="162">
        <f t="shared" si="32"/>
        <v>21430.632491991437</v>
      </c>
      <c r="AO162">
        <v>0.91</v>
      </c>
      <c r="AP162" cm="1">
        <f t="array" ref="AP162">numeng*InterpolateXY(AP$90,AO162,Tmax_h,Tmax_M,Tmax_table)</f>
        <v>5063.7867395820858</v>
      </c>
      <c r="AQ162" cm="1">
        <f t="array" ref="AQ162">1*AP$91/(S*Linterp(AP$90,atmos_h,atmos_qms)*AO162^2)</f>
        <v>0.10434797492729357</v>
      </c>
      <c r="AR162" cm="1">
        <f t="array" ref="AR162">InterpolateXY(AQ162,AO162,CD_CL,CD_M,CD_table)</f>
        <v>1.7680005648490794E-2</v>
      </c>
      <c r="AS162" cm="1">
        <f t="array" ref="AS162">AR162*S*Linterp(AP$90,atmos_h,atmos_qms)*AO162^2</f>
        <v>1694.3314578754091</v>
      </c>
      <c r="AT162" cm="1">
        <f t="array" ref="AT162">AO162*Linterp(AP$90,atmos_h,atmos_aspeed)</f>
        <v>943.53676400371478</v>
      </c>
      <c r="AU162" s="162">
        <f t="shared" si="33"/>
        <v>19075.229597740461</v>
      </c>
      <c r="AW162">
        <v>0.91</v>
      </c>
      <c r="AX162" cm="1">
        <f t="array" ref="AX162">numeng*InterpolateXY(AX$90,AW162,Tmax_h,Tmax_M,Tmax_table)</f>
        <v>4421.9843239977508</v>
      </c>
      <c r="AY162" cm="1">
        <f t="array" ref="AY162">1*AX$91/(S*Linterp(AX$90,atmos_h,atmos_qms)*AW162^2)</f>
        <v>0.12921976911002772</v>
      </c>
      <c r="AZ162" cm="1">
        <f t="array" ref="AZ162">InterpolateXY(AY162,AW162,CD_CL,CD_M,CD_table)</f>
        <v>1.8623890237725552E-2</v>
      </c>
      <c r="BA162" cm="1">
        <f t="array" ref="BA162">AZ162*S*Linterp(AX$90,atmos_h,atmos_qms)*AW162^2</f>
        <v>1441.2570434070137</v>
      </c>
      <c r="BB162" cm="1">
        <f t="array" ref="BB162">AW162*Linterp(AX$90,atmos_h,atmos_aspeed)</f>
        <v>924.54233275209708</v>
      </c>
      <c r="BC162" s="162">
        <f t="shared" si="34"/>
        <v>16534.851319771049</v>
      </c>
      <c r="BE162">
        <v>0.91</v>
      </c>
      <c r="BF162" cm="1">
        <f t="array" ref="BF162">numeng*InterpolateXY(BF$90,BE162,Tmax_h,Tmax_M,Tmax_table)</f>
        <v>3828.0686034075652</v>
      </c>
      <c r="BG162" cm="1">
        <f t="array" ref="BG162">1*BF$91/(S*Linterp(BF$90,atmos_h,atmos_qms)*BE162^2)</f>
        <v>0.16147707375200984</v>
      </c>
      <c r="BH162" cm="1">
        <f t="array" ref="BH162">InterpolateXY(BG162,BE162,CD_CL,CD_M,CD_table)</f>
        <v>1.9848054948888774E-2</v>
      </c>
      <c r="BI162" cm="1">
        <f t="array" ref="BI162">BH162*S*Linterp(BF$90,atmos_h,atmos_qms)*BE162^2</f>
        <v>1229.1562193758007</v>
      </c>
      <c r="BJ162" cm="1">
        <f t="array" ref="BJ162">BE162*Linterp(BF$90,atmos_h,atmos_aspeed)</f>
        <v>905.14939378799625</v>
      </c>
      <c r="BK162" s="162">
        <f t="shared" si="35"/>
        <v>14114.423813486806</v>
      </c>
      <c r="BM162">
        <v>0.91</v>
      </c>
      <c r="BN162" cm="1">
        <f t="array" ref="BN162">numeng*InterpolateXY(BN$90,BM162,Tmax_h,Tmax_M,Tmax_table)</f>
        <v>3283.3858103377975</v>
      </c>
      <c r="BO162" cm="1">
        <f t="array" ref="BO162">1*BN$91/(S*Linterp(BN$90,atmos_h,atmos_qms)*BM162^2)</f>
        <v>0.20378794122029839</v>
      </c>
      <c r="BP162" cm="1">
        <f t="array" ref="BP162">InterpolateXY(BO162,BM162,CD_CL,CD_M,CD_table)</f>
        <v>2.1549587282183875E-2</v>
      </c>
      <c r="BQ162" cm="1">
        <f t="array" ref="BQ162">BP162*S*Linterp(BN$90,atmos_h,atmos_qms)*BM162^2</f>
        <v>1057.4515426743719</v>
      </c>
      <c r="BR162" cm="1">
        <f t="array" ref="BR162">BM162*Linterp(BN$90,atmos_h,atmos_aspeed)</f>
        <v>885.33175990634436</v>
      </c>
      <c r="BS162" s="162">
        <f t="shared" si="36"/>
        <v>11824.141815757803</v>
      </c>
      <c r="BU162">
        <v>0.91</v>
      </c>
      <c r="BV162" cm="1">
        <f t="array" ref="BV162">numeng*InterpolateXY(BV$90,BU162,Tmax_h,Tmax_M,Tmax_table)</f>
        <v>2698.0175798429236</v>
      </c>
      <c r="BW162" cm="1">
        <f t="array" ref="BW162">1*BV$91/(S*Linterp(BV$90,atmos_h,atmos_qms)*BU162^2)</f>
        <v>0.25908087192157481</v>
      </c>
      <c r="BX162" cm="1">
        <f t="array" ref="BX162">InterpolateXY(BW162,BU162,CD_CL,CD_M,CD_table)</f>
        <v>2.5046865149039609E-2</v>
      </c>
      <c r="BY162" cm="1">
        <f t="array" ref="BY162">BX162*S*Linterp(BV$90,atmos_h,atmos_qms)*BU162^2</f>
        <v>966.75856319572028</v>
      </c>
      <c r="BZ162" cm="1">
        <f t="array" ref="BZ162">BU162*Linterp(BV$90,atmos_h,atmos_aspeed)</f>
        <v>880.97146448350475</v>
      </c>
      <c r="CA162" s="162">
        <f t="shared" si="37"/>
        <v>9151.1387477757526</v>
      </c>
      <c r="CC162">
        <v>0.91</v>
      </c>
      <c r="CD162" cm="1">
        <f t="array" ref="CD162">numeng*InterpolateXY(CD$90,CC162,Tmax_h,Tmax_M,Tmax_table)</f>
        <v>2051.1960530634005</v>
      </c>
      <c r="CE162" cm="1">
        <f t="array" ref="CE162">1*CD$91/(S*Linterp(CD$90,atmos_h,atmos_qms)*CC162^2)</f>
        <v>0.32946125499567519</v>
      </c>
      <c r="CF162" cm="1">
        <f t="array" ref="CF162">InterpolateXY(CE162,CC162,CD_CL,CD_M,CD_table)</f>
        <v>3.0057451692019392E-2</v>
      </c>
      <c r="CG162" cm="1">
        <f t="array" ref="CG162">CF162*S*Linterp(CD$90,atmos_h,atmos_qms)*CC162^2</f>
        <v>912.32128926401242</v>
      </c>
      <c r="CH162" cm="1">
        <f t="array" ref="CH162">CC162*Linterp(CD$90,atmos_h,atmos_aspeed)</f>
        <v>880.97146448350475</v>
      </c>
      <c r="CI162" s="162">
        <f t="shared" si="38"/>
        <v>6019.8970111659155</v>
      </c>
      <c r="CK162">
        <v>0.91</v>
      </c>
      <c r="CL162" cm="1">
        <f t="array" ref="CL162">numeng*InterpolateXY(CL$90,CK162,Tmax_h,Tmax_M,Tmax_table)</f>
        <v>1502.1917236839176</v>
      </c>
      <c r="CM162" cm="1">
        <f t="array" ref="CM162">1*CL$91/(S*Linterp(CL$90,atmos_h,atmos_qms)*CK162^2)</f>
        <v>0.41896075823066709</v>
      </c>
      <c r="CN162" cm="1">
        <f t="array" ref="CN162">InterpolateXY(CM162,CK162,CD_CL,CD_M,CD_table)</f>
        <v>4.0475772198183269E-2</v>
      </c>
      <c r="CO162" cm="1">
        <f t="array" ref="CO162">CN162*S*Linterp(CL$90,atmos_h,atmos_qms)*CK162^2</f>
        <v>966.09936379527301</v>
      </c>
      <c r="CP162" cm="1">
        <f t="array" ref="CP162">CK162*Linterp(CL$90,atmos_h,atmos_aspeed)</f>
        <v>880.97146448350475</v>
      </c>
      <c r="CQ162" s="162">
        <f t="shared" si="39"/>
        <v>2833.692428337104</v>
      </c>
    </row>
    <row r="163" spans="9:95">
      <c r="I163">
        <v>0.92</v>
      </c>
      <c r="J163" cm="1">
        <f t="array" ref="J163">numeng*InterpolateXY(J$90,I163,Tmax_h,Tmax_M,Tmax_table)</f>
        <v>7708</v>
      </c>
      <c r="K163" cm="1">
        <f t="array" ref="K163">1*J$91/(S*Linterp(J$90,atmos_h,atmos_qms)*I163^2)</f>
        <v>4.6915523792709385E-2</v>
      </c>
      <c r="L163" cm="1">
        <f t="array" ref="L163">InterpolateXY(K163,I163,CD_CL,CD_M,CD_table)</f>
        <v>1.7095827152167412E-2</v>
      </c>
      <c r="M163" cm="1">
        <f t="array" ref="M163">L163*S*Linterp(J$90,atmos_h,atmos_qms)*I163^2</f>
        <v>3643.9595618080011</v>
      </c>
      <c r="N163" cm="1">
        <f t="array" ref="N163">I163*Linterp(J$90,atmos_h,atmos_aspeed)</f>
        <v>1027.134</v>
      </c>
      <c r="O163" s="162">
        <f t="shared" si="29"/>
        <v>25045.884668651401</v>
      </c>
      <c r="Q163">
        <v>0.92</v>
      </c>
      <c r="R163" cm="1">
        <f t="array" ref="R163">numeng*InterpolateXY(R$90,Q163,Tmax_h,Tmax_M,Tmax_table)</f>
        <v>7117.378121599103</v>
      </c>
      <c r="S163" cm="1">
        <f t="array" ref="S163">1*R$91/(S*Linterp(R$90,atmos_h,atmos_qms)*Q163^2)</f>
        <v>5.638566056475805E-2</v>
      </c>
      <c r="T163" cm="1">
        <f t="array" ref="T163">InterpolateXY(S163,Q163,CD_CL,CD_M,CD_table)</f>
        <v>1.721609788917243E-2</v>
      </c>
      <c r="U163" cm="1">
        <f t="array" ref="U163">T163*S*Linterp(R$90,atmos_h,atmos_qms)*Q163^2</f>
        <v>3053.27590680613</v>
      </c>
      <c r="V163" cm="1">
        <f t="array" ref="V163">Q163*Linterp(R$90,atmos_h,atmos_aspeed)</f>
        <v>1009.3250322606286</v>
      </c>
      <c r="W163" s="162">
        <f t="shared" si="30"/>
        <v>24612.00059433846</v>
      </c>
      <c r="Y163">
        <v>0.92</v>
      </c>
      <c r="Z163" cm="1">
        <f t="array" ref="Z163">numeng*InterpolateXY(Z$90,Y163,Tmax_h,Tmax_M,Tmax_table)</f>
        <v>6507.4425253682111</v>
      </c>
      <c r="AA163" cm="1">
        <f t="array" ref="AA163">1*Z$91/(S*Linterp(Z$90,atmos_h,atmos_qms)*Y163^2)</f>
        <v>6.8220620789125538E-2</v>
      </c>
      <c r="AB163" cm="1">
        <f t="array" ref="AB163">InterpolateXY(AA163,Y163,CD_CL,CD_M,CD_table)</f>
        <v>1.7366401884021894E-2</v>
      </c>
      <c r="AC163" cm="1">
        <f t="array" ref="AC163">AB163*S*Linterp(Z$90,atmos_h,atmos_qms)*Y163^2</f>
        <v>2545.6235494693888</v>
      </c>
      <c r="AD163" cm="1">
        <f t="array" ref="AD163">Y163*Linterp(Z$90,atmos_h,atmos_aspeed)</f>
        <v>991.19613979264363</v>
      </c>
      <c r="AE163" s="162">
        <f t="shared" si="31"/>
        <v>23561.638052808947</v>
      </c>
      <c r="AG163">
        <v>0.92</v>
      </c>
      <c r="AH163" cm="1">
        <f t="array" ref="AH163">numeng*InterpolateXY(AH$90,AG163,Tmax_h,Tmax_M,Tmax_table)</f>
        <v>5776.3551218622006</v>
      </c>
      <c r="AI163" cm="1">
        <f t="array" ref="AI163">1*AH$91/(S*Linterp(AH$90,atmos_h,atmos_qms)*AG163^2)</f>
        <v>8.3133367332463945E-2</v>
      </c>
      <c r="AJ163" cm="1">
        <f t="array" ref="AJ163">InterpolateXY(AI163,AG163,CD_CL,CD_M,CD_table)</f>
        <v>1.7555793765122292E-2</v>
      </c>
      <c r="AK163" cm="1">
        <f t="array" ref="AK163">AJ163*S*Linterp(AH$90,atmos_h,atmos_qms)*AG163^2</f>
        <v>2111.7626205268216</v>
      </c>
      <c r="AL163" cm="1">
        <f t="array" ref="AL163">AG163*Linterp(AH$90,atmos_h,atmos_aspeed)</f>
        <v>972.72943531680824</v>
      </c>
      <c r="AM163" s="162">
        <f t="shared" si="32"/>
        <v>21387.941966941038</v>
      </c>
      <c r="AO163">
        <v>0.92</v>
      </c>
      <c r="AP163" cm="1">
        <f t="array" ref="AP163">numeng*InterpolateXY(AP$90,AO163,Tmax_h,Tmax_M,Tmax_table)</f>
        <v>5087.2301967097801</v>
      </c>
      <c r="AQ163" cm="1">
        <f t="array" ref="AQ163">1*AP$91/(S*Linterp(AP$90,atmos_h,atmos_qms)*AO163^2)</f>
        <v>0.10209186913668693</v>
      </c>
      <c r="AR163" cm="1">
        <f t="array" ref="AR163">InterpolateXY(AQ163,AO163,CD_CL,CD_M,CD_table)</f>
        <v>1.7849700214107773E-2</v>
      </c>
      <c r="AS163" cm="1">
        <f t="array" ref="AS163">AR163*S*Linterp(AP$90,atmos_h,atmos_qms)*AO163^2</f>
        <v>1748.3958678638246</v>
      </c>
      <c r="AT163" cm="1">
        <f t="array" ref="AT163">AO163*Linterp(AP$90,atmos_h,atmos_aspeed)</f>
        <v>953.90529987188745</v>
      </c>
      <c r="AU163" s="162">
        <f t="shared" si="33"/>
        <v>19109.59057008212</v>
      </c>
      <c r="AW163">
        <v>0.92</v>
      </c>
      <c r="AX163" cm="1">
        <f t="array" ref="AX163">numeng*InterpolateXY(AX$90,AW163,Tmax_h,Tmax_M,Tmax_table)</f>
        <v>4443.4937734861869</v>
      </c>
      <c r="AY163" cm="1">
        <f t="array" ref="AY163">1*AX$91/(S*Linterp(AX$90,atmos_h,atmos_qms)*AW163^2)</f>
        <v>0.12642591068054582</v>
      </c>
      <c r="AZ163" cm="1">
        <f t="array" ref="AZ163">InterpolateXY(AY163,AW163,CD_CL,CD_M,CD_table)</f>
        <v>1.8776827196928796E-2</v>
      </c>
      <c r="BA163" cm="1">
        <f t="array" ref="BA163">AZ163*S*Linterp(AX$90,atmos_h,atmos_qms)*AW163^2</f>
        <v>1485.2040294472756</v>
      </c>
      <c r="BB163" cm="1">
        <f t="array" ref="BB163">AW163*Linterp(AX$90,atmos_h,atmos_aspeed)</f>
        <v>934.70213860651563</v>
      </c>
      <c r="BC163" s="162">
        <f t="shared" si="34"/>
        <v>16590.718502225354</v>
      </c>
      <c r="BE163">
        <v>0.92</v>
      </c>
      <c r="BF163" cm="1">
        <f t="array" ref="BF163">numeng*InterpolateXY(BF$90,BE163,Tmax_h,Tmax_M,Tmax_table)</f>
        <v>3847.5232131981429</v>
      </c>
      <c r="BG163" cm="1">
        <f t="array" ref="BG163">1*BF$91/(S*Linterp(BF$90,atmos_h,atmos_qms)*BE163^2)</f>
        <v>0.15798578068766467</v>
      </c>
      <c r="BH163" cm="1">
        <f t="array" ref="BH163">InterpolateXY(BG163,BE163,CD_CL,CD_M,CD_table)</f>
        <v>1.9979258244200025E-2</v>
      </c>
      <c r="BI163" cm="1">
        <f t="array" ref="BI163">BH163*S*Linterp(BF$90,atmos_h,atmos_qms)*BE163^2</f>
        <v>1264.6238260960142</v>
      </c>
      <c r="BJ163" cm="1">
        <f t="array" ref="BJ163">BE163*Linterp(BF$90,atmos_h,atmos_aspeed)</f>
        <v>915.09609042302918</v>
      </c>
      <c r="BK163" s="162">
        <f t="shared" si="35"/>
        <v>14181.606786559176</v>
      </c>
      <c r="BM163">
        <v>0.92</v>
      </c>
      <c r="BN163" cm="1">
        <f t="array" ref="BN163">numeng*InterpolateXY(BN$90,BM163,Tmax_h,Tmax_M,Tmax_table)</f>
        <v>3300.7385477272765</v>
      </c>
      <c r="BO163" cm="1">
        <f t="array" ref="BO163">1*BN$91/(S*Linterp(BN$90,atmos_h,atmos_qms)*BM163^2)</f>
        <v>0.19938184561026595</v>
      </c>
      <c r="BP163" cm="1">
        <f t="array" ref="BP163">InterpolateXY(BO163,BM163,CD_CL,CD_M,CD_table)</f>
        <v>2.1556448317751133E-2</v>
      </c>
      <c r="BQ163" cm="1">
        <f t="array" ref="BQ163">BP163*S*Linterp(BN$90,atmos_h,atmos_qms)*BM163^2</f>
        <v>1081.1640473971627</v>
      </c>
      <c r="BR163" cm="1">
        <f t="array" ref="BR163">BM163*Linterp(BN$90,atmos_h,atmos_aspeed)</f>
        <v>895.06068034487566</v>
      </c>
      <c r="BS163" s="162">
        <f t="shared" si="36"/>
        <v>11919.923174049653</v>
      </c>
      <c r="BU163">
        <v>0.92</v>
      </c>
      <c r="BV163" cm="1">
        <f t="array" ref="BV163">numeng*InterpolateXY(BV$90,BU163,Tmax_h,Tmax_M,Tmax_table)</f>
        <v>2712.7877490756405</v>
      </c>
      <c r="BW163" cm="1">
        <f t="array" ref="BW163">1*BV$91/(S*Linterp(BV$90,atmos_h,atmos_qms)*BU163^2)</f>
        <v>0.25347928879756154</v>
      </c>
      <c r="BX163" cm="1">
        <f t="array" ref="BX163">InterpolateXY(BW163,BU163,CD_CL,CD_M,CD_table)</f>
        <v>2.4975934838645162E-2</v>
      </c>
      <c r="BY163" cm="1">
        <f t="array" ref="BY163">BX163*S*Linterp(BV$90,atmos_h,atmos_qms)*BU163^2</f>
        <v>985.32447984702696</v>
      </c>
      <c r="BZ163" cm="1">
        <f t="array" ref="BZ163">BU163*Linterp(BV$90,atmos_h,atmos_aspeed)</f>
        <v>890.65246958771911</v>
      </c>
      <c r="CA163" s="162">
        <f t="shared" si="37"/>
        <v>9231.4165611632379</v>
      </c>
      <c r="CC163">
        <v>0.92</v>
      </c>
      <c r="CD163" cm="1">
        <f t="array" ref="CD163">numeng*InterpolateXY(CD$90,CC163,Tmax_h,Tmax_M,Tmax_table)</f>
        <v>2062.0366513053364</v>
      </c>
      <c r="CE163" cm="1">
        <f t="array" ref="CE163">1*CD$91/(S*Linterp(CD$90,atmos_h,atmos_qms)*CC163^2)</f>
        <v>0.32233797880661463</v>
      </c>
      <c r="CF163" cm="1">
        <f t="array" ref="CF163">InterpolateXY(CE163,CC163,CD_CL,CD_M,CD_table)</f>
        <v>2.9774000150486042E-2</v>
      </c>
      <c r="CG163" cm="1">
        <f t="array" ref="CG163">CF163*S*Linterp(CD$90,atmos_h,atmos_qms)*CC163^2</f>
        <v>923.68886411454571</v>
      </c>
      <c r="CH163" cm="1">
        <f t="array" ref="CH163">CC163*Linterp(CD$90,atmos_h,atmos_aspeed)</f>
        <v>890.65246958771911</v>
      </c>
      <c r="CI163" s="162">
        <f t="shared" si="38"/>
        <v>6083.2336074671584</v>
      </c>
      <c r="CK163">
        <v>0.92</v>
      </c>
      <c r="CL163" cm="1">
        <f t="array" ref="CL163">numeng*InterpolateXY(CL$90,CK163,Tmax_h,Tmax_M,Tmax_table)</f>
        <v>1509.4986959920682</v>
      </c>
      <c r="CM163" cm="1">
        <f t="array" ref="CM163">1*CL$91/(S*Linterp(CL$90,atmos_h,atmos_qms)*CK163^2)</f>
        <v>0.40990241480483869</v>
      </c>
      <c r="CN163" cm="1">
        <f t="array" ref="CN163">InterpolateXY(CM163,CK163,CD_CL,CD_M,CD_table)</f>
        <v>3.9242015545032573E-2</v>
      </c>
      <c r="CO163" cm="1">
        <f t="array" ref="CO163">CN163*S*Linterp(CL$90,atmos_h,atmos_qms)*CK163^2</f>
        <v>957.35019184301086</v>
      </c>
      <c r="CP163" cm="1">
        <f t="array" ref="CP163">CK163*Linterp(CL$90,atmos_h,atmos_aspeed)</f>
        <v>890.65246958771911</v>
      </c>
      <c r="CQ163" s="162">
        <f t="shared" si="39"/>
        <v>2950.634572797137</v>
      </c>
    </row>
    <row r="164" spans="9:95">
      <c r="I164">
        <v>0.93</v>
      </c>
      <c r="J164" cm="1">
        <f t="array" ref="J164">numeng*InterpolateXY(J$90,I164,Tmax_h,Tmax_M,Tmax_table)</f>
        <v>7732</v>
      </c>
      <c r="K164" cm="1">
        <f t="array" ref="K164">1*J$91/(S*Linterp(J$90,atmos_h,atmos_qms)*I164^2)</f>
        <v>4.5912012184240049E-2</v>
      </c>
      <c r="L164" cm="1">
        <f t="array" ref="L164">InterpolateXY(K164,I164,CD_CL,CD_M,CD_table)</f>
        <v>1.7585378155349066E-2</v>
      </c>
      <c r="M164" cm="1">
        <f t="array" ref="M164">L164*S*Linterp(J$90,atmos_h,atmos_qms)*I164^2</f>
        <v>3830.2346855940018</v>
      </c>
      <c r="N164" cm="1">
        <f t="array" ref="N164">I164*Linterp(J$90,atmos_h,atmos_aspeed)</f>
        <v>1038.2985000000001</v>
      </c>
      <c r="O164" s="162">
        <f t="shared" si="29"/>
        <v>24307.18243979866</v>
      </c>
      <c r="Q164">
        <v>0.93</v>
      </c>
      <c r="R164" cm="1">
        <f t="array" ref="R164">numeng*InterpolateXY(R$90,Q164,Tmax_h,Tmax_M,Tmax_table)</f>
        <v>7143.2281632029735</v>
      </c>
      <c r="S164" cm="1">
        <f t="array" ref="S164">1*R$91/(S*Linterp(R$90,atmos_h,atmos_qms)*Q164^2)</f>
        <v>5.5179585041058167E-2</v>
      </c>
      <c r="T164" cm="1">
        <f t="array" ref="T164">InterpolateXY(S164,Q164,CD_CL,CD_M,CD_table)</f>
        <v>1.7703539709273495E-2</v>
      </c>
      <c r="U164" cm="1">
        <f t="array" ref="U164">T164*S*Linterp(R$90,atmos_h,atmos_qms)*Q164^2</f>
        <v>3208.3495546587742</v>
      </c>
      <c r="V164" cm="1">
        <f t="array" ref="V164">Q164*Linterp(R$90,atmos_h,atmos_aspeed)</f>
        <v>1020.295956524331</v>
      </c>
      <c r="W164" s="162">
        <f t="shared" si="30"/>
        <v>24088.444402270394</v>
      </c>
      <c r="Y164">
        <v>0.93</v>
      </c>
      <c r="Z164" cm="1">
        <f t="array" ref="Z164">numeng*InterpolateXY(Z$90,Y164,Tmax_h,Tmax_M,Tmax_table)</f>
        <v>6534.0276287401193</v>
      </c>
      <c r="AA164" cm="1">
        <f t="array" ref="AA164">1*Z$91/(S*Linterp(Z$90,atmos_h,atmos_qms)*Y164^2)</f>
        <v>6.6761398353469587E-2</v>
      </c>
      <c r="AB164" cm="1">
        <f t="array" ref="AB164">InterpolateXY(AA164,Y164,CD_CL,CD_M,CD_table)</f>
        <v>1.7851207829006743E-2</v>
      </c>
      <c r="AC164" cm="1">
        <f t="array" ref="AC164">AB164*S*Linterp(Z$90,atmos_h,atmos_qms)*Y164^2</f>
        <v>2673.8816545592945</v>
      </c>
      <c r="AD164" cm="1">
        <f t="array" ref="AD164">Y164*Linterp(Z$90,atmos_h,atmos_aspeed)</f>
        <v>1001.9700108773463</v>
      </c>
      <c r="AE164" s="162">
        <f t="shared" si="31"/>
        <v>23206.503022428635</v>
      </c>
      <c r="AG164">
        <v>0.93</v>
      </c>
      <c r="AH164" cm="1">
        <f t="array" ref="AH164">numeng*InterpolateXY(AH$90,AG164,Tmax_h,Tmax_M,Tmax_table)</f>
        <v>5801.5244252254342</v>
      </c>
      <c r="AI164" cm="1">
        <f t="array" ref="AI164">1*AH$91/(S*Linterp(AH$90,atmos_h,atmos_qms)*AG164^2)</f>
        <v>8.135516488634234E-2</v>
      </c>
      <c r="AJ164" cm="1">
        <f t="array" ref="AJ164">InterpolateXY(AI164,AG164,CD_CL,CD_M,CD_table)</f>
        <v>1.8037278352300869E-2</v>
      </c>
      <c r="AK164" cm="1">
        <f t="array" ref="AK164">AJ164*S*Linterp(AH$90,atmos_h,atmos_qms)*AG164^2</f>
        <v>2217.1030416446142</v>
      </c>
      <c r="AL164" cm="1">
        <f t="array" ref="AL164">AG164*Linterp(AH$90,atmos_h,atmos_aspeed)</f>
        <v>983.30258135286044</v>
      </c>
      <c r="AM164" s="162">
        <f t="shared" si="32"/>
        <v>21147.424794788472</v>
      </c>
      <c r="AO164">
        <v>0.93</v>
      </c>
      <c r="AP164" cm="1">
        <f t="array" ref="AP164">numeng*InterpolateXY(AP$90,AO164,Tmax_h,Tmax_M,Tmax_table)</f>
        <v>5110.6736538374753</v>
      </c>
      <c r="AQ164" cm="1">
        <f t="array" ref="AQ164">1*AP$91/(S*Linterp(AP$90,atmos_h,atmos_qms)*AO164^2)</f>
        <v>9.9908148962067067E-2</v>
      </c>
      <c r="AR164" cm="1">
        <f t="array" ref="AR164">InterpolateXY(AQ164,AO164,CD_CL,CD_M,CD_table)</f>
        <v>1.8273828899266358E-2</v>
      </c>
      <c r="AS164" cm="1">
        <f t="array" ref="AS164">AR164*S*Linterp(AP$90,atmos_h,atmos_qms)*AO164^2</f>
        <v>1829.0629031876601</v>
      </c>
      <c r="AT164" cm="1">
        <f t="array" ref="AT164">AO164*Linterp(AP$90,atmos_h,atmos_aspeed)</f>
        <v>964.27383574006012</v>
      </c>
      <c r="AU164" s="162">
        <f t="shared" si="33"/>
        <v>18986.228315609489</v>
      </c>
      <c r="AW164">
        <v>0.93</v>
      </c>
      <c r="AX164" cm="1">
        <f t="array" ref="AX164">numeng*InterpolateXY(AX$90,AW164,Tmax_h,Tmax_M,Tmax_table)</f>
        <v>4465.0032229746239</v>
      </c>
      <c r="AY164" cm="1">
        <f t="array" ref="AY164">1*AX$91/(S*Linterp(AX$90,atmos_h,atmos_qms)*AW164^2)</f>
        <v>0.12372169129380732</v>
      </c>
      <c r="AZ164" cm="1">
        <f t="array" ref="AZ164">InterpolateXY(AY164,AW164,CD_CL,CD_M,CD_table)</f>
        <v>1.9182354691988136E-2</v>
      </c>
      <c r="BA164" cm="1">
        <f t="array" ref="BA164">AZ164*S*Linterp(AX$90,atmos_h,atmos_qms)*AW164^2</f>
        <v>1550.4439432884053</v>
      </c>
      <c r="BB164" cm="1">
        <f t="array" ref="BB164">AW164*Linterp(AX$90,atmos_h,atmos_aspeed)</f>
        <v>944.8619444609343</v>
      </c>
      <c r="BC164" s="162">
        <f t="shared" si="34"/>
        <v>16523.13688950588</v>
      </c>
      <c r="BE164">
        <v>0.93</v>
      </c>
      <c r="BF164" cm="1">
        <f t="array" ref="BF164">numeng*InterpolateXY(BF$90,BE164,Tmax_h,Tmax_M,Tmax_table)</f>
        <v>3866.9778229887211</v>
      </c>
      <c r="BG164" cm="1">
        <f t="array" ref="BG164">1*BF$91/(S*Linterp(BF$90,atmos_h,atmos_qms)*BE164^2)</f>
        <v>0.15460650338078313</v>
      </c>
      <c r="BH164" cm="1">
        <f t="array" ref="BH164">InterpolateXY(BG164,BE164,CD_CL,CD_M,CD_table)</f>
        <v>2.0363698754314957E-2</v>
      </c>
      <c r="BI164" cm="1">
        <f t="array" ref="BI164">BH164*S*Linterp(BF$90,atmos_h,atmos_qms)*BE164^2</f>
        <v>1317.1308003881852</v>
      </c>
      <c r="BJ164" cm="1">
        <f t="array" ref="BJ164">BE164*Linterp(BF$90,atmos_h,atmos_aspeed)</f>
        <v>925.04278705806212</v>
      </c>
      <c r="BK164" s="162">
        <f t="shared" si="35"/>
        <v>14152.305578148607</v>
      </c>
      <c r="BM164">
        <v>0.93</v>
      </c>
      <c r="BN164" cm="1">
        <f t="array" ref="BN164">numeng*InterpolateXY(BN$90,BM164,Tmax_h,Tmax_M,Tmax_table)</f>
        <v>3318.091285116755</v>
      </c>
      <c r="BO164" cm="1">
        <f t="array" ref="BO164">1*BN$91/(S*Linterp(BN$90,atmos_h,atmos_qms)*BM164^2)</f>
        <v>0.19511711657362593</v>
      </c>
      <c r="BP164" cm="1">
        <f t="array" ref="BP164">InterpolateXY(BO164,BM164,CD_CL,CD_M,CD_table)</f>
        <v>2.1913229708941197E-2</v>
      </c>
      <c r="BQ164" cm="1">
        <f t="array" ref="BQ164">BP164*S*Linterp(BN$90,atmos_h,atmos_qms)*BM164^2</f>
        <v>1123.0808497865644</v>
      </c>
      <c r="BR164" cm="1">
        <f t="array" ref="BR164">BM164*Linterp(BN$90,atmos_h,atmos_aspeed)</f>
        <v>904.78960078340685</v>
      </c>
      <c r="BS164" s="162">
        <f t="shared" si="36"/>
        <v>11916.135692986889</v>
      </c>
      <c r="BU164">
        <v>0.93</v>
      </c>
      <c r="BV164" cm="1">
        <f t="array" ref="BV164">numeng*InterpolateXY(BV$90,BU164,Tmax_h,Tmax_M,Tmax_table)</f>
        <v>2727.5579183083573</v>
      </c>
      <c r="BW164" cm="1">
        <f t="array" ref="BW164">1*BV$91/(S*Linterp(BV$90,atmos_h,atmos_qms)*BU164^2)</f>
        <v>0.24805742864869471</v>
      </c>
      <c r="BX164" cm="1">
        <f t="array" ref="BX164">InterpolateXY(BW164,BU164,CD_CL,CD_M,CD_table)</f>
        <v>2.5163661076354291E-2</v>
      </c>
      <c r="BY164" cm="1">
        <f t="array" ref="BY164">BX164*S*Linterp(BV$90,atmos_h,atmos_qms)*BU164^2</f>
        <v>1014.4288447007856</v>
      </c>
      <c r="BZ164" cm="1">
        <f t="array" ref="BZ164">BU164*Linterp(BV$90,atmos_h,atmos_aspeed)</f>
        <v>900.33347469193347</v>
      </c>
      <c r="CA164" s="162">
        <f t="shared" si="37"/>
        <v>9254.3247086212687</v>
      </c>
      <c r="CC164">
        <v>0.93</v>
      </c>
      <c r="CD164" cm="1">
        <f t="array" ref="CD164">numeng*InterpolateXY(CD$90,CC164,Tmax_h,Tmax_M,Tmax_table)</f>
        <v>2072.8772495472722</v>
      </c>
      <c r="CE164" cm="1">
        <f t="array" ref="CE164">1*CD$91/(S*Linterp(CD$90,atmos_h,atmos_qms)*CC164^2)</f>
        <v>0.31544324807714025</v>
      </c>
      <c r="CF164" cm="1">
        <f t="array" ref="CF164">InterpolateXY(CE164,CC164,CD_CL,CD_M,CD_table)</f>
        <v>2.9754859184393006E-2</v>
      </c>
      <c r="CG164" cm="1">
        <f t="array" ref="CG164">CF164*S*Linterp(CD$90,atmos_h,atmos_qms)*CC164^2</f>
        <v>943.27139242227781</v>
      </c>
      <c r="CH164" cm="1">
        <f t="array" ref="CH164">CC164*Linterp(CD$90,atmos_h,atmos_aspeed)</f>
        <v>900.33347469193347</v>
      </c>
      <c r="CI164" s="162">
        <f t="shared" si="38"/>
        <v>6102.1317982662358</v>
      </c>
      <c r="CK164">
        <v>0.93</v>
      </c>
      <c r="CL164" cm="1">
        <f t="array" ref="CL164">numeng*InterpolateXY(CL$90,CK164,Tmax_h,Tmax_M,Tmax_table)</f>
        <v>1516.8056683002185</v>
      </c>
      <c r="CM164" cm="1">
        <f t="array" ref="CM164">1*CL$91/(S*Linterp(CL$90,atmos_h,atmos_qms)*CK164^2)</f>
        <v>0.40113470215148045</v>
      </c>
      <c r="CN164" cm="1">
        <f t="array" ref="CN164">InterpolateXY(CM164,CK164,CD_CL,CD_M,CD_table)</f>
        <v>3.8464048688970132E-2</v>
      </c>
      <c r="CO164" cm="1">
        <f t="array" ref="CO164">CN164*S*Linterp(CL$90,atmos_h,atmos_qms)*CK164^2</f>
        <v>958.88110608902036</v>
      </c>
      <c r="CP164" cm="1">
        <f t="array" ref="CP164">CK164*Linterp(CL$90,atmos_h,atmos_aspeed)</f>
        <v>900.33347469193347</v>
      </c>
      <c r="CQ164" s="162">
        <f t="shared" si="39"/>
        <v>3013.9089582695028</v>
      </c>
    </row>
    <row r="165" spans="9:95">
      <c r="I165">
        <v>0.94</v>
      </c>
      <c r="J165" cm="1">
        <f t="array" ref="J165">numeng*InterpolateXY(J$90,I165,Tmax_h,Tmax_M,Tmax_table)</f>
        <v>7756</v>
      </c>
      <c r="K165" cm="1">
        <f t="array" ref="K165">1*J$91/(S*Linterp(J$90,atmos_h,atmos_qms)*I165^2)</f>
        <v>4.4940356878847017E-2</v>
      </c>
      <c r="L165" cm="1">
        <f t="array" ref="L165">InterpolateXY(K165,I165,CD_CL,CD_M,CD_table)</f>
        <v>1.8075236568049245E-2</v>
      </c>
      <c r="M165" cm="1">
        <f t="array" ref="M165">L165*S*Linterp(J$90,atmos_h,atmos_qms)*I165^2</f>
        <v>4022.0500733400004</v>
      </c>
      <c r="N165" cm="1">
        <f t="array" ref="N165">I165*Linterp(J$90,atmos_h,atmos_aspeed)</f>
        <v>1049.463</v>
      </c>
      <c r="O165" s="162">
        <f t="shared" si="29"/>
        <v>23511.8537512943</v>
      </c>
      <c r="Q165">
        <v>0.94</v>
      </c>
      <c r="R165" cm="1">
        <f t="array" ref="R165">numeng*InterpolateXY(R$90,Q165,Tmax_h,Tmax_M,Tmax_table)</f>
        <v>7169.078204806844</v>
      </c>
      <c r="S165" cm="1">
        <f t="array" ref="S165">1*R$91/(S*Linterp(R$90,atmos_h,atmos_qms)*Q165^2)</f>
        <v>5.4011796177015868E-2</v>
      </c>
      <c r="T165" cm="1">
        <f t="array" ref="T165">InterpolateXY(S165,Q165,CD_CL,CD_M,CD_table)</f>
        <v>1.8191350991065804E-2</v>
      </c>
      <c r="U165" cm="1">
        <f t="array" ref="U165">T165*S*Linterp(R$90,atmos_h,atmos_qms)*Q165^2</f>
        <v>3368.0329629191142</v>
      </c>
      <c r="V165" cm="1">
        <f t="array" ref="V165">Q165*Linterp(R$90,atmos_h,atmos_aspeed)</f>
        <v>1031.2668807880334</v>
      </c>
      <c r="W165" s="162">
        <f t="shared" si="30"/>
        <v>23519.35242201453</v>
      </c>
      <c r="Y165">
        <v>0.94</v>
      </c>
      <c r="Z165" cm="1">
        <f t="array" ref="Z165">numeng*InterpolateXY(Z$90,Y165,Tmax_h,Tmax_M,Tmax_table)</f>
        <v>6560.6127321120275</v>
      </c>
      <c r="AA165" cm="1">
        <f t="array" ref="AA165">1*Z$91/(S*Linterp(Z$90,atmos_h,atmos_qms)*Y165^2)</f>
        <v>6.5348498682566619E-2</v>
      </c>
      <c r="AB165" cm="1">
        <f t="array" ref="AB165">InterpolateXY(AA165,Y165,CD_CL,CD_M,CD_table)</f>
        <v>1.8336460783136853E-2</v>
      </c>
      <c r="AC165" cm="1">
        <f t="array" ref="AC165">AB165*S*Linterp(Z$90,atmos_h,atmos_qms)*Y165^2</f>
        <v>2805.9498156502518</v>
      </c>
      <c r="AD165" cm="1">
        <f t="array" ref="AD165">Y165*Linterp(Z$90,atmos_h,atmos_aspeed)</f>
        <v>1012.7438819620488</v>
      </c>
      <c r="AE165" s="162">
        <f t="shared" si="31"/>
        <v>22815.071384858678</v>
      </c>
      <c r="AG165">
        <v>0.94</v>
      </c>
      <c r="AH165" cm="1">
        <f t="array" ref="AH165">numeng*InterpolateXY(AH$90,AG165,Tmax_h,Tmax_M,Tmax_table)</f>
        <v>5826.6937285886679</v>
      </c>
      <c r="AI165" cm="1">
        <f t="array" ref="AI165">1*AH$91/(S*Linterp(AH$90,atmos_h,atmos_qms)*AG165^2)</f>
        <v>7.9633411170436277E-2</v>
      </c>
      <c r="AJ165" cm="1">
        <f t="array" ref="AJ165">InterpolateXY(AI165,AG165,CD_CL,CD_M,CD_table)</f>
        <v>1.8519307662981585E-2</v>
      </c>
      <c r="AK165" cm="1">
        <f t="array" ref="AK165">AJ165*S*Linterp(AH$90,atmos_h,atmos_qms)*AG165^2</f>
        <v>2325.5700579428189</v>
      </c>
      <c r="AL165" cm="1">
        <f t="array" ref="AL165">AG165*Linterp(AH$90,atmos_h,atmos_aspeed)</f>
        <v>993.87572738891265</v>
      </c>
      <c r="AM165" s="162">
        <f t="shared" si="32"/>
        <v>20878.091009050098</v>
      </c>
      <c r="AO165">
        <v>0.94</v>
      </c>
      <c r="AP165" cm="1">
        <f t="array" ref="AP165">numeng*InterpolateXY(AP$90,AO165,Tmax_h,Tmax_M,Tmax_table)</f>
        <v>5134.1171109651705</v>
      </c>
      <c r="AQ165" cm="1">
        <f t="array" ref="AQ165">1*AP$91/(S*Linterp(AP$90,atmos_h,atmos_qms)*AO165^2)</f>
        <v>9.7793750608071314E-2</v>
      </c>
      <c r="AR165" cm="1">
        <f t="array" ref="AR165">InterpolateXY(AQ165,AO165,CD_CL,CD_M,CD_table)</f>
        <v>1.8751760007783315E-2</v>
      </c>
      <c r="AS165" cm="1">
        <f t="array" ref="AS165">AR165*S*Linterp(AP$90,atmos_h,atmos_qms)*AO165^2</f>
        <v>1917.4804004536927</v>
      </c>
      <c r="AT165" cm="1">
        <f t="array" ref="AT165">AO165*Linterp(AP$90,atmos_h,atmos_aspeed)</f>
        <v>974.64237160823279</v>
      </c>
      <c r="AU165" s="162">
        <f t="shared" si="33"/>
        <v>18810.422592810068</v>
      </c>
      <c r="AW165">
        <v>0.94</v>
      </c>
      <c r="AX165" cm="1">
        <f t="array" ref="AX165">numeng*InterpolateXY(AX$90,AW165,Tmax_h,Tmax_M,Tmax_table)</f>
        <v>4486.51267246306</v>
      </c>
      <c r="AY165" cm="1">
        <f t="array" ref="AY165">1*AX$91/(S*Linterp(AX$90,atmos_h,atmos_qms)*AW165^2)</f>
        <v>0.12110331688548436</v>
      </c>
      <c r="AZ165" cm="1">
        <f t="array" ref="AZ165">InterpolateXY(AY165,AW165,CD_CL,CD_M,CD_table)</f>
        <v>1.9590367368402601E-2</v>
      </c>
      <c r="BA165" cm="1">
        <f t="array" ref="BA165">AZ165*S*Linterp(AX$90,atmos_h,atmos_qms)*AW165^2</f>
        <v>1617.6573748948024</v>
      </c>
      <c r="BB165" cm="1">
        <f t="array" ref="BB165">AW165*Linterp(AX$90,atmos_h,atmos_aspeed)</f>
        <v>955.02175031535285</v>
      </c>
      <c r="BC165" s="162">
        <f t="shared" si="34"/>
        <v>16438.915246110661</v>
      </c>
      <c r="BE165">
        <v>0.94</v>
      </c>
      <c r="BF165" cm="1">
        <f t="array" ref="BF165">numeng*InterpolateXY(BF$90,BE165,Tmax_h,Tmax_M,Tmax_table)</f>
        <v>3886.4324327792988</v>
      </c>
      <c r="BG165" cm="1">
        <f t="array" ref="BG165">1*BF$91/(S*Linterp(BF$90,atmos_h,atmos_qms)*BE165^2)</f>
        <v>0.15133450064965978</v>
      </c>
      <c r="BH165" cm="1">
        <f t="array" ref="BH165">InterpolateXY(BG165,BE165,CD_CL,CD_M,CD_table)</f>
        <v>2.0751244824946936E-2</v>
      </c>
      <c r="BI165" cm="1">
        <f t="array" ref="BI165">BH165*S*Linterp(BF$90,atmos_h,atmos_qms)*BE165^2</f>
        <v>1371.2170546613283</v>
      </c>
      <c r="BJ165" cm="1">
        <f t="array" ref="BJ165">BE165*Linterp(BF$90,atmos_h,atmos_aspeed)</f>
        <v>934.98948369309494</v>
      </c>
      <c r="BK165" s="162">
        <f t="shared" si="35"/>
        <v>14110.199566580723</v>
      </c>
      <c r="BM165">
        <v>0.94</v>
      </c>
      <c r="BN165" cm="1">
        <f t="array" ref="BN165">numeng*InterpolateXY(BN$90,BM165,Tmax_h,Tmax_M,Tmax_table)</f>
        <v>3335.4440225062335</v>
      </c>
      <c r="BO165" cm="1">
        <f t="array" ref="BO165">1*BN$91/(S*Linterp(BN$90,atmos_h,atmos_qms)*BM165^2)</f>
        <v>0.19098777062531588</v>
      </c>
      <c r="BP165" cm="1">
        <f t="array" ref="BP165">InterpolateXY(BO165,BM165,CD_CL,CD_M,CD_table)</f>
        <v>2.2273930392012132E-2</v>
      </c>
      <c r="BQ165" cm="1">
        <f t="array" ref="BQ165">BP165*S*Linterp(BN$90,atmos_h,atmos_qms)*BM165^2</f>
        <v>1166.2490388303256</v>
      </c>
      <c r="BR165" cm="1">
        <f t="array" ref="BR165">BM165*Linterp(BN$90,atmos_h,atmos_aspeed)</f>
        <v>914.51852122193804</v>
      </c>
      <c r="BS165" s="162">
        <f t="shared" si="36"/>
        <v>11902.613932280023</v>
      </c>
      <c r="BU165">
        <v>0.94</v>
      </c>
      <c r="BV165" cm="1">
        <f t="array" ref="BV165">numeng*InterpolateXY(BV$90,BU165,Tmax_h,Tmax_M,Tmax_table)</f>
        <v>2742.3280875410737</v>
      </c>
      <c r="BW165" cm="1">
        <f t="array" ref="BW165">1*BV$91/(S*Linterp(BV$90,atmos_h,atmos_qms)*BU165^2)</f>
        <v>0.24280768451590776</v>
      </c>
      <c r="BX165" cm="1">
        <f t="array" ref="BX165">InterpolateXY(BW165,BU165,CD_CL,CD_M,CD_table)</f>
        <v>2.5359691809018096E-2</v>
      </c>
      <c r="BY165" cm="1">
        <f t="array" ref="BY165">BX165*S*Linterp(BV$90,atmos_h,atmos_qms)*BU165^2</f>
        <v>1044.4353052325505</v>
      </c>
      <c r="BZ165" cm="1">
        <f t="array" ref="BZ165">BU165*Linterp(BV$90,atmos_h,atmos_aspeed)</f>
        <v>910.01447979614773</v>
      </c>
      <c r="CA165" s="162">
        <f t="shared" si="37"/>
        <v>9270.6421022527484</v>
      </c>
      <c r="CC165">
        <v>0.94</v>
      </c>
      <c r="CD165" cm="1">
        <f t="array" ref="CD165">numeng*InterpolateXY(CD$90,CC165,Tmax_h,Tmax_M,Tmax_table)</f>
        <v>2083.7178477892076</v>
      </c>
      <c r="CE165" cm="1">
        <f t="array" ref="CE165">1*CD$91/(S*Linterp(CD$90,atmos_h,atmos_qms)*CC165^2)</f>
        <v>0.30876738938650827</v>
      </c>
      <c r="CF165" cm="1">
        <f t="array" ref="CF165">InterpolateXY(CE165,CC165,CD_CL,CD_M,CD_table)</f>
        <v>2.9749446796957488E-2</v>
      </c>
      <c r="CG165" cm="1">
        <f t="array" ref="CG165">CF165*S*Linterp(CD$90,atmos_h,atmos_qms)*CC165^2</f>
        <v>963.49056990982251</v>
      </c>
      <c r="CH165" cm="1">
        <f t="array" ref="CH165">CC165*Linterp(CD$90,atmos_h,atmos_aspeed)</f>
        <v>910.01447979614773</v>
      </c>
      <c r="CI165" s="162">
        <f t="shared" si="38"/>
        <v>6116.5382611971791</v>
      </c>
      <c r="CK165">
        <v>0.94</v>
      </c>
      <c r="CL165" cm="1">
        <f t="array" ref="CL165">numeng*InterpolateXY(CL$90,CK165,Tmax_h,Tmax_M,Tmax_table)</f>
        <v>1524.1126406083688</v>
      </c>
      <c r="CM165" cm="1">
        <f t="array" ref="CM165">1*CL$91/(S*Linterp(CL$90,atmos_h,atmos_qms)*CK165^2)</f>
        <v>0.39264531902536842</v>
      </c>
      <c r="CN165" cm="1">
        <f t="array" ref="CN165">InterpolateXY(CM165,CK165,CD_CL,CD_M,CD_table)</f>
        <v>3.8092740751722441E-2</v>
      </c>
      <c r="CO165" cm="1">
        <f t="array" ref="CO165">CN165*S*Linterp(CL$90,atmos_h,atmos_qms)*CK165^2</f>
        <v>970.15649763193312</v>
      </c>
      <c r="CP165" cm="1">
        <f t="array" ref="CP165">CK165*Linterp(CL$90,atmos_h,atmos_aspeed)</f>
        <v>910.01447979614773</v>
      </c>
      <c r="CQ165" s="162">
        <f t="shared" si="39"/>
        <v>3024.6486676834893</v>
      </c>
    </row>
    <row r="166" spans="9:95">
      <c r="I166">
        <v>0.95</v>
      </c>
      <c r="J166" cm="1">
        <f t="array" ref="J166">numeng*InterpolateXY(J$90,I166,Tmax_h,Tmax_M,Tmax_table)</f>
        <v>7780</v>
      </c>
      <c r="K166" cm="1">
        <f t="array" ref="K166">1*J$91/(S*Linterp(J$90,atmos_h,atmos_qms)*I166^2)</f>
        <v>4.3999223643378646E-2</v>
      </c>
      <c r="L166" cm="1">
        <f t="array" ref="L166">InterpolateXY(K166,I166,CD_CL,CD_M,CD_table)</f>
        <v>1.9565390023817415E-2</v>
      </c>
      <c r="M166" cm="1">
        <f t="array" ref="M166">L166*S*Linterp(J$90,atmos_h,atmos_qms)*I166^2</f>
        <v>4446.7580115499995</v>
      </c>
      <c r="N166" cm="1">
        <f t="array" ref="N166">I166*Linterp(J$90,atmos_h,atmos_aspeed)</f>
        <v>1060.6275000000001</v>
      </c>
      <c r="O166" s="162">
        <f t="shared" si="29"/>
        <v>21211.968702628517</v>
      </c>
      <c r="Q166">
        <v>0.95</v>
      </c>
      <c r="R166" cm="1">
        <f t="array" ref="R166">numeng*InterpolateXY(R$90,Q166,Tmax_h,Tmax_M,Tmax_table)</f>
        <v>7194.9282464107146</v>
      </c>
      <c r="S166" cm="1">
        <f t="array" ref="S166">1*R$91/(S*Linterp(R$90,atmos_h,atmos_qms)*Q166^2)</f>
        <v>5.2880690417740968E-2</v>
      </c>
      <c r="T166" cm="1">
        <f t="array" ref="T166">InterpolateXY(S166,Q166,CD_CL,CD_M,CD_table)</f>
        <v>1.9679516871867971E-2</v>
      </c>
      <c r="U166" cm="1">
        <f t="array" ref="U166">T166*S*Linterp(R$90,atmos_h,atmos_qms)*Q166^2</f>
        <v>3721.4939359539226</v>
      </c>
      <c r="V166" cm="1">
        <f t="array" ref="V166">Q166*Linterp(R$90,atmos_h,atmos_aspeed)</f>
        <v>1042.2378050517359</v>
      </c>
      <c r="W166" s="162">
        <f t="shared" si="30"/>
        <v>21720.867310331258</v>
      </c>
      <c r="Y166">
        <v>0.95</v>
      </c>
      <c r="Z166" cm="1">
        <f t="array" ref="Z166">numeng*InterpolateXY(Z$90,Y166,Tmax_h,Tmax_M,Tmax_table)</f>
        <v>6587.1978354839357</v>
      </c>
      <c r="AA166" cm="1">
        <f t="array" ref="AA166">1*Z$91/(S*Linterp(Z$90,atmos_h,atmos_qms)*Y166^2)</f>
        <v>6.3979981646444167E-2</v>
      </c>
      <c r="AB166" cm="1">
        <f t="array" ref="AB166">InterpolateXY(AA166,Y166,CD_CL,CD_M,CD_table)</f>
        <v>1.9822142764156808E-2</v>
      </c>
      <c r="AC166" cm="1">
        <f t="array" ref="AC166">AB166*S*Linterp(Z$90,atmos_h,atmos_qms)*Y166^2</f>
        <v>3098.1788762764468</v>
      </c>
      <c r="AD166" cm="1">
        <f t="array" ref="AD166">Y166*Linterp(Z$90,atmos_h,atmos_aspeed)</f>
        <v>1023.5177530467515</v>
      </c>
      <c r="AE166" s="162">
        <f t="shared" si="31"/>
        <v>21426.437072793389</v>
      </c>
      <c r="AG166">
        <v>0.95</v>
      </c>
      <c r="AH166" cm="1">
        <f t="array" ref="AH166">numeng*InterpolateXY(AH$90,AG166,Tmax_h,Tmax_M,Tmax_table)</f>
        <v>5851.8630319519016</v>
      </c>
      <c r="AI166" cm="1">
        <f t="array" ref="AI166">1*AH$91/(S*Linterp(AH$90,atmos_h,atmos_qms)*AG166^2)</f>
        <v>7.796574195035734E-2</v>
      </c>
      <c r="AJ166" cm="1">
        <f t="array" ref="AJ166">InterpolateXY(AI166,AG166,CD_CL,CD_M,CD_table)</f>
        <v>2.000185978406209E-2</v>
      </c>
      <c r="AK166" cm="1">
        <f t="array" ref="AK166">AJ166*S*Linterp(AH$90,atmos_h,atmos_qms)*AG166^2</f>
        <v>2565.4677661886112</v>
      </c>
      <c r="AL166" cm="1">
        <f t="array" ref="AL166">AG166*Linterp(AH$90,atmos_h,atmos_aspeed)</f>
        <v>1004.4488734249649</v>
      </c>
      <c r="AM166" s="162">
        <f t="shared" si="32"/>
        <v>19806.096133950447</v>
      </c>
      <c r="AO166">
        <v>0.95</v>
      </c>
      <c r="AP166" cm="1">
        <f t="array" ref="AP166">numeng*InterpolateXY(AP$90,AO166,Tmax_h,Tmax_M,Tmax_table)</f>
        <v>5157.5605680928647</v>
      </c>
      <c r="AQ166" cm="1">
        <f t="array" ref="AQ166">1*AP$91/(S*Linterp(AP$90,atmos_h,atmos_qms)*AO166^2)</f>
        <v>9.5745770678439687E-2</v>
      </c>
      <c r="AR166" cm="1">
        <f t="array" ref="AR166">InterpolateXY(AQ166,AO166,CD_CL,CD_M,CD_table)</f>
        <v>2.0230333153217948E-2</v>
      </c>
      <c r="AS166" cm="1">
        <f t="array" ref="AS166">AR166*S*Linterp(AP$90,atmos_h,atmos_qms)*AO166^2</f>
        <v>2112.9218564819048</v>
      </c>
      <c r="AT166" cm="1">
        <f t="array" ref="AT166">AO166*Linterp(AP$90,atmos_h,atmos_aspeed)</f>
        <v>985.01090747640546</v>
      </c>
      <c r="AU166" s="162">
        <f t="shared" si="33"/>
        <v>17994.014041570234</v>
      </c>
      <c r="AW166">
        <v>0.95</v>
      </c>
      <c r="AX166" cm="1">
        <f t="array" ref="AX166">numeng*InterpolateXY(AX$90,AW166,Tmax_h,Tmax_M,Tmax_table)</f>
        <v>4508.022121951496</v>
      </c>
      <c r="AY166" cm="1">
        <f t="array" ref="AY166">1*AX$91/(S*Linterp(AX$90,atmos_h,atmos_qms)*AW166^2)</f>
        <v>0.11856719202217614</v>
      </c>
      <c r="AZ166" cm="1">
        <f t="array" ref="AZ166">InterpolateXY(AY166,AW166,CD_CL,CD_M,CD_table)</f>
        <v>2.1000765252454891E-2</v>
      </c>
      <c r="BA166" cm="1">
        <f t="array" ref="BA166">AZ166*S*Linterp(AX$90,atmos_h,atmos_qms)*AW166^2</f>
        <v>1771.2121620057449</v>
      </c>
      <c r="BB166" cm="1">
        <f t="array" ref="BB166">AW166*Linterp(AX$90,atmos_h,atmos_aspeed)</f>
        <v>965.18155616977151</v>
      </c>
      <c r="BC166" s="162">
        <f t="shared" si="34"/>
        <v>15849.11097648822</v>
      </c>
      <c r="BE166">
        <v>0.95</v>
      </c>
      <c r="BF166" cm="1">
        <f t="array" ref="BF166">numeng*InterpolateXY(BF$90,BE166,Tmax_h,Tmax_M,Tmax_table)</f>
        <v>3905.8870425698765</v>
      </c>
      <c r="BG166" cm="1">
        <f t="array" ref="BG166">1*BF$91/(S*Linterp(BF$90,atmos_h,atmos_qms)*BE166^2)</f>
        <v>0.14816527952802147</v>
      </c>
      <c r="BH166" cm="1">
        <f t="array" ref="BH166">InterpolateXY(BG166,BE166,CD_CL,CD_M,CD_table)</f>
        <v>2.214177152580523E-2</v>
      </c>
      <c r="BI166" cm="1">
        <f t="array" ref="BI166">BH166*S*Linterp(BF$90,atmos_h,atmos_qms)*BE166^2</f>
        <v>1494.3967707102197</v>
      </c>
      <c r="BJ166" cm="1">
        <f t="array" ref="BJ166">BE166*Linterp(BF$90,atmos_h,atmos_aspeed)</f>
        <v>944.93618032812788</v>
      </c>
      <c r="BK166" s="162">
        <f t="shared" si="35"/>
        <v>13672.226438337017</v>
      </c>
      <c r="BM166">
        <v>0.95</v>
      </c>
      <c r="BN166" cm="1">
        <f t="array" ref="BN166">numeng*InterpolateXY(BN$90,BM166,Tmax_h,Tmax_M,Tmax_table)</f>
        <v>3352.7967598957125</v>
      </c>
      <c r="BO166" cm="1">
        <f t="array" ref="BO166">1*BN$91/(S*Linterp(BN$90,atmos_h,atmos_qms)*BM166^2)</f>
        <v>0.18698813753410429</v>
      </c>
      <c r="BP166" cm="1">
        <f t="array" ref="BP166">InterpolateXY(BO166,BM166,CD_CL,CD_M,CD_table)</f>
        <v>2.3638392701939723E-2</v>
      </c>
      <c r="BQ166" cm="1">
        <f t="array" ref="BQ166">BP166*S*Linterp(BN$90,atmos_h,atmos_qms)*BM166^2</f>
        <v>1264.1653643738964</v>
      </c>
      <c r="BR166" cm="1">
        <f t="array" ref="BR166">BM166*Linterp(BN$90,atmos_h,atmos_aspeed)</f>
        <v>924.24744166046935</v>
      </c>
      <c r="BS166" s="162">
        <f t="shared" si="36"/>
        <v>11582.473343296646</v>
      </c>
      <c r="BU166">
        <v>0.95</v>
      </c>
      <c r="BV166" cm="1">
        <f t="array" ref="BV166">numeng*InterpolateXY(BV$90,BU166,Tmax_h,Tmax_M,Tmax_table)</f>
        <v>2757.0982567737906</v>
      </c>
      <c r="BW166" cm="1">
        <f t="array" ref="BW166">1*BV$91/(S*Linterp(BV$90,atmos_h,atmos_qms)*BU166^2)</f>
        <v>0.2377228476878184</v>
      </c>
      <c r="BX166" cm="1">
        <f t="array" ref="BX166">InterpolateXY(BW166,BU166,CD_CL,CD_M,CD_table)</f>
        <v>2.6563692963942336E-2</v>
      </c>
      <c r="BY166" cm="1">
        <f t="array" ref="BY166">BX166*S*Linterp(BV$90,atmos_h,atmos_qms)*BU166^2</f>
        <v>1117.42279811599</v>
      </c>
      <c r="BZ166" cm="1">
        <f t="array" ref="BZ166">BU166*Linterp(BV$90,atmos_h,atmos_aspeed)</f>
        <v>919.69548490036209</v>
      </c>
      <c r="CA166" s="162">
        <f t="shared" si="37"/>
        <v>9048.0126961770584</v>
      </c>
      <c r="CC166">
        <v>0.95</v>
      </c>
      <c r="CD166" cm="1">
        <f t="array" ref="CD166">numeng*InterpolateXY(CD$90,CC166,Tmax_h,Tmax_M,Tmax_table)</f>
        <v>2094.5584460311434</v>
      </c>
      <c r="CE166" cm="1">
        <f t="array" ref="CE166">1*CD$91/(S*Linterp(CD$90,atmos_h,atmos_qms)*CC166^2)</f>
        <v>0.30230123574727835</v>
      </c>
      <c r="CF166" cm="1">
        <f t="array" ref="CF166">InterpolateXY(CE166,CC166,CD_CL,CD_M,CD_table)</f>
        <v>3.0757210715791426E-2</v>
      </c>
      <c r="CG166" cm="1">
        <f t="array" ref="CG166">CF166*S*Linterp(CD$90,atmos_h,atmos_qms)*CC166^2</f>
        <v>1017.4358248903831</v>
      </c>
      <c r="CH166" cm="1">
        <f t="array" ref="CH166">CC166*Linterp(CD$90,atmos_h,atmos_aspeed)</f>
        <v>919.69548490036209</v>
      </c>
      <c r="CI166" s="162">
        <f t="shared" si="38"/>
        <v>5943.748868083203</v>
      </c>
      <c r="CK166">
        <v>0.95</v>
      </c>
      <c r="CL166" cm="1">
        <f t="array" ref="CL166">numeng*InterpolateXY(CL$90,CK166,Tmax_h,Tmax_M,Tmax_table)</f>
        <v>1531.4196129165193</v>
      </c>
      <c r="CM166" cm="1">
        <f t="array" ref="CM166">1*CL$91/(S*Linterp(CL$90,atmos_h,atmos_qms)*CK166^2)</f>
        <v>0.38442260818926927</v>
      </c>
      <c r="CN166" cm="1">
        <f t="array" ref="CN166">InterpolateXY(CM166,CK166,CD_CL,CD_M,CD_table)</f>
        <v>3.8774719114577624E-2</v>
      </c>
      <c r="CO166" cm="1">
        <f t="array" ref="CO166">CN166*S*Linterp(CL$90,atmos_h,atmos_qms)*CK166^2</f>
        <v>1008.6482503517852</v>
      </c>
      <c r="CP166" cm="1">
        <f t="array" ref="CP166">CK166*Linterp(CL$90,atmos_h,atmos_aspeed)</f>
        <v>919.69548490036209</v>
      </c>
      <c r="CQ166" s="162">
        <f t="shared" si="39"/>
        <v>2884.7427707159763</v>
      </c>
    </row>
    <row r="167" spans="9:95">
      <c r="I167">
        <v>0.96</v>
      </c>
      <c r="J167" cm="1">
        <f t="array" ref="J167">numeng*InterpolateXY(J$90,I167,Tmax_h,Tmax_M,Tmax_table)</f>
        <v>7804</v>
      </c>
      <c r="K167" cm="1">
        <f t="array" ref="K167">1*J$91/(S*Linterp(J$90,atmos_h,atmos_qms)*I167^2)</f>
        <v>4.3087347372123726E-2</v>
      </c>
      <c r="L167" cm="1">
        <f t="array" ref="L167">InterpolateXY(K167,I167,CD_CL,CD_M,CD_table)</f>
        <v>2.1055826781100396E-2</v>
      </c>
      <c r="M167" cm="1">
        <f t="array" ref="M167">L167*S*Linterp(J$90,atmos_h,atmos_qms)*I167^2</f>
        <v>4886.7772247040002</v>
      </c>
      <c r="N167" cm="1">
        <f t="array" ref="N167">I167*Linterp(J$90,atmos_h,atmos_aspeed)</f>
        <v>1071.7919999999999</v>
      </c>
      <c r="O167" s="162">
        <f t="shared" si="29"/>
        <v>18759.936196680297</v>
      </c>
      <c r="Q167">
        <v>0.96</v>
      </c>
      <c r="R167" cm="1">
        <f t="array" ref="R167">numeng*InterpolateXY(R$90,Q167,Tmax_h,Tmax_M,Tmax_table)</f>
        <v>7220.778288014586</v>
      </c>
      <c r="S167" cm="1">
        <f t="array" ref="S167">1*R$91/(S*Linterp(R$90,atmos_h,atmos_qms)*Q167^2)</f>
        <v>5.1784747289508708E-2</v>
      </c>
      <c r="T167" cm="1">
        <f t="array" ref="T167">InterpolateXY(S167,Q167,CD_CL,CD_M,CD_table)</f>
        <v>2.1168023240034663E-2</v>
      </c>
      <c r="U167" cm="1">
        <f t="array" ref="U167">T167*S*Linterp(R$90,atmos_h,atmos_qms)*Q167^2</f>
        <v>4087.6946104790945</v>
      </c>
      <c r="V167" cm="1">
        <f t="array" ref="V167">Q167*Linterp(R$90,atmos_h,atmos_aspeed)</f>
        <v>1053.2087293154384</v>
      </c>
      <c r="W167" s="162">
        <f t="shared" si="30"/>
        <v>19798.746473136573</v>
      </c>
      <c r="Y167">
        <v>0.96</v>
      </c>
      <c r="Z167" cm="1">
        <f t="array" ref="Z167">numeng*InterpolateXY(Z$90,Y167,Tmax_h,Tmax_M,Tmax_table)</f>
        <v>6613.7829388558439</v>
      </c>
      <c r="AA167" cm="1">
        <f t="array" ref="AA167">1*Z$91/(S*Linterp(Z$90,atmos_h,atmos_qms)*Y167^2)</f>
        <v>6.2654007634457318E-2</v>
      </c>
      <c r="AB167" cm="1">
        <f t="array" ref="AB167">InterpolateXY(AA167,Y167,CD_CL,CD_M,CD_table)</f>
        <v>2.1308236698484501E-2</v>
      </c>
      <c r="AC167" cm="1">
        <f t="array" ref="AC167">AB167*S*Linterp(Z$90,atmos_h,atmos_qms)*Y167^2</f>
        <v>3400.9375462146468</v>
      </c>
      <c r="AD167" cm="1">
        <f t="array" ref="AD167">Y167*Linterp(Z$90,atmos_h,atmos_aspeed)</f>
        <v>1034.2916241314542</v>
      </c>
      <c r="AE167" s="162">
        <f t="shared" si="31"/>
        <v>19938.114475428742</v>
      </c>
      <c r="AG167">
        <v>0.96</v>
      </c>
      <c r="AH167" cm="1">
        <f t="array" ref="AH167">numeng*InterpolateXY(AH$90,AG167,Tmax_h,Tmax_M,Tmax_table)</f>
        <v>5877.0323353151362</v>
      </c>
      <c r="AI167" cm="1">
        <f t="array" ref="AI167">1*AH$91/(S*Linterp(AH$90,atmos_h,atmos_qms)*AG167^2)</f>
        <v>7.6349915484155262E-2</v>
      </c>
      <c r="AJ167" cm="1">
        <f t="array" ref="AJ167">InterpolateXY(AI167,AG167,CD_CL,CD_M,CD_table)</f>
        <v>2.1484913909745603E-2</v>
      </c>
      <c r="AK167" cm="1">
        <f t="array" ref="AK167">AJ167*S*Linterp(AH$90,atmos_h,atmos_qms)*AG167^2</f>
        <v>2814.0062465693654</v>
      </c>
      <c r="AL167" cm="1">
        <f t="array" ref="AL167">AG167*Linterp(AH$90,atmos_h,atmos_aspeed)</f>
        <v>1015.0220194610172</v>
      </c>
      <c r="AM167" s="162">
        <f t="shared" si="32"/>
        <v>18654.233557563079</v>
      </c>
      <c r="AO167">
        <v>0.96</v>
      </c>
      <c r="AP167" cm="1">
        <f t="array" ref="AP167">numeng*InterpolateXY(AP$90,AO167,Tmax_h,Tmax_M,Tmax_table)</f>
        <v>5181.0040252205599</v>
      </c>
      <c r="AQ167" cm="1">
        <f t="array" ref="AQ167">1*AP$91/(S*Linterp(AP$90,atmos_h,atmos_qms)*AO167^2)</f>
        <v>9.3761456203658652E-2</v>
      </c>
      <c r="AR167" cm="1">
        <f t="array" ref="AR167">InterpolateXY(AQ167,AO167,CD_CL,CD_M,CD_table)</f>
        <v>2.1709522785027198E-2</v>
      </c>
      <c r="AS167" cm="1">
        <f t="array" ref="AS167">AR167*S*Linterp(AP$90,atmos_h,atmos_qms)*AO167^2</f>
        <v>2315.3994897297757</v>
      </c>
      <c r="AT167" cm="1">
        <f t="array" ref="AT167">AO167*Linterp(AP$90,atmos_h,atmos_aspeed)</f>
        <v>995.37944334457814</v>
      </c>
      <c r="AU167" s="162">
        <f t="shared" si="33"/>
        <v>17114.183084295091</v>
      </c>
      <c r="AW167">
        <v>0.96</v>
      </c>
      <c r="AX167" cm="1">
        <f t="array" ref="AX167">numeng*InterpolateXY(AX$90,AW167,Tmax_h,Tmax_M,Tmax_table)</f>
        <v>4529.531571439933</v>
      </c>
      <c r="AY167" cm="1">
        <f t="array" ref="AY167">1*AX$91/(S*Linterp(AX$90,atmos_h,atmos_qms)*AW167^2)</f>
        <v>0.1161099075520985</v>
      </c>
      <c r="AZ167" cm="1">
        <f t="array" ref="AZ167">InterpolateXY(AY167,AW167,CD_CL,CD_M,CD_table)</f>
        <v>2.2413453422266211E-2</v>
      </c>
      <c r="BA167" cm="1">
        <f t="array" ref="BA167">AZ167*S*Linterp(AX$90,atmos_h,atmos_qms)*AW167^2</f>
        <v>1930.3652801729518</v>
      </c>
      <c r="BB167" cm="1">
        <f t="array" ref="BB167">AW167*Linterp(AX$90,atmos_h,atmos_aspeed)</f>
        <v>975.34136202419018</v>
      </c>
      <c r="BC167" s="162">
        <f t="shared" si="34"/>
        <v>15210.446343910202</v>
      </c>
      <c r="BE167">
        <v>0.96</v>
      </c>
      <c r="BF167" cm="1">
        <f t="array" ref="BF167">numeng*InterpolateXY(BF$90,BE167,Tmax_h,Tmax_M,Tmax_table)</f>
        <v>3925.3416523604546</v>
      </c>
      <c r="BG167" cm="1">
        <f t="array" ref="BG167">1*BF$91/(S*Linterp(BF$90,atmos_h,atmos_qms)*BE167^2)</f>
        <v>0.14509457983294202</v>
      </c>
      <c r="BH167" cm="1">
        <f t="array" ref="BH167">InterpolateXY(BG167,BE167,CD_CL,CD_M,CD_table)</f>
        <v>2.3535160239534857E-2</v>
      </c>
      <c r="BI167" cm="1">
        <f t="array" ref="BI167">BH167*S*Linterp(BF$90,atmos_h,atmos_qms)*BE167^2</f>
        <v>1622.0564728629149</v>
      </c>
      <c r="BJ167" cm="1">
        <f t="array" ref="BJ167">BE167*Linterp(BF$90,atmos_h,atmos_aspeed)</f>
        <v>954.88287696316081</v>
      </c>
      <c r="BK167" s="162">
        <f t="shared" si="35"/>
        <v>13196.205471991325</v>
      </c>
      <c r="BM167">
        <v>0.96</v>
      </c>
      <c r="BN167" cm="1">
        <f t="array" ref="BN167">numeng*InterpolateXY(BN$90,BM167,Tmax_h,Tmax_M,Tmax_table)</f>
        <v>3370.149497285191</v>
      </c>
      <c r="BO167" cm="1">
        <f t="array" ref="BO167">1*BN$91/(S*Linterp(BN$90,atmos_h,atmos_qms)*BM167^2)</f>
        <v>0.1831128408469283</v>
      </c>
      <c r="BP167" cm="1">
        <f t="array" ref="BP167">InterpolateXY(BO167,BM167,CD_CL,CD_M,CD_table)</f>
        <v>2.5006466940776125E-2</v>
      </c>
      <c r="BQ167" cm="1">
        <f t="array" ref="BQ167">BP167*S*Linterp(BN$90,atmos_h,atmos_qms)*BM167^2</f>
        <v>1365.631532180754</v>
      </c>
      <c r="BR167" cm="1">
        <f t="array" ref="BR167">BM167*Linterp(BN$90,atmos_h,atmos_aspeed)</f>
        <v>933.97636209900054</v>
      </c>
      <c r="BS167" s="162">
        <f t="shared" si="36"/>
        <v>11233.034380862</v>
      </c>
      <c r="BU167">
        <v>0.96</v>
      </c>
      <c r="BV167" cm="1">
        <f t="array" ref="BV167">numeng*InterpolateXY(BV$90,BU167,Tmax_h,Tmax_M,Tmax_table)</f>
        <v>2771.8684260065074</v>
      </c>
      <c r="BW167" cm="1">
        <f t="array" ref="BW167">1*BV$91/(S*Linterp(BV$90,atmos_h,atmos_qms)*BU167^2)</f>
        <v>0.23279608294081605</v>
      </c>
      <c r="BX167" cm="1">
        <f t="array" ref="BX167">InterpolateXY(BW167,BU167,CD_CL,CD_M,CD_table)</f>
        <v>2.7775347349682636E-2</v>
      </c>
      <c r="BY167" cm="1">
        <f t="array" ref="BY167">BX167*S*Linterp(BV$90,atmos_h,atmos_qms)*BU167^2</f>
        <v>1193.1191882100518</v>
      </c>
      <c r="BZ167" cm="1">
        <f t="array" ref="BZ167">BU167*Linterp(BV$90,atmos_h,atmos_aspeed)</f>
        <v>929.37649000457645</v>
      </c>
      <c r="CA167" s="162">
        <f t="shared" si="37"/>
        <v>8803.5145513240222</v>
      </c>
      <c r="CC167">
        <v>0.96</v>
      </c>
      <c r="CD167" cm="1">
        <f t="array" ref="CD167">numeng*InterpolateXY(CD$90,CC167,Tmax_h,Tmax_M,Tmax_table)</f>
        <v>2105.3990442730787</v>
      </c>
      <c r="CE167" cm="1">
        <f t="array" ref="CE167">1*CD$91/(S*Linterp(CD$90,atmos_h,atmos_qms)*CC167^2)</f>
        <v>0.29603609511926943</v>
      </c>
      <c r="CF167" cm="1">
        <f t="array" ref="CF167">InterpolateXY(CE167,CC167,CD_CL,CD_M,CD_table)</f>
        <v>3.1854328135192879E-2</v>
      </c>
      <c r="CG167" cm="1">
        <f t="array" ref="CG167">CF167*S*Linterp(CD$90,atmos_h,atmos_qms)*CC167^2</f>
        <v>1076.0285201829579</v>
      </c>
      <c r="CH167" cm="1">
        <f t="array" ref="CH167">CC167*Linterp(CD$90,atmos_h,atmos_aspeed)</f>
        <v>929.37649000457645</v>
      </c>
      <c r="CI167" s="162">
        <f t="shared" si="38"/>
        <v>5740.0365875582866</v>
      </c>
      <c r="CK167">
        <v>0.96</v>
      </c>
      <c r="CL167" cm="1">
        <f t="array" ref="CL167">numeng*InterpolateXY(CL$90,CK167,Tmax_h,Tmax_M,Tmax_table)</f>
        <v>1538.7265852246696</v>
      </c>
      <c r="CM167" cm="1">
        <f t="array" ref="CM167">1*CL$91/(S*Linterp(CL$90,atmos_h,atmos_qms)*CK167^2)</f>
        <v>0.37645551637458274</v>
      </c>
      <c r="CN167" cm="1">
        <f t="array" ref="CN167">InterpolateXY(CM167,CK167,CD_CL,CD_M,CD_table)</f>
        <v>3.945467477603154E-2</v>
      </c>
      <c r="CO167" cm="1">
        <f t="array" ref="CO167">CN167*S*Linterp(CL$90,atmos_h,atmos_qms)*CK167^2</f>
        <v>1048.0567573028507</v>
      </c>
      <c r="CP167" cm="1">
        <f t="array" ref="CP167">CK167*Linterp(CL$90,atmos_h,atmos_aspeed)</f>
        <v>929.37649000457645</v>
      </c>
      <c r="CQ167" s="162">
        <f t="shared" si="39"/>
        <v>2736.1020145507778</v>
      </c>
    </row>
    <row r="168" spans="9:95">
      <c r="I168">
        <v>0.97</v>
      </c>
      <c r="J168" cm="1">
        <f t="array" ref="J168">numeng*InterpolateXY(J$90,I168,Tmax_h,Tmax_M,Tmax_table)</f>
        <v>7828</v>
      </c>
      <c r="K168" cm="1">
        <f t="array" ref="K168">1*J$91/(S*Linterp(J$90,atmos_h,atmos_qms)*I168^2)</f>
        <v>4.2203527833084523E-2</v>
      </c>
      <c r="L168" cm="1">
        <f t="array" ref="L168">InterpolateXY(K168,I168,CD_CL,CD_M,CD_table)</f>
        <v>2.5298645861830098E-2</v>
      </c>
      <c r="M168" cm="1">
        <f t="array" ref="M168">L168*S*Linterp(J$90,atmos_h,atmos_qms)*I168^2</f>
        <v>5994.4386549594992</v>
      </c>
      <c r="N168" cm="1">
        <f t="array" ref="N168">I168*Linterp(J$90,atmos_h,atmos_aspeed)</f>
        <v>1082.9565</v>
      </c>
      <c r="O168" s="162">
        <f t="shared" si="29"/>
        <v>11914.00306056212</v>
      </c>
      <c r="Q168">
        <v>0.97</v>
      </c>
      <c r="R168" cm="1">
        <f t="array" ref="R168">numeng*InterpolateXY(R$90,Q168,Tmax_h,Tmax_M,Tmax_table)</f>
        <v>7246.6283296184565</v>
      </c>
      <c r="S168" cm="1">
        <f t="array" ref="S168">1*R$91/(S*Linterp(R$90,atmos_h,atmos_qms)*Q168^2)</f>
        <v>5.0722524287396348E-2</v>
      </c>
      <c r="T168" cm="1">
        <f t="array" ref="T168">InterpolateXY(S168,Q168,CD_CL,CD_M,CD_table)</f>
        <v>2.5409392815736152E-2</v>
      </c>
      <c r="U168" cm="1">
        <f t="array" ref="U168">T168*S*Linterp(R$90,atmos_h,atmos_qms)*Q168^2</f>
        <v>5009.4890135524929</v>
      </c>
      <c r="V168" cm="1">
        <f t="array" ref="V168">Q168*Linterp(R$90,atmos_h,atmos_aspeed)</f>
        <v>1064.1796535791409</v>
      </c>
      <c r="W168" s="162">
        <f t="shared" si="30"/>
        <v>14284.308854276122</v>
      </c>
      <c r="Y168">
        <v>0.97</v>
      </c>
      <c r="Z168" cm="1">
        <f t="array" ref="Z168">numeng*InterpolateXY(Z$90,Y168,Tmax_h,Tmax_M,Tmax_table)</f>
        <v>6640.3680422277521</v>
      </c>
      <c r="AA168" cm="1">
        <f t="array" ref="AA168">1*Z$91/(S*Linterp(Z$90,atmos_h,atmos_qms)*Y168^2)</f>
        <v>6.1368831369875504E-2</v>
      </c>
      <c r="AB168" cm="1">
        <f t="array" ref="AB168">InterpolateXY(AA168,Y168,CD_CL,CD_M,CD_table)</f>
        <v>2.5547794807808381E-2</v>
      </c>
      <c r="AC168" cm="1">
        <f t="array" ref="AC168">AB168*S*Linterp(Z$90,atmos_h,atmos_qms)*Y168^2</f>
        <v>4162.9919028161885</v>
      </c>
      <c r="AD168" cm="1">
        <f t="array" ref="AD168">Y168*Linterp(Z$90,atmos_h,atmos_aspeed)</f>
        <v>1045.0654952161569</v>
      </c>
      <c r="AE168" s="162">
        <f t="shared" si="31"/>
        <v>15534.121931825021</v>
      </c>
      <c r="AG168">
        <v>0.97</v>
      </c>
      <c r="AH168" cm="1">
        <f t="array" ref="AH168">numeng*InterpolateXY(AH$90,AG168,Tmax_h,Tmax_M,Tmax_table)</f>
        <v>5902.2016386783698</v>
      </c>
      <c r="AI168" cm="1">
        <f t="array" ref="AI168">1*AH$91/(S*Linterp(AH$90,atmos_h,atmos_qms)*AG168^2)</f>
        <v>7.4783804984799127E-2</v>
      </c>
      <c r="AJ168" cm="1">
        <f t="array" ref="AJ168">InterpolateXY(AI168,AG168,CD_CL,CD_M,CD_table)</f>
        <v>2.572218946480239E-2</v>
      </c>
      <c r="AK168" cm="1">
        <f t="array" ref="AK168">AJ168*S*Linterp(AH$90,atmos_h,atmos_qms)*AG168^2</f>
        <v>3439.5400809079979</v>
      </c>
      <c r="AL168" cm="1">
        <f t="array" ref="AL168">AG168*Linterp(AH$90,atmos_h,atmos_aspeed)</f>
        <v>1025.5951654970695</v>
      </c>
      <c r="AM168" s="162">
        <f t="shared" si="32"/>
        <v>15154.162727428653</v>
      </c>
      <c r="AO168">
        <v>0.97</v>
      </c>
      <c r="AP168" cm="1">
        <f t="array" ref="AP168">numeng*InterpolateXY(AP$90,AO168,Tmax_h,Tmax_M,Tmax_table)</f>
        <v>5204.4474823482551</v>
      </c>
      <c r="AQ168" cm="1">
        <f t="array" ref="AQ168">1*AP$91/(S*Linterp(AP$90,atmos_h,atmos_qms)*AO168^2)</f>
        <v>9.1838195384516763E-2</v>
      </c>
      <c r="AR168" cm="1">
        <f t="array" ref="AR168">InterpolateXY(AQ168,AO168,CD_CL,CD_M,CD_table)</f>
        <v>2.594389653999872E-2</v>
      </c>
      <c r="AS168" cm="1">
        <f t="array" ref="AS168">AR168*S*Linterp(AP$90,atmos_h,atmos_qms)*AO168^2</f>
        <v>2824.9571359034644</v>
      </c>
      <c r="AT168" cm="1">
        <f t="array" ref="AT168">AO168*Linterp(AP$90,atmos_h,atmos_aspeed)</f>
        <v>1005.7479792127508</v>
      </c>
      <c r="AU168" s="162">
        <f t="shared" si="33"/>
        <v>14359.005644958579</v>
      </c>
      <c r="AW168">
        <v>0.97</v>
      </c>
      <c r="AX168" cm="1">
        <f t="array" ref="AX168">numeng*InterpolateXY(AX$90,AW168,Tmax_h,Tmax_M,Tmax_table)</f>
        <v>4551.0410209283691</v>
      </c>
      <c r="AY168" cm="1">
        <f t="array" ref="AY168">1*AX$91/(S*Linterp(AX$90,atmos_h,atmos_qms)*AW168^2)</f>
        <v>0.1137282291423254</v>
      </c>
      <c r="AZ168" cm="1">
        <f t="array" ref="AZ168">InterpolateXY(AY168,AW168,CD_CL,CD_M,CD_table)</f>
        <v>2.6585400936550693E-2</v>
      </c>
      <c r="BA168" cm="1">
        <f t="array" ref="BA168">AZ168*S*Linterp(AX$90,atmos_h,atmos_qms)*AW168^2</f>
        <v>2337.6255074965025</v>
      </c>
      <c r="BB168" cm="1">
        <f t="array" ref="BB168">AW168*Linterp(AX$90,atmos_h,atmos_aspeed)</f>
        <v>985.50116787860884</v>
      </c>
      <c r="BC168" s="162">
        <f t="shared" si="34"/>
        <v>13087.941440926412</v>
      </c>
      <c r="BE168">
        <v>0.97</v>
      </c>
      <c r="BF168" cm="1">
        <f t="array" ref="BF168">numeng*InterpolateXY(BF$90,BE168,Tmax_h,Tmax_M,Tmax_table)</f>
        <v>3944.7962621510324</v>
      </c>
      <c r="BG168" cm="1">
        <f t="array" ref="BG168">1*BF$91/(S*Linterp(BF$90,atmos_h,atmos_qms)*BE168^2)</f>
        <v>0.14211835984062002</v>
      </c>
      <c r="BH168" cm="1">
        <f t="array" ref="BH168">InterpolateXY(BG168,BE168,CD_CL,CD_M,CD_table)</f>
        <v>2.769261603378418E-2</v>
      </c>
      <c r="BI168" cm="1">
        <f t="array" ref="BI168">BH168*S*Linterp(BF$90,atmos_h,atmos_qms)*BE168^2</f>
        <v>1948.5600639382787</v>
      </c>
      <c r="BJ168" cm="1">
        <f t="array" ref="BJ168">BE168*Linterp(BF$90,atmos_h,atmos_aspeed)</f>
        <v>964.82957359819375</v>
      </c>
      <c r="BK168" s="162">
        <f t="shared" si="35"/>
        <v>11556.166319537344</v>
      </c>
      <c r="BM168">
        <v>0.97</v>
      </c>
      <c r="BN168" cm="1">
        <f t="array" ref="BN168">numeng*InterpolateXY(BN$90,BM168,Tmax_h,Tmax_M,Tmax_table)</f>
        <v>3387.50223467467</v>
      </c>
      <c r="BO168" cm="1">
        <f t="array" ref="BO168">1*BN$91/(S*Linterp(BN$90,atmos_h,atmos_qms)*BM168^2)</f>
        <v>0.17935677981138176</v>
      </c>
      <c r="BP168" cm="1">
        <f t="array" ref="BP168">InterpolateXY(BO168,BM168,CD_CL,CD_M,CD_table)</f>
        <v>2.9144914412643889E-2</v>
      </c>
      <c r="BQ168" cm="1">
        <f t="array" ref="BQ168">BP168*S*Linterp(BN$90,atmos_h,atmos_qms)*BM168^2</f>
        <v>1624.9686487064364</v>
      </c>
      <c r="BR168" cm="1">
        <f t="array" ref="BR168">BM168*Linterp(BN$90,atmos_h,atmos_aspeed)</f>
        <v>943.70528253753184</v>
      </c>
      <c r="BS168" s="162">
        <f t="shared" si="36"/>
        <v>9979.8735343682474</v>
      </c>
      <c r="BU168">
        <v>0.97</v>
      </c>
      <c r="BV168" cm="1">
        <f t="array" ref="BV168">numeng*InterpolateXY(BV$90,BU168,Tmax_h,Tmax_M,Tmax_table)</f>
        <v>2786.6385952392238</v>
      </c>
      <c r="BW168" cm="1">
        <f t="array" ref="BW168">1*BV$91/(S*Linterp(BV$90,atmos_h,atmos_qms)*BU168^2)</f>
        <v>0.22802090555665439</v>
      </c>
      <c r="BX168" cm="1">
        <f t="array" ref="BX168">InterpolateXY(BW168,BU168,CD_CL,CD_M,CD_table)</f>
        <v>3.1771358861182535E-2</v>
      </c>
      <c r="BY168" cm="1">
        <f t="array" ref="BY168">BX168*S*Linterp(BV$90,atmos_h,atmos_qms)*BU168^2</f>
        <v>1393.3528938331747</v>
      </c>
      <c r="BZ168" cm="1">
        <f t="array" ref="BZ168">BU168*Linterp(BV$90,atmos_h,atmos_aspeed)</f>
        <v>939.0574951087907</v>
      </c>
      <c r="CA168" s="162">
        <f t="shared" si="37"/>
        <v>7850.2522843995539</v>
      </c>
      <c r="CC168">
        <v>0.97</v>
      </c>
      <c r="CD168" cm="1">
        <f t="array" ref="CD168">numeng*InterpolateXY(CD$90,CC168,Tmax_h,Tmax_M,Tmax_table)</f>
        <v>2116.2396425150146</v>
      </c>
      <c r="CE168" cm="1">
        <f t="array" ref="CE168">1*CD$91/(S*Linterp(CD$90,atmos_h,atmos_qms)*CC168^2)</f>
        <v>0.28996372118388636</v>
      </c>
      <c r="CF168" cm="1">
        <f t="array" ref="CF168">InterpolateXY(CE168,CC168,CD_CL,CD_M,CD_table)</f>
        <v>3.5797641876952613E-2</v>
      </c>
      <c r="CG168" cm="1">
        <f t="array" ref="CG168">CF168*S*Linterp(CD$90,atmos_h,atmos_qms)*CC168^2</f>
        <v>1234.5558861913908</v>
      </c>
      <c r="CH168" cm="1">
        <f t="array" ref="CH168">CC168*Linterp(CD$90,atmos_h,atmos_aspeed)</f>
        <v>939.0574951087907</v>
      </c>
      <c r="CI168" s="162">
        <f t="shared" si="38"/>
        <v>4967.7104381482295</v>
      </c>
      <c r="CK168">
        <v>0.97</v>
      </c>
      <c r="CL168" cm="1">
        <f t="array" ref="CL168">numeng*InterpolateXY(CL$90,CK168,Tmax_h,Tmax_M,Tmax_table)</f>
        <v>1546.0335575328202</v>
      </c>
      <c r="CM168" cm="1">
        <f t="array" ref="CM168">1*CL$91/(S*Linterp(CL$90,atmos_h,atmos_qms)*CK168^2)</f>
        <v>0.36873355711639438</v>
      </c>
      <c r="CN168" cm="1">
        <f t="array" ref="CN168">InterpolateXY(CM168,CK168,CD_CL,CD_M,CD_table)</f>
        <v>4.292115349825569E-2</v>
      </c>
      <c r="CO168" cm="1">
        <f t="array" ref="CO168">CN168*S*Linterp(CL$90,atmos_h,atmos_qms)*CK168^2</f>
        <v>1164.0153891582806</v>
      </c>
      <c r="CP168" cm="1">
        <f t="array" ref="CP168">CK168*Linterp(CL$90,atmos_h,atmos_aspeed)</f>
        <v>939.0574951087907</v>
      </c>
      <c r="CQ168" s="162">
        <f t="shared" si="39"/>
        <v>2152.4221456790601</v>
      </c>
    </row>
    <row r="169" spans="9:95">
      <c r="I169">
        <v>0.98</v>
      </c>
      <c r="J169" cm="1">
        <f t="array" ref="J169">numeng*InterpolateXY(J$90,I169,Tmax_h,Tmax_M,Tmax_table)</f>
        <v>7852</v>
      </c>
      <c r="K169" cm="1">
        <f t="array" ref="K169">1*J$91/(S*Linterp(J$90,atmos_h,atmos_qms)*I169^2)</f>
        <v>4.1346625716523561E-2</v>
      </c>
      <c r="L169" cm="1">
        <f t="array" ref="L169">InterpolateXY(K169,I169,CD_CL,CD_M,CD_table)</f>
        <v>2.9541640796886461E-2</v>
      </c>
      <c r="M169" cm="1">
        <f t="array" ref="M169">L169*S*Linterp(J$90,atmos_h,atmos_qms)*I169^2</f>
        <v>7144.8734412880003</v>
      </c>
      <c r="N169" cm="1">
        <f t="array" ref="N169">I169*Linterp(J$90,atmos_h,atmos_aspeed)</f>
        <v>1094.1210000000001</v>
      </c>
      <c r="O169" s="162">
        <f t="shared" si="29"/>
        <v>4642.0921052671911</v>
      </c>
      <c r="Q169">
        <v>0.98</v>
      </c>
      <c r="R169" cm="1">
        <f t="array" ref="R169">numeng*InterpolateXY(R$90,Q169,Tmax_h,Tmax_M,Tmax_table)</f>
        <v>7272.478371222327</v>
      </c>
      <c r="S169" cm="1">
        <f t="array" ref="S169">1*R$91/(S*Linterp(R$90,atmos_h,atmos_qms)*Q169^2)</f>
        <v>4.9692652126209103E-2</v>
      </c>
      <c r="T169" cm="1">
        <f t="array" ref="T169">InterpolateXY(S169,Q169,CD_CL,CD_M,CD_table)</f>
        <v>2.9650973742853338E-2</v>
      </c>
      <c r="U169" cm="1">
        <f t="array" ref="U169">T169*S*Linterp(R$90,atmos_h,atmos_qms)*Q169^2</f>
        <v>5966.8728623189545</v>
      </c>
      <c r="V169" cm="1">
        <f t="array" ref="V169">Q169*Linterp(R$90,atmos_h,atmos_aspeed)</f>
        <v>1075.1505778428434</v>
      </c>
      <c r="W169" s="162">
        <f t="shared" si="30"/>
        <v>8422.3351039935642</v>
      </c>
      <c r="Y169">
        <v>0.98</v>
      </c>
      <c r="Z169" cm="1">
        <f t="array" ref="Z169">numeng*InterpolateXY(Z$90,Y169,Tmax_h,Tmax_M,Tmax_table)</f>
        <v>6666.9531455996603</v>
      </c>
      <c r="AA169" cm="1">
        <f t="array" ref="AA169">1*Z$91/(S*Linterp(Z$90,atmos_h,atmos_qms)*Y169^2)</f>
        <v>6.0122796164010686E-2</v>
      </c>
      <c r="AB169" cm="1">
        <f t="array" ref="AB169">InterpolateXY(AA169,Y169,CD_CL,CD_M,CD_table)</f>
        <v>2.9787608629748542E-2</v>
      </c>
      <c r="AC169" cm="1">
        <f t="array" ref="AC169">AB169*S*Linterp(Z$90,atmos_h,atmos_qms)*Y169^2</f>
        <v>4954.4616235895073</v>
      </c>
      <c r="AD169" cm="1">
        <f t="array" ref="AD169">Y169*Linterp(Z$90,atmos_h,atmos_aspeed)</f>
        <v>1055.8393663008594</v>
      </c>
      <c r="AE169" s="162">
        <f t="shared" si="31"/>
        <v>10848.695780368766</v>
      </c>
      <c r="AG169">
        <v>0.98</v>
      </c>
      <c r="AH169" cm="1">
        <f t="array" ref="AH169">numeng*InterpolateXY(AH$90,AG169,Tmax_h,Tmax_M,Tmax_table)</f>
        <v>5927.3709420416035</v>
      </c>
      <c r="AI169" cm="1">
        <f t="array" ref="AI169">1*AH$91/(S*Linterp(AH$90,atmos_h,atmos_qms)*AG169^2)</f>
        <v>7.3265391618281439E-2</v>
      </c>
      <c r="AJ169" cm="1">
        <f t="array" ref="AJ169">InterpolateXY(AI169,AG169,CD_CL,CD_M,CD_table)</f>
        <v>2.9959776630199487E-2</v>
      </c>
      <c r="AK169" cm="1">
        <f t="array" ref="AK169">AJ169*S*Linterp(AH$90,atmos_h,atmos_qms)*AG169^2</f>
        <v>4089.2126512190534</v>
      </c>
      <c r="AL169" cm="1">
        <f t="array" ref="AL169">AG169*Linterp(AH$90,atmos_h,atmos_aspeed)</f>
        <v>1036.1683115331216</v>
      </c>
      <c r="AM169" s="162">
        <f t="shared" si="32"/>
        <v>11427.848235193262</v>
      </c>
      <c r="AO169">
        <v>0.98</v>
      </c>
      <c r="AP169" cm="1">
        <f t="array" ref="AP169">numeng*InterpolateXY(AP$90,AO169,Tmax_h,Tmax_M,Tmax_table)</f>
        <v>5227.8909394759503</v>
      </c>
      <c r="AQ169" cm="1">
        <f t="array" ref="AQ169">1*AP$91/(S*Linterp(AP$90,atmos_h,atmos_qms)*AO169^2)</f>
        <v>8.9973508993431719E-2</v>
      </c>
      <c r="AR169" cm="1">
        <f t="array" ref="AR169">InterpolateXY(AQ169,AO169,CD_CL,CD_M,CD_table)</f>
        <v>3.0178652967813954E-2</v>
      </c>
      <c r="AS169" cm="1">
        <f t="array" ref="AS169">AR169*S*Linterp(AP$90,atmos_h,atmos_qms)*AO169^2</f>
        <v>3354.1709449185842</v>
      </c>
      <c r="AT169" cm="1">
        <f t="array" ref="AT169">AO169*Linterp(AP$90,atmos_h,atmos_aspeed)</f>
        <v>1016.1165150809236</v>
      </c>
      <c r="AU169" s="162">
        <f t="shared" si="33"/>
        <v>11423.506986642467</v>
      </c>
      <c r="AW169">
        <v>0.98</v>
      </c>
      <c r="AX169" cm="1">
        <f t="array" ref="AX169">numeng*InterpolateXY(AX$90,AW169,Tmax_h,Tmax_M,Tmax_table)</f>
        <v>4572.5504704168061</v>
      </c>
      <c r="AY169" cm="1">
        <f t="array" ref="AY169">1*AX$91/(S*Linterp(AX$90,atmos_h,atmos_qms)*AW169^2)</f>
        <v>0.11141908663058515</v>
      </c>
      <c r="AZ169" cm="1">
        <f t="array" ref="AZ169">InterpolateXY(AY169,AW169,CD_CL,CD_M,CD_table)</f>
        <v>3.0758770104581997E-2</v>
      </c>
      <c r="BA169" cm="1">
        <f t="array" ref="BA169">AZ169*S*Linterp(AX$90,atmos_h,atmos_qms)*AW169^2</f>
        <v>2760.6374306912103</v>
      </c>
      <c r="BB169" cm="1">
        <f t="array" ref="BB169">AW169*Linterp(AX$90,atmos_h,atmos_aspeed)</f>
        <v>995.6609737330275</v>
      </c>
      <c r="BC169" s="162">
        <f t="shared" si="34"/>
        <v>10824.306608716539</v>
      </c>
      <c r="BE169">
        <v>0.98</v>
      </c>
      <c r="BF169" cm="1">
        <f t="array" ref="BF169">numeng*InterpolateXY(BF$90,BE169,Tmax_h,Tmax_M,Tmax_table)</f>
        <v>3964.2508719416105</v>
      </c>
      <c r="BG169" cm="1">
        <f t="array" ref="BG169">1*BF$91/(S*Linterp(BF$90,atmos_h,atmos_qms)*BE169^2)</f>
        <v>0.13923278298004932</v>
      </c>
      <c r="BH169" cm="1">
        <f t="array" ref="BH169">InterpolateXY(BG169,BE169,CD_CL,CD_M,CD_table)</f>
        <v>3.1851848371115939E-2</v>
      </c>
      <c r="BI169" cm="1">
        <f t="array" ref="BI169">BH169*S*Linterp(BF$90,atmos_h,atmos_qms)*BE169^2</f>
        <v>2287.66872925897</v>
      </c>
      <c r="BJ169" cm="1">
        <f t="array" ref="BJ169">BE169*Linterp(BF$90,atmos_h,atmos_aspeed)</f>
        <v>974.77627023322668</v>
      </c>
      <c r="BK169" s="162">
        <f t="shared" si="35"/>
        <v>9805.7549267028953</v>
      </c>
      <c r="BM169">
        <v>0.98</v>
      </c>
      <c r="BN169" cm="1">
        <f t="array" ref="BN169">numeng*InterpolateXY(BN$90,BM169,Tmax_h,Tmax_M,Tmax_table)</f>
        <v>3404.8549720641486</v>
      </c>
      <c r="BO169" cm="1">
        <f t="array" ref="BO169">1*BN$91/(S*Linterp(BN$90,atmos_h,atmos_qms)*BM169^2)</f>
        <v>0.17571511258280831</v>
      </c>
      <c r="BP169" cm="1">
        <f t="array" ref="BP169">InterpolateXY(BO169,BM169,CD_CL,CD_M,CD_table)</f>
        <v>3.3285603924504366E-2</v>
      </c>
      <c r="BQ169" cm="1">
        <f t="array" ref="BQ169">BP169*S*Linterp(BN$90,atmos_h,atmos_qms)*BM169^2</f>
        <v>1894.2937482863369</v>
      </c>
      <c r="BR169" cm="1">
        <f t="array" ref="BR169">BM169*Linterp(BN$90,atmos_h,atmos_aspeed)</f>
        <v>953.43420297606315</v>
      </c>
      <c r="BS169" s="162">
        <f t="shared" si="36"/>
        <v>8641.3244186348657</v>
      </c>
      <c r="BU169">
        <v>0.98</v>
      </c>
      <c r="BV169" cm="1">
        <f t="array" ref="BV169">numeng*InterpolateXY(BV$90,BU169,Tmax_h,Tmax_M,Tmax_table)</f>
        <v>2801.4087644719407</v>
      </c>
      <c r="BW169" cm="1">
        <f t="array" ref="BW169">1*BV$91/(S*Linterp(BV$90,atmos_h,atmos_qms)*BU169^2)</f>
        <v>0.22339115997319461</v>
      </c>
      <c r="BX169" cm="1">
        <f t="array" ref="BX169">InterpolateXY(BW169,BU169,CD_CL,CD_M,CD_table)</f>
        <v>3.5772120978244247E-2</v>
      </c>
      <c r="BY169" cm="1">
        <f t="array" ref="BY169">BX169*S*Linterp(BV$90,atmos_h,atmos_qms)*BU169^2</f>
        <v>1601.3221374801335</v>
      </c>
      <c r="BZ169" cm="1">
        <f t="array" ref="BZ169">BU169*Linterp(BV$90,atmos_h,atmos_aspeed)</f>
        <v>948.73850021300507</v>
      </c>
      <c r="CA169" s="162">
        <f t="shared" si="37"/>
        <v>6831.4103197073473</v>
      </c>
      <c r="CC169">
        <v>0.98</v>
      </c>
      <c r="CD169" cm="1">
        <f t="array" ref="CD169">numeng*InterpolateXY(CD$90,CC169,Tmax_h,Tmax_M,Tmax_table)</f>
        <v>2127.0802407569504</v>
      </c>
      <c r="CE169" cm="1">
        <f t="array" ref="CE169">1*CD$91/(S*Linterp(CD$90,atmos_h,atmos_qms)*CC169^2)</f>
        <v>0.28407628619525055</v>
      </c>
      <c r="CF169" cm="1">
        <f t="array" ref="CF169">InterpolateXY(CE169,CC169,CD_CL,CD_M,CD_table)</f>
        <v>3.974699674578891E-2</v>
      </c>
      <c r="CG169" cm="1">
        <f t="array" ref="CG169">CF169*S*Linterp(CD$90,atmos_h,atmos_qms)*CC169^2</f>
        <v>1399.1663041690888</v>
      </c>
      <c r="CH169" cm="1">
        <f t="array" ref="CH169">CC169*Linterp(CD$90,atmos_h,atmos_aspeed)</f>
        <v>948.73850021300507</v>
      </c>
      <c r="CI169" s="162">
        <f t="shared" si="38"/>
        <v>4143.5998588950742</v>
      </c>
      <c r="CK169">
        <v>0.98</v>
      </c>
      <c r="CL169" cm="1">
        <f t="array" ref="CL169">numeng*InterpolateXY(CL$90,CK169,Tmax_h,Tmax_M,Tmax_table)</f>
        <v>1553.3405298409705</v>
      </c>
      <c r="CM169" cm="1">
        <f t="array" ref="CM169">1*CL$91/(S*Linterp(CL$90,atmos_h,atmos_qms)*CK169^2)</f>
        <v>0.36124677622950385</v>
      </c>
      <c r="CN169" cm="1">
        <f t="array" ref="CN169">InterpolateXY(CM169,CK169,CD_CL,CD_M,CD_table)</f>
        <v>4.6404423552089645E-2</v>
      </c>
      <c r="CO169" cm="1">
        <f t="array" ref="CO169">CN169*S*Linterp(CL$90,atmos_h,atmos_qms)*CK169^2</f>
        <v>1284.5629803657662</v>
      </c>
      <c r="CP169" cm="1">
        <f t="array" ref="CP169">CK169*Linterp(CL$90,atmos_h,atmos_aspeed)</f>
        <v>948.73850021300507</v>
      </c>
      <c r="CQ169" s="162">
        <f t="shared" si="39"/>
        <v>1529.9976550801925</v>
      </c>
    </row>
    <row r="170" spans="9:95">
      <c r="I170">
        <v>0.99</v>
      </c>
      <c r="J170" cm="1">
        <f t="array" ref="J170">numeng*InterpolateXY(J$90,I170,Tmax_h,Tmax_M,Tmax_table)</f>
        <v>7876</v>
      </c>
      <c r="K170" cm="1">
        <f t="array" ref="K170">1*J$91/(S*Linterp(J$90,atmos_h,atmos_qms)*I170^2)</f>
        <v>4.0515558961482734E-2</v>
      </c>
      <c r="L170" cm="1">
        <f t="array" ref="L170">InterpolateXY(K170,I170,CD_CL,CD_M,CD_table)</f>
        <v>3.1536831156239648E-2</v>
      </c>
      <c r="M170" cm="1">
        <f t="array" ref="M170">L170*S*Linterp(J$90,atmos_h,atmos_qms)*I170^2</f>
        <v>7783.8815419580005</v>
      </c>
      <c r="N170" cm="1">
        <f t="array" ref="N170">I170*Linterp(J$90,atmos_h,atmos_aspeed)</f>
        <v>1105.2855</v>
      </c>
      <c r="O170" s="162">
        <f t="shared" si="29"/>
        <v>610.90317573708251</v>
      </c>
      <c r="Q170">
        <v>0.99</v>
      </c>
      <c r="R170" cm="1">
        <f t="array" ref="R170">numeng*InterpolateXY(R$90,Q170,Tmax_h,Tmax_M,Tmax_table)</f>
        <v>7298.3284128261985</v>
      </c>
      <c r="S170" cm="1">
        <f t="array" ref="S170">1*R$91/(S*Linterp(R$90,atmos_h,atmos_qms)*Q170^2)</f>
        <v>4.8693830325488442E-2</v>
      </c>
      <c r="T170" cm="1">
        <f t="array" ref="T170">InterpolateXY(S170,Q170,CD_CL,CD_M,CD_table)</f>
        <v>3.1645193251812725E-2</v>
      </c>
      <c r="U170" cm="1">
        <f t="array" ref="U170">T170*S*Linterp(R$90,atmos_h,atmos_qms)*Q170^2</f>
        <v>6498.8096110501028</v>
      </c>
      <c r="V170" cm="1">
        <f t="array" ref="V170">Q170*Linterp(R$90,atmos_h,atmos_aspeed)</f>
        <v>1086.1215021065459</v>
      </c>
      <c r="W170" s="162">
        <f t="shared" si="30"/>
        <v>5210.2473716848726</v>
      </c>
      <c r="Y170">
        <v>0.99</v>
      </c>
      <c r="Z170" cm="1">
        <f t="array" ref="Z170">numeng*InterpolateXY(Z$90,Y170,Tmax_h,Tmax_M,Tmax_table)</f>
        <v>6693.5382489715685</v>
      </c>
      <c r="AA170" cm="1">
        <f t="array" ref="AA170">1*Z$91/(S*Linterp(Z$90,atmos_h,atmos_qms)*Y170^2)</f>
        <v>5.8914328574549403E-2</v>
      </c>
      <c r="AB170" cm="1">
        <f t="array" ref="AB170">InterpolateXY(AA170,Y170,CD_CL,CD_M,CD_table)</f>
        <v>3.1780614853612776E-2</v>
      </c>
      <c r="AC170" cm="1">
        <f t="array" ref="AC170">AB170*S*Linterp(Z$90,atmos_h,atmos_qms)*Y170^2</f>
        <v>5394.3778402562994</v>
      </c>
      <c r="AD170" cm="1">
        <f t="array" ref="AD170">Y170*Linterp(Z$90,atmos_h,atmos_aspeed)</f>
        <v>1066.6132373855621</v>
      </c>
      <c r="AE170" s="162">
        <f t="shared" si="31"/>
        <v>8314.2101365376584</v>
      </c>
      <c r="AG170">
        <v>0.99</v>
      </c>
      <c r="AH170" cm="1">
        <f t="array" ref="AH170">numeng*InterpolateXY(AH$90,AG170,Tmax_h,Tmax_M,Tmax_table)</f>
        <v>5952.5402454048381</v>
      </c>
      <c r="AI170" cm="1">
        <f t="array" ref="AI170">1*AH$91/(S*Linterp(AH$90,atmos_h,atmos_qms)*AG170^2)</f>
        <v>7.1792757994283737E-2</v>
      </c>
      <c r="AJ170" cm="1">
        <f t="array" ref="AJ170">InterpolateXY(AI170,AG170,CD_CL,CD_M,CD_table)</f>
        <v>3.1951254043424263E-2</v>
      </c>
      <c r="AK170" cm="1">
        <f t="array" ref="AK170">AJ170*S*Linterp(AH$90,atmos_h,atmos_qms)*AG170^2</f>
        <v>4450.4842739107853</v>
      </c>
      <c r="AL170" cm="1">
        <f t="array" ref="AL170">AG170*Linterp(AH$90,atmos_h,atmos_aspeed)</f>
        <v>1046.7414575691739</v>
      </c>
      <c r="AM170" s="162">
        <f t="shared" si="32"/>
        <v>9433.5855417129987</v>
      </c>
      <c r="AO170">
        <v>0.99</v>
      </c>
      <c r="AP170" cm="1">
        <f t="array" ref="AP170">numeng*InterpolateXY(AP$90,AO170,Tmax_h,Tmax_M,Tmax_table)</f>
        <v>5251.3343966036446</v>
      </c>
      <c r="AQ170" cm="1">
        <f t="array" ref="AQ170">1*AP$91/(S*Linterp(AP$90,atmos_h,atmos_qms)*AO170^2)</f>
        <v>8.8165042380667094E-2</v>
      </c>
      <c r="AR170" cm="1">
        <f t="array" ref="AR170">InterpolateXY(AQ170,AO170,CD_CL,CD_M,CD_table)</f>
        <v>3.216818681154384E-2</v>
      </c>
      <c r="AS170" cm="1">
        <f t="array" ref="AS170">AR170*S*Linterp(AP$90,atmos_h,atmos_qms)*AO170^2</f>
        <v>3648.6328303061882</v>
      </c>
      <c r="AT170" cm="1">
        <f t="array" ref="AT170">AO170*Linterp(AP$90,atmos_h,atmos_aspeed)</f>
        <v>1026.4850509490961</v>
      </c>
      <c r="AU170" s="162">
        <f t="shared" si="33"/>
        <v>9870.8951936222456</v>
      </c>
      <c r="AW170">
        <v>0.99</v>
      </c>
      <c r="AX170" cm="1">
        <f t="array" ref="AX170">numeng*InterpolateXY(AX$90,AW170,Tmax_h,Tmax_M,Tmax_table)</f>
        <v>4594.0599199052422</v>
      </c>
      <c r="AY170" cm="1">
        <f t="array" ref="AY170">1*AX$91/(S*Linterp(AX$90,atmos_h,atmos_qms)*AW170^2)</f>
        <v>0.10917956412612384</v>
      </c>
      <c r="AZ170" cm="1">
        <f t="array" ref="AZ170">InterpolateXY(AY170,AW170,CD_CL,CD_M,CD_table)</f>
        <v>3.2689887674013422E-2</v>
      </c>
      <c r="BA170" cm="1">
        <f t="array" ref="BA170">AZ170*S*Linterp(AX$90,atmos_h,atmos_qms)*AW170^2</f>
        <v>2994.1397857432535</v>
      </c>
      <c r="BB170" cm="1">
        <f t="array" ref="BB170">AW170*Linterp(AX$90,atmos_h,atmos_aspeed)</f>
        <v>1005.8207795874462</v>
      </c>
      <c r="BC170" s="162">
        <f t="shared" si="34"/>
        <v>9655.3974997227779</v>
      </c>
      <c r="BE170">
        <v>0.99</v>
      </c>
      <c r="BF170" cm="1">
        <f t="array" ref="BF170">numeng*InterpolateXY(BF$90,BE170,Tmax_h,Tmax_M,Tmax_table)</f>
        <v>3983.7054817321882</v>
      </c>
      <c r="BG170" cm="1">
        <f t="array" ref="BG170">1*BF$91/(S*Linterp(BF$90,atmos_h,atmos_qms)*BE170^2)</f>
        <v>0.13643420546274806</v>
      </c>
      <c r="BH170" cm="1">
        <f t="array" ref="BH170">InterpolateXY(BG170,BE170,CD_CL,CD_M,CD_table)</f>
        <v>3.3773259667144236E-2</v>
      </c>
      <c r="BI170" cm="1">
        <f t="array" ref="BI170">BH170*S*Linterp(BF$90,atmos_h,atmos_qms)*BE170^2</f>
        <v>2475.4246600106217</v>
      </c>
      <c r="BJ170" cm="1">
        <f t="array" ref="BJ170">BE170*Linterp(BF$90,atmos_h,atmos_aspeed)</f>
        <v>984.72296686825962</v>
      </c>
      <c r="BK170" s="162">
        <f t="shared" si="35"/>
        <v>8911.4325938169441</v>
      </c>
      <c r="BM170">
        <v>0.99</v>
      </c>
      <c r="BN170" cm="1">
        <f t="array" ref="BN170">numeng*InterpolateXY(BN$90,BM170,Tmax_h,Tmax_M,Tmax_table)</f>
        <v>3422.2077094536276</v>
      </c>
      <c r="BO170" cm="1">
        <f t="array" ref="BO170">1*BN$91/(S*Linterp(BN$90,atmos_h,atmos_qms)*BM170^2)</f>
        <v>0.17218324061272228</v>
      </c>
      <c r="BP170" cm="1">
        <f t="array" ref="BP170">InterpolateXY(BO170,BM170,CD_CL,CD_M,CD_table)</f>
        <v>3.5194283814355715E-2</v>
      </c>
      <c r="BQ170" cm="1">
        <f t="array" ref="BQ170">BP170*S*Linterp(BN$90,atmos_h,atmos_qms)*BM170^2</f>
        <v>2044.0017094065124</v>
      </c>
      <c r="BR170" cm="1">
        <f t="array" ref="BR170">BM170*Linterp(BN$90,atmos_h,atmos_aspeed)</f>
        <v>963.16312341459434</v>
      </c>
      <c r="BS170" s="162">
        <f t="shared" si="36"/>
        <v>7964.6231742846849</v>
      </c>
      <c r="BU170">
        <v>0.99</v>
      </c>
      <c r="BV170" cm="1">
        <f t="array" ref="BV170">numeng*InterpolateXY(BV$90,BU170,Tmax_h,Tmax_M,Tmax_table)</f>
        <v>2816.1789337046575</v>
      </c>
      <c r="BW170" cm="1">
        <f t="array" ref="BW170">1*BV$91/(S*Linterp(BV$90,atmos_h,atmos_qms)*BU170^2)</f>
        <v>0.21890099993700246</v>
      </c>
      <c r="BX170" cm="1">
        <f t="array" ref="BX170">InterpolateXY(BW170,BU170,CD_CL,CD_M,CD_table)</f>
        <v>3.7552191245826413E-2</v>
      </c>
      <c r="BY170" cm="1">
        <f t="array" ref="BY170">BX170*S*Linterp(BV$90,atmos_h,atmos_qms)*BU170^2</f>
        <v>1715.4874238415341</v>
      </c>
      <c r="BZ170" cm="1">
        <f t="array" ref="BZ170">BU170*Linterp(BV$90,atmos_h,atmos_aspeed)</f>
        <v>958.41950531721943</v>
      </c>
      <c r="CA170" s="162">
        <f t="shared" si="37"/>
        <v>6329.545274339268</v>
      </c>
      <c r="CC170">
        <v>0.99</v>
      </c>
      <c r="CD170" cm="1">
        <f t="array" ref="CD170">numeng*InterpolateXY(CD$90,CC170,Tmax_h,Tmax_M,Tmax_table)</f>
        <v>2137.9208389988858</v>
      </c>
      <c r="CE170" cm="1">
        <f t="array" ref="CE170">1*CD$91/(S*Linterp(CD$90,atmos_h,atmos_qms)*CC170^2)</f>
        <v>0.27836635574116791</v>
      </c>
      <c r="CF170" cm="1">
        <f t="array" ref="CF170">InterpolateXY(CE170,CC170,CD_CL,CD_M,CD_table)</f>
        <v>4.1491771067852373E-2</v>
      </c>
      <c r="CG170" cm="1">
        <f t="array" ref="CG170">CF170*S*Linterp(CD$90,atmos_h,atmos_qms)*CC170^2</f>
        <v>1490.5454704602478</v>
      </c>
      <c r="CH170" cm="1">
        <f t="array" ref="CH170">CC170*Linterp(CD$90,atmos_h,atmos_aspeed)</f>
        <v>958.41950531721943</v>
      </c>
      <c r="CI170" s="162">
        <f t="shared" si="38"/>
        <v>3722.7430828161241</v>
      </c>
      <c r="CK170">
        <v>0.99</v>
      </c>
      <c r="CL170" cm="1">
        <f t="array" ref="CL170">numeng*InterpolateXY(CL$90,CK170,Tmax_h,Tmax_M,Tmax_table)</f>
        <v>1560.647502149121</v>
      </c>
      <c r="CM170" cm="1">
        <f t="array" ref="CM170">1*CL$91/(S*Linterp(CL$90,atmos_h,atmos_qms)*CK170^2)</f>
        <v>0.35398571971310633</v>
      </c>
      <c r="CN170" cm="1">
        <f t="array" ref="CN170">InterpolateXY(CM170,CK170,CD_CL,CD_M,CD_table)</f>
        <v>4.771023386652256E-2</v>
      </c>
      <c r="CO170" cm="1">
        <f t="array" ref="CO170">CN170*S*Linterp(CL$90,atmos_h,atmos_qms)*CK170^2</f>
        <v>1347.8010894108984</v>
      </c>
      <c r="CP170" cm="1">
        <f t="array" ref="CP170">CK170*Linterp(CL$90,atmos_h,atmos_aspeed)</f>
        <v>958.41950531721943</v>
      </c>
      <c r="CQ170" s="162">
        <f t="shared" si="39"/>
        <v>1223.9769216306725</v>
      </c>
    </row>
    <row r="171" spans="9:95">
      <c r="I171">
        <v>1</v>
      </c>
      <c r="J171" cm="1">
        <f t="array" ref="J171">numeng*InterpolateXY(J$90,I171,Tmax_h,Tmax_M,Tmax_table)</f>
        <v>7900</v>
      </c>
      <c r="K171" cm="1">
        <f t="array" ref="K171">1*J$91/(S*Linterp(J$90,atmos_h,atmos_qms)*I171^2)</f>
        <v>3.9709299338149227E-2</v>
      </c>
      <c r="L171" cm="1">
        <f t="array" ref="L171">InterpolateXY(K171,I171,CD_CL,CD_M,CD_table)</f>
        <v>3.3532104611131201E-2</v>
      </c>
      <c r="M171" cm="1">
        <f t="array" ref="M171">L171*S*Linterp(J$90,atmos_h,atmos_qms)*I171^2</f>
        <v>8444.3959400000003</v>
      </c>
      <c r="N171" cm="1">
        <f t="array" ref="N171">I171*Linterp(J$90,atmos_h,atmos_aspeed)</f>
        <v>1116.45</v>
      </c>
      <c r="O171" s="162">
        <f t="shared" si="29"/>
        <v>-3646.7450832780028</v>
      </c>
      <c r="Q171">
        <v>1</v>
      </c>
      <c r="R171" cm="1">
        <f t="array" ref="R171">numeng*InterpolateXY(R$90,Q171,Tmax_h,Tmax_M,Tmax_table)</f>
        <v>7324.178454430069</v>
      </c>
      <c r="S171" cm="1">
        <f t="array" ref="S171">1*R$91/(S*Linterp(R$90,atmos_h,atmos_qms)*Q171^2)</f>
        <v>4.7724823102011218E-2</v>
      </c>
      <c r="T171" cm="1">
        <f t="array" ref="T171">InterpolateXY(S171,Q171,CD_CL,CD_M,CD_table)</f>
        <v>3.3639512629566951E-2</v>
      </c>
      <c r="U171" cm="1">
        <f t="array" ref="U171">T171*S*Linterp(R$90,atmos_h,atmos_qms)*Q171^2</f>
        <v>7048.6406115456757</v>
      </c>
      <c r="V171" cm="1">
        <f t="array" ref="V171">Q171*Linterp(R$90,atmos_h,atmos_aspeed)</f>
        <v>1097.0924263702484</v>
      </c>
      <c r="W171" s="162">
        <f t="shared" si="30"/>
        <v>1813.74288364118</v>
      </c>
      <c r="Y171">
        <v>1</v>
      </c>
      <c r="Z171" cm="1">
        <f t="array" ref="Z171">numeng*InterpolateXY(Z$90,Y171,Tmax_h,Tmax_M,Tmax_table)</f>
        <v>6720.1233523434767</v>
      </c>
      <c r="AA171" cm="1">
        <f t="array" ref="AA171">1*Z$91/(S*Linterp(Z$90,atmos_h,atmos_qms)*Y171^2)</f>
        <v>5.7741933435915861E-2</v>
      </c>
      <c r="AB171" cm="1">
        <f t="array" ref="AB171">InterpolateXY(AA171,Y171,CD_CL,CD_M,CD_table)</f>
        <v>3.3773741908041277E-2</v>
      </c>
      <c r="AC171" cm="1">
        <f t="array" ref="AC171">AB171*S*Linterp(Z$90,atmos_h,atmos_qms)*Y171^2</f>
        <v>5849.0840015817321</v>
      </c>
      <c r="AD171" cm="1">
        <f t="array" ref="AD171">Y171*Linterp(Z$90,atmos_h,atmos_aspeed)</f>
        <v>1077.3871084702648</v>
      </c>
      <c r="AE171" s="162">
        <f t="shared" si="31"/>
        <v>5630.6794048860766</v>
      </c>
      <c r="AG171">
        <v>1</v>
      </c>
      <c r="AH171" cm="1">
        <f t="array" ref="AH171">numeng*InterpolateXY(AH$90,AG171,Tmax_h,Tmax_M,Tmax_table)</f>
        <v>5977.7095487680717</v>
      </c>
      <c r="AI171" cm="1">
        <f t="array" ref="AI171">1*AH$91/(S*Linterp(AH$90,atmos_h,atmos_qms)*AG171^2)</f>
        <v>7.0364082110197498E-2</v>
      </c>
      <c r="AJ171" cm="1">
        <f t="array" ref="AJ171">InterpolateXY(AI171,AG171,CD_CL,CD_M,CD_table)</f>
        <v>3.3942878700276652E-2</v>
      </c>
      <c r="AK171" cm="1">
        <f t="array" ref="AK171">AJ171*S*Linterp(AH$90,atmos_h,atmos_qms)*AG171^2</f>
        <v>4823.8927706210343</v>
      </c>
      <c r="AL171" cm="1">
        <f t="array" ref="AL171">AG171*Linterp(AH$90,atmos_h,atmos_aspeed)</f>
        <v>1057.3146036052262</v>
      </c>
      <c r="AM171" s="162">
        <f t="shared" si="32"/>
        <v>7319.6839765175655</v>
      </c>
      <c r="AO171">
        <v>1</v>
      </c>
      <c r="AP171" cm="1">
        <f t="array" ref="AP171">numeng*InterpolateXY(AP$90,AO171,Tmax_h,Tmax_M,Tmax_table)</f>
        <v>5274.7778537313397</v>
      </c>
      <c r="AQ171" cm="1">
        <f t="array" ref="AQ171">1*AP$91/(S*Linterp(AP$90,atmos_h,atmos_qms)*AO171^2)</f>
        <v>8.6410558037291821E-2</v>
      </c>
      <c r="AR171" cm="1">
        <f t="array" ref="AR171">InterpolateXY(AQ171,AO171,CD_CL,CD_M,CD_table)</f>
        <v>3.4157901477699711E-2</v>
      </c>
      <c r="AS171" cm="1">
        <f t="array" ref="AS171">AR171*S*Linterp(AP$90,atmos_h,atmos_qms)*AO171^2</f>
        <v>3952.9777672490372</v>
      </c>
      <c r="AT171" cm="1">
        <f t="array" ref="AT171">AO171*Linterp(AP$90,atmos_h,atmos_aspeed)</f>
        <v>1036.8535868172689</v>
      </c>
      <c r="AU171" s="162">
        <f t="shared" si="33"/>
        <v>8223.0789643473108</v>
      </c>
      <c r="AW171">
        <v>1</v>
      </c>
      <c r="AX171" cm="1">
        <f t="array" ref="AX171">numeng*InterpolateXY(AX$90,AW171,Tmax_h,Tmax_M,Tmax_table)</f>
        <v>4615.5693693936792</v>
      </c>
      <c r="AY171" cm="1">
        <f t="array" ref="AY171">1*AX$91/(S*Linterp(AX$90,atmos_h,atmos_qms)*AW171^2)</f>
        <v>0.10700689080001397</v>
      </c>
      <c r="AZ171" cm="1">
        <f t="array" ref="AZ171">InterpolateXY(AY171,AW171,CD_CL,CD_M,CD_table)</f>
        <v>3.4621677010160563E-2</v>
      </c>
      <c r="BA171" cm="1">
        <f t="array" ref="BA171">AZ171*S*Linterp(AX$90,atmos_h,atmos_qms)*AW171^2</f>
        <v>3235.4623848351312</v>
      </c>
      <c r="BB171" cm="1">
        <f t="array" ref="BB171">AW171*Linterp(AX$90,atmos_h,atmos_aspeed)</f>
        <v>1015.9805854418648</v>
      </c>
      <c r="BC171" s="162">
        <f t="shared" si="34"/>
        <v>8412.9714128652013</v>
      </c>
      <c r="BE171">
        <v>1</v>
      </c>
      <c r="BF171" cm="1">
        <f t="array" ref="BF171">numeng*InterpolateXY(BF$90,BE171,Tmax_h,Tmax_M,Tmax_table)</f>
        <v>4003.1600915227664</v>
      </c>
      <c r="BG171" cm="1">
        <f t="array" ref="BG171">1*BF$91/(S*Linterp(BF$90,atmos_h,atmos_qms)*BE171^2)</f>
        <v>0.13371916477403936</v>
      </c>
      <c r="BH171" cm="1">
        <f t="array" ref="BH171">InterpolateXY(BG171,BE171,CD_CL,CD_M,CD_table)</f>
        <v>3.5695510423916388E-2</v>
      </c>
      <c r="BI171" cm="1">
        <f t="array" ref="BI171">BH171*S*Linterp(BF$90,atmos_h,atmos_qms)*BE171^2</f>
        <v>2669.4386316452988</v>
      </c>
      <c r="BJ171" cm="1">
        <f t="array" ref="BJ171">BE171*Linterp(BF$90,atmos_h,atmos_aspeed)</f>
        <v>994.66966350329255</v>
      </c>
      <c r="BK171" s="162">
        <f t="shared" si="35"/>
        <v>7959.6736542206454</v>
      </c>
      <c r="BM171">
        <v>1</v>
      </c>
      <c r="BN171" cm="1">
        <f t="array" ref="BN171">numeng*InterpolateXY(BN$90,BM171,Tmax_h,Tmax_M,Tmax_table)</f>
        <v>3439.5604468431061</v>
      </c>
      <c r="BO171" cm="1">
        <f t="array" ref="BO171">1*BN$91/(S*Linterp(BN$90,atmos_h,atmos_qms)*BM171^2)</f>
        <v>0.1687567941245291</v>
      </c>
      <c r="BP171" cm="1">
        <f t="array" ref="BP171">InterpolateXY(BO171,BM171,CD_CL,CD_M,CD_table)</f>
        <v>3.7104023123806076E-2</v>
      </c>
      <c r="BQ171" cm="1">
        <f t="array" ref="BQ171">BP171*S*Linterp(BN$90,atmos_h,atmos_qms)*BM171^2</f>
        <v>2198.6684042140701</v>
      </c>
      <c r="BR171" cm="1">
        <f t="array" ref="BR171">BM171*Linterp(BN$90,atmos_h,atmos_aspeed)</f>
        <v>972.89204385312564</v>
      </c>
      <c r="BS171" s="162">
        <f t="shared" si="36"/>
        <v>7243.5239733266562</v>
      </c>
      <c r="BU171">
        <v>1</v>
      </c>
      <c r="BV171" cm="1">
        <f t="array" ref="BV171">numeng*InterpolateXY(BV$90,BU171,Tmax_h,Tmax_M,Tmax_table)</f>
        <v>2830.9491029373744</v>
      </c>
      <c r="BW171" cm="1">
        <f t="array" ref="BW171">1*BV$91/(S*Linterp(BV$90,atmos_h,atmos_qms)*BU171^2)</f>
        <v>0.21454487003825609</v>
      </c>
      <c r="BX171" cm="1">
        <f t="array" ref="BX171">InterpolateXY(BW171,BU171,CD_CL,CD_M,CD_table)</f>
        <v>3.9334506292563159E-2</v>
      </c>
      <c r="BY171" cm="1">
        <f t="array" ref="BY171">BX171*S*Linterp(BV$90,atmos_h,atmos_qms)*BU171^2</f>
        <v>1833.3930000539897</v>
      </c>
      <c r="BZ171" cm="1">
        <f t="array" ref="BZ171">BU171*Linterp(BV$90,atmos_h,atmos_aspeed)</f>
        <v>968.1005104214338</v>
      </c>
      <c r="CA171" s="162">
        <f t="shared" si="37"/>
        <v>5794.4074342525264</v>
      </c>
      <c r="CC171">
        <v>1</v>
      </c>
      <c r="CD171" cm="1">
        <f t="array" ref="CD171">numeng*InterpolateXY(CD$90,CC171,Tmax_h,Tmax_M,Tmax_table)</f>
        <v>2148.7614372408216</v>
      </c>
      <c r="CE171" cm="1">
        <f t="array" ref="CE171">1*CD$91/(S*Linterp(CD$90,atmos_h,atmos_qms)*CC171^2)</f>
        <v>0.27282686526191868</v>
      </c>
      <c r="CF171" cm="1">
        <f t="array" ref="CF171">InterpolateXY(CE171,CC171,CD_CL,CD_M,CD_table)</f>
        <v>4.3239399972548553E-2</v>
      </c>
      <c r="CG171" cm="1">
        <f t="array" ref="CG171">CF171*S*Linterp(CD$90,atmos_h,atmos_qms)*CC171^2</f>
        <v>1584.865916010066</v>
      </c>
      <c r="CH171" cm="1">
        <f t="array" ref="CH171">CC171*Linterp(CD$90,atmos_h,atmos_aspeed)</f>
        <v>968.1005104214338</v>
      </c>
      <c r="CI171" s="162">
        <f t="shared" si="38"/>
        <v>3275.4452515671296</v>
      </c>
      <c r="CK171">
        <v>1</v>
      </c>
      <c r="CL171" cm="1">
        <f t="array" ref="CL171">numeng*InterpolateXY(CL$90,CK171,Tmax_h,Tmax_M,Tmax_table)</f>
        <v>1567.9544744572713</v>
      </c>
      <c r="CM171" cm="1">
        <f t="array" ref="CM171">1*CL$91/(S*Linterp(CL$90,atmos_h,atmos_qms)*CK171^2)</f>
        <v>0.34694140389081546</v>
      </c>
      <c r="CN171" cm="1">
        <f t="array" ref="CN171">InterpolateXY(CM171,CK171,CD_CL,CD_M,CD_table)</f>
        <v>4.9148596278890032E-2</v>
      </c>
      <c r="CO171" cm="1">
        <f t="array" ref="CO171">CN171*S*Linterp(CL$90,atmos_h,atmos_qms)*CK171^2</f>
        <v>1416.6252781509293</v>
      </c>
      <c r="CP171" cm="1">
        <f t="array" ref="CP171">CK171*Linterp(CL$90,atmos_h,atmos_aspeed)</f>
        <v>968.1005104214338</v>
      </c>
      <c r="CQ171" s="162">
        <f t="shared" si="39"/>
        <v>879.01123311501055</v>
      </c>
    </row>
    <row r="172" spans="9:95">
      <c r="I172">
        <v>1.01</v>
      </c>
      <c r="J172" cm="1">
        <f t="array" ref="J172">numeng*InterpolateXY(J$90,I172,Tmax_h,Tmax_M,Tmax_table)</f>
        <v>7924</v>
      </c>
      <c r="K172" cm="1">
        <f t="array" ref="K172">1*J$91/(S*Linterp(J$90,atmos_h,atmos_qms)*I172^2)</f>
        <v>3.8926869265904544E-2</v>
      </c>
      <c r="L172" cm="1">
        <f t="array" ref="L172">InterpolateXY(K172,I172,CD_CL,CD_M,CD_table)</f>
        <v>3.4529405422016303E-2</v>
      </c>
      <c r="M172" cm="1">
        <f t="array" ref="M172">L172*S*Linterp(J$90,atmos_h,atmos_qms)*I172^2</f>
        <v>8870.3268650120008</v>
      </c>
      <c r="N172" cm="1">
        <f t="array" ref="N172">I172*Linterp(J$90,atmos_h,atmos_aspeed)</f>
        <v>1127.6145000000001</v>
      </c>
      <c r="O172" s="162">
        <f t="shared" ref="O172:O231" si="40">(J172-M172)*N172*(60/1)/J$91</f>
        <v>-6402.5513683624486</v>
      </c>
      <c r="Q172">
        <v>1.01</v>
      </c>
      <c r="R172" cm="1">
        <f t="array" ref="R172">numeng*InterpolateXY(R$90,Q172,Tmax_h,Tmax_M,Tmax_table)</f>
        <v>7350.0284960339395</v>
      </c>
      <c r="S172" cm="1">
        <f t="array" ref="S172">1*R$91/(S*Linterp(R$90,atmos_h,atmos_qms)*Q172^2)</f>
        <v>4.678445554554575E-2</v>
      </c>
      <c r="T172" cm="1">
        <f t="array" ref="T172">InterpolateXY(S172,Q172,CD_CL,CD_M,CD_table)</f>
        <v>3.463626859541942E-2</v>
      </c>
      <c r="U172" cm="1">
        <f t="array" ref="U172">T172*S*Linterp(R$90,atmos_h,atmos_qms)*Q172^2</f>
        <v>7403.3710965600985</v>
      </c>
      <c r="V172" cm="1">
        <f t="array" ref="V172">Q172*Linterp(R$90,atmos_h,atmos_aspeed)</f>
        <v>1108.0633506339509</v>
      </c>
      <c r="W172" s="162">
        <f t="shared" si="30"/>
        <v>-354.64188402326459</v>
      </c>
      <c r="Y172">
        <v>1.01</v>
      </c>
      <c r="Z172" cm="1">
        <f t="array" ref="Z172">numeng*InterpolateXY(Z$90,Y172,Tmax_h,Tmax_M,Tmax_table)</f>
        <v>6746.7084557153848</v>
      </c>
      <c r="AA172" cm="1">
        <f t="array" ref="AA172">1*Z$91/(S*Linterp(Z$90,atmos_h,atmos_qms)*Y172^2)</f>
        <v>5.6604189232345711E-2</v>
      </c>
      <c r="AB172" cm="1">
        <f t="array" ref="AB172">InterpolateXY(AA172,Y172,CD_CL,CD_M,CD_table)</f>
        <v>3.4769816973559901E-2</v>
      </c>
      <c r="AC172" cm="1">
        <f t="array" ref="AC172">AB172*S*Linterp(Z$90,atmos_h,atmos_qms)*Y172^2</f>
        <v>6142.6225594078742</v>
      </c>
      <c r="AD172" cm="1">
        <f t="array" ref="AD172">Y172*Linterp(Z$90,atmos_h,atmos_aspeed)</f>
        <v>1088.1609795549675</v>
      </c>
      <c r="AE172" s="162">
        <f t="shared" si="31"/>
        <v>3944.056203967928</v>
      </c>
      <c r="AG172">
        <v>1.01</v>
      </c>
      <c r="AH172" cm="1">
        <f t="array" ref="AH172">numeng*InterpolateXY(AH$90,AG172,Tmax_h,Tmax_M,Tmax_table)</f>
        <v>6002.8788521313054</v>
      </c>
      <c r="AI172" cm="1">
        <f t="array" ref="AI172">1*AH$91/(S*Linterp(AH$90,atmos_h,atmos_qms)*AG172^2)</f>
        <v>6.8977631712770798E-2</v>
      </c>
      <c r="AJ172" cm="1">
        <f t="array" ref="AJ172">InterpolateXY(AI172,AG172,CD_CL,CD_M,CD_table)</f>
        <v>3.4938095791293686E-2</v>
      </c>
      <c r="AK172" cm="1">
        <f t="array" ref="AK172">AJ172*S*Linterp(AH$90,atmos_h,atmos_qms)*AG172^2</f>
        <v>5065.1341491078056</v>
      </c>
      <c r="AL172" cm="1">
        <f t="array" ref="AL172">AG172*Linterp(AH$90,atmos_h,atmos_aspeed)</f>
        <v>1067.8877496412786</v>
      </c>
      <c r="AM172" s="162">
        <f t="shared" si="32"/>
        <v>6008.4364838987658</v>
      </c>
      <c r="AO172">
        <v>1.01</v>
      </c>
      <c r="AP172" cm="1">
        <f t="array" ref="AP172">numeng*InterpolateXY(AP$90,AO172,Tmax_h,Tmax_M,Tmax_table)</f>
        <v>5298.2213108590349</v>
      </c>
      <c r="AQ172" cm="1">
        <f t="array" ref="AQ172">1*AP$91/(S*Linterp(AP$90,atmos_h,atmos_qms)*AO172^2)</f>
        <v>8.4707928671004615E-2</v>
      </c>
      <c r="AR172" cm="1">
        <f t="array" ref="AR172">InterpolateXY(AQ172,AO172,CD_CL,CD_M,CD_table)</f>
        <v>3.5152027829925658E-2</v>
      </c>
      <c r="AS172" cm="1">
        <f t="array" ref="AS172">AR172*S*Linterp(AP$90,atmos_h,atmos_qms)*AO172^2</f>
        <v>4149.7919240183401</v>
      </c>
      <c r="AT172" cm="1">
        <f t="array" ref="AT172">AO172*Linterp(AP$90,atmos_h,atmos_aspeed)</f>
        <v>1047.2221226854417</v>
      </c>
      <c r="AU172" s="162">
        <f t="shared" si="33"/>
        <v>7215.9639614499165</v>
      </c>
      <c r="AW172">
        <v>1.01</v>
      </c>
      <c r="AX172" cm="1">
        <f t="array" ref="AX172">numeng*InterpolateXY(AX$90,AW172,Tmax_h,Tmax_M,Tmax_table)</f>
        <v>4637.0788188821161</v>
      </c>
      <c r="AY172" cm="1">
        <f t="array" ref="AY172">1*AX$91/(S*Linterp(AX$90,atmos_h,atmos_qms)*AW172^2)</f>
        <v>0.10489843231057148</v>
      </c>
      <c r="AZ172" cm="1">
        <f t="array" ref="AZ172">InterpolateXY(AY172,AW172,CD_CL,CD_M,CD_table)</f>
        <v>3.5559856038271317E-2</v>
      </c>
      <c r="BA172" cm="1">
        <f t="array" ref="BA172">AZ172*S*Linterp(AX$90,atmos_h,atmos_qms)*AW172^2</f>
        <v>3389.9320757234668</v>
      </c>
      <c r="BB172" cm="1">
        <f t="array" ref="BB172">AW172*Linterp(AX$90,atmos_h,atmos_aspeed)</f>
        <v>1026.1403912962835</v>
      </c>
      <c r="BC172" s="162">
        <f t="shared" si="34"/>
        <v>7678.4858821722119</v>
      </c>
      <c r="BE172">
        <v>1.01</v>
      </c>
      <c r="BF172" cm="1">
        <f t="array" ref="BF172">numeng*InterpolateXY(BF$90,BE172,Tmax_h,Tmax_M,Tmax_table)</f>
        <v>4022.6147013133445</v>
      </c>
      <c r="BG172" cm="1">
        <f t="array" ref="BG172">1*BF$91/(S*Linterp(BF$90,atmos_h,atmos_qms)*BE172^2)</f>
        <v>0.13108436895798389</v>
      </c>
      <c r="BH172" cm="1">
        <f t="array" ref="BH172">InterpolateXY(BG172,BE172,CD_CL,CD_M,CD_table)</f>
        <v>3.6628242253485745E-2</v>
      </c>
      <c r="BI172" cm="1">
        <f t="array" ref="BI172">BH172*S*Linterp(BF$90,atmos_h,atmos_qms)*BE172^2</f>
        <v>2794.2494245996709</v>
      </c>
      <c r="BJ172" cm="1">
        <f t="array" ref="BJ172">BE172*Linterp(BF$90,atmos_h,atmos_aspeed)</f>
        <v>1004.6163601383255</v>
      </c>
      <c r="BK172" s="162">
        <f t="shared" si="35"/>
        <v>7404.2151192743868</v>
      </c>
      <c r="BM172">
        <v>1.01</v>
      </c>
      <c r="BN172" cm="1">
        <f t="array" ref="BN172">numeng*InterpolateXY(BN$90,BM172,Tmax_h,Tmax_M,Tmax_table)</f>
        <v>3456.9131842325846</v>
      </c>
      <c r="BO172" cm="1">
        <f t="array" ref="BO172">1*BN$91/(S*Linterp(BN$90,atmos_h,atmos_qms)*BM172^2)</f>
        <v>0.16543161859085295</v>
      </c>
      <c r="BP172" cm="1">
        <f t="array" ref="BP172">InterpolateXY(BO172,BM172,CD_CL,CD_M,CD_table)</f>
        <v>3.80296100385068E-2</v>
      </c>
      <c r="BQ172" cm="1">
        <f t="array" ref="BQ172">BP172*S*Linterp(BN$90,atmos_h,atmos_qms)*BM172^2</f>
        <v>2298.8114583199472</v>
      </c>
      <c r="BR172" cm="1">
        <f t="array" ref="BR172">BM172*Linterp(BN$90,atmos_h,atmos_aspeed)</f>
        <v>982.62096429165695</v>
      </c>
      <c r="BS172" s="162">
        <f t="shared" si="36"/>
        <v>6827.8502079846476</v>
      </c>
      <c r="BU172">
        <v>1.01</v>
      </c>
      <c r="BV172" cm="1">
        <f t="array" ref="BV172">numeng*InterpolateXY(BV$90,BU172,Tmax_h,Tmax_M,Tmax_table)</f>
        <v>2845.7192721700912</v>
      </c>
      <c r="BW172" cm="1">
        <f t="array" ref="BW172">1*BV$91/(S*Linterp(BV$90,atmos_h,atmos_qms)*BU172^2)</f>
        <v>0.21031748851902371</v>
      </c>
      <c r="BX172" cm="1">
        <f t="array" ref="BX172">InterpolateXY(BW172,BU172,CD_CL,CD_M,CD_table)</f>
        <v>4.0141589219293616E-2</v>
      </c>
      <c r="BY172" cm="1">
        <f t="array" ref="BY172">BX172*S*Linterp(BV$90,atmos_h,atmos_qms)*BU172^2</f>
        <v>1908.6187031784909</v>
      </c>
      <c r="BZ172" cm="1">
        <f t="array" ref="BZ172">BU172*Linterp(BV$90,atmos_h,atmos_aspeed)</f>
        <v>977.78151552564816</v>
      </c>
      <c r="CA172" s="162">
        <f t="shared" si="37"/>
        <v>5497.6776872913251</v>
      </c>
      <c r="CC172">
        <v>1.01</v>
      </c>
      <c r="CD172" cm="1">
        <f t="array" ref="CD172">numeng*InterpolateXY(CD$90,CC172,Tmax_h,Tmax_M,Tmax_table)</f>
        <v>2159.6020354827574</v>
      </c>
      <c r="CE172" cm="1">
        <f t="array" ref="CE172">1*CD$91/(S*Linterp(CD$90,atmos_h,atmos_qms)*CC172^2)</f>
        <v>0.26745109818833318</v>
      </c>
      <c r="CF172" cm="1">
        <f t="array" ref="CF172">InterpolateXY(CE172,CC172,CD_CL,CD_M,CD_table)</f>
        <v>4.4026674676806661E-2</v>
      </c>
      <c r="CG172" cm="1">
        <f t="array" ref="CG172">CF172*S*Linterp(CD$90,atmos_h,atmos_qms)*CC172^2</f>
        <v>1646.1579322364214</v>
      </c>
      <c r="CH172" cm="1">
        <f t="array" ref="CH172">CC172*Linterp(CD$90,atmos_h,atmos_aspeed)</f>
        <v>977.78151552564816</v>
      </c>
      <c r="CI172" s="162">
        <f t="shared" si="38"/>
        <v>3012.2169204594588</v>
      </c>
      <c r="CK172">
        <v>1.01</v>
      </c>
      <c r="CL172" cm="1">
        <f t="array" ref="CL172">numeng*InterpolateXY(CL$90,CK172,Tmax_h,Tmax_M,Tmax_table)</f>
        <v>1575.2614467654216</v>
      </c>
      <c r="CM172" cm="1">
        <f t="array" ref="CM172">1*CL$91/(S*Linterp(CL$90,atmos_h,atmos_qms)*CK172^2)</f>
        <v>0.34010528760985737</v>
      </c>
      <c r="CN172" cm="1">
        <f t="array" ref="CN172">InterpolateXY(CM172,CK172,CD_CL,CD_M,CD_table)</f>
        <v>4.9785307424711392E-2</v>
      </c>
      <c r="CO172" cm="1">
        <f t="array" ref="CO172">CN172*S*Linterp(CL$90,atmos_h,atmos_qms)*CK172^2</f>
        <v>1463.8204473263372</v>
      </c>
      <c r="CP172" cm="1">
        <f t="array" ref="CP172">CK172*Linterp(CL$90,atmos_h,atmos_aspeed)</f>
        <v>977.78151552564816</v>
      </c>
      <c r="CQ172" s="162">
        <f t="shared" si="39"/>
        <v>653.7896959394451</v>
      </c>
    </row>
    <row r="173" spans="9:95">
      <c r="I173">
        <v>1.02</v>
      </c>
      <c r="J173" cm="1">
        <f t="array" ref="J173">numeng*InterpolateXY(J$90,I173,Tmax_h,Tmax_M,Tmax_table)</f>
        <v>7948</v>
      </c>
      <c r="K173" cm="1">
        <f t="array" ref="K173">1*J$91/(S*Linterp(J$90,atmos_h,atmos_qms)*I173^2)</f>
        <v>3.8167338848663232E-2</v>
      </c>
      <c r="L173" cm="1">
        <f t="array" ref="L173">InterpolateXY(K173,I173,CD_CL,CD_M,CD_table)</f>
        <v>3.5526709276111554E-2</v>
      </c>
      <c r="M173" cm="1">
        <f t="array" ref="M173">L173*S*Linterp(J$90,atmos_h,atmos_qms)*I173^2</f>
        <v>9308.1441745199991</v>
      </c>
      <c r="N173" cm="1">
        <f t="array" ref="N173">I173*Linterp(J$90,atmos_h,atmos_aspeed)</f>
        <v>1138.779</v>
      </c>
      <c r="O173" s="162">
        <f t="shared" si="40"/>
        <v>-9293.42173749426</v>
      </c>
      <c r="Q173">
        <v>1.02</v>
      </c>
      <c r="R173" cm="1">
        <f t="array" ref="R173">numeng*InterpolateXY(R$90,Q173,Tmax_h,Tmax_M,Tmax_table)</f>
        <v>7375.878537637811</v>
      </c>
      <c r="S173" cm="1">
        <f t="array" ref="S173">1*R$91/(S*Linterp(R$90,atmos_h,atmos_qms)*Q173^2)</f>
        <v>4.5871610055758572E-2</v>
      </c>
      <c r="T173" cm="1">
        <f t="array" ref="T173">InterpolateXY(S173,Q173,CD_CL,CD_M,CD_table)</f>
        <v>3.5633028218769472E-2</v>
      </c>
      <c r="U173" cm="1">
        <f t="array" ref="U173">T173*S*Linterp(R$90,atmos_h,atmos_qms)*Q173^2</f>
        <v>7767.9916129946732</v>
      </c>
      <c r="V173" cm="1">
        <f t="array" ref="V173">Q173*Linterp(R$90,atmos_h,atmos_aspeed)</f>
        <v>1119.0342748976534</v>
      </c>
      <c r="W173" s="162">
        <f t="shared" si="30"/>
        <v>-2632.727825759132</v>
      </c>
      <c r="Y173">
        <v>1.02</v>
      </c>
      <c r="Z173" cm="1">
        <f t="array" ref="Z173">numeng*InterpolateXY(Z$90,Y173,Tmax_h,Tmax_M,Tmax_table)</f>
        <v>6773.293559087293</v>
      </c>
      <c r="AA173" cm="1">
        <f t="array" ref="AA173">1*Z$91/(S*Linterp(Z$90,atmos_h,atmos_qms)*Y173^2)</f>
        <v>5.5499743786924127E-2</v>
      </c>
      <c r="AB173" cm="1">
        <f t="array" ref="AB173">InterpolateXY(AA173,Y173,CD_CL,CD_M,CD_table)</f>
        <v>3.5765896464259553E-2</v>
      </c>
      <c r="AC173" cm="1">
        <f t="array" ref="AC173">AB173*S*Linterp(Z$90,atmos_h,atmos_qms)*Y173^2</f>
        <v>6444.3354191999142</v>
      </c>
      <c r="AD173" cm="1">
        <f t="array" ref="AD173">Y173*Linterp(Z$90,atmos_h,atmos_aspeed)</f>
        <v>1098.9348506396702</v>
      </c>
      <c r="AE173" s="162">
        <f t="shared" si="31"/>
        <v>2169.0213859430423</v>
      </c>
      <c r="AG173">
        <v>1.02</v>
      </c>
      <c r="AH173" cm="1">
        <f t="array" ref="AH173">numeng*InterpolateXY(AH$90,AG173,Tmax_h,Tmax_M,Tmax_table)</f>
        <v>6028.04815549454</v>
      </c>
      <c r="AI173" cm="1">
        <f t="array" ref="AI173">1*AH$91/(S*Linterp(AH$90,atmos_h,atmos_qms)*AG173^2)</f>
        <v>6.7631759044788062E-2</v>
      </c>
      <c r="AJ173" cm="1">
        <f t="array" ref="AJ173">InterpolateXY(AI173,AG173,CD_CL,CD_M,CD_table)</f>
        <v>3.5933318274818077E-2</v>
      </c>
      <c r="AK173" cm="1">
        <f t="array" ref="AK173">AJ173*S*Linterp(AH$90,atmos_h,atmos_qms)*AG173^2</f>
        <v>5313.0834954361908</v>
      </c>
      <c r="AL173" cm="1">
        <f t="array" ref="AL173">AG173*Linterp(AH$90,atmos_h,atmos_aspeed)</f>
        <v>1078.4608956773309</v>
      </c>
      <c r="AM173" s="162">
        <f t="shared" si="32"/>
        <v>4626.3685659849934</v>
      </c>
      <c r="AO173">
        <v>1.02</v>
      </c>
      <c r="AP173" cm="1">
        <f t="array" ref="AP173">numeng*InterpolateXY(AP$90,AO173,Tmax_h,Tmax_M,Tmax_table)</f>
        <v>5321.6647679867292</v>
      </c>
      <c r="AQ173" cm="1">
        <f t="array" ref="AQ173">1*AP$91/(S*Linterp(AP$90,atmos_h,atmos_qms)*AO173^2)</f>
        <v>8.3055130754797979E-2</v>
      </c>
      <c r="AR173" cm="1">
        <f t="array" ref="AR173">InterpolateXY(AQ173,AO173,CD_CL,CD_M,CD_table)</f>
        <v>3.6146160804416218E-2</v>
      </c>
      <c r="AS173" cm="1">
        <f t="array" ref="AS173">AR173*S*Linterp(AP$90,atmos_h,atmos_qms)*AO173^2</f>
        <v>4352.0683762608023</v>
      </c>
      <c r="AT173" cm="1">
        <f t="array" ref="AT173">AO173*Linterp(AP$90,atmos_h,atmos_aspeed)</f>
        <v>1057.5906585536143</v>
      </c>
      <c r="AU173" s="162">
        <f t="shared" si="33"/>
        <v>6152.6165187397874</v>
      </c>
      <c r="AW173">
        <v>1.02</v>
      </c>
      <c r="AX173" cm="1">
        <f t="array" ref="AX173">numeng*InterpolateXY(AX$90,AW173,Tmax_h,Tmax_M,Tmax_table)</f>
        <v>4658.5882683705522</v>
      </c>
      <c r="AY173" cm="1">
        <f t="array" ref="AY173">1*AX$91/(S*Linterp(AX$90,atmos_h,atmos_qms)*AW173^2)</f>
        <v>0.10285168281431561</v>
      </c>
      <c r="AZ173" cm="1">
        <f t="array" ref="AZ173">InterpolateXY(AY173,AW173,CD_CL,CD_M,CD_table)</f>
        <v>3.6498059668512668E-2</v>
      </c>
      <c r="BA173" cm="1">
        <f t="array" ref="BA173">AZ173*S*Linterp(AX$90,atmos_h,atmos_qms)*AW173^2</f>
        <v>3548.6108413417828</v>
      </c>
      <c r="BB173" cm="1">
        <f t="array" ref="BB173">AW173*Linterp(AX$90,atmos_h,atmos_aspeed)</f>
        <v>1036.3001971507022</v>
      </c>
      <c r="BC173" s="162">
        <f t="shared" si="34"/>
        <v>6901.6189587764575</v>
      </c>
      <c r="BE173">
        <v>1.02</v>
      </c>
      <c r="BF173" cm="1">
        <f t="array" ref="BF173">numeng*InterpolateXY(BF$90,BE173,Tmax_h,Tmax_M,Tmax_table)</f>
        <v>4042.0693111039222</v>
      </c>
      <c r="BG173" cm="1">
        <f t="array" ref="BG173">1*BF$91/(S*Linterp(BF$90,atmos_h,atmos_qms)*BE173^2)</f>
        <v>0.12852668663402475</v>
      </c>
      <c r="BH173" cm="1">
        <f t="array" ref="BH173">InterpolateXY(BG173,BE173,CD_CL,CD_M,CD_table)</f>
        <v>3.7561004826648627E-2</v>
      </c>
      <c r="BI173" cm="1">
        <f t="array" ref="BI173">BH173*S*Linterp(BF$90,atmos_h,atmos_qms)*BE173^2</f>
        <v>2922.4284707192583</v>
      </c>
      <c r="BJ173" cm="1">
        <f t="array" ref="BJ173">BE173*Linterp(BF$90,atmos_h,atmos_aspeed)</f>
        <v>1014.5630567733584</v>
      </c>
      <c r="BK173" s="162">
        <f t="shared" si="35"/>
        <v>6815.6774010537401</v>
      </c>
      <c r="BM173">
        <v>1.02</v>
      </c>
      <c r="BN173" cm="1">
        <f t="array" ref="BN173">numeng*InterpolateXY(BN$90,BM173,Tmax_h,Tmax_M,Tmax_table)</f>
        <v>3474.2659216220636</v>
      </c>
      <c r="BO173" cm="1">
        <f t="array" ref="BO173">1*BN$91/(S*Linterp(BN$90,atmos_h,atmos_qms)*BM173^2)</f>
        <v>0.16220376213430326</v>
      </c>
      <c r="BP173" cm="1">
        <f t="array" ref="BP173">InterpolateXY(BO173,BM173,CD_CL,CD_M,CD_table)</f>
        <v>3.8955235752360158E-2</v>
      </c>
      <c r="BQ173" cm="1">
        <f t="array" ref="BQ173">BP173*S*Linterp(BN$90,atmos_h,atmos_qms)*BM173^2</f>
        <v>2401.6234420078108</v>
      </c>
      <c r="BR173" cm="1">
        <f t="array" ref="BR173">BM173*Linterp(BN$90,atmos_h,atmos_aspeed)</f>
        <v>992.34988473018814</v>
      </c>
      <c r="BS173" s="162">
        <f t="shared" si="36"/>
        <v>6386.619846011442</v>
      </c>
      <c r="BU173">
        <v>1.02</v>
      </c>
      <c r="BV173" cm="1">
        <f t="array" ref="BV173">numeng*InterpolateXY(BV$90,BU173,Tmax_h,Tmax_M,Tmax_table)</f>
        <v>2860.4894414028076</v>
      </c>
      <c r="BW173" cm="1">
        <f t="array" ref="BW173">1*BV$91/(S*Linterp(BV$90,atmos_h,atmos_qms)*BU173^2)</f>
        <v>0.20621383125553258</v>
      </c>
      <c r="BX173" cm="1">
        <f t="array" ref="BX173">InterpolateXY(BW173,BU173,CD_CL,CD_M,CD_table)</f>
        <v>4.0948754356631749E-2</v>
      </c>
      <c r="BY173" cm="1">
        <f t="array" ref="BY173">BX173*S*Linterp(BV$90,atmos_h,atmos_qms)*BU173^2</f>
        <v>1985.7423775755162</v>
      </c>
      <c r="BZ173" cm="1">
        <f t="array" ref="BZ173">BU173*Linterp(BV$90,atmos_h,atmos_aspeed)</f>
        <v>987.46252062986252</v>
      </c>
      <c r="CA173" s="162">
        <f t="shared" si="37"/>
        <v>5182.6796433628115</v>
      </c>
      <c r="CC173">
        <v>1.02</v>
      </c>
      <c r="CD173" cm="1">
        <f t="array" ref="CD173">numeng*InterpolateXY(CD$90,CC173,Tmax_h,Tmax_M,Tmax_table)</f>
        <v>2170.4426337246928</v>
      </c>
      <c r="CE173" cm="1">
        <f t="array" ref="CE173">1*CD$91/(S*Linterp(CD$90,atmos_h,atmos_qms)*CC173^2)</f>
        <v>0.26223266557277841</v>
      </c>
      <c r="CF173" cm="1">
        <f t="array" ref="CF173">InterpolateXY(CE173,CC173,CD_CL,CD_M,CD_table)</f>
        <v>4.4814053924521716E-2</v>
      </c>
      <c r="CG173" cm="1">
        <f t="array" ref="CG173">CF173*S*Linterp(CD$90,atmos_h,atmos_qms)*CC173^2</f>
        <v>1708.9424701013957</v>
      </c>
      <c r="CH173" cm="1">
        <f t="array" ref="CH173">CC173*Linterp(CD$90,atmos_h,atmos_aspeed)</f>
        <v>987.46252062986252</v>
      </c>
      <c r="CI173" s="162">
        <f t="shared" si="38"/>
        <v>2734.2846890553301</v>
      </c>
      <c r="CK173">
        <v>1.02</v>
      </c>
      <c r="CL173" cm="1">
        <f t="array" ref="CL173">numeng*InterpolateXY(CL$90,CK173,Tmax_h,Tmax_M,Tmax_table)</f>
        <v>1582.5684190735722</v>
      </c>
      <c r="CM173" cm="1">
        <f t="array" ref="CM173">1*CL$91/(S*Linterp(CL$90,atmos_h,atmos_qms)*CK173^2)</f>
        <v>0.33346924633873076</v>
      </c>
      <c r="CN173" cm="1">
        <f t="array" ref="CN173">InterpolateXY(CM173,CK173,CD_CL,CD_M,CD_table)</f>
        <v>5.0422191396584159E-2</v>
      </c>
      <c r="CO173" cm="1">
        <f t="array" ref="CO173">CN173*S*Linterp(CL$90,atmos_h,atmos_qms)*CK173^2</f>
        <v>1512.0492204359498</v>
      </c>
      <c r="CP173" cm="1">
        <f t="array" ref="CP173">CK173*Linterp(CL$90,atmos_h,atmos_aspeed)</f>
        <v>987.46252062986252</v>
      </c>
      <c r="CQ173" s="162">
        <f t="shared" si="39"/>
        <v>417.81039383702728</v>
      </c>
    </row>
    <row r="174" spans="9:95">
      <c r="I174">
        <v>1.03</v>
      </c>
      <c r="J174" cm="1">
        <f t="array" ref="J174">numeng*InterpolateXY(J$90,I174,Tmax_h,Tmax_M,Tmax_table)</f>
        <v>7972</v>
      </c>
      <c r="K174" cm="1">
        <f t="array" ref="K174">1*J$91/(S*Linterp(J$90,atmos_h,atmos_qms)*I174^2)</f>
        <v>3.742982311070716E-2</v>
      </c>
      <c r="L174" cm="1">
        <f t="array" ref="L174">InterpolateXY(K174,I174,CD_CL,CD_M,CD_table)</f>
        <v>3.6275889014705437E-2</v>
      </c>
      <c r="M174" cm="1">
        <f t="array" ref="M174">L174*S*Linterp(J$90,atmos_h,atmos_qms)*I174^2</f>
        <v>9691.7073071415016</v>
      </c>
      <c r="N174" cm="1">
        <f t="array" ref="N174">I174*Linterp(J$90,atmos_h,atmos_aspeed)</f>
        <v>1149.9435000000001</v>
      </c>
      <c r="O174" s="162">
        <f t="shared" si="40"/>
        <v>-11865.39743849924</v>
      </c>
      <c r="Q174">
        <v>1.03</v>
      </c>
      <c r="R174" cm="1">
        <f t="array" ref="R174">numeng*InterpolateXY(R$90,Q174,Tmax_h,Tmax_M,Tmax_table)</f>
        <v>7401.7285792416815</v>
      </c>
      <c r="S174" cm="1">
        <f t="array" ref="S174">1*R$91/(S*Linterp(R$90,atmos_h,atmos_qms)*Q174^2)</f>
        <v>4.4985223020087874E-2</v>
      </c>
      <c r="T174" cm="1">
        <f t="array" ref="T174">InterpolateXY(S174,Q174,CD_CL,CD_M,CD_table)</f>
        <v>3.6382042383432234E-2</v>
      </c>
      <c r="U174" cm="1">
        <f t="array" ref="U174">T174*S*Linterp(R$90,atmos_h,atmos_qms)*Q174^2</f>
        <v>8087.5540768545407</v>
      </c>
      <c r="V174" cm="1">
        <f t="array" ref="V174">Q174*Linterp(R$90,atmos_h,atmos_aspeed)</f>
        <v>1130.0051991613559</v>
      </c>
      <c r="W174" s="162">
        <f t="shared" si="30"/>
        <v>-4649.9182681197299</v>
      </c>
      <c r="Y174">
        <v>1.03</v>
      </c>
      <c r="Z174" cm="1">
        <f t="array" ref="Z174">numeng*InterpolateXY(Z$90,Y174,Tmax_h,Tmax_M,Tmax_table)</f>
        <v>6799.8786624592012</v>
      </c>
      <c r="AA174" cm="1">
        <f t="array" ref="AA174">1*Z$91/(S*Linterp(Z$90,atmos_h,atmos_qms)*Y174^2)</f>
        <v>5.4427310242167841E-2</v>
      </c>
      <c r="AB174" cm="1">
        <f t="array" ref="AB174">InterpolateXY(AA174,Y174,CD_CL,CD_M,CD_table)</f>
        <v>3.651470370890246E-2</v>
      </c>
      <c r="AC174" cm="1">
        <f t="array" ref="AC174">AB174*S*Linterp(Z$90,atmos_h,atmos_qms)*Y174^2</f>
        <v>6708.8936687178966</v>
      </c>
      <c r="AD174" cm="1">
        <f t="array" ref="AD174">Y174*Linterp(Z$90,atmos_h,atmos_aspeed)</f>
        <v>1109.7087217243727</v>
      </c>
      <c r="AE174" s="162">
        <f t="shared" si="31"/>
        <v>605.80104660457914</v>
      </c>
      <c r="AG174">
        <v>1.03</v>
      </c>
      <c r="AH174" cm="1">
        <f t="array" ref="AH174">numeng*InterpolateXY(AH$90,AG174,Tmax_h,Tmax_M,Tmax_table)</f>
        <v>6053.2174588577736</v>
      </c>
      <c r="AI174" cm="1">
        <f t="array" ref="AI174">1*AH$91/(S*Linterp(AH$90,atmos_h,atmos_qms)*AG174^2)</f>
        <v>6.6324895947023746E-2</v>
      </c>
      <c r="AJ174" cm="1">
        <f t="array" ref="AJ174">InterpolateXY(AI174,AG174,CD_CL,CD_M,CD_table)</f>
        <v>3.6681864788055685E-2</v>
      </c>
      <c r="AK174" cm="1">
        <f t="array" ref="AK174">AJ174*S*Linterp(AH$90,atmos_h,atmos_qms)*AG174^2</f>
        <v>5530.6328437145085</v>
      </c>
      <c r="AL174" cm="1">
        <f t="array" ref="AL174">AG174*Linterp(AH$90,atmos_h,atmos_aspeed)</f>
        <v>1089.034041713383</v>
      </c>
      <c r="AM174" s="162">
        <f t="shared" si="32"/>
        <v>3414.6746134002174</v>
      </c>
      <c r="AO174">
        <v>1.03</v>
      </c>
      <c r="AP174" cm="1">
        <f t="array" ref="AP174">numeng*InterpolateXY(AP$90,AO174,Tmax_h,Tmax_M,Tmax_table)</f>
        <v>5345.1082251144244</v>
      </c>
      <c r="AQ174" cm="1">
        <f t="array" ref="AQ174">1*AP$91/(S*Linterp(AP$90,atmos_h,atmos_qms)*AO174^2)</f>
        <v>8.1450238511916129E-2</v>
      </c>
      <c r="AR174" cm="1">
        <f t="array" ref="AR174">InterpolateXY(AQ174,AO174,CD_CL,CD_M,CD_table)</f>
        <v>3.6894375851092426E-2</v>
      </c>
      <c r="AS174" cm="1">
        <f t="array" ref="AS174">AR174*S*Linterp(AP$90,atmos_h,atmos_qms)*AO174^2</f>
        <v>4529.6829727140457</v>
      </c>
      <c r="AT174" cm="1">
        <f t="array" ref="AT174">AO174*Linterp(AP$90,atmos_h,atmos_aspeed)</f>
        <v>1067.9591944217871</v>
      </c>
      <c r="AU174" s="162">
        <f t="shared" si="33"/>
        <v>5225.045373988145</v>
      </c>
      <c r="AW174">
        <v>1.03</v>
      </c>
      <c r="AX174" cm="1">
        <f t="array" ref="AX174">numeng*InterpolateXY(AX$90,AW174,Tmax_h,Tmax_M,Tmax_table)</f>
        <v>4680.0977178589883</v>
      </c>
      <c r="AY174" cm="1">
        <f t="array" ref="AY174">1*AX$91/(S*Linterp(AX$90,atmos_h,atmos_qms)*AW174^2)</f>
        <v>0.10086425751721555</v>
      </c>
      <c r="AZ174" cm="1">
        <f t="array" ref="AZ174">InterpolateXY(AY174,AW174,CD_CL,CD_M,CD_table)</f>
        <v>3.7191428454350639E-2</v>
      </c>
      <c r="BA174" cm="1">
        <f t="array" ref="BA174">AZ174*S*Linterp(AX$90,atmos_h,atmos_qms)*AW174^2</f>
        <v>3687.2752915474339</v>
      </c>
      <c r="BB174" cm="1">
        <f t="array" ref="BB174">AW174*Linterp(AX$90,atmos_h,atmos_aspeed)</f>
        <v>1046.4600030051208</v>
      </c>
      <c r="BC174" s="162">
        <f t="shared" si="34"/>
        <v>6233.6937553292437</v>
      </c>
      <c r="BE174">
        <v>1.03</v>
      </c>
      <c r="BF174" cm="1">
        <f t="array" ref="BF174">numeng*InterpolateXY(BF$90,BE174,Tmax_h,Tmax_M,Tmax_table)</f>
        <v>4061.5239208945004</v>
      </c>
      <c r="BG174" cm="1">
        <f t="array" ref="BG174">1*BF$91/(S*Linterp(BF$90,atmos_h,atmos_qms)*BE174^2)</f>
        <v>0.12604313768879194</v>
      </c>
      <c r="BH174" cm="1">
        <f t="array" ref="BH174">InterpolateXY(BG174,BE174,CD_CL,CD_M,CD_table)</f>
        <v>3.8252718253582577E-2</v>
      </c>
      <c r="BI174" cm="1">
        <f t="array" ref="BI174">BH174*S*Linterp(BF$90,atmos_h,atmos_qms)*BE174^2</f>
        <v>3034.8909869278905</v>
      </c>
      <c r="BJ174" cm="1">
        <f t="array" ref="BJ174">BE174*Linterp(BF$90,atmos_h,atmos_aspeed)</f>
        <v>1024.5097534083914</v>
      </c>
      <c r="BK174" s="162">
        <f t="shared" si="35"/>
        <v>6310.7727241143893</v>
      </c>
      <c r="BM174">
        <v>1.03</v>
      </c>
      <c r="BN174" cm="1">
        <f t="array" ref="BN174">numeng*InterpolateXY(BN$90,BM174,Tmax_h,Tmax_M,Tmax_table)</f>
        <v>3491.6186590115421</v>
      </c>
      <c r="BO174" cm="1">
        <f t="array" ref="BO174">1*BN$91/(S*Linterp(BN$90,atmos_h,atmos_qms)*BM174^2)</f>
        <v>0.15906946378030834</v>
      </c>
      <c r="BP174" cm="1">
        <f t="array" ref="BP174">InterpolateXY(BO174,BM174,CD_CL,CD_M,CD_table)</f>
        <v>3.9644777898339992E-2</v>
      </c>
      <c r="BQ174" cm="1">
        <f t="array" ref="BQ174">BP174*S*Linterp(BN$90,atmos_h,atmos_qms)*BM174^2</f>
        <v>2492.2934267945734</v>
      </c>
      <c r="BR174" cm="1">
        <f t="array" ref="BR174">BM174*Linterp(BN$90,atmos_h,atmos_aspeed)</f>
        <v>1002.0788051687194</v>
      </c>
      <c r="BS174" s="162">
        <f t="shared" si="36"/>
        <v>6008.415808049599</v>
      </c>
      <c r="BU174">
        <v>1.03</v>
      </c>
      <c r="BV174" cm="1">
        <f t="array" ref="BV174">numeng*InterpolateXY(BV$90,BU174,Tmax_h,Tmax_M,Tmax_table)</f>
        <v>2875.2596106355245</v>
      </c>
      <c r="BW174" cm="1">
        <f t="array" ref="BW174">1*BV$91/(S*Linterp(BV$90,atmos_h,atmos_qms)*BU174^2)</f>
        <v>0.20222911682369318</v>
      </c>
      <c r="BX174" cm="1">
        <f t="array" ref="BX174">InterpolateXY(BW174,BU174,CD_CL,CD_M,CD_table)</f>
        <v>4.1526595456864449E-2</v>
      </c>
      <c r="BY174" cm="1">
        <f t="array" ref="BY174">BX174*S*Linterp(BV$90,atmos_h,atmos_qms)*BU174^2</f>
        <v>2053.4429516926612</v>
      </c>
      <c r="BZ174" cm="1">
        <f t="array" ref="BZ174">BU174*Linterp(BV$90,atmos_h,atmos_aspeed)</f>
        <v>997.14352573407689</v>
      </c>
      <c r="CA174" s="162">
        <f t="shared" si="37"/>
        <v>4916.8149648317167</v>
      </c>
      <c r="CC174">
        <v>1.03</v>
      </c>
      <c r="CD174" cm="1">
        <f t="array" ref="CD174">numeng*InterpolateXY(CD$90,CC174,Tmax_h,Tmax_M,Tmax_table)</f>
        <v>2181.2832319666286</v>
      </c>
      <c r="CE174" cm="1">
        <f t="array" ref="CE174">1*CD$91/(S*Linterp(CD$90,atmos_h,atmos_qms)*CC174^2)</f>
        <v>0.25716548709767051</v>
      </c>
      <c r="CF174" cm="1">
        <f t="array" ref="CF174">InterpolateXY(CE174,CC174,CD_CL,CD_M,CD_table)</f>
        <v>4.538587546861135E-2</v>
      </c>
      <c r="CG174" cm="1">
        <f t="array" ref="CG174">CF174*S*Linterp(CD$90,atmos_h,atmos_qms)*CC174^2</f>
        <v>1764.8509518454146</v>
      </c>
      <c r="CH174" cm="1">
        <f t="array" ref="CH174">CC174*Linterp(CD$90,atmos_h,atmos_aspeed)</f>
        <v>997.14352573407689</v>
      </c>
      <c r="CI174" s="162">
        <f t="shared" si="38"/>
        <v>2491.4565121772885</v>
      </c>
      <c r="CK174">
        <v>1.03</v>
      </c>
      <c r="CL174" cm="1">
        <f t="array" ref="CL174">numeng*InterpolateXY(CL$90,CK174,Tmax_h,Tmax_M,Tmax_table)</f>
        <v>1589.8753913817225</v>
      </c>
      <c r="CM174" cm="1">
        <f t="array" ref="CM174">1*CL$91/(S*Linterp(CL$90,atmos_h,atmos_qms)*CK174^2)</f>
        <v>0.32702554801660427</v>
      </c>
      <c r="CN174" cm="1">
        <f t="array" ref="CN174">InterpolateXY(CM174,CK174,CD_CL,CD_M,CD_table)</f>
        <v>5.0863108172616384E-2</v>
      </c>
      <c r="CO174" cm="1">
        <f t="array" ref="CO174">CN174*S*Linterp(CL$90,atmos_h,atmos_qms)*CK174^2</f>
        <v>1555.3252178950215</v>
      </c>
      <c r="CP174" cm="1">
        <f t="array" ref="CP174">CK174*Linterp(CL$90,atmos_h,atmos_aspeed)</f>
        <v>997.14352573407689</v>
      </c>
      <c r="CQ174" s="162">
        <f t="shared" si="39"/>
        <v>206.708890831518</v>
      </c>
    </row>
    <row r="175" spans="9:95">
      <c r="I175">
        <v>1.04</v>
      </c>
      <c r="J175" cm="1">
        <f t="array" ref="J175">numeng*InterpolateXY(J$90,I175,Tmax_h,Tmax_M,Tmax_table)</f>
        <v>7996</v>
      </c>
      <c r="K175" cm="1">
        <f t="array" ref="K175">1*J$91/(S*Linterp(J$90,atmos_h,atmos_qms)*I175^2)</f>
        <v>3.6713479417667554E-2</v>
      </c>
      <c r="L175" cm="1">
        <f t="array" ref="L175">InterpolateXY(K175,I175,CD_CL,CD_M,CD_table)</f>
        <v>3.7025002755672644E-2</v>
      </c>
      <c r="M175" cm="1">
        <f t="array" ref="M175">L175*S*Linterp(J$90,atmos_h,atmos_qms)*I175^2</f>
        <v>10084.852578112001</v>
      </c>
      <c r="N175" cm="1">
        <f t="array" ref="N175">I175*Linterp(J$90,atmos_h,atmos_aspeed)</f>
        <v>1161.1080000000002</v>
      </c>
      <c r="O175" s="162">
        <f t="shared" si="40"/>
        <v>-14552.300635598815</v>
      </c>
      <c r="Q175">
        <v>1.04</v>
      </c>
      <c r="R175" cm="1">
        <f t="array" ref="R175">numeng*InterpolateXY(R$90,Q175,Tmax_h,Tmax_M,Tmax_table)</f>
        <v>7427.5786208455529</v>
      </c>
      <c r="S175" cm="1">
        <f t="array" ref="S175">1*R$91/(S*Linterp(R$90,atmos_h,atmos_qms)*Q175^2)</f>
        <v>4.4124281714137591E-2</v>
      </c>
      <c r="T175" cm="1">
        <f t="array" ref="T175">InterpolateXY(S175,Q175,CD_CL,CD_M,CD_table)</f>
        <v>3.7130977228512163E-2</v>
      </c>
      <c r="U175" cm="1">
        <f t="array" ref="U175">T175*S*Linterp(R$90,atmos_h,atmos_qms)*Q175^2</f>
        <v>8415.0893308740833</v>
      </c>
      <c r="V175" cm="1">
        <f t="array" ref="V175">Q175*Linterp(R$90,atmos_h,atmos_aspeed)</f>
        <v>1140.9761234250584</v>
      </c>
      <c r="W175" s="162">
        <f t="shared" si="30"/>
        <v>-6760.3568506144766</v>
      </c>
      <c r="Y175">
        <v>1.04</v>
      </c>
      <c r="Z175" cm="1">
        <f t="array" ref="Z175">numeng*InterpolateXY(Z$90,Y175,Tmax_h,Tmax_M,Tmax_table)</f>
        <v>6826.4637658311094</v>
      </c>
      <c r="AA175" cm="1">
        <f t="array" ref="AA175">1*Z$91/(S*Linterp(Z$90,atmos_h,atmos_qms)*Y175^2)</f>
        <v>5.3385663309833443E-2</v>
      </c>
      <c r="AB175" cm="1">
        <f t="array" ref="AB175">InterpolateXY(AA175,Y175,CD_CL,CD_M,CD_table)</f>
        <v>3.7263414985330617E-2</v>
      </c>
      <c r="AC175" cm="1">
        <f t="array" ref="AC175">AB175*S*Linterp(Z$90,atmos_h,atmos_qms)*Y175^2</f>
        <v>6980.0415832740682</v>
      </c>
      <c r="AD175" cm="1">
        <f t="array" ref="AD175">Y175*Linterp(Z$90,atmos_h,atmos_aspeed)</f>
        <v>1120.4825928090754</v>
      </c>
      <c r="AE175" s="162">
        <f t="shared" si="31"/>
        <v>-1032.487626518672</v>
      </c>
      <c r="AG175">
        <v>1.04</v>
      </c>
      <c r="AH175" cm="1">
        <f t="array" ref="AH175">numeng*InterpolateXY(AH$90,AG175,Tmax_h,Tmax_M,Tmax_table)</f>
        <v>6078.3867622210082</v>
      </c>
      <c r="AI175" cm="1">
        <f t="array" ref="AI175">1*AH$91/(S*Linterp(AH$90,atmos_h,atmos_qms)*AG175^2)</f>
        <v>6.5055549288274298E-2</v>
      </c>
      <c r="AJ175" cm="1">
        <f t="array" ref="AJ175">InterpolateXY(AI175,AG175,CD_CL,CD_M,CD_table)</f>
        <v>3.743029435482232E-2</v>
      </c>
      <c r="AK175" cm="1">
        <f t="array" ref="AK175">AJ175*S*Linterp(AH$90,atmos_h,atmos_qms)*AG175^2</f>
        <v>5753.5897804753158</v>
      </c>
      <c r="AL175" cm="1">
        <f t="array" ref="AL175">AG175*Linterp(AH$90,atmos_h,atmos_aspeed)</f>
        <v>1099.6071877494353</v>
      </c>
      <c r="AM175" s="162">
        <f t="shared" si="32"/>
        <v>2142.8945741213129</v>
      </c>
      <c r="AO175">
        <v>1.04</v>
      </c>
      <c r="AP175" cm="1">
        <f t="array" ref="AP175">numeng*InterpolateXY(AP$90,AO175,Tmax_h,Tmax_M,Tmax_table)</f>
        <v>5368.5516822421187</v>
      </c>
      <c r="AQ175" cm="1">
        <f t="array" ref="AQ175">1*AP$91/(S*Linterp(AP$90,atmos_h,atmos_qms)*AO175^2)</f>
        <v>7.9891418303709147E-2</v>
      </c>
      <c r="AR175" cm="1">
        <f t="array" ref="AR175">InterpolateXY(AQ175,AO175,CD_CL,CD_M,CD_table)</f>
        <v>3.7642447281743041E-2</v>
      </c>
      <c r="AS175" cm="1">
        <f t="array" ref="AS175">AR175*S*Linterp(AP$90,atmos_h,atmos_qms)*AO175^2</f>
        <v>4711.7009662595274</v>
      </c>
      <c r="AT175" cm="1">
        <f t="array" ref="AT175">AO175*Linterp(AP$90,atmos_h,atmos_aspeed)</f>
        <v>1078.3277302899596</v>
      </c>
      <c r="AU175" s="162">
        <f t="shared" si="33"/>
        <v>4249.8020502290556</v>
      </c>
      <c r="AW175">
        <v>1.04</v>
      </c>
      <c r="AX175" cm="1">
        <f t="array" ref="AX175">numeng*InterpolateXY(AX$90,AW175,Tmax_h,Tmax_M,Tmax_table)</f>
        <v>4701.6071673474253</v>
      </c>
      <c r="AY175" cm="1">
        <f t="array" ref="AY175">1*AX$91/(S*Linterp(AX$90,atmos_h,atmos_qms)*AW175^2)</f>
        <v>9.8933885724864973E-2</v>
      </c>
      <c r="AZ175" cm="1">
        <f t="array" ref="AZ175">InterpolateXY(AY175,AW175,CD_CL,CD_M,CD_table)</f>
        <v>3.7914754565865565E-2</v>
      </c>
      <c r="BA175" cm="1">
        <f t="array" ref="BA175">AZ175*S*Linterp(AX$90,atmos_h,atmos_qms)*AW175^2</f>
        <v>3832.3325004444341</v>
      </c>
      <c r="BB175" cm="1">
        <f t="array" ref="BB175">AW175*Linterp(AX$90,atmos_h,atmos_aspeed)</f>
        <v>1056.6198088595395</v>
      </c>
      <c r="BC175" s="162">
        <f t="shared" si="34"/>
        <v>5510.9569943368706</v>
      </c>
      <c r="BE175">
        <v>1.04</v>
      </c>
      <c r="BF175" cm="1">
        <f t="array" ref="BF175">numeng*InterpolateXY(BF$90,BE175,Tmax_h,Tmax_M,Tmax_table)</f>
        <v>4080.9785306850781</v>
      </c>
      <c r="BG175" cm="1">
        <f t="array" ref="BG175">1*BF$91/(S*Linterp(BF$90,atmos_h,atmos_qms)*BE175^2)</f>
        <v>0.12363088459138254</v>
      </c>
      <c r="BH175" cm="1">
        <f t="array" ref="BH175">InterpolateXY(BG175,BE175,CD_CL,CD_M,CD_table)</f>
        <v>3.8943764948970311E-2</v>
      </c>
      <c r="BI175" cm="1">
        <f t="array" ref="BI175">BH175*S*Linterp(BF$90,atmos_h,atmos_qms)*BE175^2</f>
        <v>3150.0029363766935</v>
      </c>
      <c r="BJ175" cm="1">
        <f t="array" ref="BJ175">BE175*Linterp(BF$90,atmos_h,atmos_aspeed)</f>
        <v>1034.4564500434242</v>
      </c>
      <c r="BK175" s="162">
        <f t="shared" si="35"/>
        <v>5778.3222501919117</v>
      </c>
      <c r="BM175">
        <v>1.04</v>
      </c>
      <c r="BN175" cm="1">
        <f t="array" ref="BN175">numeng*InterpolateXY(BN$90,BM175,Tmax_h,Tmax_M,Tmax_table)</f>
        <v>3508.9713964010211</v>
      </c>
      <c r="BO175" cm="1">
        <f t="array" ref="BO175">1*BN$91/(S*Linterp(BN$90,atmos_h,atmos_qms)*BM175^2)</f>
        <v>0.15602514249679095</v>
      </c>
      <c r="BP175" cm="1">
        <f t="array" ref="BP175">InterpolateXY(BO175,BM175,CD_CL,CD_M,CD_table)</f>
        <v>4.0333478613112331E-2</v>
      </c>
      <c r="BQ175" cm="1">
        <f t="array" ref="BQ175">BP175*S*Linterp(BN$90,atmos_h,atmos_qms)*BM175^2</f>
        <v>2585.0627640953371</v>
      </c>
      <c r="BR175" cm="1">
        <f t="array" ref="BR175">BM175*Linterp(BN$90,atmos_h,atmos_aspeed)</f>
        <v>1011.8077256072507</v>
      </c>
      <c r="BS175" s="162">
        <f t="shared" si="36"/>
        <v>5608.9073515327191</v>
      </c>
      <c r="BU175">
        <v>1.04</v>
      </c>
      <c r="BV175" cm="1">
        <f t="array" ref="BV175">numeng*InterpolateXY(BV$90,BU175,Tmax_h,Tmax_M,Tmax_table)</f>
        <v>2890.0297798682413</v>
      </c>
      <c r="BW175" cm="1">
        <f t="array" ref="BW175">1*BV$91/(S*Linterp(BV$90,atmos_h,atmos_qms)*BU175^2)</f>
        <v>0.19835879256495567</v>
      </c>
      <c r="BX175" cm="1">
        <f t="array" ref="BX175">InterpolateXY(BW175,BU175,CD_CL,CD_M,CD_table)</f>
        <v>4.2149592201036597E-2</v>
      </c>
      <c r="BY175" cm="1">
        <f t="array" ref="BY175">BX175*S*Linterp(BV$90,atmos_h,atmos_qms)*BU175^2</f>
        <v>2124.916755945369</v>
      </c>
      <c r="BZ175" cm="1">
        <f t="array" ref="BZ175">BU175*Linterp(BV$90,atmos_h,atmos_aspeed)</f>
        <v>1006.8245308382911</v>
      </c>
      <c r="CA175" s="162">
        <f t="shared" si="37"/>
        <v>4622.0073680964733</v>
      </c>
      <c r="CC175">
        <v>1.04</v>
      </c>
      <c r="CD175" cm="1">
        <f t="array" ref="CD175">numeng*InterpolateXY(CD$90,CC175,Tmax_h,Tmax_M,Tmax_table)</f>
        <v>2192.1238302085644</v>
      </c>
      <c r="CE175" cm="1">
        <f t="array" ref="CE175">1*CD$91/(S*Linterp(CD$90,atmos_h,atmos_qms)*CC175^2)</f>
        <v>0.25224377335606379</v>
      </c>
      <c r="CF175" cm="1">
        <f t="array" ref="CF175">InterpolateXY(CE175,CC175,CD_CL,CD_M,CD_table)</f>
        <v>4.5955429794958563E-2</v>
      </c>
      <c r="CG175" cm="1">
        <f t="array" ref="CG175">CF175*S*Linterp(CD$90,atmos_h,atmos_qms)*CC175^2</f>
        <v>1821.865776250045</v>
      </c>
      <c r="CH175" cm="1">
        <f t="array" ref="CH175">CC175*Linterp(CD$90,atmos_h,atmos_aspeed)</f>
        <v>1006.8245308382911</v>
      </c>
      <c r="CI175" s="162">
        <f t="shared" si="38"/>
        <v>2236.7093487953102</v>
      </c>
      <c r="CK175">
        <v>1.04</v>
      </c>
      <c r="CL175" cm="1">
        <f t="array" ref="CL175">numeng*InterpolateXY(CL$90,CK175,Tmax_h,Tmax_M,Tmax_table)</f>
        <v>1597.182363689873</v>
      </c>
      <c r="CM175" cm="1">
        <f t="array" ref="CM175">1*CL$91/(S*Linterp(CL$90,atmos_h,atmos_qms)*CK175^2)</f>
        <v>0.32076683052035454</v>
      </c>
      <c r="CN175" cm="1">
        <f t="array" ref="CN175">InterpolateXY(CM175,CK175,CD_CL,CD_M,CD_table)</f>
        <v>5.1300276896866955E-2</v>
      </c>
      <c r="CO175" cm="1">
        <f t="array" ref="CO175">CN175*S*Linterp(CL$90,atmos_h,atmos_qms)*CK175^2</f>
        <v>1599.3011750512544</v>
      </c>
      <c r="CP175" cm="1">
        <f t="array" ref="CP175">CK175*Linterp(CL$90,atmos_h,atmos_aspeed)</f>
        <v>1006.8245308382911</v>
      </c>
      <c r="CQ175" s="162">
        <f t="shared" si="39"/>
        <v>-12.799627529146036</v>
      </c>
    </row>
    <row r="176" spans="9:95">
      <c r="I176">
        <v>1.05</v>
      </c>
      <c r="J176" cm="1">
        <f t="array" ref="J176">numeng*InterpolateXY(J$90,I176,Tmax_h,Tmax_M,Tmax_table)</f>
        <v>8020</v>
      </c>
      <c r="K176" cm="1">
        <f t="array" ref="K176">1*J$91/(S*Linterp(J$90,atmos_h,atmos_qms)*I176^2)</f>
        <v>3.6017505068616076E-2</v>
      </c>
      <c r="L176" cm="1">
        <f t="array" ref="L176">InterpolateXY(K176,I176,CD_CL,CD_M,CD_table)</f>
        <v>3.7527656449255223E-2</v>
      </c>
      <c r="M176" cm="1">
        <f t="array" ref="M176">L176*S*Linterp(J$90,atmos_h,atmos_qms)*I176^2</f>
        <v>10419.282617649998</v>
      </c>
      <c r="N176" cm="1">
        <f t="array" ref="N176">I176*Linterp(J$90,atmos_h,atmos_aspeed)</f>
        <v>1172.2725</v>
      </c>
      <c r="O176" s="162">
        <f t="shared" si="40"/>
        <v>-16875.678194394644</v>
      </c>
      <c r="Q176">
        <v>1.05</v>
      </c>
      <c r="R176" cm="1">
        <f t="array" ref="R176">numeng*InterpolateXY(R$90,Q176,Tmax_h,Tmax_M,Tmax_table)</f>
        <v>7453.4286624494234</v>
      </c>
      <c r="S176" cm="1">
        <f t="array" ref="S176">1*R$91/(S*Linterp(R$90,atmos_h,atmos_qms)*Q176^2)</f>
        <v>4.3287821407719924E-2</v>
      </c>
      <c r="T176" cm="1">
        <f t="array" ref="T176">InterpolateXY(S176,Q176,CD_CL,CD_M,CD_table)</f>
        <v>3.7634166583623091E-2</v>
      </c>
      <c r="U176" cm="1">
        <f t="array" ref="U176">T176*S*Linterp(R$90,atmos_h,atmos_qms)*Q176^2</f>
        <v>8693.9387014083895</v>
      </c>
      <c r="V176" cm="1">
        <f t="array" ref="V176">Q176*Linterp(R$90,atmos_h,atmos_aspeed)</f>
        <v>1151.9470476887609</v>
      </c>
      <c r="W176" s="162">
        <f t="shared" si="30"/>
        <v>-8574.0112620423042</v>
      </c>
      <c r="Y176">
        <v>1.05</v>
      </c>
      <c r="Z176" cm="1">
        <f t="array" ref="Z176">numeng*InterpolateXY(Z$90,Y176,Tmax_h,Tmax_M,Tmax_table)</f>
        <v>6853.0488692030176</v>
      </c>
      <c r="AA176" cm="1">
        <f t="array" ref="AA176">1*Z$91/(S*Linterp(Z$90,atmos_h,atmos_qms)*Y176^2)</f>
        <v>5.2373635769538192E-2</v>
      </c>
      <c r="AB176" cm="1">
        <f t="array" ref="AB176">InterpolateXY(AA176,Y176,CD_CL,CD_M,CD_table)</f>
        <v>3.7767273764023737E-2</v>
      </c>
      <c r="AC176" cm="1">
        <f t="array" ref="AC176">AB176*S*Linterp(Z$90,atmos_h,atmos_qms)*Y176^2</f>
        <v>7211.1231555916011</v>
      </c>
      <c r="AD176" cm="1">
        <f t="array" ref="AD176">Y176*Linterp(Z$90,atmos_h,atmos_aspeed)</f>
        <v>1131.2564638937781</v>
      </c>
      <c r="AE176" s="162">
        <f t="shared" si="31"/>
        <v>-2430.4431061874216</v>
      </c>
      <c r="AG176">
        <v>1.05</v>
      </c>
      <c r="AH176" cm="1">
        <f t="array" ref="AH176">numeng*InterpolateXY(AH$90,AG176,Tmax_h,Tmax_M,Tmax_table)</f>
        <v>6103.5560655842419</v>
      </c>
      <c r="AI176" cm="1">
        <f t="array" ref="AI176">1*AH$91/(S*Linterp(AH$90,atmos_h,atmos_qms)*AG176^2)</f>
        <v>6.3822296698591838E-2</v>
      </c>
      <c r="AJ176" cm="1">
        <f t="array" ref="AJ176">InterpolateXY(AI176,AG176,CD_CL,CD_M,CD_table)</f>
        <v>3.793499664663437E-2</v>
      </c>
      <c r="AK176" cm="1">
        <f t="array" ref="AK176">AJ176*S*Linterp(AH$90,atmos_h,atmos_qms)*AG176^2</f>
        <v>5943.8469953199547</v>
      </c>
      <c r="AL176" cm="1">
        <f t="array" ref="AL176">AG176*Linterp(AH$90,atmos_h,atmos_aspeed)</f>
        <v>1110.1803337854876</v>
      </c>
      <c r="AM176" s="162">
        <f t="shared" si="32"/>
        <v>1063.8352136074577</v>
      </c>
      <c r="AO176">
        <v>1.05</v>
      </c>
      <c r="AP176" cm="1">
        <f t="array" ref="AP176">numeng*InterpolateXY(AP$90,AO176,Tmax_h,Tmax_M,Tmax_table)</f>
        <v>5391.9951393698138</v>
      </c>
      <c r="AQ176" cm="1">
        <f t="array" ref="AQ176">1*AP$91/(S*Linterp(AP$90,atmos_h,atmos_qms)*AO176^2)</f>
        <v>7.8376923389833847E-2</v>
      </c>
      <c r="AR176" cm="1">
        <f t="array" ref="AR176">InterpolateXY(AQ176,AO176,CD_CL,CD_M,CD_table)</f>
        <v>3.8148221927661069E-2</v>
      </c>
      <c r="AS176" cm="1">
        <f t="array" ref="AS176">AR176*S*Linterp(AP$90,atmos_h,atmos_qms)*AO176^2</f>
        <v>4867.2772900153441</v>
      </c>
      <c r="AT176" cm="1">
        <f t="array" ref="AT176">AO176*Linterp(AP$90,atmos_h,atmos_aspeed)</f>
        <v>1088.6962661581324</v>
      </c>
      <c r="AU176" s="162">
        <f t="shared" si="33"/>
        <v>3427.5501802724198</v>
      </c>
      <c r="AW176">
        <v>1.05</v>
      </c>
      <c r="AX176" cm="1">
        <f t="array" ref="AX176">numeng*InterpolateXY(AX$90,AW176,Tmax_h,Tmax_M,Tmax_table)</f>
        <v>4723.1166168358614</v>
      </c>
      <c r="AY176" cm="1">
        <f t="array" ref="AY176">1*AX$91/(S*Linterp(AX$90,atmos_h,atmos_qms)*AW176^2)</f>
        <v>9.7058404353754152E-2</v>
      </c>
      <c r="AZ176" cm="1">
        <f t="array" ref="AZ176">InterpolateXY(AY176,AW176,CD_CL,CD_M,CD_table)</f>
        <v>3.8421905623782497E-2</v>
      </c>
      <c r="BA176" cm="1">
        <f t="array" ref="BA176">AZ176*S*Linterp(AX$90,atmos_h,atmos_qms)*AW176^2</f>
        <v>3958.6376759032678</v>
      </c>
      <c r="BB176" cm="1">
        <f t="array" ref="BB176">AW176*Linterp(AX$90,atmos_h,atmos_aspeed)</f>
        <v>1066.7796147139582</v>
      </c>
      <c r="BC176" s="162">
        <f t="shared" si="34"/>
        <v>4893.1833003900419</v>
      </c>
      <c r="BE176">
        <v>1.05</v>
      </c>
      <c r="BF176" cm="1">
        <f t="array" ref="BF176">numeng*InterpolateXY(BF$90,BE176,Tmax_h,Tmax_M,Tmax_table)</f>
        <v>4100.4331404756558</v>
      </c>
      <c r="BG176" cm="1">
        <f t="array" ref="BG176">1*BF$91/(S*Linterp(BF$90,atmos_h,atmos_qms)*BE176^2)</f>
        <v>0.12128722428484295</v>
      </c>
      <c r="BH176" cm="1">
        <f t="array" ref="BH176">InterpolateXY(BG176,BE176,CD_CL,CD_M,CD_table)</f>
        <v>3.9400573507318848E-2</v>
      </c>
      <c r="BI176" cm="1">
        <f t="array" ref="BI176">BH176*S*Linterp(BF$90,atmos_h,atmos_qms)*BE176^2</f>
        <v>3248.5345212276134</v>
      </c>
      <c r="BJ176" cm="1">
        <f t="array" ref="BJ176">BE176*Linterp(BF$90,atmos_h,atmos_aspeed)</f>
        <v>1044.4031466784572</v>
      </c>
      <c r="BK176" s="162">
        <f t="shared" si="35"/>
        <v>5338.3535915621314</v>
      </c>
      <c r="BM176">
        <v>1.05</v>
      </c>
      <c r="BN176" cm="1">
        <f t="array" ref="BN176">numeng*InterpolateXY(BN$90,BM176,Tmax_h,Tmax_M,Tmax_table)</f>
        <v>3526.3241337904997</v>
      </c>
      <c r="BO176" cm="1">
        <f t="array" ref="BO176">1*BN$91/(S*Linterp(BN$90,atmos_h,atmos_qms)*BM176^2)</f>
        <v>0.15306738696102412</v>
      </c>
      <c r="BP176" cm="1">
        <f t="array" ref="BP176">InterpolateXY(BO176,BM176,CD_CL,CD_M,CD_table)</f>
        <v>4.0797311656937008E-2</v>
      </c>
      <c r="BQ176" cm="1">
        <f t="array" ref="BQ176">BP176*S*Linterp(BN$90,atmos_h,atmos_qms)*BM176^2</f>
        <v>2665.3170519808582</v>
      </c>
      <c r="BR176" cm="1">
        <f t="array" ref="BR176">BM176*Linterp(BN$90,atmos_h,atmos_aspeed)</f>
        <v>1021.5366460457819</v>
      </c>
      <c r="BS176" s="162">
        <f t="shared" si="36"/>
        <v>5277.301719440924</v>
      </c>
      <c r="BU176">
        <v>1.05</v>
      </c>
      <c r="BV176" cm="1">
        <f t="array" ref="BV176">numeng*InterpolateXY(BV$90,BU176,Tmax_h,Tmax_M,Tmax_table)</f>
        <v>2904.7999491009577</v>
      </c>
      <c r="BW176" cm="1">
        <f t="array" ref="BW176">1*BV$91/(S*Linterp(BV$90,atmos_h,atmos_qms)*BU176^2)</f>
        <v>0.1945985215766495</v>
      </c>
      <c r="BX176" cm="1">
        <f t="array" ref="BX176">InterpolateXY(BW176,BU176,CD_CL,CD_M,CD_table)</f>
        <v>4.2622605023293743E-2</v>
      </c>
      <c r="BY176" cm="1">
        <f t="array" ref="BY176">BX176*S*Linterp(BV$90,atmos_h,atmos_qms)*BU176^2</f>
        <v>2190.2841130530032</v>
      </c>
      <c r="BZ176" cm="1">
        <f t="array" ref="BZ176">BU176*Linterp(BV$90,atmos_h,atmos_aspeed)</f>
        <v>1016.5055359425055</v>
      </c>
      <c r="CA176" s="162">
        <f t="shared" si="37"/>
        <v>4357.8558171680006</v>
      </c>
      <c r="CC176">
        <v>1.05</v>
      </c>
      <c r="CD176" cm="1">
        <f t="array" ref="CD176">numeng*InterpolateXY(CD$90,CC176,Tmax_h,Tmax_M,Tmax_table)</f>
        <v>2202.9644284505002</v>
      </c>
      <c r="CE176" cm="1">
        <f t="array" ref="CE176">1*CD$91/(S*Linterp(CD$90,atmos_h,atmos_qms)*CC176^2)</f>
        <v>0.24746200930786269</v>
      </c>
      <c r="CF176" cm="1">
        <f t="array" ref="CF176">InterpolateXY(CE176,CC176,CD_CL,CD_M,CD_table)</f>
        <v>4.6336592181800945E-2</v>
      </c>
      <c r="CG176" cm="1">
        <f t="array" ref="CG176">CF176*S*Linterp(CD$90,atmos_h,atmos_qms)*CC176^2</f>
        <v>1872.4729630783238</v>
      </c>
      <c r="CH176" cm="1">
        <f t="array" ref="CH176">CC176*Linterp(CD$90,atmos_h,atmos_aspeed)</f>
        <v>1016.5055359425055</v>
      </c>
      <c r="CI176" s="162">
        <f t="shared" si="38"/>
        <v>2015.6784247954092</v>
      </c>
      <c r="CK176">
        <v>1.05</v>
      </c>
      <c r="CL176" cm="1">
        <f t="array" ref="CL176">numeng*InterpolateXY(CL$90,CK176,Tmax_h,Tmax_M,Tmax_table)</f>
        <v>1604.4893359980233</v>
      </c>
      <c r="CM176" cm="1">
        <f t="array" ref="CM176">1*CL$91/(S*Linterp(CL$90,atmos_h,atmos_qms)*CK176^2)</f>
        <v>0.31468608062658998</v>
      </c>
      <c r="CN176" cm="1">
        <f t="array" ref="CN176">InterpolateXY(CM176,CK176,CD_CL,CD_M,CD_table)</f>
        <v>5.1583482027667028E-2</v>
      </c>
      <c r="CO176" cm="1">
        <f t="array" ref="CO176">CN176*S*Linterp(CL$90,atmos_h,atmos_qms)*CK176^2</f>
        <v>1639.2044390700767</v>
      </c>
      <c r="CP176" cm="1">
        <f t="array" ref="CP176">CK176*Linterp(CL$90,atmos_h,atmos_aspeed)</f>
        <v>1016.5055359425055</v>
      </c>
      <c r="CQ176" s="162">
        <f t="shared" si="39"/>
        <v>-211.72856672134148</v>
      </c>
    </row>
    <row r="177" spans="9:95">
      <c r="I177">
        <v>1.06</v>
      </c>
      <c r="J177" cm="1">
        <f t="array" ref="J177">numeng*InterpolateXY(J$90,I177,Tmax_h,Tmax_M,Tmax_table)</f>
        <v>8044</v>
      </c>
      <c r="K177" cm="1">
        <f t="array" ref="K177">1*J$91/(S*Linterp(J$90,atmos_h,atmos_qms)*I177^2)</f>
        <v>3.5341135046412619E-2</v>
      </c>
      <c r="L177" cm="1">
        <f t="array" ref="L177">InterpolateXY(K177,I177,CD_CL,CD_M,CD_table)</f>
        <v>3.803011702569619E-2</v>
      </c>
      <c r="M177" cm="1">
        <f t="array" ref="M177">L177*S*Linterp(J$90,atmos_h,atmos_qms)*I177^2</f>
        <v>10760.864634300002</v>
      </c>
      <c r="N177" cm="1">
        <f t="array" ref="N177">I177*Linterp(J$90,atmos_h,atmos_aspeed)</f>
        <v>1183.4370000000001</v>
      </c>
      <c r="O177" s="162">
        <f t="shared" si="40"/>
        <v>-19291.42879333255</v>
      </c>
      <c r="Q177">
        <v>1.06</v>
      </c>
      <c r="R177" cm="1">
        <f t="array" ref="R177">numeng*InterpolateXY(R$90,Q177,Tmax_h,Tmax_M,Tmax_table)</f>
        <v>7479.2787040532939</v>
      </c>
      <c r="S177" cm="1">
        <f t="array" ref="S177">1*R$91/(S*Linterp(R$90,atmos_h,atmos_qms)*Q177^2)</f>
        <v>4.247492266109934E-2</v>
      </c>
      <c r="T177" cm="1">
        <f t="array" ref="T177">InterpolateXY(S177,Q177,CD_CL,CD_M,CD_table)</f>
        <v>3.8137123839916492E-2</v>
      </c>
      <c r="U177" cm="1">
        <f t="array" ref="U177">T177*S*Linterp(R$90,atmos_h,atmos_qms)*Q177^2</f>
        <v>8978.7388535599111</v>
      </c>
      <c r="V177" cm="1">
        <f t="array" ref="V177">Q177*Linterp(R$90,atmos_h,atmos_aspeed)</f>
        <v>1162.9179719524634</v>
      </c>
      <c r="W177" s="162">
        <f t="shared" si="30"/>
        <v>-10462.494936526638</v>
      </c>
      <c r="Y177">
        <v>1.06</v>
      </c>
      <c r="Z177" cm="1">
        <f t="array" ref="Z177">numeng*InterpolateXY(Z$90,Y177,Tmax_h,Tmax_M,Tmax_table)</f>
        <v>6879.6339725749267</v>
      </c>
      <c r="AA177" cm="1">
        <f t="array" ref="AA177">1*Z$91/(S*Linterp(Z$90,atmos_h,atmos_qms)*Y177^2)</f>
        <v>5.1390115197504325E-2</v>
      </c>
      <c r="AB177" cm="1">
        <f t="array" ref="AB177">InterpolateXY(AA177,Y177,CD_CL,CD_M,CD_table)</f>
        <v>3.8270851727962567E-2</v>
      </c>
      <c r="AC177" cm="1">
        <f t="array" ref="AC177">AB177*S*Linterp(Z$90,atmos_h,atmos_qms)*Y177^2</f>
        <v>7447.1231638377676</v>
      </c>
      <c r="AD177" cm="1">
        <f t="array" ref="AD177">Y177*Linterp(Z$90,atmos_h,atmos_aspeed)</f>
        <v>1142.0303349784808</v>
      </c>
      <c r="AE177" s="162">
        <f t="shared" si="31"/>
        <v>-3888.5392271674164</v>
      </c>
      <c r="AG177">
        <v>1.06</v>
      </c>
      <c r="AH177" cm="1">
        <f t="array" ref="AH177">numeng*InterpolateXY(AH$90,AG177,Tmax_h,Tmax_M,Tmax_table)</f>
        <v>6128.7253689474755</v>
      </c>
      <c r="AI177" cm="1">
        <f t="array" ref="AI177">1*AH$91/(S*Linterp(AH$90,atmos_h,atmos_qms)*AG177^2)</f>
        <v>6.2623782582945431E-2</v>
      </c>
      <c r="AJ177" cm="1">
        <f t="array" ref="AJ177">InterpolateXY(AI177,AG177,CD_CL,CD_M,CD_table)</f>
        <v>3.8439356738744178E-2</v>
      </c>
      <c r="AK177" cm="1">
        <f t="array" ref="AK177">AJ177*S*Linterp(AH$90,atmos_h,atmos_qms)*AG177^2</f>
        <v>6138.1403603065837</v>
      </c>
      <c r="AL177" cm="1">
        <f t="array" ref="AL177">AG177*Linterp(AH$90,atmos_h,atmos_aspeed)</f>
        <v>1120.7534798215399</v>
      </c>
      <c r="AM177" s="162">
        <f t="shared" si="32"/>
        <v>-63.311305969261284</v>
      </c>
      <c r="AO177">
        <v>1.06</v>
      </c>
      <c r="AP177" cm="1">
        <f t="array" ref="AP177">numeng*InterpolateXY(AP$90,AO177,Tmax_h,Tmax_M,Tmax_table)</f>
        <v>5415.438596497509</v>
      </c>
      <c r="AQ177" cm="1">
        <f t="array" ref="AQ177">1*AP$91/(S*Linterp(AP$90,atmos_h,atmos_qms)*AO177^2)</f>
        <v>7.6905089032833565E-2</v>
      </c>
      <c r="AR177" cm="1">
        <f t="array" ref="AR177">InterpolateXY(AQ177,AO177,CD_CL,CD_M,CD_table)</f>
        <v>3.8653576335492504E-2</v>
      </c>
      <c r="AS177" cm="1">
        <f t="array" ref="AS177">AR177*S*Linterp(AP$90,atmos_h,atmos_qms)*AO177^2</f>
        <v>5026.1402491829758</v>
      </c>
      <c r="AT177" cm="1">
        <f t="array" ref="AT177">AO177*Linterp(AP$90,atmos_h,atmos_aspeed)</f>
        <v>1099.0648020263052</v>
      </c>
      <c r="AU177" s="162">
        <f t="shared" si="33"/>
        <v>2567.1846661224913</v>
      </c>
      <c r="AW177">
        <v>1.06</v>
      </c>
      <c r="AX177" cm="1">
        <f t="array" ref="AX177">numeng*InterpolateXY(AX$90,AW177,Tmax_h,Tmax_M,Tmax_table)</f>
        <v>4744.6260663242983</v>
      </c>
      <c r="AY177" cm="1">
        <f t="array" ref="AY177">1*AX$91/(S*Linterp(AX$90,atmos_h,atmos_qms)*AW177^2)</f>
        <v>9.5235751869004931E-2</v>
      </c>
      <c r="AZ177" cm="1">
        <f t="array" ref="AZ177">InterpolateXY(AY177,AW177,CD_CL,CD_M,CD_table)</f>
        <v>3.8928536278035074E-2</v>
      </c>
      <c r="BA177" cm="1">
        <f t="array" ref="BA177">AZ177*S*Linterp(AX$90,atmos_h,atmos_qms)*AW177^2</f>
        <v>4087.5968860497446</v>
      </c>
      <c r="BB177" cm="1">
        <f t="array" ref="BB177">AW177*Linterp(AX$90,atmos_h,atmos_aspeed)</f>
        <v>1076.9394205683768</v>
      </c>
      <c r="BC177" s="162">
        <f t="shared" si="34"/>
        <v>4245.4837482083603</v>
      </c>
      <c r="BE177">
        <v>1.06</v>
      </c>
      <c r="BF177" cm="1">
        <f t="array" ref="BF177">numeng*InterpolateXY(BF$90,BE177,Tmax_h,Tmax_M,Tmax_table)</f>
        <v>4119.8877502662344</v>
      </c>
      <c r="BG177" cm="1">
        <f t="array" ref="BG177">1*BF$91/(S*Linterp(BF$90,atmos_h,atmos_qms)*BE177^2)</f>
        <v>0.11900958061057258</v>
      </c>
      <c r="BH177" cm="1">
        <f t="array" ref="BH177">InterpolateXY(BG177,BE177,CD_CL,CD_M,CD_table)</f>
        <v>3.9855431127475763E-2</v>
      </c>
      <c r="BI177" cm="1">
        <f t="array" ref="BI177">BH177*S*Linterp(BF$90,atmos_h,atmos_qms)*BE177^2</f>
        <v>3348.9262732461966</v>
      </c>
      <c r="BJ177" cm="1">
        <f t="array" ref="BJ177">BE177*Linterp(BF$90,atmos_h,atmos_aspeed)</f>
        <v>1054.3498433134901</v>
      </c>
      <c r="BK177" s="162">
        <f t="shared" si="35"/>
        <v>4877.1786749808825</v>
      </c>
      <c r="BM177">
        <v>1.06</v>
      </c>
      <c r="BN177" cm="1">
        <f t="array" ref="BN177">numeng*InterpolateXY(BN$90,BM177,Tmax_h,Tmax_M,Tmax_table)</f>
        <v>3543.6768711799782</v>
      </c>
      <c r="BO177" cm="1">
        <f t="array" ref="BO177">1*BN$91/(S*Linterp(BN$90,atmos_h,atmos_qms)*BM177^2)</f>
        <v>0.15019294599904687</v>
      </c>
      <c r="BP177" cm="1">
        <f t="array" ref="BP177">InterpolateXY(BO177,BM177,CD_CL,CD_M,CD_table)</f>
        <v>4.1258682569957107E-2</v>
      </c>
      <c r="BQ177" cm="1">
        <f t="array" ref="BQ177">BP177*S*Linterp(BN$90,atmos_h,atmos_qms)*BM177^2</f>
        <v>2747.045295337567</v>
      </c>
      <c r="BR177" cm="1">
        <f t="array" ref="BR177">BM177*Linterp(BN$90,atmos_h,atmos_aspeed)</f>
        <v>1031.2655664843132</v>
      </c>
      <c r="BS177" s="162">
        <f t="shared" si="36"/>
        <v>4929.2322800424918</v>
      </c>
      <c r="BU177">
        <v>1.06</v>
      </c>
      <c r="BV177" cm="1">
        <f t="array" ref="BV177">numeng*InterpolateXY(BV$90,BU177,Tmax_h,Tmax_M,Tmax_table)</f>
        <v>2919.5701183336746</v>
      </c>
      <c r="BW177" cm="1">
        <f t="array" ref="BW177">1*BV$91/(S*Linterp(BV$90,atmos_h,atmos_qms)*BU177^2)</f>
        <v>0.19094417055736568</v>
      </c>
      <c r="BX177" cm="1">
        <f t="array" ref="BX177">InterpolateXY(BW177,BU177,CD_CL,CD_M,CD_table)</f>
        <v>4.3092487675081455E-2</v>
      </c>
      <c r="BY177" cm="1">
        <f t="array" ref="BY177">BX177*S*Linterp(BV$90,atmos_h,atmos_qms)*BU177^2</f>
        <v>2256.8108546751951</v>
      </c>
      <c r="BZ177" cm="1">
        <f t="array" ref="BZ177">BU177*Linterp(BV$90,atmos_h,atmos_aspeed)</f>
        <v>1026.1865410467199</v>
      </c>
      <c r="CA177" s="162">
        <f t="shared" si="37"/>
        <v>4080.6878179221972</v>
      </c>
      <c r="CC177">
        <v>1.06</v>
      </c>
      <c r="CD177" cm="1">
        <f t="array" ref="CD177">numeng*InterpolateXY(CD$90,CC177,Tmax_h,Tmax_M,Tmax_table)</f>
        <v>2213.8050266924356</v>
      </c>
      <c r="CE177" cm="1">
        <f t="array" ref="CE177">1*CD$91/(S*Linterp(CD$90,atmos_h,atmos_qms)*CC177^2)</f>
        <v>0.24281493882335226</v>
      </c>
      <c r="CF177" cm="1">
        <f t="array" ref="CF177">InterpolateXY(CE177,CC177,CD_CL,CD_M,CD_table)</f>
        <v>4.6711120411751419E-2</v>
      </c>
      <c r="CG177" cm="1">
        <f t="array" ref="CG177">CF177*S*Linterp(CD$90,atmos_h,atmos_qms)*CC177^2</f>
        <v>1923.7333846964718</v>
      </c>
      <c r="CH177" cm="1">
        <f t="array" ref="CH177">CC177*Linterp(CD$90,atmos_h,atmos_aspeed)</f>
        <v>1026.1865410467199</v>
      </c>
      <c r="CI177" s="162">
        <f t="shared" si="38"/>
        <v>1786.005689733483</v>
      </c>
      <c r="CK177">
        <v>1.06</v>
      </c>
      <c r="CL177" cm="1">
        <f t="array" ref="CL177">numeng*InterpolateXY(CL$90,CK177,Tmax_h,Tmax_M,Tmax_table)</f>
        <v>1611.7963083061736</v>
      </c>
      <c r="CM177" cm="1">
        <f t="array" ref="CM177">1*CL$91/(S*Linterp(CL$90,atmos_h,atmos_qms)*CK177^2)</f>
        <v>0.30877661435636827</v>
      </c>
      <c r="CN177" cm="1">
        <f t="array" ref="CN177">InterpolateXY(CM177,CK177,CD_CL,CD_M,CD_table)</f>
        <v>5.1855719899745904E-2</v>
      </c>
      <c r="CO177" cm="1">
        <f t="array" ref="CO177">CN177*S*Linterp(CL$90,atmos_h,atmos_qms)*CK177^2</f>
        <v>1679.3927224002032</v>
      </c>
      <c r="CP177" cm="1">
        <f t="array" ref="CP177">CK177*Linterp(CL$90,atmos_h,atmos_aspeed)</f>
        <v>1026.1865410467199</v>
      </c>
      <c r="CQ177" s="162">
        <f t="shared" si="39"/>
        <v>-416.19918219788366</v>
      </c>
    </row>
    <row r="178" spans="9:95">
      <c r="I178">
        <v>1.07</v>
      </c>
      <c r="J178" cm="1">
        <f t="array" ref="J178">numeng*InterpolateXY(J$90,I178,Tmax_h,Tmax_M,Tmax_table)</f>
        <v>8068</v>
      </c>
      <c r="K178" cm="1">
        <f t="array" ref="K178">1*J$91/(S*Linterp(J$90,atmos_h,atmos_qms)*I178^2)</f>
        <v>3.468363991453334E-2</v>
      </c>
      <c r="L178" cm="1">
        <f t="array" ref="L178">InterpolateXY(K178,I178,CD_CL,CD_M,CD_table)</f>
        <v>3.8534128054683814E-2</v>
      </c>
      <c r="M178" cm="1">
        <f t="array" ref="M178">L178*S*Linterp(J$90,atmos_h,atmos_qms)*I178^2</f>
        <v>11110.174177116</v>
      </c>
      <c r="N178" cm="1">
        <f t="array" ref="N178">I178*Linterp(J$90,atmos_h,atmos_aspeed)</f>
        <v>1194.6015000000002</v>
      </c>
      <c r="O178" s="162">
        <f t="shared" si="40"/>
        <v>-21805.115011464237</v>
      </c>
      <c r="Q178">
        <v>1.07</v>
      </c>
      <c r="R178" cm="1">
        <f t="array" ref="R178">numeng*InterpolateXY(R$90,Q178,Tmax_h,Tmax_M,Tmax_table)</f>
        <v>7505.1287456571654</v>
      </c>
      <c r="S178" cm="1">
        <f t="array" ref="S178">1*R$91/(S*Linterp(R$90,atmos_h,atmos_qms)*Q178^2)</f>
        <v>4.168470879728467E-2</v>
      </c>
      <c r="T178" cm="1">
        <f t="array" ref="T178">InterpolateXY(S178,Q178,CD_CL,CD_M,CD_table)</f>
        <v>3.8641944515478185E-2</v>
      </c>
      <c r="U178" cm="1">
        <f t="array" ref="U178">T178*S*Linterp(R$90,atmos_h,atmos_qms)*Q178^2</f>
        <v>9270.0526476978321</v>
      </c>
      <c r="V178" cm="1">
        <f t="array" ref="V178">Q178*Linterp(R$90,atmos_h,atmos_aspeed)</f>
        <v>1173.8888962161659</v>
      </c>
      <c r="W178" s="162">
        <f t="shared" si="30"/>
        <v>-12430.947427632282</v>
      </c>
      <c r="Y178">
        <v>1.07</v>
      </c>
      <c r="Z178" cm="1">
        <f t="array" ref="Z178">numeng*InterpolateXY(Z$90,Y178,Tmax_h,Tmax_M,Tmax_table)</f>
        <v>6906.2190759468349</v>
      </c>
      <c r="AA178" cm="1">
        <f t="array" ref="AA178">1*Z$91/(S*Linterp(Z$90,atmos_h,atmos_qms)*Y178^2)</f>
        <v>5.0434040908302787E-2</v>
      </c>
      <c r="AB178" cm="1">
        <f t="array" ref="AB178">InterpolateXY(AA178,Y178,CD_CL,CD_M,CD_table)</f>
        <v>3.8776684229987861E-2</v>
      </c>
      <c r="AC178" cm="1">
        <f t="array" ref="AC178">AB178*S*Linterp(Z$90,atmos_h,atmos_qms)*Y178^2</f>
        <v>7688.5935633216714</v>
      </c>
      <c r="AD178" cm="1">
        <f t="array" ref="AD178">Y178*Linterp(Z$90,atmos_h,atmos_aspeed)</f>
        <v>1152.8042060631835</v>
      </c>
      <c r="AE178" s="162">
        <f t="shared" si="31"/>
        <v>-5411.5475985734311</v>
      </c>
      <c r="AG178">
        <v>1.07</v>
      </c>
      <c r="AH178" cm="1">
        <f t="array" ref="AH178">numeng*InterpolateXY(AH$90,AG178,Tmax_h,Tmax_M,Tmax_table)</f>
        <v>6153.8946723107101</v>
      </c>
      <c r="AI178" cm="1">
        <f t="array" ref="AI178">1*AH$91/(S*Linterp(AH$90,atmos_h,atmos_qms)*AG178^2)</f>
        <v>6.145871439444274E-2</v>
      </c>
      <c r="AJ178" cm="1">
        <f t="array" ref="AJ178">InterpolateXY(AI178,AG178,CD_CL,CD_M,CD_table)</f>
        <v>3.894646420167442E-2</v>
      </c>
      <c r="AK178" cm="1">
        <f t="array" ref="AK178">AJ178*S*Linterp(AH$90,atmos_h,atmos_qms)*AG178^2</f>
        <v>6337.0125108240245</v>
      </c>
      <c r="AL178" cm="1">
        <f t="array" ref="AL178">AG178*Linterp(AH$90,atmos_h,atmos_aspeed)</f>
        <v>1131.326625857592</v>
      </c>
      <c r="AM178" s="162">
        <f t="shared" si="32"/>
        <v>-1242.9965182776202</v>
      </c>
      <c r="AO178">
        <v>1.07</v>
      </c>
      <c r="AP178" cm="1">
        <f t="array" ref="AP178">numeng*InterpolateXY(AP$90,AO178,Tmax_h,Tmax_M,Tmax_table)</f>
        <v>5438.8820536252033</v>
      </c>
      <c r="AQ178" cm="1">
        <f t="array" ref="AQ178">1*AP$91/(S*Linterp(AP$90,atmos_h,atmos_qms)*AO178^2)</f>
        <v>7.5474327921470713E-2</v>
      </c>
      <c r="AR178" cm="1">
        <f t="array" ref="AR178">InterpolateXY(AQ178,AO178,CD_CL,CD_M,CD_table)</f>
        <v>3.9162304649990654E-2</v>
      </c>
      <c r="AS178" cm="1">
        <f t="array" ref="AS178">AR178*S*Linterp(AP$90,atmos_h,atmos_qms)*AO178^2</f>
        <v>5188.8245617421235</v>
      </c>
      <c r="AT178" cm="1">
        <f t="array" ref="AT178">AO178*Linterp(AP$90,atmos_h,atmos_aspeed)</f>
        <v>1109.4333378944777</v>
      </c>
      <c r="AU178" s="162">
        <f t="shared" si="33"/>
        <v>1664.5327073121994</v>
      </c>
      <c r="AW178">
        <v>1.07</v>
      </c>
      <c r="AX178" cm="1">
        <f t="array" ref="AX178">numeng*InterpolateXY(AX$90,AW178,Tmax_h,Tmax_M,Tmax_table)</f>
        <v>4766.1355158127344</v>
      </c>
      <c r="AY178" cm="1">
        <f t="array" ref="AY178">1*AX$91/(S*Linterp(AX$90,atmos_h,atmos_qms)*AW178^2)</f>
        <v>9.3463962616834623E-2</v>
      </c>
      <c r="AZ178" cm="1">
        <f t="array" ref="AZ178">InterpolateXY(AY178,AW178,CD_CL,CD_M,CD_table)</f>
        <v>3.9439345024299251E-2</v>
      </c>
      <c r="BA178" cm="1">
        <f t="array" ref="BA178">AZ178*S*Linterp(AX$90,atmos_h,atmos_qms)*AW178^2</f>
        <v>4219.7381664615496</v>
      </c>
      <c r="BB178" cm="1">
        <f t="array" ref="BB178">AW178*Linterp(AX$90,atmos_h,atmos_aspeed)</f>
        <v>1087.0992264227955</v>
      </c>
      <c r="BC178" s="162">
        <f t="shared" si="34"/>
        <v>3563.9288147948341</v>
      </c>
      <c r="BE178">
        <v>1.07</v>
      </c>
      <c r="BF178" cm="1">
        <f t="array" ref="BF178">numeng*InterpolateXY(BF$90,BE178,Tmax_h,Tmax_M,Tmax_table)</f>
        <v>4139.3423600568121</v>
      </c>
      <c r="BG178" cm="1">
        <f t="array" ref="BG178">1*BF$91/(S*Linterp(BF$90,atmos_h,atmos_qms)*BE178^2)</f>
        <v>0.11679549722599297</v>
      </c>
      <c r="BH178" cm="1">
        <f t="array" ref="BH178">InterpolateXY(BG178,BE178,CD_CL,CD_M,CD_table)</f>
        <v>4.0315951971840874E-2</v>
      </c>
      <c r="BI178" cm="1">
        <f t="array" ref="BI178">BH178*S*Linterp(BF$90,atmos_h,atmos_qms)*BE178^2</f>
        <v>3451.8412892092651</v>
      </c>
      <c r="BJ178" cm="1">
        <f t="array" ref="BJ178">BE178*Linterp(BF$90,atmos_h,atmos_aspeed)</f>
        <v>1064.2965399485231</v>
      </c>
      <c r="BK178" s="162">
        <f t="shared" si="35"/>
        <v>4390.2300654836927</v>
      </c>
      <c r="BM178">
        <v>1.07</v>
      </c>
      <c r="BN178" cm="1">
        <f t="array" ref="BN178">numeng*InterpolateXY(BN$90,BM178,Tmax_h,Tmax_M,Tmax_table)</f>
        <v>3561.0296085694572</v>
      </c>
      <c r="BO178" cm="1">
        <f t="array" ref="BO178">1*BN$91/(S*Linterp(BN$90,atmos_h,atmos_qms)*BM178^2)</f>
        <v>0.14739871964759288</v>
      </c>
      <c r="BP178" cm="1">
        <f t="array" ref="BP178">InterpolateXY(BO178,BM178,CD_CL,CD_M,CD_table)</f>
        <v>4.1729820847718785E-2</v>
      </c>
      <c r="BQ178" cm="1">
        <f t="array" ref="BQ178">BP178*S*Linterp(BN$90,atmos_h,atmos_qms)*BM178^2</f>
        <v>2831.0843504942386</v>
      </c>
      <c r="BR178" cm="1">
        <f t="array" ref="BR178">BM178*Linterp(BN$90,atmos_h,atmos_aspeed)</f>
        <v>1040.9944869228445</v>
      </c>
      <c r="BS178" s="162">
        <f t="shared" si="36"/>
        <v>4559.2139364706527</v>
      </c>
      <c r="BU178">
        <v>1.07</v>
      </c>
      <c r="BV178" cm="1">
        <f t="array" ref="BV178">numeng*InterpolateXY(BV$90,BU178,Tmax_h,Tmax_M,Tmax_table)</f>
        <v>2934.3402875663915</v>
      </c>
      <c r="BW178" cm="1">
        <f t="array" ref="BW178">1*BV$91/(S*Linterp(BV$90,atmos_h,atmos_qms)*BU178^2)</f>
        <v>0.18739179844375586</v>
      </c>
      <c r="BX178" cm="1">
        <f t="array" ref="BX178">InterpolateXY(BW178,BU178,CD_CL,CD_M,CD_table)</f>
        <v>4.3577501088101517E-2</v>
      </c>
      <c r="BY178" cm="1">
        <f t="array" ref="BY178">BX178*S*Linterp(BV$90,atmos_h,atmos_qms)*BU178^2</f>
        <v>2325.4753649840741</v>
      </c>
      <c r="BZ178" cm="1">
        <f t="array" ref="BZ178">BU178*Linterp(BV$90,atmos_h,atmos_aspeed)</f>
        <v>1035.8675461509342</v>
      </c>
      <c r="CA178" s="162">
        <f t="shared" si="37"/>
        <v>3784.2204797563418</v>
      </c>
      <c r="CC178">
        <v>1.07</v>
      </c>
      <c r="CD178" cm="1">
        <f t="array" ref="CD178">numeng*InterpolateXY(CD$90,CC178,Tmax_h,Tmax_M,Tmax_table)</f>
        <v>2224.6456249343714</v>
      </c>
      <c r="CE178" cm="1">
        <f t="array" ref="CE178">1*CD$91/(S*Linterp(CD$90,atmos_h,atmos_qms)*CC178^2)</f>
        <v>0.23829755023313709</v>
      </c>
      <c r="CF178" cm="1">
        <f t="array" ref="CF178">InterpolateXY(CE178,CC178,CD_CL,CD_M,CD_table)</f>
        <v>4.7108911367951554E-2</v>
      </c>
      <c r="CG178" cm="1">
        <f t="array" ref="CG178">CF178*S*Linterp(CD$90,atmos_h,atmos_qms)*CC178^2</f>
        <v>1976.8944885024127</v>
      </c>
      <c r="CH178" cm="1">
        <f t="array" ref="CH178">CC178*Linterp(CD$90,atmos_h,atmos_aspeed)</f>
        <v>1035.8675461509342</v>
      </c>
      <c r="CI178" s="162">
        <f t="shared" si="38"/>
        <v>1539.8241705112703</v>
      </c>
      <c r="CK178">
        <v>1.07</v>
      </c>
      <c r="CL178" cm="1">
        <f t="array" ref="CL178">numeng*InterpolateXY(CL$90,CK178,Tmax_h,Tmax_M,Tmax_table)</f>
        <v>1619.1032806143241</v>
      </c>
      <c r="CM178" cm="1">
        <f t="array" ref="CM178">1*CL$91/(S*Linterp(CL$90,atmos_h,atmos_qms)*CK178^2)</f>
        <v>0.30303205859971649</v>
      </c>
      <c r="CN178" cm="1">
        <f t="array" ref="CN178">InterpolateXY(CM178,CK178,CD_CL,CD_M,CD_table)</f>
        <v>5.2163509065831615E-2</v>
      </c>
      <c r="CO178" cm="1">
        <f t="array" ref="CO178">CN178*S*Linterp(CL$90,atmos_h,atmos_qms)*CK178^2</f>
        <v>1721.3858265318338</v>
      </c>
      <c r="CP178" cm="1">
        <f t="array" ref="CP178">CK178*Linterp(CL$90,atmos_h,atmos_aspeed)</f>
        <v>1035.8675461509342</v>
      </c>
      <c r="CQ178" s="162">
        <f t="shared" si="39"/>
        <v>-635.70701912184586</v>
      </c>
    </row>
    <row r="179" spans="9:95">
      <c r="I179">
        <v>1.08</v>
      </c>
      <c r="J179" cm="1">
        <f t="array" ref="J179">numeng*InterpolateXY(J$90,I179,Tmax_h,Tmax_M,Tmax_table)</f>
        <v>8092</v>
      </c>
      <c r="K179" cm="1">
        <f t="array" ref="K179">1*J$91/(S*Linterp(J$90,atmos_h,atmos_qms)*I179^2)</f>
        <v>3.4044323849579242E-2</v>
      </c>
      <c r="L179" cm="1">
        <f t="array" ref="L179">InterpolateXY(K179,I179,CD_CL,CD_M,CD_table)</f>
        <v>3.9037900316823353E-2</v>
      </c>
      <c r="M179" cm="1">
        <f t="array" ref="M179">L179*S*Linterp(J$90,atmos_h,atmos_qms)*I179^2</f>
        <v>11466.786795152</v>
      </c>
      <c r="N179" cm="1">
        <f t="array" ref="N179">I179*Linterp(J$90,atmos_h,atmos_aspeed)</f>
        <v>1205.7660000000001</v>
      </c>
      <c r="O179" s="162">
        <f t="shared" si="40"/>
        <v>-24415.219049059484</v>
      </c>
      <c r="Q179">
        <v>1.08</v>
      </c>
      <c r="R179" cm="1">
        <f t="array" ref="R179">numeng*InterpolateXY(R$90,Q179,Tmax_h,Tmax_M,Tmax_table)</f>
        <v>7530.9787872610359</v>
      </c>
      <c r="S179" cm="1">
        <f t="array" ref="S179">1*R$91/(S*Linterp(R$90,atmos_h,atmos_qms)*Q179^2)</f>
        <v>4.0916343537389592E-2</v>
      </c>
      <c r="T179" cm="1">
        <f t="array" ref="T179">InterpolateXY(S179,Q179,CD_CL,CD_M,CD_table)</f>
        <v>3.9146478227890753E-2</v>
      </c>
      <c r="U179" cm="1">
        <f t="array" ref="U179">T179*S*Linterp(R$90,atmos_h,atmos_qms)*Q179^2</f>
        <v>9567.4429441913544</v>
      </c>
      <c r="V179" cm="1">
        <f t="array" ref="V179">Q179*Linterp(R$90,atmos_h,atmos_aspeed)</f>
        <v>1184.8598204798684</v>
      </c>
      <c r="W179" s="162">
        <f t="shared" si="30"/>
        <v>-14477.547332364864</v>
      </c>
      <c r="Y179">
        <v>1.08</v>
      </c>
      <c r="Z179" cm="1">
        <f t="array" ref="Z179">numeng*InterpolateXY(Z$90,Y179,Tmax_h,Tmax_M,Tmax_table)</f>
        <v>6932.8041793187431</v>
      </c>
      <c r="AA179" cm="1">
        <f t="array" ref="AA179">1*Z$91/(S*Linterp(Z$90,atmos_h,atmos_qms)*Y179^2)</f>
        <v>4.9504401093892196E-2</v>
      </c>
      <c r="AB179" cm="1">
        <f t="array" ref="AB179">InterpolateXY(AA179,Y179,CD_CL,CD_M,CD_table)</f>
        <v>3.9282169537283494E-2</v>
      </c>
      <c r="AC179" cm="1">
        <f t="array" ref="AC179">AB179*S*Linterp(Z$90,atmos_h,atmos_qms)*Y179^2</f>
        <v>7935.0863093524204</v>
      </c>
      <c r="AD179" cm="1">
        <f t="array" ref="AD179">Y179*Linterp(Z$90,atmos_h,atmos_aspeed)</f>
        <v>1163.578077147886</v>
      </c>
      <c r="AE179" s="162">
        <f t="shared" si="31"/>
        <v>-6997.4010817456428</v>
      </c>
      <c r="AG179">
        <v>1.08</v>
      </c>
      <c r="AH179" cm="1">
        <f t="array" ref="AH179">numeng*InterpolateXY(AH$90,AG179,Tmax_h,Tmax_M,Tmax_table)</f>
        <v>6179.0639756739438</v>
      </c>
      <c r="AI179" cm="1">
        <f t="array" ref="AI179">1*AH$91/(S*Linterp(AH$90,atmos_h,atmos_qms)*AG179^2)</f>
        <v>6.0325859147974524E-2</v>
      </c>
      <c r="AJ179" cm="1">
        <f t="array" ref="AJ179">InterpolateXY(AI179,AG179,CD_CL,CD_M,CD_table)</f>
        <v>3.9453148574537994E-2</v>
      </c>
      <c r="AK179" cm="1">
        <f t="array" ref="AK179">AJ179*S*Linterp(AH$90,atmos_h,atmos_qms)*AG179^2</f>
        <v>6540.0060822611022</v>
      </c>
      <c r="AL179" cm="1">
        <f t="array" ref="AL179">AG179*Linterp(AH$90,atmos_h,atmos_aspeed)</f>
        <v>1141.8997718936444</v>
      </c>
      <c r="AM179" s="162">
        <f t="shared" si="32"/>
        <v>-2472.9582550721252</v>
      </c>
      <c r="AO179">
        <v>1.08</v>
      </c>
      <c r="AP179" cm="1">
        <f t="array" ref="AP179">numeng*InterpolateXY(AP$90,AO179,Tmax_h,Tmax_M,Tmax_table)</f>
        <v>5462.3255107528985</v>
      </c>
      <c r="AQ179" cm="1">
        <f t="array" ref="AQ179">1*AP$91/(S*Linterp(AP$90,atmos_h,atmos_qms)*AO179^2)</f>
        <v>7.4083125889310542E-2</v>
      </c>
      <c r="AR179" cm="1">
        <f t="array" ref="AR179">InterpolateXY(AQ179,AO179,CD_CL,CD_M,CD_table)</f>
        <v>3.9670513389051101E-2</v>
      </c>
      <c r="AS179" cm="1">
        <f t="array" ref="AS179">AR179*S*Linterp(AP$90,atmos_h,atmos_qms)*AO179^2</f>
        <v>5354.8649456724897</v>
      </c>
      <c r="AT179" cm="1">
        <f t="array" ref="AT179">AO179*Linterp(AP$90,atmos_h,atmos_aspeed)</f>
        <v>1119.8018737626505</v>
      </c>
      <c r="AU179" s="162">
        <f t="shared" si="33"/>
        <v>722.00725279580979</v>
      </c>
      <c r="AW179">
        <v>1.08</v>
      </c>
      <c r="AX179" cm="1">
        <f t="array" ref="AX179">numeng*InterpolateXY(AX$90,AW179,Tmax_h,Tmax_M,Tmax_table)</f>
        <v>4787.6449653011714</v>
      </c>
      <c r="AY179" cm="1">
        <f t="array" ref="AY179">1*AX$91/(S*Linterp(AX$90,atmos_h,atmos_qms)*AW179^2)</f>
        <v>9.174116152264572E-2</v>
      </c>
      <c r="AZ179" cm="1">
        <f t="array" ref="AZ179">InterpolateXY(AY179,AW179,CD_CL,CD_M,CD_table)</f>
        <v>3.99495103520578E-2</v>
      </c>
      <c r="BA179" cm="1">
        <f t="array" ref="BA179">AZ179*S*Linterp(AX$90,atmos_h,atmos_qms)*AW179^2</f>
        <v>4354.5895527163693</v>
      </c>
      <c r="BB179" cm="1">
        <f t="array" ref="BB179">AW179*Linterp(AX$90,atmos_h,atmos_aspeed)</f>
        <v>1097.2590322772141</v>
      </c>
      <c r="BC179" s="162">
        <f t="shared" si="34"/>
        <v>2851.0437776112581</v>
      </c>
      <c r="BE179">
        <v>1.08</v>
      </c>
      <c r="BF179" cm="1">
        <f t="array" ref="BF179">numeng*InterpolateXY(BF$90,BE179,Tmax_h,Tmax_M,Tmax_table)</f>
        <v>4158.7969698473898</v>
      </c>
      <c r="BG179" cm="1">
        <f t="array" ref="BG179">1*BF$91/(S*Linterp(BF$90,atmos_h,atmos_qms)*BE179^2)</f>
        <v>0.11464263097911467</v>
      </c>
      <c r="BH179" cm="1">
        <f t="array" ref="BH179">InterpolateXY(BG179,BE179,CD_CL,CD_M,CD_table)</f>
        <v>4.0774060708410033E-2</v>
      </c>
      <c r="BI179" cm="1">
        <f t="array" ref="BI179">BH179*S*Linterp(BF$90,atmos_h,atmos_qms)*BE179^2</f>
        <v>3556.622903729256</v>
      </c>
      <c r="BJ179" cm="1">
        <f t="array" ref="BJ179">BE179*Linterp(BF$90,atmos_h,atmos_aspeed)</f>
        <v>1074.2432365835559</v>
      </c>
      <c r="BK179" s="162">
        <f t="shared" si="35"/>
        <v>3881.2885066405461</v>
      </c>
      <c r="BM179">
        <v>1.08</v>
      </c>
      <c r="BN179" cm="1">
        <f t="array" ref="BN179">numeng*InterpolateXY(BN$90,BM179,Tmax_h,Tmax_M,Tmax_table)</f>
        <v>3578.3823459589357</v>
      </c>
      <c r="BO179" cm="1">
        <f t="array" ref="BO179">1*BN$91/(S*Linterp(BN$90,atmos_h,atmos_qms)*BM179^2)</f>
        <v>0.14468175079263468</v>
      </c>
      <c r="BP179" cm="1">
        <f t="array" ref="BP179">InterpolateXY(BO179,BM179,CD_CL,CD_M,CD_table)</f>
        <v>4.2197914987570882E-2</v>
      </c>
      <c r="BQ179" cm="1">
        <f t="array" ref="BQ179">BP179*S*Linterp(BN$90,atmos_h,atmos_qms)*BM179^2</f>
        <v>2916.6024572132187</v>
      </c>
      <c r="BR179" cm="1">
        <f t="array" ref="BR179">BM179*Linterp(BN$90,atmos_h,atmos_aspeed)</f>
        <v>1050.7234073613758</v>
      </c>
      <c r="BS179" s="162">
        <f t="shared" si="36"/>
        <v>4172.0857177567914</v>
      </c>
      <c r="BU179">
        <v>1.08</v>
      </c>
      <c r="BV179" cm="1">
        <f t="array" ref="BV179">numeng*InterpolateXY(BV$90,BU179,Tmax_h,Tmax_M,Tmax_table)</f>
        <v>2949.1104567991083</v>
      </c>
      <c r="BW179" cm="1">
        <f t="array" ref="BW179">1*BV$91/(S*Linterp(BV$90,atmos_h,atmos_qms)*BU179^2)</f>
        <v>0.18393764578039787</v>
      </c>
      <c r="BX179" cm="1">
        <f t="array" ref="BX179">InterpolateXY(BW179,BU179,CD_CL,CD_M,CD_table)</f>
        <v>4.4058644409990855E-2</v>
      </c>
      <c r="BY179" cm="1">
        <f t="array" ref="BY179">BX179*S*Linterp(BV$90,atmos_h,atmos_qms)*BU179^2</f>
        <v>2395.3032682930079</v>
      </c>
      <c r="BZ179" cm="1">
        <f t="array" ref="BZ179">BU179*Linterp(BV$90,atmos_h,atmos_aspeed)</f>
        <v>1045.5485512551486</v>
      </c>
      <c r="CA179" s="162">
        <f t="shared" si="37"/>
        <v>3474.1938217034412</v>
      </c>
      <c r="CC179">
        <v>1.08</v>
      </c>
      <c r="CD179" cm="1">
        <f t="array" ref="CD179">numeng*InterpolateXY(CD$90,CC179,Tmax_h,Tmax_M,Tmax_table)</f>
        <v>2235.4862231763072</v>
      </c>
      <c r="CE179" cm="1">
        <f t="array" ref="CE179">1*CD$91/(S*Linterp(CD$90,atmos_h,atmos_qms)*CC179^2)</f>
        <v>0.23390506281028692</v>
      </c>
      <c r="CF179" cm="1">
        <f t="array" ref="CF179">InterpolateXY(CE179,CC179,CD_CL,CD_M,CD_table)</f>
        <v>4.7498499962012664E-2</v>
      </c>
      <c r="CG179" cm="1">
        <f t="array" ref="CG179">CF179*S*Linterp(CD$90,atmos_h,atmos_qms)*CC179^2</f>
        <v>2030.6742997066813</v>
      </c>
      <c r="CH179" cm="1">
        <f t="array" ref="CH179">CC179*Linterp(CD$90,atmos_h,atmos_aspeed)</f>
        <v>1045.5485512551486</v>
      </c>
      <c r="CI179" s="162">
        <f t="shared" si="38"/>
        <v>1284.8448591806871</v>
      </c>
      <c r="CK179">
        <v>1.08</v>
      </c>
      <c r="CL179" cm="1">
        <f t="array" ref="CL179">numeng*InterpolateXY(CL$90,CK179,Tmax_h,Tmax_M,Tmax_table)</f>
        <v>1626.4102529224745</v>
      </c>
      <c r="CM179" cm="1">
        <f t="array" ref="CM179">1*CL$91/(S*Linterp(CL$90,atmos_h,atmos_qms)*CK179^2)</f>
        <v>0.29744633392559622</v>
      </c>
      <c r="CN179" cm="1">
        <f t="array" ref="CN179">InterpolateXY(CM179,CK179,CD_CL,CD_M,CD_table)</f>
        <v>5.2518260380122098E-2</v>
      </c>
      <c r="CO179" cm="1">
        <f t="array" ref="CO179">CN179*S*Linterp(CL$90,atmos_h,atmos_qms)*CK179^2</f>
        <v>1765.6381804073305</v>
      </c>
      <c r="CP179" cm="1">
        <f t="array" ref="CP179">CK179*Linterp(CL$90,atmos_h,atmos_aspeed)</f>
        <v>1045.5485512551486</v>
      </c>
      <c r="CQ179" s="162">
        <f t="shared" si="39"/>
        <v>-873.41734725628908</v>
      </c>
    </row>
    <row r="180" spans="9:95">
      <c r="I180">
        <v>1.0900000000000001</v>
      </c>
      <c r="J180" cm="1">
        <f t="array" ref="J180">numeng*InterpolateXY(J$90,I180,Tmax_h,Tmax_M,Tmax_table)</f>
        <v>8116</v>
      </c>
      <c r="K180" cm="1">
        <f t="array" ref="K180">1*J$91/(S*Linterp(J$90,atmos_h,atmos_qms)*I180^2)</f>
        <v>3.3422522799553253E-2</v>
      </c>
      <c r="L180" cm="1">
        <f t="array" ref="L180">InterpolateXY(K180,I180,CD_CL,CD_M,CD_table)</f>
        <v>3.9441444869352763E-2</v>
      </c>
      <c r="M180" cm="1">
        <f t="array" ref="M180">L180*S*Linterp(J$90,atmos_h,atmos_qms)*I180^2</f>
        <v>11800.858093776202</v>
      </c>
      <c r="N180" cm="1">
        <f t="array" ref="N180">I180*Linterp(J$90,atmos_h,atmos_aspeed)</f>
        <v>1216.9305000000002</v>
      </c>
      <c r="O180" s="162">
        <f t="shared" si="40"/>
        <v>-26905.297214928723</v>
      </c>
      <c r="Q180">
        <v>1.0900000000000001</v>
      </c>
      <c r="R180" cm="1">
        <f t="array" ref="R180">numeng*InterpolateXY(R$90,Q180,Tmax_h,Tmax_M,Tmax_table)</f>
        <v>7556.8288288649073</v>
      </c>
      <c r="S180" cm="1">
        <f t="array" ref="S180">1*R$91/(S*Linterp(R$90,atmos_h,atmos_qms)*Q180^2)</f>
        <v>4.0169028787148571E-2</v>
      </c>
      <c r="T180" cm="1">
        <f t="array" ref="T180">InterpolateXY(S180,Q180,CD_CL,CD_M,CD_table)</f>
        <v>3.9550738266351804E-2</v>
      </c>
      <c r="U180" cm="1">
        <f t="array" ref="U180">T180*S*Linterp(R$90,atmos_h,atmos_qms)*Q180^2</f>
        <v>9846.0778018624696</v>
      </c>
      <c r="V180" cm="1">
        <f t="array" ref="V180">Q180*Linterp(R$90,atmos_h,atmos_aspeed)</f>
        <v>1195.8307447435709</v>
      </c>
      <c r="W180" s="162">
        <f t="shared" si="30"/>
        <v>-16425.325825698779</v>
      </c>
      <c r="Y180">
        <v>1.0900000000000001</v>
      </c>
      <c r="Z180" cm="1">
        <f t="array" ref="Z180">numeng*InterpolateXY(Z$90,Y180,Tmax_h,Tmax_M,Tmax_table)</f>
        <v>6959.3892826906513</v>
      </c>
      <c r="AA180" cm="1">
        <f t="array" ref="AA180">1*Z$91/(S*Linterp(Z$90,atmos_h,atmos_qms)*Y180^2)</f>
        <v>4.8600230145539818E-2</v>
      </c>
      <c r="AB180" cm="1">
        <f t="array" ref="AB180">InterpolateXY(AA180,Y180,CD_CL,CD_M,CD_table)</f>
        <v>3.9687323728357746E-2</v>
      </c>
      <c r="AC180" cm="1">
        <f t="array" ref="AC180">AB180*S*Linterp(Z$90,atmos_h,atmos_qms)*Y180^2</f>
        <v>8166.0773229897895</v>
      </c>
      <c r="AD180" cm="1">
        <f t="array" ref="AD180">Y180*Linterp(Z$90,atmos_h,atmos_aspeed)</f>
        <v>1174.3519482325887</v>
      </c>
      <c r="AE180" s="162">
        <f t="shared" si="31"/>
        <v>-8502.4587062055452</v>
      </c>
      <c r="AG180">
        <v>1.0900000000000001</v>
      </c>
      <c r="AH180" cm="1">
        <f t="array" ref="AH180">numeng*InterpolateXY(AH$90,AG180,Tmax_h,Tmax_M,Tmax_table)</f>
        <v>6204.2332790371784</v>
      </c>
      <c r="AI180" cm="1">
        <f t="array" ref="AI180">1*AH$91/(S*Linterp(AH$90,atmos_h,atmos_qms)*AG180^2)</f>
        <v>5.9224040156718692E-2</v>
      </c>
      <c r="AJ180" cm="1">
        <f t="array" ref="AJ180">InterpolateXY(AI180,AG180,CD_CL,CD_M,CD_table)</f>
        <v>3.9859429450538844E-2</v>
      </c>
      <c r="AK180" cm="1">
        <f t="array" ref="AK180">AJ180*S*Linterp(AH$90,atmos_h,atmos_qms)*AG180^2</f>
        <v>6730.2786748527787</v>
      </c>
      <c r="AL180" cm="1">
        <f t="array" ref="AL180">AG180*Linterp(AH$90,atmos_h,atmos_aspeed)</f>
        <v>1152.4729179296967</v>
      </c>
      <c r="AM180" s="162">
        <f t="shared" si="32"/>
        <v>-3637.5184336745233</v>
      </c>
      <c r="AO180">
        <v>1.0900000000000001</v>
      </c>
      <c r="AP180" cm="1">
        <f t="array" ref="AP180">numeng*InterpolateXY(AP$90,AO180,Tmax_h,Tmax_M,Tmax_table)</f>
        <v>5485.7689678805928</v>
      </c>
      <c r="AQ180" cm="1">
        <f t="array" ref="AQ180">1*AP$91/(S*Linterp(AP$90,atmos_h,atmos_qms)*AO180^2)</f>
        <v>7.2730037906987455E-2</v>
      </c>
      <c r="AR180" cm="1">
        <f t="array" ref="AR180">InterpolateXY(AQ180,AO180,CD_CL,CD_M,CD_table)</f>
        <v>4.0078226614093201E-2</v>
      </c>
      <c r="AS180" cm="1">
        <f t="array" ref="AS180">AR180*S*Linterp(AP$90,atmos_h,atmos_qms)*AO180^2</f>
        <v>5510.5466417256921</v>
      </c>
      <c r="AT180" cm="1">
        <f t="array" ref="AT180">AO180*Linterp(AP$90,atmos_h,atmos_aspeed)</f>
        <v>1130.1704096308233</v>
      </c>
      <c r="AU180" s="162">
        <f t="shared" si="33"/>
        <v>-168.01796279528918</v>
      </c>
      <c r="AW180">
        <v>1.0900000000000001</v>
      </c>
      <c r="AX180" cm="1">
        <f t="array" ref="AX180">numeng*InterpolateXY(AX$90,AW180,Tmax_h,Tmax_M,Tmax_table)</f>
        <v>4809.1544147896084</v>
      </c>
      <c r="AY180" cm="1">
        <f t="array" ref="AY180">1*AX$91/(S*Linterp(AX$90,atmos_h,atmos_qms)*AW180^2)</f>
        <v>9.006555912803127E-2</v>
      </c>
      <c r="AZ180" cm="1">
        <f t="array" ref="AZ180">InterpolateXY(AY180,AW180,CD_CL,CD_M,CD_table)</f>
        <v>4.0359062057874109E-2</v>
      </c>
      <c r="BA180" cm="1">
        <f t="array" ref="BA180">AZ180*S*Linterp(AX$90,atmos_h,atmos_qms)*AW180^2</f>
        <v>4481.0760571088358</v>
      </c>
      <c r="BB180" cm="1">
        <f t="array" ref="BB180">AW180*Linterp(AX$90,atmos_h,atmos_aspeed)</f>
        <v>1107.4188381316328</v>
      </c>
      <c r="BC180" s="162">
        <f t="shared" si="34"/>
        <v>2179.9209220738526</v>
      </c>
      <c r="BE180">
        <v>1.0900000000000001</v>
      </c>
      <c r="BF180" cm="1">
        <f t="array" ref="BF180">numeng*InterpolateXY(BF$90,BE180,Tmax_h,Tmax_M,Tmax_table)</f>
        <v>4178.2515796379685</v>
      </c>
      <c r="BG180" cm="1">
        <f t="array" ref="BG180">1*BF$91/(S*Linterp(BF$90,atmos_h,atmos_qms)*BE180^2)</f>
        <v>0.11254874570662346</v>
      </c>
      <c r="BH180" cm="1">
        <f t="array" ref="BH180">InterpolateXY(BG180,BE180,CD_CL,CD_M,CD_table)</f>
        <v>4.1129869041341902E-2</v>
      </c>
      <c r="BI180" cm="1">
        <f t="array" ref="BI180">BH180*S*Linterp(BF$90,atmos_h,atmos_qms)*BE180^2</f>
        <v>3654.4049232279822</v>
      </c>
      <c r="BJ180" cm="1">
        <f t="array" ref="BJ180">BE180*Linterp(BF$90,atmos_h,atmos_aspeed)</f>
        <v>1084.189933218589</v>
      </c>
      <c r="BK180" s="162">
        <f t="shared" si="35"/>
        <v>3407.695628579545</v>
      </c>
      <c r="BM180">
        <v>1.0900000000000001</v>
      </c>
      <c r="BN180" cm="1">
        <f t="array" ref="BN180">numeng*InterpolateXY(BN$90,BM180,Tmax_h,Tmax_M,Tmax_table)</f>
        <v>3595.7350833484147</v>
      </c>
      <c r="BO180" cm="1">
        <f t="array" ref="BO180">1*BN$91/(S*Linterp(BN$90,atmos_h,atmos_qms)*BM180^2)</f>
        <v>0.14203921734241989</v>
      </c>
      <c r="BP180" cm="1">
        <f t="array" ref="BP180">InterpolateXY(BO180,BM180,CD_CL,CD_M,CD_table)</f>
        <v>4.2563105962841602E-2</v>
      </c>
      <c r="BQ180" cm="1">
        <f t="array" ref="BQ180">BP180*S*Linterp(BN$90,atmos_h,atmos_qms)*BM180^2</f>
        <v>2996.5742390872892</v>
      </c>
      <c r="BR180" cm="1">
        <f t="array" ref="BR180">BM180*Linterp(BN$90,atmos_h,atmos_aspeed)</f>
        <v>1060.4523277999069</v>
      </c>
      <c r="BS180" s="162">
        <f t="shared" si="36"/>
        <v>3812.2890721396079</v>
      </c>
      <c r="BU180">
        <v>1.0900000000000001</v>
      </c>
      <c r="BV180" cm="1">
        <f t="array" ref="BV180">numeng*InterpolateXY(BV$90,BU180,Tmax_h,Tmax_M,Tmax_table)</f>
        <v>2963.8806260318247</v>
      </c>
      <c r="BW180" cm="1">
        <f t="array" ref="BW180">1*BV$91/(S*Linterp(BV$90,atmos_h,atmos_qms)*BU180^2)</f>
        <v>0.18057812476917437</v>
      </c>
      <c r="BX180" cm="1">
        <f t="array" ref="BX180">InterpolateXY(BW180,BU180,CD_CL,CD_M,CD_table)</f>
        <v>4.4436096863781874E-2</v>
      </c>
      <c r="BY180" cm="1">
        <f t="array" ref="BY180">BX180*S*Linterp(BV$90,atmos_h,atmos_qms)*BU180^2</f>
        <v>2460.768541072332</v>
      </c>
      <c r="BZ180" cm="1">
        <f t="array" ref="BZ180">BU180*Linterp(BV$90,atmos_h,atmos_aspeed)</f>
        <v>1055.229556359363</v>
      </c>
      <c r="CA180" s="162">
        <f t="shared" si="37"/>
        <v>3185.3924532650371</v>
      </c>
      <c r="CC180">
        <v>1.0900000000000001</v>
      </c>
      <c r="CD180" cm="1">
        <f t="array" ref="CD180">numeng*InterpolateXY(CD$90,CC180,Tmax_h,Tmax_M,Tmax_table)</f>
        <v>2246.3268214182426</v>
      </c>
      <c r="CE180" cm="1">
        <f t="array" ref="CE180">1*CD$91/(S*Linterp(CD$90,atmos_h,atmos_qms)*CC180^2)</f>
        <v>0.22963291411658837</v>
      </c>
      <c r="CF180" cm="1">
        <f t="array" ref="CF180">InterpolateXY(CE180,CC180,CD_CL,CD_M,CD_table)</f>
        <v>4.7780266043443653E-2</v>
      </c>
      <c r="CG180" cm="1">
        <f t="array" ref="CG180">CF180*S*Linterp(CD$90,atmos_h,atmos_qms)*CC180^2</f>
        <v>2080.7237597997314</v>
      </c>
      <c r="CH180" cm="1">
        <f t="array" ref="CH180">CC180*Linterp(CD$90,atmos_h,atmos_aspeed)</f>
        <v>1055.229556359363</v>
      </c>
      <c r="CI180" s="162">
        <f t="shared" si="38"/>
        <v>1048.4954714607229</v>
      </c>
      <c r="CK180">
        <v>1.0900000000000001</v>
      </c>
      <c r="CL180" cm="1">
        <f t="array" ref="CL180">numeng*InterpolateXY(CL$90,CK180,Tmax_h,Tmax_M,Tmax_table)</f>
        <v>1633.717225230625</v>
      </c>
      <c r="CM180" cm="1">
        <f t="array" ref="CM180">1*CL$91/(S*Linterp(CL$90,atmos_h,atmos_qms)*CK180^2)</f>
        <v>0.29201363849071243</v>
      </c>
      <c r="CN180" cm="1">
        <f t="array" ref="CN180">InterpolateXY(CM180,CK180,CD_CL,CD_M,CD_table)</f>
        <v>5.2833104717747714E-2</v>
      </c>
      <c r="CO180" cm="1">
        <f t="array" ref="CO180">CN180*S*Linterp(CL$90,atmos_h,atmos_qms)*CK180^2</f>
        <v>1809.2683955043453</v>
      </c>
      <c r="CP180" cm="1">
        <f t="array" ref="CP180">CK180*Linterp(CL$90,atmos_h,atmos_aspeed)</f>
        <v>1055.229556359363</v>
      </c>
      <c r="CQ180" s="162">
        <f t="shared" si="39"/>
        <v>-1111.4807011578293</v>
      </c>
    </row>
    <row r="181" spans="9:95">
      <c r="I181">
        <v>1.1000000000000001</v>
      </c>
      <c r="J181" cm="1">
        <f t="array" ref="J181">numeng*InterpolateXY(J$90,I181,Tmax_h,Tmax_M,Tmax_table)</f>
        <v>8140</v>
      </c>
      <c r="K181" cm="1">
        <f t="array" ref="K181">1*J$91/(S*Linterp(J$90,atmos_h,atmos_qms)*I181^2)</f>
        <v>3.2817602758801009E-2</v>
      </c>
      <c r="L181" cm="1">
        <f t="array" ref="L181">InterpolateXY(K181,I181,CD_CL,CD_M,CD_table)</f>
        <v>3.9844772205796096E-2</v>
      </c>
      <c r="M181" cm="1">
        <f t="array" ref="M181">L181*S*Linterp(J$90,atmos_h,atmos_qms)*I181^2</f>
        <v>12141.280549540003</v>
      </c>
      <c r="N181" cm="1">
        <f t="array" ref="N181">I181*Linterp(J$90,atmos_h,atmos_aspeed)</f>
        <v>1228.0950000000003</v>
      </c>
      <c r="O181" s="162">
        <f t="shared" si="40"/>
        <v>-29483.715818923982</v>
      </c>
      <c r="Q181">
        <v>1.1000000000000001</v>
      </c>
      <c r="R181" cm="1">
        <f t="array" ref="R181">numeng*InterpolateXY(R$90,Q181,Tmax_h,Tmax_M,Tmax_table)</f>
        <v>7582.6788704687779</v>
      </c>
      <c r="S181" cm="1">
        <f t="array" ref="S181">1*R$91/(S*Linterp(R$90,atmos_h,atmos_qms)*Q181^2)</f>
        <v>3.9442002563645627E-2</v>
      </c>
      <c r="T181" cm="1">
        <f t="array" ref="T181">InterpolateXY(S181,Q181,CD_CL,CD_M,CD_table)</f>
        <v>3.9954737242556521E-2</v>
      </c>
      <c r="U181" cm="1">
        <f t="array" ref="U181">T181*S*Linterp(R$90,atmos_h,atmos_qms)*Q181^2</f>
        <v>10129.99712123732</v>
      </c>
      <c r="V181" cm="1">
        <f t="array" ref="V181">Q181*Linterp(R$90,atmos_h,atmos_aspeed)</f>
        <v>1206.8016690072734</v>
      </c>
      <c r="W181" s="162">
        <f t="shared" si="30"/>
        <v>-18444.647499120991</v>
      </c>
      <c r="Y181">
        <v>1.1000000000000001</v>
      </c>
      <c r="Z181" cm="1">
        <f t="array" ref="Z181">numeng*InterpolateXY(Z$90,Y181,Tmax_h,Tmax_M,Tmax_table)</f>
        <v>6985.9743860625595</v>
      </c>
      <c r="AA181" cm="1">
        <f t="array" ref="AA181">1*Z$91/(S*Linterp(Z$90,atmos_h,atmos_qms)*Y181^2)</f>
        <v>4.7720606145385001E-2</v>
      </c>
      <c r="AB181" cm="1">
        <f t="array" ref="AB181">InterpolateXY(AA181,Y181,CD_CL,CD_M,CD_table)</f>
        <v>4.0092162062013395E-2</v>
      </c>
      <c r="AC181" cm="1">
        <f t="array" ref="AC181">AB181*S*Linterp(Z$90,atmos_h,atmos_qms)*Y181^2</f>
        <v>8401.4360462792774</v>
      </c>
      <c r="AD181" cm="1">
        <f t="array" ref="AD181">Y181*Linterp(Z$90,atmos_h,atmos_aspeed)</f>
        <v>1185.1258193172914</v>
      </c>
      <c r="AE181" s="162">
        <f t="shared" si="31"/>
        <v>-10065.00095865931</v>
      </c>
      <c r="AG181">
        <v>1.1000000000000001</v>
      </c>
      <c r="AH181" cm="1">
        <f t="array" ref="AH181">numeng*InterpolateXY(AH$90,AG181,Tmax_h,Tmax_M,Tmax_table)</f>
        <v>6229.402582400412</v>
      </c>
      <c r="AI181" cm="1">
        <f t="array" ref="AI181">1*AH$91/(S*Linterp(AH$90,atmos_h,atmos_qms)*AG181^2)</f>
        <v>5.8152133975369814E-2</v>
      </c>
      <c r="AJ181" cm="1">
        <f t="array" ref="AJ181">InterpolateXY(AI181,AG181,CD_CL,CD_M,CD_table)</f>
        <v>4.0265325423991138E-2</v>
      </c>
      <c r="AK181" cm="1">
        <f t="array" ref="AK181">AJ181*S*Linterp(AH$90,atmos_h,atmos_qms)*AG181^2</f>
        <v>6924.1354824649097</v>
      </c>
      <c r="AL181" cm="1">
        <f t="array" ref="AL181">AG181*Linterp(AH$90,atmos_h,atmos_aspeed)</f>
        <v>1163.046063965749</v>
      </c>
      <c r="AM181" s="162">
        <f t="shared" si="32"/>
        <v>-4848.0381895651444</v>
      </c>
      <c r="AO181">
        <v>1.1000000000000001</v>
      </c>
      <c r="AP181" cm="1">
        <f t="array" ref="AP181">numeng*InterpolateXY(AP$90,AO181,Tmax_h,Tmax_M,Tmax_table)</f>
        <v>5509.2124250082879</v>
      </c>
      <c r="AQ181" cm="1">
        <f t="array" ref="AQ181">1*AP$91/(S*Linterp(AP$90,atmos_h,atmos_qms)*AO181^2)</f>
        <v>7.1413684328340332E-2</v>
      </c>
      <c r="AR181" cm="1">
        <f t="array" ref="AR181">InterpolateXY(AQ181,AO181,CD_CL,CD_M,CD_table)</f>
        <v>4.048546715985045E-2</v>
      </c>
      <c r="AS181" cm="1">
        <f t="array" ref="AS181">AR181*S*Linterp(AP$90,atmos_h,atmos_qms)*AO181^2</f>
        <v>5669.1469626058633</v>
      </c>
      <c r="AT181" cm="1">
        <f t="array" ref="AT181">AO181*Linterp(AP$90,atmos_h,atmos_aspeed)</f>
        <v>1140.5389454989959</v>
      </c>
      <c r="AU181" s="162">
        <f t="shared" si="33"/>
        <v>-1094.469413162449</v>
      </c>
      <c r="AW181">
        <v>1.1000000000000001</v>
      </c>
      <c r="AX181" cm="1">
        <f t="array" ref="AX181">numeng*InterpolateXY(AX$90,AW181,Tmax_h,Tmax_M,Tmax_table)</f>
        <v>4830.6638642780445</v>
      </c>
      <c r="AY181" cm="1">
        <f t="array" ref="AY181">1*AX$91/(S*Linterp(AX$90,atmos_h,atmos_qms)*AW181^2)</f>
        <v>8.8435446942160295E-2</v>
      </c>
      <c r="AZ181" cm="1">
        <f t="array" ref="AZ181">InterpolateXY(AY181,AW181,CD_CL,CD_M,CD_table)</f>
        <v>4.0768028419239863E-2</v>
      </c>
      <c r="BA181" cm="1">
        <f t="array" ref="BA181">AZ181*S*Linterp(AX$90,atmos_h,atmos_qms)*AW181^2</f>
        <v>4609.9194190654689</v>
      </c>
      <c r="BB181" cm="1">
        <f t="array" ref="BB181">AW181*Linterp(AX$90,atmos_h,atmos_aspeed)</f>
        <v>1117.5786439860515</v>
      </c>
      <c r="BC181" s="162">
        <f t="shared" si="34"/>
        <v>1480.1956664887407</v>
      </c>
      <c r="BE181">
        <v>1.1000000000000001</v>
      </c>
      <c r="BF181" cm="1">
        <f t="array" ref="BF181">numeng*InterpolateXY(BF$90,BE181,Tmax_h,Tmax_M,Tmax_table)</f>
        <v>4197.7061894285462</v>
      </c>
      <c r="BG181" cm="1">
        <f t="array" ref="BG181">1*BF$91/(S*Linterp(BF$90,atmos_h,atmos_qms)*BE181^2)</f>
        <v>0.11051170642482591</v>
      </c>
      <c r="BH181" cm="1">
        <f t="array" ref="BH181">InterpolateXY(BG181,BE181,CD_CL,CD_M,CD_table)</f>
        <v>4.1483482979956333E-2</v>
      </c>
      <c r="BI181" cm="1">
        <f t="array" ref="BI181">BH181*S*Linterp(BF$90,atmos_h,atmos_qms)*BE181^2</f>
        <v>3753.7636800654154</v>
      </c>
      <c r="BJ181" cm="1">
        <f t="array" ref="BJ181">BE181*Linterp(BF$90,atmos_h,atmos_aspeed)</f>
        <v>1094.1366298536218</v>
      </c>
      <c r="BK181" s="162">
        <f t="shared" si="35"/>
        <v>2914.4025662600147</v>
      </c>
      <c r="BM181">
        <v>1.1000000000000001</v>
      </c>
      <c r="BN181" cm="1">
        <f t="array" ref="BN181">numeng*InterpolateXY(BN$90,BM181,Tmax_h,Tmax_M,Tmax_table)</f>
        <v>3613.0878207378933</v>
      </c>
      <c r="BO181" cm="1">
        <f t="array" ref="BO181">1*BN$91/(S*Linterp(BN$90,atmos_h,atmos_qms)*BM181^2)</f>
        <v>0.13946842489630501</v>
      </c>
      <c r="BP181" cm="1">
        <f t="array" ref="BP181">InterpolateXY(BO181,BM181,CD_CL,CD_M,CD_table)</f>
        <v>4.2925527559835995E-2</v>
      </c>
      <c r="BQ181" cm="1">
        <f t="array" ref="BQ181">BP181*S*Linterp(BN$90,atmos_h,atmos_qms)*BM181^2</f>
        <v>3077.795392882022</v>
      </c>
      <c r="BR181" cm="1">
        <f t="array" ref="BR181">BM181*Linterp(BN$90,atmos_h,atmos_aspeed)</f>
        <v>1070.1812482384382</v>
      </c>
      <c r="BS181" s="162">
        <f t="shared" si="36"/>
        <v>3437.1595116922826</v>
      </c>
      <c r="BU181">
        <v>1.1000000000000001</v>
      </c>
      <c r="BV181" cm="1">
        <f t="array" ref="BV181">numeng*InterpolateXY(BV$90,BU181,Tmax_h,Tmax_M,Tmax_table)</f>
        <v>2978.6507952645416</v>
      </c>
      <c r="BW181" cm="1">
        <f t="array" ref="BW181">1*BV$91/(S*Linterp(BV$90,atmos_h,atmos_qms)*BU181^2)</f>
        <v>0.17730980994897194</v>
      </c>
      <c r="BX181" cm="1">
        <f t="array" ref="BX181">InterpolateXY(BW181,BU181,CD_CL,CD_M,CD_table)</f>
        <v>4.4810028535458804E-2</v>
      </c>
      <c r="BY181" cm="1">
        <f t="array" ref="BY181">BX181*S*Linterp(BV$90,atmos_h,atmos_qms)*BU181^2</f>
        <v>2527.2165453425669</v>
      </c>
      <c r="BZ181" cm="1">
        <f t="array" ref="BZ181">BU181*Linterp(BV$90,atmos_h,atmos_aspeed)</f>
        <v>1064.9105614635773</v>
      </c>
      <c r="CA181" s="162">
        <f t="shared" si="37"/>
        <v>2884.4226032897936</v>
      </c>
      <c r="CC181">
        <v>1.1000000000000001</v>
      </c>
      <c r="CD181" cm="1">
        <f t="array" ref="CD181">numeng*InterpolateXY(CD$90,CC181,Tmax_h,Tmax_M,Tmax_table)</f>
        <v>2257.1674196601784</v>
      </c>
      <c r="CE181" cm="1">
        <f t="array" ref="CE181">1*CD$91/(S*Linterp(CD$90,atmos_h,atmos_qms)*CC181^2)</f>
        <v>0.22547674815034596</v>
      </c>
      <c r="CF181" cm="1">
        <f t="array" ref="CF181">InterpolateXY(CE181,CC181,CD_CL,CD_M,CD_table)</f>
        <v>4.8054570096478719E-2</v>
      </c>
      <c r="CG181" cm="1">
        <f t="array" ref="CG181">CF181*S*Linterp(CD$90,atmos_h,atmos_qms)*CC181^2</f>
        <v>2131.2428217403749</v>
      </c>
      <c r="CH181" cm="1">
        <f t="array" ref="CH181">CC181*Linterp(CD$90,atmos_h,atmos_aspeed)</f>
        <v>1064.9105614635773</v>
      </c>
      <c r="CI181" s="162">
        <f t="shared" si="38"/>
        <v>804.59060563711932</v>
      </c>
      <c r="CK181">
        <v>1.1000000000000001</v>
      </c>
      <c r="CL181" cm="1">
        <f t="array" ref="CL181">numeng*InterpolateXY(CL$90,CK181,Tmax_h,Tmax_M,Tmax_table)</f>
        <v>1641.0241975387753</v>
      </c>
      <c r="CM181" cm="1">
        <f t="array" ref="CM181">1*CL$91/(S*Linterp(CL$90,atmos_h,atmos_qms)*CK181^2)</f>
        <v>0.28672843296761602</v>
      </c>
      <c r="CN181" cm="1">
        <f t="array" ref="CN181">InterpolateXY(CM181,CK181,CD_CL,CD_M,CD_table)</f>
        <v>5.3138459936312131E-2</v>
      </c>
      <c r="CO181" cm="1">
        <f t="array" ref="CO181">CN181*S*Linterp(CL$90,atmos_h,atmos_qms)*CK181^2</f>
        <v>1853.2678948625144</v>
      </c>
      <c r="CP181" cm="1">
        <f t="array" ref="CP181">CK181*Linterp(CL$90,atmos_h,atmos_aspeed)</f>
        <v>1064.9105614635773</v>
      </c>
      <c r="CQ181" s="162">
        <f t="shared" si="39"/>
        <v>-1356.1233293047712</v>
      </c>
    </row>
    <row r="182" spans="9:95">
      <c r="I182">
        <v>1.1100000000000001</v>
      </c>
      <c r="J182" cm="1">
        <f t="array" ref="J182">numeng*InterpolateXY(J$90,I182,Tmax_h,Tmax_M,Tmax_table)</f>
        <v>8164</v>
      </c>
      <c r="K182" cm="1">
        <f t="array" ref="K182">1*J$91/(S*Linterp(J$90,atmos_h,atmos_qms)*I182^2)</f>
        <v>3.2228958151245206E-2</v>
      </c>
      <c r="L182" cm="1">
        <f t="array" ref="L182">InterpolateXY(K182,I182,CD_CL,CD_M,CD_table)</f>
        <v>4.0147247709408147E-2</v>
      </c>
      <c r="M182" cm="1">
        <f t="array" ref="M182">L182*S*Linterp(J$90,atmos_h,atmos_qms)*I182^2</f>
        <v>12456.886605208805</v>
      </c>
      <c r="N182" cm="1">
        <f t="array" ref="N182">I182*Linterp(J$90,atmos_h,atmos_aspeed)</f>
        <v>1239.2595000000001</v>
      </c>
      <c r="O182" s="162">
        <f t="shared" si="40"/>
        <v>-31920.00304756657</v>
      </c>
      <c r="Q182">
        <v>1.1100000000000001</v>
      </c>
      <c r="R182" cm="1">
        <f t="array" ref="R182">numeng*InterpolateXY(R$90,Q182,Tmax_h,Tmax_M,Tmax_table)</f>
        <v>7608.5289120726484</v>
      </c>
      <c r="S182" cm="1">
        <f t="array" ref="S182">1*R$91/(S*Linterp(R$90,atmos_h,atmos_qms)*Q182^2)</f>
        <v>3.873453705219642E-2</v>
      </c>
      <c r="T182" cm="1">
        <f t="array" ref="T182">InterpolateXY(S182,Q182,CD_CL,CD_M,CD_table)</f>
        <v>4.0257712439146297E-2</v>
      </c>
      <c r="U182" cm="1">
        <f t="array" ref="U182">T182*S*Linterp(R$90,atmos_h,atmos_qms)*Q182^2</f>
        <v>10393.234436982511</v>
      </c>
      <c r="V182" cm="1">
        <f t="array" ref="V182">Q182*Linterp(R$90,atmos_h,atmos_aspeed)</f>
        <v>1217.7725932709759</v>
      </c>
      <c r="W182" s="162">
        <f t="shared" si="30"/>
        <v>-20346.828411392991</v>
      </c>
      <c r="Y182">
        <v>1.1100000000000001</v>
      </c>
      <c r="Z182" cm="1">
        <f t="array" ref="Z182">numeng*InterpolateXY(Z$90,Y182,Tmax_h,Tmax_M,Tmax_table)</f>
        <v>7012.5594894344677</v>
      </c>
      <c r="AA182" cm="1">
        <f t="array" ref="AA182">1*Z$91/(S*Linterp(Z$90,atmos_h,atmos_qms)*Y182^2)</f>
        <v>4.6864648515474269E-2</v>
      </c>
      <c r="AB182" cm="1">
        <f t="array" ref="AB182">InterpolateXY(AA182,Y182,CD_CL,CD_M,CD_table)</f>
        <v>4.0395761731792754E-2</v>
      </c>
      <c r="AC182" cm="1">
        <f t="array" ref="AC182">AB182*S*Linterp(Z$90,atmos_h,atmos_qms)*Y182^2</f>
        <v>8619.6659980186232</v>
      </c>
      <c r="AD182" cm="1">
        <f t="array" ref="AD182">Y182*Linterp(Z$90,atmos_h,atmos_aspeed)</f>
        <v>1195.8996904019941</v>
      </c>
      <c r="AE182" s="162">
        <f t="shared" si="31"/>
        <v>-11531.629056352929</v>
      </c>
      <c r="AG182">
        <v>1.1100000000000001</v>
      </c>
      <c r="AH182" cm="1">
        <f t="array" ref="AH182">numeng*InterpolateXY(AH$90,AG182,Tmax_h,Tmax_M,Tmax_table)</f>
        <v>6254.5718857636457</v>
      </c>
      <c r="AI182" cm="1">
        <f t="array" ref="AI182">1*AH$91/(S*Linterp(AH$90,atmos_h,atmos_qms)*AG182^2)</f>
        <v>5.7109067535262951E-2</v>
      </c>
      <c r="AJ182" cm="1">
        <f t="array" ref="AJ182">InterpolateXY(AI182,AG182,CD_CL,CD_M,CD_table)</f>
        <v>4.0569711966748773E-2</v>
      </c>
      <c r="AK182" cm="1">
        <f t="array" ref="AK182">AJ182*S*Linterp(AH$90,atmos_h,atmos_qms)*AG182^2</f>
        <v>7103.9002592186125</v>
      </c>
      <c r="AL182" cm="1">
        <f t="array" ref="AL182">AG182*Linterp(AH$90,atmos_h,atmos_aspeed)</f>
        <v>1173.6192100018013</v>
      </c>
      <c r="AM182" s="162">
        <f t="shared" si="32"/>
        <v>-5980.7285681179983</v>
      </c>
      <c r="AO182">
        <v>1.1100000000000001</v>
      </c>
      <c r="AP182" cm="1">
        <f t="array" ref="AP182">numeng*InterpolateXY(AP$90,AO182,Tmax_h,Tmax_M,Tmax_table)</f>
        <v>5532.6558821359831</v>
      </c>
      <c r="AQ182" cm="1">
        <f t="array" ref="AQ182">1*AP$91/(S*Linterp(AP$90,atmos_h,atmos_qms)*AO182^2)</f>
        <v>7.0132747372203388E-2</v>
      </c>
      <c r="AR182" cm="1">
        <f t="array" ref="AR182">InterpolateXY(AQ182,AO182,CD_CL,CD_M,CD_table)</f>
        <v>4.0790854050380014E-2</v>
      </c>
      <c r="AS182" cm="1">
        <f t="array" ref="AS182">AR182*S*Linterp(AP$90,atmos_h,atmos_qms)*AO182^2</f>
        <v>5816.2350084330465</v>
      </c>
      <c r="AT182" cm="1">
        <f t="array" ref="AT182">AO182*Linterp(AP$90,atmos_h,atmos_aspeed)</f>
        <v>1150.9074813671687</v>
      </c>
      <c r="AU182" s="162">
        <f t="shared" si="33"/>
        <v>-1958.2400280891325</v>
      </c>
      <c r="AW182">
        <v>1.1100000000000001</v>
      </c>
      <c r="AX182" cm="1">
        <f t="array" ref="AX182">numeng*InterpolateXY(AX$90,AW182,Tmax_h,Tmax_M,Tmax_table)</f>
        <v>4852.1733137664814</v>
      </c>
      <c r="AY182" cm="1">
        <f t="array" ref="AY182">1*AX$91/(S*Linterp(AX$90,atmos_h,atmos_qms)*AW182^2)</f>
        <v>8.6849193084988188E-2</v>
      </c>
      <c r="AZ182" cm="1">
        <f t="array" ref="AZ182">InterpolateXY(AY182,AW182,CD_CL,CD_M,CD_table)</f>
        <v>4.1074699298583102E-2</v>
      </c>
      <c r="BA182" cm="1">
        <f t="array" ref="BA182">AZ182*S*Linterp(AX$90,atmos_h,atmos_qms)*AW182^2</f>
        <v>4729.427855292628</v>
      </c>
      <c r="BB182" cm="1">
        <f t="array" ref="BB182">AW182*Linterp(AX$90,atmos_h,atmos_aspeed)</f>
        <v>1127.7384498404701</v>
      </c>
      <c r="BC182" s="162">
        <f t="shared" si="34"/>
        <v>830.54863838556764</v>
      </c>
      <c r="BE182">
        <v>1.1100000000000001</v>
      </c>
      <c r="BF182" cm="1">
        <f t="array" ref="BF182">numeng*InterpolateXY(BF$90,BE182,Tmax_h,Tmax_M,Tmax_table)</f>
        <v>4217.1607992191239</v>
      </c>
      <c r="BG182" cm="1">
        <f t="array" ref="BG182">1*BF$91/(S*Linterp(BF$90,atmos_h,atmos_qms)*BE182^2)</f>
        <v>0.10852947388526851</v>
      </c>
      <c r="BH182" cm="1">
        <f t="array" ref="BH182">InterpolateXY(BG182,BE182,CD_CL,CD_M,CD_table)</f>
        <v>4.1732491399715584E-2</v>
      </c>
      <c r="BI182" cm="1">
        <f t="array" ref="BI182">BH182*S*Linterp(BF$90,atmos_h,atmos_qms)*BE182^2</f>
        <v>3845.2680092997512</v>
      </c>
      <c r="BJ182" cm="1">
        <f t="array" ref="BJ182">BE182*Linterp(BF$90,atmos_h,atmos_aspeed)</f>
        <v>1104.0833264886548</v>
      </c>
      <c r="BK182" s="162">
        <f t="shared" si="35"/>
        <v>2463.6037715479652</v>
      </c>
      <c r="BM182">
        <v>1.1100000000000001</v>
      </c>
      <c r="BN182" cm="1">
        <f t="array" ref="BN182">numeng*InterpolateXY(BN$90,BM182,Tmax_h,Tmax_M,Tmax_table)</f>
        <v>3630.4405581273722</v>
      </c>
      <c r="BO182" cm="1">
        <f t="array" ref="BO182">1*BN$91/(S*Linterp(BN$90,atmos_h,atmos_qms)*BM182^2)</f>
        <v>0.1369667998738163</v>
      </c>
      <c r="BP182" cm="1">
        <f t="array" ref="BP182">InterpolateXY(BO182,BM182,CD_CL,CD_M,CD_table)</f>
        <v>4.3181088785572204E-2</v>
      </c>
      <c r="BQ182" cm="1">
        <f t="array" ref="BQ182">BP182*S*Linterp(BN$90,atmos_h,atmos_qms)*BM182^2</f>
        <v>3152.6682981097415</v>
      </c>
      <c r="BR182" cm="1">
        <f t="array" ref="BR182">BM182*Linterp(BN$90,atmos_h,atmos_aspeed)</f>
        <v>1079.9101686769695</v>
      </c>
      <c r="BS182" s="162">
        <f t="shared" si="36"/>
        <v>3095.7067314288993</v>
      </c>
      <c r="BU182">
        <v>1.1100000000000001</v>
      </c>
      <c r="BV182" cm="1">
        <f t="array" ref="BV182">numeng*InterpolateXY(BV$90,BU182,Tmax_h,Tmax_M,Tmax_table)</f>
        <v>2993.4209644972584</v>
      </c>
      <c r="BW182" cm="1">
        <f t="array" ref="BW182">1*BV$91/(S*Linterp(BV$90,atmos_h,atmos_qms)*BU182^2)</f>
        <v>0.17412942946047891</v>
      </c>
      <c r="BX182" cm="1">
        <f t="array" ref="BX182">InterpolateXY(BW182,BU182,CD_CL,CD_M,CD_table)</f>
        <v>4.5074153136716803E-2</v>
      </c>
      <c r="BY182" cm="1">
        <f t="array" ref="BY182">BX182*S*Linterp(BV$90,atmos_h,atmos_qms)*BU182^2</f>
        <v>2588.54308983692</v>
      </c>
      <c r="BZ182" cm="1">
        <f t="array" ref="BZ182">BU182*Linterp(BV$90,atmos_h,atmos_aspeed)</f>
        <v>1074.5915665677917</v>
      </c>
      <c r="CA182" s="162">
        <f t="shared" si="37"/>
        <v>2610.470097599346</v>
      </c>
      <c r="CC182">
        <v>1.1100000000000001</v>
      </c>
      <c r="CD182" cm="1">
        <f t="array" ref="CD182">numeng*InterpolateXY(CD$90,CC182,Tmax_h,Tmax_M,Tmax_table)</f>
        <v>2268.0080179021143</v>
      </c>
      <c r="CE182" cm="1">
        <f t="array" ref="CE182">1*CD$91/(S*Linterp(CD$90,atmos_h,atmos_qms)*CC182^2)</f>
        <v>0.2214324042382263</v>
      </c>
      <c r="CF182" cm="1">
        <f t="array" ref="CF182">InterpolateXY(CE182,CC182,CD_CL,CD_M,CD_table)</f>
        <v>4.8211611119825422E-2</v>
      </c>
      <c r="CG182" cm="1">
        <f t="array" ref="CG182">CF182*S*Linterp(CD$90,atmos_h,atmos_qms)*CC182^2</f>
        <v>2177.2608794852513</v>
      </c>
      <c r="CH182" cm="1">
        <f t="array" ref="CH182">CC182*Linterp(CD$90,atmos_h,atmos_aspeed)</f>
        <v>1074.5915665677917</v>
      </c>
      <c r="CI182" s="162">
        <f t="shared" si="38"/>
        <v>585.09665779752618</v>
      </c>
      <c r="CK182">
        <v>1.1100000000000001</v>
      </c>
      <c r="CL182" cm="1">
        <f t="array" ref="CL182">numeng*InterpolateXY(CL$90,CK182,Tmax_h,Tmax_M,Tmax_table)</f>
        <v>1648.3311698469256</v>
      </c>
      <c r="CM182" cm="1">
        <f t="array" ref="CM182">1*CL$91/(S*Linterp(CL$90,atmos_h,atmos_qms)*CK182^2)</f>
        <v>0.28158542641897205</v>
      </c>
      <c r="CN182" cm="1">
        <f t="array" ref="CN182">InterpolateXY(CM182,CK182,CD_CL,CD_M,CD_table)</f>
        <v>5.331860270297073E-2</v>
      </c>
      <c r="CO182" cm="1">
        <f t="array" ref="CO182">CN182*S*Linterp(CL$90,atmos_h,atmos_qms)*CK182^2</f>
        <v>1893.5142837839123</v>
      </c>
      <c r="CP182" cm="1">
        <f t="array" ref="CP182">CK182*Linterp(CL$90,atmos_h,atmos_aspeed)</f>
        <v>1074.5915665677917</v>
      </c>
      <c r="CQ182" s="162">
        <f t="shared" si="39"/>
        <v>-1580.8302390090955</v>
      </c>
    </row>
    <row r="183" spans="9:95">
      <c r="I183">
        <v>1.1200000000000001</v>
      </c>
      <c r="J183" cm="1">
        <f t="array" ref="J183">numeng*InterpolateXY(J$90,I183,Tmax_h,Tmax_M,Tmax_table)</f>
        <v>8188</v>
      </c>
      <c r="K183" cm="1">
        <f t="array" ref="K183">1*J$91/(S*Linterp(J$90,atmos_h,atmos_qms)*I183^2)</f>
        <v>3.1656010314213348E-2</v>
      </c>
      <c r="L183" cm="1">
        <f t="array" ref="L183">InterpolateXY(K183,I183,CD_CL,CD_M,CD_table)</f>
        <v>4.0449548339054751E-2</v>
      </c>
      <c r="M183" cm="1">
        <f t="array" ref="M183">L183*S*Linterp(J$90,atmos_h,atmos_qms)*I183^2</f>
        <v>12777.841533900804</v>
      </c>
      <c r="N183" cm="1">
        <f t="array" ref="N183">I183*Linterp(J$90,atmos_h,atmos_aspeed)</f>
        <v>1250.4240000000002</v>
      </c>
      <c r="O183" s="162">
        <f t="shared" si="40"/>
        <v>-34435.488061118282</v>
      </c>
      <c r="Q183">
        <v>1.1200000000000001</v>
      </c>
      <c r="R183" cm="1">
        <f t="array" ref="R183">numeng*InterpolateXY(R$90,Q183,Tmax_h,Tmax_M,Tmax_table)</f>
        <v>7634.3789536765198</v>
      </c>
      <c r="S183" cm="1">
        <f t="array" ref="S183">1*R$91/(S*Linterp(R$90,atmos_h,atmos_qms)*Q183^2)</f>
        <v>3.8045936784128834E-2</v>
      </c>
      <c r="T183" cm="1">
        <f t="array" ref="T183">InterpolateXY(S183,Q183,CD_CL,CD_M,CD_table)</f>
        <v>4.0560477462572485E-2</v>
      </c>
      <c r="U183" cm="1">
        <f t="array" ref="U183">T183*S*Linterp(R$90,atmos_h,atmos_qms)*Q183^2</f>
        <v>10660.922266866775</v>
      </c>
      <c r="V183" cm="1">
        <f t="array" ref="V183">Q183*Linterp(R$90,atmos_h,atmos_aspeed)</f>
        <v>1228.7435175346784</v>
      </c>
      <c r="W183" s="162">
        <f t="shared" si="30"/>
        <v>-22313.072859722728</v>
      </c>
      <c r="Y183">
        <v>1.1200000000000001</v>
      </c>
      <c r="Z183" cm="1">
        <f t="array" ref="Z183">numeng*InterpolateXY(Z$90,Y183,Tmax_h,Tmax_M,Tmax_table)</f>
        <v>7039.1445928063758</v>
      </c>
      <c r="AA183" cm="1">
        <f t="array" ref="AA183">1*Z$91/(S*Linterp(Z$90,atmos_h,atmos_qms)*Y183^2)</f>
        <v>4.6031515813070675E-2</v>
      </c>
      <c r="AB183" cm="1">
        <f t="array" ref="AB183">InterpolateXY(AA183,Y183,CD_CL,CD_M,CD_table)</f>
        <v>4.069910711451491E-2</v>
      </c>
      <c r="AC183" cm="1">
        <f t="array" ref="AC183">AB183*S*Linterp(Z$90,atmos_h,atmos_qms)*Y183^2</f>
        <v>8841.5743856426252</v>
      </c>
      <c r="AD183" cm="1">
        <f t="array" ref="AD183">Y183*Linterp(Z$90,atmos_h,atmos_aspeed)</f>
        <v>1206.6735614866968</v>
      </c>
      <c r="AE183" s="162">
        <f t="shared" si="31"/>
        <v>-13049.666264708678</v>
      </c>
      <c r="AG183">
        <v>1.1200000000000001</v>
      </c>
      <c r="AH183" cm="1">
        <f t="array" ref="AH183">numeng*InterpolateXY(AH$90,AG183,Tmax_h,Tmax_M,Tmax_table)</f>
        <v>6279.7411891268803</v>
      </c>
      <c r="AI183" cm="1">
        <f t="array" ref="AI183">1*AH$91/(S*Linterp(AH$90,atmos_h,atmos_qms)*AG183^2)</f>
        <v>5.6093815457746721E-2</v>
      </c>
      <c r="AJ183" cm="1">
        <f t="array" ref="AJ183">InterpolateXY(AI183,AG183,CD_CL,CD_M,CD_table)</f>
        <v>4.0873788636346491E-2</v>
      </c>
      <c r="AK183" cm="1">
        <f t="array" ref="AK183">AJ183*S*Linterp(AH$90,atmos_h,atmos_qms)*AG183^2</f>
        <v>7286.6836215010408</v>
      </c>
      <c r="AL183" cm="1">
        <f t="array" ref="AL183">AG183*Linterp(AH$90,atmos_h,atmos_aspeed)</f>
        <v>1184.1923560378534</v>
      </c>
      <c r="AM183" s="162">
        <f t="shared" si="32"/>
        <v>-7154.4811883258644</v>
      </c>
      <c r="AO183">
        <v>1.1200000000000001</v>
      </c>
      <c r="AP183" cm="1">
        <f t="array" ref="AP183">numeng*InterpolateXY(AP$90,AO183,Tmax_h,Tmax_M,Tmax_table)</f>
        <v>5556.0993392636774</v>
      </c>
      <c r="AQ183" cm="1">
        <f t="array" ref="AQ183">1*AP$91/(S*Linterp(AP$90,atmos_h,atmos_qms)*AO183^2)</f>
        <v>6.8885967823096153E-2</v>
      </c>
      <c r="AR183" cm="1">
        <f t="array" ref="AR183">InterpolateXY(AQ183,AO183,CD_CL,CD_M,CD_table)</f>
        <v>4.109586040140896E-2</v>
      </c>
      <c r="AS183" cm="1">
        <f t="array" ref="AS183">AR183*S*Linterp(AP$90,atmos_h,atmos_qms)*AO183^2</f>
        <v>5965.7810872231521</v>
      </c>
      <c r="AT183" cm="1">
        <f t="array" ref="AT183">AO183*Linterp(AP$90,atmos_h,atmos_aspeed)</f>
        <v>1161.2760172353412</v>
      </c>
      <c r="AU183" s="162">
        <f t="shared" si="33"/>
        <v>-2854.5215316263502</v>
      </c>
      <c r="AW183">
        <v>1.1200000000000001</v>
      </c>
      <c r="AX183" cm="1">
        <f t="array" ref="AX183">numeng*InterpolateXY(AX$90,AW183,Tmax_h,Tmax_M,Tmax_table)</f>
        <v>4873.6827632549175</v>
      </c>
      <c r="AY183" cm="1">
        <f t="array" ref="AY183">1*AX$91/(S*Linterp(AX$90,atmos_h,atmos_qms)*AW183^2)</f>
        <v>8.5305238201541733E-2</v>
      </c>
      <c r="AZ183" cm="1">
        <f t="array" ref="AZ183">InterpolateXY(AY183,AW183,CD_CL,CD_M,CD_table)</f>
        <v>4.1380898935178774E-2</v>
      </c>
      <c r="BA183" cm="1">
        <f t="array" ref="BA183">AZ183*S*Linterp(AX$90,atmos_h,atmos_qms)*AW183^2</f>
        <v>4850.9212104199823</v>
      </c>
      <c r="BB183" cm="1">
        <f t="array" ref="BB183">AW183*Linterp(AX$90,atmos_h,atmos_aspeed)</f>
        <v>1137.8982556948888</v>
      </c>
      <c r="BC183" s="162">
        <f t="shared" si="34"/>
        <v>155.40198760667869</v>
      </c>
      <c r="BE183">
        <v>1.1200000000000001</v>
      </c>
      <c r="BF183" cm="1">
        <f t="array" ref="BF183">numeng*InterpolateXY(BF$90,BE183,Tmax_h,Tmax_M,Tmax_table)</f>
        <v>4236.6154090097016</v>
      </c>
      <c r="BG183" cm="1">
        <f t="array" ref="BG183">1*BF$91/(S*Linterp(BF$90,atmos_h,atmos_qms)*BE183^2)</f>
        <v>0.10660009946910025</v>
      </c>
      <c r="BH183" cm="1">
        <f t="array" ref="BH183">InterpolateXY(BG183,BE183,CD_CL,CD_M,CD_table)</f>
        <v>4.1979733180350746E-2</v>
      </c>
      <c r="BI183" cm="1">
        <f t="array" ref="BI183">BH183*S*Linterp(BF$90,atmos_h,atmos_qms)*BE183^2</f>
        <v>3938.0575993289058</v>
      </c>
      <c r="BJ183" cm="1">
        <f t="array" ref="BJ183">BE183*Linterp(BF$90,atmos_h,atmos_aspeed)</f>
        <v>1114.0300231236877</v>
      </c>
      <c r="BK183" s="162">
        <f t="shared" si="35"/>
        <v>1995.6141817347266</v>
      </c>
      <c r="BM183">
        <v>1.1200000000000001</v>
      </c>
      <c r="BN183" cm="1">
        <f t="array" ref="BN183">numeng*InterpolateXY(BN$90,BM183,Tmax_h,Tmax_M,Tmax_table)</f>
        <v>3647.7932955168508</v>
      </c>
      <c r="BO183" cm="1">
        <f t="array" ref="BO183">1*BN$91/(S*Linterp(BN$90,atmos_h,atmos_qms)*BM183^2)</f>
        <v>0.13453188307121261</v>
      </c>
      <c r="BP183" cm="1">
        <f t="array" ref="BP183">InterpolateXY(BO183,BM183,CD_CL,CD_M,CD_table)</f>
        <v>4.3434420470348761E-2</v>
      </c>
      <c r="BQ183" cm="1">
        <f t="array" ref="BQ183">BP183*S*Linterp(BN$90,atmos_h,atmos_qms)*BM183^2</f>
        <v>3228.5596156680085</v>
      </c>
      <c r="BR183" cm="1">
        <f t="array" ref="BR183">BM183*Linterp(BN$90,atmos_h,atmos_aspeed)</f>
        <v>1089.6390891155008</v>
      </c>
      <c r="BS183" s="162">
        <f t="shared" si="36"/>
        <v>2740.8804302221915</v>
      </c>
      <c r="BU183">
        <v>1.1200000000000001</v>
      </c>
      <c r="BV183" cm="1">
        <f t="array" ref="BV183">numeng*InterpolateXY(BV$90,BU183,Tmax_h,Tmax_M,Tmax_table)</f>
        <v>3008.1911337299753</v>
      </c>
      <c r="BW183" cm="1">
        <f t="array" ref="BW183">1*BV$91/(S*Linterp(BV$90,atmos_h,atmos_qms)*BU183^2)</f>
        <v>0.17103385685447708</v>
      </c>
      <c r="BX183" cm="1">
        <f t="array" ref="BX183">InterpolateXY(BW183,BU183,CD_CL,CD_M,CD_table)</f>
        <v>4.5335443264981172E-2</v>
      </c>
      <c r="BY183" cm="1">
        <f t="array" ref="BY183">BX183*S*Linterp(BV$90,atmos_h,atmos_qms)*BU183^2</f>
        <v>2650.6706975306361</v>
      </c>
      <c r="BZ183" cm="1">
        <f t="array" ref="BZ183">BU183*Linterp(BV$90,atmos_h,atmos_aspeed)</f>
        <v>1084.2725716720061</v>
      </c>
      <c r="CA183" s="162">
        <f t="shared" si="37"/>
        <v>2325.8976166989291</v>
      </c>
      <c r="CC183">
        <v>1.1200000000000001</v>
      </c>
      <c r="CD183" cm="1">
        <f t="array" ref="CD183">numeng*InterpolateXY(CD$90,CC183,Tmax_h,Tmax_M,Tmax_table)</f>
        <v>2278.8486161440501</v>
      </c>
      <c r="CE183" cm="1">
        <f t="array" ref="CE183">1*CD$91/(S*Linterp(CD$90,atmos_h,atmos_qms)*CC183^2)</f>
        <v>0.2174959066182387</v>
      </c>
      <c r="CF183" cm="1">
        <f t="array" ref="CF183">InterpolateXY(CE183,CC183,CD_CL,CD_M,CD_table)</f>
        <v>4.8362644694463129E-2</v>
      </c>
      <c r="CG183" cm="1">
        <f t="array" ref="CG183">CF183*S*Linterp(CD$90,atmos_h,atmos_qms)*CC183^2</f>
        <v>2223.6117197070762</v>
      </c>
      <c r="CH183" cm="1">
        <f t="array" ref="CH183">CC183*Linterp(CD$90,atmos_h,atmos_aspeed)</f>
        <v>1084.2725716720061</v>
      </c>
      <c r="CI183" s="162">
        <f t="shared" si="38"/>
        <v>359.35111050538768</v>
      </c>
      <c r="CK183">
        <v>1.1200000000000001</v>
      </c>
      <c r="CL183" cm="1">
        <f t="array" ref="CL183">numeng*InterpolateXY(CL$90,CK183,Tmax_h,Tmax_M,Tmax_table)</f>
        <v>1655.6381421550761</v>
      </c>
      <c r="CM183" cm="1">
        <f t="array" ref="CM183">1*CL$91/(S*Linterp(CL$90,atmos_h,atmos_qms)*CK183^2)</f>
        <v>0.27657956305071379</v>
      </c>
      <c r="CN183" cm="1">
        <f t="array" ref="CN183">InterpolateXY(CM183,CK183,CD_CL,CD_M,CD_table)</f>
        <v>5.3491106072801962E-2</v>
      </c>
      <c r="CO183" cm="1">
        <f t="array" ref="CO183">CN183*S*Linterp(CL$90,atmos_h,atmos_qms)*CK183^2</f>
        <v>1934.0223653109827</v>
      </c>
      <c r="CP183" cm="1">
        <f t="array" ref="CP183">CK183*Linterp(CL$90,atmos_h,atmos_aspeed)</f>
        <v>1084.2725716720061</v>
      </c>
      <c r="CQ183" s="162">
        <f t="shared" si="39"/>
        <v>-1811.0662653250101</v>
      </c>
    </row>
    <row r="184" spans="9:95">
      <c r="I184">
        <v>1.1299999999999999</v>
      </c>
      <c r="J184" cm="1">
        <f t="array" ref="J184">numeng*InterpolateXY(J$90,I184,Tmax_h,Tmax_M,Tmax_table)</f>
        <v>8212</v>
      </c>
      <c r="K184" cm="1">
        <f t="array" ref="K184">1*J$91/(S*Linterp(J$90,atmos_h,atmos_qms)*I184^2)</f>
        <v>3.1098206075768842E-2</v>
      </c>
      <c r="L184" cm="1">
        <f t="array" ref="L184">InterpolateXY(K184,I184,CD_CL,CD_M,CD_table)</f>
        <v>4.0751682175784135E-2</v>
      </c>
      <c r="M184" cm="1">
        <f t="array" ref="M184">L184*S*Linterp(J$90,atmos_h,atmos_qms)*I184^2</f>
        <v>13104.190665048394</v>
      </c>
      <c r="N184" cm="1">
        <f t="array" ref="N184">I184*Linterp(J$90,atmos_h,atmos_aspeed)</f>
        <v>1261.5884999999998</v>
      </c>
      <c r="O184" s="162">
        <f t="shared" si="40"/>
        <v>-37031.588896994435</v>
      </c>
      <c r="Q184">
        <v>1.1299999999999999</v>
      </c>
      <c r="R184" cm="1">
        <f t="array" ref="R184">numeng*InterpolateXY(R$90,Q184,Tmax_h,Tmax_M,Tmax_table)</f>
        <v>7660.2289952803894</v>
      </c>
      <c r="S184" cm="1">
        <f t="array" ref="S184">1*R$91/(S*Linterp(R$90,atmos_h,atmos_qms)*Q184^2)</f>
        <v>3.7375536926941212E-2</v>
      </c>
      <c r="T184" cm="1">
        <f t="array" ref="T184">InterpolateXY(S184,Q184,CD_CL,CD_M,CD_table)</f>
        <v>4.0863042025083937E-2</v>
      </c>
      <c r="U184" cm="1">
        <f t="array" ref="U184">T184*S*Linterp(R$90,atmos_h,atmos_qms)*Q184^2</f>
        <v>10933.098327111617</v>
      </c>
      <c r="V184" cm="1">
        <f t="array" ref="V184">Q184*Linterp(R$90,atmos_h,atmos_aspeed)</f>
        <v>1239.7144417983807</v>
      </c>
      <c r="W184" s="162">
        <f t="shared" si="30"/>
        <v>-24344.540260741134</v>
      </c>
      <c r="Y184">
        <v>1.1299999999999999</v>
      </c>
      <c r="Z184" cm="1">
        <f t="array" ref="Z184">numeng*InterpolateXY(Z$90,Y184,Tmax_h,Tmax_M,Tmax_table)</f>
        <v>7065.729696178284</v>
      </c>
      <c r="AA184" cm="1">
        <f t="array" ref="AA184">1*Z$91/(S*Linterp(Z$90,atmos_h,atmos_qms)*Y184^2)</f>
        <v>4.5220403661928005E-2</v>
      </c>
      <c r="AB184" cm="1">
        <f t="array" ref="AB184">InterpolateXY(AA184,Y184,CD_CL,CD_M,CD_table)</f>
        <v>4.1002209960962599E-2</v>
      </c>
      <c r="AC184" cm="1">
        <f t="array" ref="AC184">AB184*S*Linterp(Z$90,atmos_h,atmos_qms)*Y184^2</f>
        <v>9067.1923823367379</v>
      </c>
      <c r="AD184" cm="1">
        <f t="array" ref="AD184">Y184*Linterp(Z$90,atmos_h,atmos_aspeed)</f>
        <v>1217.4474325713991</v>
      </c>
      <c r="AE184" s="162">
        <f t="shared" si="31"/>
        <v>-14620.053651906392</v>
      </c>
      <c r="AG184">
        <v>1.1299999999999999</v>
      </c>
      <c r="AH184" cm="1">
        <f t="array" ref="AH184">numeng*InterpolateXY(AH$90,AG184,Tmax_h,Tmax_M,Tmax_table)</f>
        <v>6304.9104924901139</v>
      </c>
      <c r="AI184" cm="1">
        <f t="array" ref="AI184">1*AH$91/(S*Linterp(AH$90,atmos_h,atmos_qms)*AG184^2)</f>
        <v>5.5105397533242624E-2</v>
      </c>
      <c r="AJ184" cm="1">
        <f t="array" ref="AJ184">InterpolateXY(AI184,AG184,CD_CL,CD_M,CD_table)</f>
        <v>4.1177569752239726E-2</v>
      </c>
      <c r="AK184" cm="1">
        <f t="array" ref="AK184">AJ184*S*Linterp(AH$90,atmos_h,atmos_qms)*AG184^2</f>
        <v>7472.511150545487</v>
      </c>
      <c r="AL184" cm="1">
        <f t="array" ref="AL184">AG184*Linterp(AH$90,atmos_h,atmos_aspeed)</f>
        <v>1194.7655020739055</v>
      </c>
      <c r="AM184" s="162">
        <f t="shared" si="32"/>
        <v>-8370.0539186601018</v>
      </c>
      <c r="AO184">
        <v>1.1299999999999999</v>
      </c>
      <c r="AP184" cm="1">
        <f t="array" ref="AP184">numeng*InterpolateXY(AP$90,AO184,Tmax_h,Tmax_M,Tmax_table)</f>
        <v>5579.5427963913717</v>
      </c>
      <c r="AQ184" cm="1">
        <f t="array" ref="AQ184">1*AP$91/(S*Linterp(AP$90,atmos_h,atmos_qms)*AO184^2)</f>
        <v>6.7672141935383998E-2</v>
      </c>
      <c r="AR184" cm="1">
        <f t="array" ref="AR184">InterpolateXY(AQ184,AO184,CD_CL,CD_M,CD_table)</f>
        <v>4.140050379793371E-2</v>
      </c>
      <c r="AS184" cm="1">
        <f t="array" ref="AS184">AR184*S*Linterp(AP$90,atmos_h,atmos_qms)*AO184^2</f>
        <v>6117.806029763995</v>
      </c>
      <c r="AT184" cm="1">
        <f t="array" ref="AT184">AO184*Linterp(AP$90,atmos_h,atmos_aspeed)</f>
        <v>1171.6445531035138</v>
      </c>
      <c r="AU184" s="162">
        <f t="shared" si="33"/>
        <v>-3783.9191131015173</v>
      </c>
      <c r="AW184">
        <v>1.1299999999999999</v>
      </c>
      <c r="AX184" cm="1">
        <f t="array" ref="AX184">numeng*InterpolateXY(AX$90,AW184,Tmax_h,Tmax_M,Tmax_table)</f>
        <v>4895.1922127433536</v>
      </c>
      <c r="AY184" cm="1">
        <f t="array" ref="AY184">1*AX$91/(S*Linterp(AX$90,atmos_h,atmos_qms)*AW184^2)</f>
        <v>8.3802091628172912E-2</v>
      </c>
      <c r="AZ184" cm="1">
        <f t="array" ref="AZ184">InterpolateXY(AY184,AW184,CD_CL,CD_M,CD_table)</f>
        <v>4.1686649105483788E-2</v>
      </c>
      <c r="BA184" cm="1">
        <f t="array" ref="BA184">AZ184*S*Linterp(AX$90,atmos_h,atmos_qms)*AW184^2</f>
        <v>4974.4163057941396</v>
      </c>
      <c r="BB184" cm="1">
        <f t="array" ref="BB184">AW184*Linterp(AX$90,atmos_h,atmos_aspeed)</f>
        <v>1148.0580615493072</v>
      </c>
      <c r="BC184" s="162">
        <f t="shared" si="34"/>
        <v>-545.72315217532389</v>
      </c>
      <c r="BE184">
        <v>1.1299999999999999</v>
      </c>
      <c r="BF184" cm="1">
        <f t="array" ref="BF184">numeng*InterpolateXY(BF$90,BE184,Tmax_h,Tmax_M,Tmax_table)</f>
        <v>4256.0700188002793</v>
      </c>
      <c r="BG184" cm="1">
        <f t="array" ref="BG184">1*BF$91/(S*Linterp(BF$90,atmos_h,atmos_qms)*BE184^2)</f>
        <v>0.10472172039630306</v>
      </c>
      <c r="BH184" cm="1">
        <f t="array" ref="BH184">InterpolateXY(BG184,BE184,CD_CL,CD_M,CD_table)</f>
        <v>4.222528995949125E-2</v>
      </c>
      <c r="BI184" cm="1">
        <f t="array" ref="BI184">BH184*S*Linterp(BF$90,atmos_h,atmos_qms)*BE184^2</f>
        <v>4032.1425010681837</v>
      </c>
      <c r="BJ184" cm="1">
        <f t="array" ref="BJ184">BE184*Linterp(BF$90,atmos_h,atmos_aspeed)</f>
        <v>1123.9767197587205</v>
      </c>
      <c r="BK184" s="162">
        <f t="shared" si="35"/>
        <v>1510.135901065401</v>
      </c>
      <c r="BM184">
        <v>1.1299999999999999</v>
      </c>
      <c r="BN184" cm="1">
        <f t="array" ref="BN184">numeng*InterpolateXY(BN$90,BM184,Tmax_h,Tmax_M,Tmax_table)</f>
        <v>3665.1460329063293</v>
      </c>
      <c r="BO184" cm="1">
        <f t="array" ref="BO184">1*BN$91/(S*Linterp(BN$90,atmos_h,atmos_qms)*BM184^2)</f>
        <v>0.13216132361541949</v>
      </c>
      <c r="BP184" cm="1">
        <f t="array" ref="BP184">InterpolateXY(BO184,BM184,CD_CL,CD_M,CD_table)</f>
        <v>4.3685625642812621E-2</v>
      </c>
      <c r="BQ184" cm="1">
        <f t="array" ref="BQ184">BP184*S*Linterp(BN$90,atmos_h,atmos_qms)*BM184^2</f>
        <v>3305.4773096806171</v>
      </c>
      <c r="BR184" cm="1">
        <f t="array" ref="BR184">BM184*Linterp(BN$90,atmos_h,atmos_aspeed)</f>
        <v>1099.3680095540319</v>
      </c>
      <c r="BS184" s="162">
        <f t="shared" si="36"/>
        <v>2372.4497301089477</v>
      </c>
      <c r="BU184">
        <v>1.1299999999999999</v>
      </c>
      <c r="BV184" cm="1">
        <f t="array" ref="BV184">numeng*InterpolateXY(BV$90,BU184,Tmax_h,Tmax_M,Tmax_table)</f>
        <v>3022.9613029626917</v>
      </c>
      <c r="BW184" cm="1">
        <f t="array" ref="BW184">1*BV$91/(S*Linterp(BV$90,atmos_h,atmos_qms)*BU184^2)</f>
        <v>0.16802010340532236</v>
      </c>
      <c r="BX184" cm="1">
        <f t="array" ref="BX184">InterpolateXY(BW184,BU184,CD_CL,CD_M,CD_table)</f>
        <v>4.5594029903231255E-2</v>
      </c>
      <c r="BY184" cm="1">
        <f t="array" ref="BY184">BX184*S*Linterp(BV$90,atmos_h,atmos_qms)*BU184^2</f>
        <v>2713.6056328475615</v>
      </c>
      <c r="BZ184" cm="1">
        <f t="array" ref="BZ184">BU184*Linterp(BV$90,atmos_h,atmos_aspeed)</f>
        <v>1093.9535767762202</v>
      </c>
      <c r="CA184" s="162">
        <f t="shared" si="37"/>
        <v>2030.524450910706</v>
      </c>
      <c r="CC184">
        <v>1.1299999999999999</v>
      </c>
      <c r="CD184" cm="1">
        <f t="array" ref="CD184">numeng*InterpolateXY(CD$90,CC184,Tmax_h,Tmax_M,Tmax_table)</f>
        <v>2289.6892143859855</v>
      </c>
      <c r="CE184" cm="1">
        <f t="array" ref="CE184">1*CD$91/(S*Linterp(CD$90,atmos_h,atmos_qms)*CC184^2)</f>
        <v>0.21366345466514114</v>
      </c>
      <c r="CF184" cm="1">
        <f t="array" ref="CF184">InterpolateXY(CE184,CC184,CD_CL,CD_M,CD_table)</f>
        <v>4.850794842879802E-2</v>
      </c>
      <c r="CG184" cm="1">
        <f t="array" ref="CG184">CF184*S*Linterp(CD$90,atmos_h,atmos_qms)*CC184^2</f>
        <v>2270.2969258276257</v>
      </c>
      <c r="CH184" cm="1">
        <f t="array" ref="CH184">CC184*Linterp(CD$90,atmos_h,atmos_aspeed)</f>
        <v>1093.9535767762202</v>
      </c>
      <c r="CI184" s="162">
        <f t="shared" si="38"/>
        <v>127.28558058176516</v>
      </c>
      <c r="CK184">
        <v>1.1299999999999999</v>
      </c>
      <c r="CL184" cm="1">
        <f t="array" ref="CL184">numeng*InterpolateXY(CL$90,CK184,Tmax_h,Tmax_M,Tmax_table)</f>
        <v>1662.9451144632262</v>
      </c>
      <c r="CM184" cm="1">
        <f t="array" ref="CM184">1*CL$91/(S*Linterp(CL$90,atmos_h,atmos_qms)*CK184^2)</f>
        <v>0.27170600978214077</v>
      </c>
      <c r="CN184" cm="1">
        <f t="array" ref="CN184">InterpolateXY(CM184,CK184,CD_CL,CD_M,CD_table)</f>
        <v>5.3656323067675885E-2</v>
      </c>
      <c r="CO184" cm="1">
        <f t="array" ref="CO184">CN184*S*Linterp(CL$90,atmos_h,atmos_qms)*CK184^2</f>
        <v>1974.7933846107628</v>
      </c>
      <c r="CP184" cm="1">
        <f t="array" ref="CP184">CK184*Linterp(CL$90,atmos_h,atmos_aspeed)</f>
        <v>1093.9535767762202</v>
      </c>
      <c r="CQ184" s="162">
        <f t="shared" si="39"/>
        <v>-2046.8851832362477</v>
      </c>
    </row>
    <row r="185" spans="9:95">
      <c r="I185">
        <v>1.1399999999999999</v>
      </c>
      <c r="J185" cm="1">
        <f t="array" ref="J185">numeng*InterpolateXY(J$90,I185,Tmax_h,Tmax_M,Tmax_table)</f>
        <v>8236</v>
      </c>
      <c r="K185" cm="1">
        <f t="array" ref="K185">1*J$91/(S*Linterp(J$90,atmos_h,atmos_qms)*I185^2)</f>
        <v>3.055501641901295E-2</v>
      </c>
      <c r="L185" cm="1">
        <f t="array" ref="L185">InterpolateXY(K185,I185,CD_CL,CD_M,CD_table)</f>
        <v>4.1053656897512517E-2</v>
      </c>
      <c r="M185" cm="1">
        <f t="array" ref="M185">L185*S*Linterp(J$90,atmos_h,atmos_qms)*I185^2</f>
        <v>13435.979328083999</v>
      </c>
      <c r="N185" cm="1">
        <f t="array" ref="N185">I185*Linterp(J$90,atmos_h,atmos_aspeed)</f>
        <v>1272.7529999999999</v>
      </c>
      <c r="O185" s="162">
        <f t="shared" si="40"/>
        <v>-39709.735738541356</v>
      </c>
      <c r="Q185">
        <v>1.1399999999999999</v>
      </c>
      <c r="R185" cm="1">
        <f t="array" ref="R185">numeng*InterpolateXY(R$90,Q185,Tmax_h,Tmax_M,Tmax_table)</f>
        <v>7686.0790368842609</v>
      </c>
      <c r="S185" cm="1">
        <f t="array" ref="S185">1*R$91/(S*Linterp(R$90,atmos_h,atmos_qms)*Q185^2)</f>
        <v>3.6722701678986787E-2</v>
      </c>
      <c r="T185" cm="1">
        <f t="array" ref="T185">InterpolateXY(S185,Q185,CD_CL,CD_M,CD_table)</f>
        <v>4.1165415354423238E-2</v>
      </c>
      <c r="U185" cm="1">
        <f t="array" ref="U185">T185*S*Linterp(R$90,atmos_h,atmos_qms)*Q185^2</f>
        <v>11209.800333938565</v>
      </c>
      <c r="V185" cm="1">
        <f t="array" ref="V185">Q185*Linterp(R$90,atmos_h,atmos_aspeed)</f>
        <v>1250.6853660620832</v>
      </c>
      <c r="W185" s="162">
        <f t="shared" si="30"/>
        <v>-26442.399961842722</v>
      </c>
      <c r="Y185">
        <v>1.1399999999999999</v>
      </c>
      <c r="Z185" cm="1">
        <f t="array" ref="Z185">numeng*InterpolateXY(Z$90,Y185,Tmax_h,Tmax_M,Tmax_table)</f>
        <v>7092.3147995501922</v>
      </c>
      <c r="AA185" cm="1">
        <f t="array" ref="AA185">1*Z$91/(S*Linterp(Z$90,atmos_h,atmos_qms)*Y185^2)</f>
        <v>4.4430542810030678E-2</v>
      </c>
      <c r="AB185" cm="1">
        <f t="array" ref="AB185">InterpolateXY(AA185,Y185,CD_CL,CD_M,CD_table)</f>
        <v>4.1305081435717761E-2</v>
      </c>
      <c r="AC185" cm="1">
        <f t="array" ref="AC185">AB185*S*Linterp(Z$90,atmos_h,atmos_qms)*Y185^2</f>
        <v>9296.5511612864411</v>
      </c>
      <c r="AD185" cm="1">
        <f t="array" ref="AD185">Y185*Linterp(Z$90,atmos_h,atmos_aspeed)</f>
        <v>1228.2213036561018</v>
      </c>
      <c r="AE185" s="162">
        <f t="shared" si="31"/>
        <v>-16243.740346667269</v>
      </c>
      <c r="AG185">
        <v>1.1399999999999999</v>
      </c>
      <c r="AH185" cm="1">
        <f t="array" ref="AH185">numeng*InterpolateXY(AH$90,AG185,Tmax_h,Tmax_M,Tmax_table)</f>
        <v>6330.0797958533476</v>
      </c>
      <c r="AI185" cm="1">
        <f t="array" ref="AI185">1*AH$91/(S*Linterp(AH$90,atmos_h,atmos_qms)*AG185^2)</f>
        <v>5.4142876354414823E-2</v>
      </c>
      <c r="AJ185" cm="1">
        <f t="array" ref="AJ185">InterpolateXY(AI185,AG185,CD_CL,CD_M,CD_table)</f>
        <v>4.1481068919541994E-2</v>
      </c>
      <c r="AK185" cm="1">
        <f t="array" ref="AK185">AJ185*S*Linterp(AH$90,atmos_h,atmos_qms)*AG185^2</f>
        <v>7661.408427585251</v>
      </c>
      <c r="AL185" cm="1">
        <f t="array" ref="AL185">AG185*Linterp(AH$90,atmos_h,atmos_aspeed)</f>
        <v>1205.3386481099578</v>
      </c>
      <c r="AM185" s="162">
        <f t="shared" si="32"/>
        <v>-9628.2111189708739</v>
      </c>
      <c r="AO185">
        <v>1.1399999999999999</v>
      </c>
      <c r="AP185" cm="1">
        <f t="array" ref="AP185">numeng*InterpolateXY(AP$90,AO185,Tmax_h,Tmax_M,Tmax_table)</f>
        <v>5602.9862535190668</v>
      </c>
      <c r="AQ185" cm="1">
        <f t="array" ref="AQ185">1*AP$91/(S*Linterp(AP$90,atmos_h,atmos_qms)*AO185^2)</f>
        <v>6.6490118526694231E-2</v>
      </c>
      <c r="AR185" cm="1">
        <f t="array" ref="AR185">InterpolateXY(AQ185,AO185,CD_CL,CD_M,CD_table)</f>
        <v>4.17048009477037E-2</v>
      </c>
      <c r="AS185" cm="1">
        <f t="array" ref="AS185">AR185*S*Linterp(AP$90,atmos_h,atmos_qms)*AO185^2</f>
        <v>6272.3306668434043</v>
      </c>
      <c r="AT185" cm="1">
        <f t="array" ref="AT185">AO185*Linterp(AP$90,atmos_h,atmos_aspeed)</f>
        <v>1182.0130889716866</v>
      </c>
      <c r="AU185" s="162">
        <f t="shared" si="33"/>
        <v>-4747.0431454766485</v>
      </c>
      <c r="AW185">
        <v>1.1399999999999999</v>
      </c>
      <c r="AX185" cm="1">
        <f t="array" ref="AX185">numeng*InterpolateXY(AX$90,AW185,Tmax_h,Tmax_M,Tmax_table)</f>
        <v>4916.7016622317906</v>
      </c>
      <c r="AY185" cm="1">
        <f t="array" ref="AY185">1*AX$91/(S*Linterp(AX$90,atmos_h,atmos_qms)*AW185^2)</f>
        <v>8.2338327793177887E-2</v>
      </c>
      <c r="AZ185" cm="1">
        <f t="array" ref="AZ185">InterpolateXY(AY185,AW185,CD_CL,CD_M,CD_table)</f>
        <v>4.1991970499612383E-2</v>
      </c>
      <c r="BA185" cm="1">
        <f t="array" ref="BA185">AZ185*S*Linterp(AX$90,atmos_h,atmos_qms)*AW185^2</f>
        <v>5099.9299627617174</v>
      </c>
      <c r="BB185" cm="1">
        <f t="array" ref="BB185">AW185*Linterp(AX$90,atmos_h,atmos_aspeed)</f>
        <v>1158.2178674037259</v>
      </c>
      <c r="BC185" s="162">
        <f t="shared" si="34"/>
        <v>-1273.3097489266852</v>
      </c>
      <c r="BE185">
        <v>1.1399999999999999</v>
      </c>
      <c r="BF185" cm="1">
        <f t="array" ref="BF185">numeng*InterpolateXY(BF$90,BE185,Tmax_h,Tmax_M,Tmax_table)</f>
        <v>4275.5246285908579</v>
      </c>
      <c r="BG185" cm="1">
        <f t="array" ref="BG185">1*BF$91/(S*Linterp(BF$90,atmos_h,atmos_qms)*BE185^2)</f>
        <v>0.10289255522779268</v>
      </c>
      <c r="BH185" cm="1">
        <f t="array" ref="BH185">InterpolateXY(BG185,BE185,CD_CL,CD_M,CD_table)</f>
        <v>4.2469239302182805E-2</v>
      </c>
      <c r="BI185" cm="1">
        <f t="array" ref="BI185">BH185*S*Linterp(BF$90,atmos_h,atmos_qms)*BE185^2</f>
        <v>4127.5327654328958</v>
      </c>
      <c r="BJ185" cm="1">
        <f t="array" ref="BJ185">BE185*Linterp(BF$90,atmos_h,atmos_aspeed)</f>
        <v>1133.9234163937533</v>
      </c>
      <c r="BK185" s="162">
        <f t="shared" si="35"/>
        <v>1006.8686344233196</v>
      </c>
      <c r="BM185">
        <v>1.1399999999999999</v>
      </c>
      <c r="BN185" cm="1">
        <f t="array" ref="BN185">numeng*InterpolateXY(BN$90,BM185,Tmax_h,Tmax_M,Tmax_table)</f>
        <v>3682.4987702958078</v>
      </c>
      <c r="BO185" cm="1">
        <f t="array" ref="BO185">1*BN$91/(S*Linterp(BN$90,atmos_h,atmos_qms)*BM185^2)</f>
        <v>0.12985287328757242</v>
      </c>
      <c r="BP185" cm="1">
        <f t="array" ref="BP185">InterpolateXY(BO185,BM185,CD_CL,CD_M,CD_table)</f>
        <v>4.3934802191912432E-2</v>
      </c>
      <c r="BQ185" cm="1">
        <f t="array" ref="BQ185">BP185*S*Linterp(BN$90,atmos_h,atmos_qms)*BM185^2</f>
        <v>3383.4293442713688</v>
      </c>
      <c r="BR185" cm="1">
        <f t="array" ref="BR185">BM185*Linterp(BN$90,atmos_h,atmos_aspeed)</f>
        <v>1109.0969299925632</v>
      </c>
      <c r="BS185" s="162">
        <f t="shared" si="36"/>
        <v>1990.1818935500603</v>
      </c>
      <c r="BU185">
        <v>1.1399999999999999</v>
      </c>
      <c r="BV185" cm="1">
        <f t="array" ref="BV185">numeng*InterpolateXY(BV$90,BU185,Tmax_h,Tmax_M,Tmax_table)</f>
        <v>3037.7314721954085</v>
      </c>
      <c r="BW185" cm="1">
        <f t="array" ref="BW185">1*BV$91/(S*Linterp(BV$90,atmos_h,atmos_qms)*BU185^2)</f>
        <v>0.16508531089431833</v>
      </c>
      <c r="BX185" cm="1">
        <f t="array" ref="BX185">InterpolateXY(BW185,BU185,CD_CL,CD_M,CD_table)</f>
        <v>4.585003750021515E-2</v>
      </c>
      <c r="BY185" cm="1">
        <f t="array" ref="BY185">BX185*S*Linterp(BV$90,atmos_h,atmos_qms)*BU185^2</f>
        <v>2777.3541602115465</v>
      </c>
      <c r="BZ185" cm="1">
        <f t="array" ref="BZ185">BU185*Linterp(BV$90,atmos_h,atmos_aspeed)</f>
        <v>1103.6345818804343</v>
      </c>
      <c r="CA185" s="162">
        <f t="shared" si="37"/>
        <v>1724.1684350547657</v>
      </c>
      <c r="CC185">
        <v>1.1399999999999999</v>
      </c>
      <c r="CD185" cm="1">
        <f t="array" ref="CD185">numeng*InterpolateXY(CD$90,CC185,Tmax_h,Tmax_M,Tmax_table)</f>
        <v>2300.5298126279208</v>
      </c>
      <c r="CE185" cm="1">
        <f t="array" ref="CE185">1*CD$91/(S*Linterp(CD$90,atmos_h,atmos_qms)*CC185^2)</f>
        <v>0.20993141371338772</v>
      </c>
      <c r="CF185" cm="1">
        <f t="array" ref="CF185">InterpolateXY(CE185,CC185,CD_CL,CD_M,CD_table)</f>
        <v>4.8647786082432927E-2</v>
      </c>
      <c r="CG185" cm="1">
        <f t="array" ref="CG185">CF185*S*Linterp(CD$90,atmos_h,atmos_qms)*CC185^2</f>
        <v>2317.3180812686805</v>
      </c>
      <c r="CH185" cm="1">
        <f t="array" ref="CH185">CC185*Linterp(CD$90,atmos_h,atmos_aspeed)</f>
        <v>1103.6345818804343</v>
      </c>
      <c r="CI185" s="162">
        <f t="shared" si="38"/>
        <v>-111.16868305104759</v>
      </c>
      <c r="CK185">
        <v>1.1399999999999999</v>
      </c>
      <c r="CL185" cm="1">
        <f t="array" ref="CL185">numeng*InterpolateXY(CL$90,CK185,Tmax_h,Tmax_M,Tmax_table)</f>
        <v>1670.2520867713768</v>
      </c>
      <c r="CM185" cm="1">
        <f t="array" ref="CM185">1*CL$91/(S*Linterp(CL$90,atmos_h,atmos_qms)*CK185^2)</f>
        <v>0.26696014457588141</v>
      </c>
      <c r="CN185" cm="1">
        <f t="array" ref="CN185">InterpolateXY(CM185,CK185,CD_CL,CD_M,CD_table)</f>
        <v>5.3814589098574853E-2</v>
      </c>
      <c r="CO185" cm="1">
        <f t="array" ref="CO185">CN185*S*Linterp(CL$90,atmos_h,atmos_qms)*CK185^2</f>
        <v>2015.8285868502915</v>
      </c>
      <c r="CP185" cm="1">
        <f t="array" ref="CP185">CK185*Linterp(CL$90,atmos_h,atmos_aspeed)</f>
        <v>1103.6345818804343</v>
      </c>
      <c r="CQ185" s="162">
        <f t="shared" si="39"/>
        <v>-2288.3410570337819</v>
      </c>
    </row>
    <row r="186" spans="9:95">
      <c r="I186">
        <v>1.1499999999999999</v>
      </c>
      <c r="J186" cm="1">
        <f t="array" ref="J186">numeng*InterpolateXY(J$90,I186,Tmax_h,Tmax_M,Tmax_table)</f>
        <v>8260</v>
      </c>
      <c r="K186" cm="1">
        <f t="array" ref="K186">1*J$91/(S*Linterp(J$90,atmos_h,atmos_qms)*I186^2)</f>
        <v>3.0025935227334013E-2</v>
      </c>
      <c r="L186" cm="1">
        <f t="array" ref="L186">InterpolateXY(K186,I186,CD_CL,CD_M,CD_table)</f>
        <v>4.1355479801705682E-2</v>
      </c>
      <c r="M186" cm="1">
        <f t="array" ref="M186">L186*S*Linterp(J$90,atmos_h,atmos_qms)*I186^2</f>
        <v>13773.25285244</v>
      </c>
      <c r="N186" cm="1">
        <f t="array" ref="N186">I186*Linterp(J$90,atmos_h,atmos_aspeed)</f>
        <v>1283.9175</v>
      </c>
      <c r="O186" s="162">
        <f t="shared" si="40"/>
        <v>-42471.370915035805</v>
      </c>
      <c r="Q186">
        <v>1.1499999999999999</v>
      </c>
      <c r="R186" cm="1">
        <f t="array" ref="R186">numeng*InterpolateXY(R$90,Q186,Tmax_h,Tmax_M,Tmax_table)</f>
        <v>7711.9290784881314</v>
      </c>
      <c r="S186" cm="1">
        <f t="array" ref="S186">1*R$91/(S*Linterp(R$90,atmos_h,atmos_qms)*Q186^2)</f>
        <v>3.6086822761445161E-2</v>
      </c>
      <c r="T186" cm="1">
        <f t="array" ref="T186">InterpolateXY(S186,Q186,CD_CL,CD_M,CD_table)</f>
        <v>4.1467606221086736E-2</v>
      </c>
      <c r="U186" cm="1">
        <f t="array" ref="U186">T186*S*Linterp(R$90,atmos_h,atmos_qms)*Q186^2</f>
        <v>11491.066003569134</v>
      </c>
      <c r="V186" cm="1">
        <f t="array" ref="V186">Q186*Linterp(R$90,atmos_h,atmos_aspeed)</f>
        <v>1261.6562903257857</v>
      </c>
      <c r="W186" s="162">
        <f t="shared" si="30"/>
        <v>-28607.831241185366</v>
      </c>
      <c r="Y186">
        <v>1.1499999999999999</v>
      </c>
      <c r="Z186" cm="1">
        <f t="array" ref="Z186">numeng*InterpolateXY(Z$90,Y186,Tmax_h,Tmax_M,Tmax_table)</f>
        <v>7118.8999029221004</v>
      </c>
      <c r="AA186" cm="1">
        <f t="array" ref="AA186">1*Z$91/(S*Linterp(Z$90,atmos_h,atmos_qms)*Y186^2)</f>
        <v>4.3661197305040353E-2</v>
      </c>
      <c r="AB186" cm="1">
        <f t="array" ref="AB186">InterpolateXY(AA186,Y186,CD_CL,CD_M,CD_table)</f>
        <v>4.1607732150143246E-2</v>
      </c>
      <c r="AC186" cm="1">
        <f t="array" ref="AC186">AB186*S*Linterp(Z$90,atmos_h,atmos_qms)*Y186^2</f>
        <v>9529.681895677184</v>
      </c>
      <c r="AD186" cm="1">
        <f t="array" ref="AD186">Y186*Linterp(Z$90,atmos_h,atmos_aspeed)</f>
        <v>1238.9951747408045</v>
      </c>
      <c r="AE186" s="162">
        <f t="shared" si="31"/>
        <v>-17921.683538253419</v>
      </c>
      <c r="AG186">
        <v>1.1499999999999999</v>
      </c>
      <c r="AH186" cm="1">
        <f t="array" ref="AH186">numeng*InterpolateXY(AH$90,AG186,Tmax_h,Tmax_M,Tmax_table)</f>
        <v>6355.2490992165822</v>
      </c>
      <c r="AI186" cm="1">
        <f t="array" ref="AI186">1*AH$91/(S*Linterp(AH$90,atmos_h,atmos_qms)*AG186^2)</f>
        <v>5.3205355092776942E-2</v>
      </c>
      <c r="AJ186" cm="1">
        <f t="array" ref="AJ186">InterpolateXY(AI186,AG186,CD_CL,CD_M,CD_table)</f>
        <v>4.1784299069216373E-2</v>
      </c>
      <c r="AK186" cm="1">
        <f t="array" ref="AK186">AJ186*S*Linterp(AH$90,atmos_h,atmos_qms)*AG186^2</f>
        <v>7853.4010338536264</v>
      </c>
      <c r="AL186" cm="1">
        <f t="array" ref="AL186">AG186*Linterp(AH$90,atmos_h,atmos_aspeed)</f>
        <v>1215.9117941460102</v>
      </c>
      <c r="AM186" s="162">
        <f t="shared" si="32"/>
        <v>-10929.723640487067</v>
      </c>
      <c r="AO186">
        <v>1.1499999999999999</v>
      </c>
      <c r="AP186" cm="1">
        <f t="array" ref="AP186">numeng*InterpolateXY(AP$90,AO186,Tmax_h,Tmax_M,Tmax_table)</f>
        <v>5626.429710646762</v>
      </c>
      <c r="AQ186" cm="1">
        <f t="array" ref="AQ186">1*AP$91/(S*Linterp(AP$90,atmos_h,atmos_qms)*AO186^2)</f>
        <v>6.5338796247479639E-2</v>
      </c>
      <c r="AR186" cm="1">
        <f t="array" ref="AR186">InterpolateXY(AQ186,AO186,CD_CL,CD_M,CD_table)</f>
        <v>4.2008767730578378E-2</v>
      </c>
      <c r="AS186" cm="1">
        <f t="array" ref="AS186">AR186*S*Linterp(AP$90,atmos_h,atmos_qms)*AO186^2</f>
        <v>6429.3758292491975</v>
      </c>
      <c r="AT186" cm="1">
        <f t="array" ref="AT186">AO186*Linterp(AP$90,atmos_h,atmos_aspeed)</f>
        <v>1192.3816248398591</v>
      </c>
      <c r="AU186" s="162">
        <f t="shared" si="33"/>
        <v>-5744.5091853481817</v>
      </c>
      <c r="AW186">
        <v>1.1499999999999999</v>
      </c>
      <c r="AX186" cm="1">
        <f t="array" ref="AX186">numeng*InterpolateXY(AX$90,AW186,Tmax_h,Tmax_M,Tmax_table)</f>
        <v>4938.2111117202276</v>
      </c>
      <c r="AY186" cm="1">
        <f t="array" ref="AY186">1*AX$91/(S*Linterp(AX$90,atmos_h,atmos_qms)*AW186^2)</f>
        <v>8.0912582835549321E-2</v>
      </c>
      <c r="AZ186" cm="1">
        <f t="array" ref="AZ186">InterpolateXY(AY186,AW186,CD_CL,CD_M,CD_table)</f>
        <v>4.2296882782457662E-2</v>
      </c>
      <c r="BA186" cm="1">
        <f t="array" ref="BA186">AZ186*S*Linterp(AX$90,atmos_h,atmos_qms)*AW186^2</f>
        <v>5227.4790026693263</v>
      </c>
      <c r="BB186" cm="1">
        <f t="array" ref="BB186">AW186*Linterp(AX$90,atmos_h,atmos_aspeed)</f>
        <v>1168.3776732581446</v>
      </c>
      <c r="BC186" s="162">
        <f t="shared" si="34"/>
        <v>-2027.844872252392</v>
      </c>
      <c r="BE186">
        <v>1.1499999999999999</v>
      </c>
      <c r="BF186" cm="1">
        <f t="array" ref="BF186">numeng*InterpolateXY(BF$90,BE186,Tmax_h,Tmax_M,Tmax_table)</f>
        <v>4294.9792383814356</v>
      </c>
      <c r="BG186" cm="1">
        <f t="array" ref="BG186">1*BF$91/(S*Linterp(BF$90,atmos_h,atmos_qms)*BE186^2)</f>
        <v>0.10111089964010539</v>
      </c>
      <c r="BH186" cm="1">
        <f t="array" ref="BH186">InterpolateXY(BG186,BE186,CD_CL,CD_M,CD_table)</f>
        <v>4.271165493002585E-2</v>
      </c>
      <c r="BI186" cm="1">
        <f t="array" ref="BI186">BH186*S*Linterp(BF$90,atmos_h,atmos_qms)*BE186^2</f>
        <v>4224.2384433383459</v>
      </c>
      <c r="BJ186" cm="1">
        <f t="array" ref="BJ186">BE186*Linterp(BF$90,atmos_h,atmos_aspeed)</f>
        <v>1143.8701130287864</v>
      </c>
      <c r="BK186" s="162">
        <f t="shared" si="35"/>
        <v>485.50968733011166</v>
      </c>
      <c r="BM186">
        <v>1.1499999999999999</v>
      </c>
      <c r="BN186" cm="1">
        <f t="array" ref="BN186">numeng*InterpolateXY(BN$90,BM186,Tmax_h,Tmax_M,Tmax_table)</f>
        <v>3699.8515076852868</v>
      </c>
      <c r="BO186" cm="1">
        <f t="array" ref="BO186">1*BN$91/(S*Linterp(BN$90,atmos_h,atmos_qms)*BM186^2)</f>
        <v>0.12760438119057022</v>
      </c>
      <c r="BP186" cm="1">
        <f t="array" ref="BP186">InterpolateXY(BO186,BM186,CD_CL,CD_M,CD_table)</f>
        <v>4.4182043156076649E-2</v>
      </c>
      <c r="BQ186" cm="1">
        <f t="array" ref="BQ186">BP186*S*Linterp(BN$90,atmos_h,atmos_qms)*BM186^2</f>
        <v>3462.423683564059</v>
      </c>
      <c r="BR186" cm="1">
        <f t="array" ref="BR186">BM186*Linterp(BN$90,atmos_h,atmos_aspeed)</f>
        <v>1118.8258504310943</v>
      </c>
      <c r="BS186" s="162">
        <f t="shared" si="36"/>
        <v>1593.8423234306217</v>
      </c>
      <c r="BU186">
        <v>1.1499999999999999</v>
      </c>
      <c r="BV186" cm="1">
        <f t="array" ref="BV186">numeng*InterpolateXY(BV$90,BU186,Tmax_h,Tmax_M,Tmax_table)</f>
        <v>3052.5016414281254</v>
      </c>
      <c r="BW186" cm="1">
        <f t="array" ref="BW186">1*BV$91/(S*Linterp(BV$90,atmos_h,atmos_qms)*BU186^2)</f>
        <v>0.16222674483043939</v>
      </c>
      <c r="BX186" cm="1">
        <f t="array" ref="BX186">InterpolateXY(BW186,BU186,CD_CL,CD_M,CD_table)</f>
        <v>4.6103584338089393E-2</v>
      </c>
      <c r="BY186" cm="1">
        <f t="array" ref="BY186">BX186*S*Linterp(BV$90,atmos_h,atmos_qms)*BU186^2</f>
        <v>2841.9225440464334</v>
      </c>
      <c r="BZ186" cm="1">
        <f t="array" ref="BZ186">BU186*Linterp(BV$90,atmos_h,atmos_aspeed)</f>
        <v>1113.3155869846487</v>
      </c>
      <c r="CA186" s="162">
        <f t="shared" si="37"/>
        <v>1406.6459484491756</v>
      </c>
      <c r="CC186">
        <v>1.1499999999999999</v>
      </c>
      <c r="CD186" cm="1">
        <f t="array" ref="CD186">numeng*InterpolateXY(CD$90,CC186,Tmax_h,Tmax_M,Tmax_table)</f>
        <v>2311.3704108698566</v>
      </c>
      <c r="CE186" cm="1">
        <f t="array" ref="CE186">1*CD$91/(S*Linterp(CD$90,atmos_h,atmos_qms)*CC186^2)</f>
        <v>0.20629630643623342</v>
      </c>
      <c r="CF186" cm="1">
        <f t="array" ref="CF186">InterpolateXY(CE186,CC186,CD_CL,CD_M,CD_table)</f>
        <v>4.8782408345351594E-2</v>
      </c>
      <c r="CG186" cm="1">
        <f t="array" ref="CG186">CF186*S*Linterp(CD$90,atmos_h,atmos_qms)*CC186^2</f>
        <v>2364.6767694520177</v>
      </c>
      <c r="CH186" cm="1">
        <f t="array" ref="CH186">CC186*Linterp(CD$90,atmos_h,atmos_aspeed)</f>
        <v>1113.3155869846487</v>
      </c>
      <c r="CI186" s="162">
        <f t="shared" si="38"/>
        <v>-356.08079936947649</v>
      </c>
      <c r="CK186">
        <v>1.1499999999999999</v>
      </c>
      <c r="CL186" cm="1">
        <f t="array" ref="CL186">numeng*InterpolateXY(CL$90,CK186,Tmax_h,Tmax_M,Tmax_table)</f>
        <v>1677.5590590795271</v>
      </c>
      <c r="CM186" cm="1">
        <f t="array" ref="CM186">1*CL$91/(S*Linterp(CL$90,atmos_h,atmos_qms)*CK186^2)</f>
        <v>0.26233754547509686</v>
      </c>
      <c r="CN186" cm="1">
        <f t="array" ref="CN186">InterpolateXY(CM186,CK186,CD_CL,CD_M,CD_table)</f>
        <v>5.3966222956446465E-2</v>
      </c>
      <c r="CO186" cm="1">
        <f t="array" ref="CO186">CN186*S*Linterp(CL$90,atmos_h,atmos_qms)*CK186^2</f>
        <v>2057.1292171966047</v>
      </c>
      <c r="CP186" cm="1">
        <f t="array" ref="CP186">CK186*Linterp(CL$90,atmos_h,atmos_aspeed)</f>
        <v>1113.3155869846487</v>
      </c>
      <c r="CQ186" s="162">
        <f t="shared" si="39"/>
        <v>-2535.4882403158213</v>
      </c>
    </row>
    <row r="187" spans="9:95">
      <c r="I187">
        <v>1.1599999999999999</v>
      </c>
      <c r="J187" cm="1">
        <f t="array" ref="J187">numeng*InterpolateXY(J$90,I187,Tmax_h,Tmax_M,Tmax_table)</f>
        <v>8284</v>
      </c>
      <c r="K187" cm="1">
        <f t="array" ref="K187">1*J$91/(S*Linterp(J$90,atmos_h,atmos_qms)*I187^2)</f>
        <v>2.9510478105045503E-2</v>
      </c>
      <c r="L187" cm="1">
        <f t="array" ref="L187">InterpolateXY(K187,I187,CD_CL,CD_M,CD_table)</f>
        <v>4.1594796988374858E-2</v>
      </c>
      <c r="M187" cm="1">
        <f t="array" ref="M187">L187*S*Linterp(J$90,atmos_h,atmos_qms)*I187^2</f>
        <v>14094.924806136321</v>
      </c>
      <c r="N187" cm="1">
        <f t="array" ref="N187">I187*Linterp(J$90,atmos_h,atmos_aspeed)</f>
        <v>1295.0819999999999</v>
      </c>
      <c r="O187" s="162">
        <f t="shared" si="40"/>
        <v>-45153.744718683833</v>
      </c>
      <c r="Q187">
        <v>1.1599999999999999</v>
      </c>
      <c r="R187" cm="1">
        <f t="array" ref="R187">numeng*InterpolateXY(R$90,Q187,Tmax_h,Tmax_M,Tmax_table)</f>
        <v>7737.7791200920028</v>
      </c>
      <c r="S187" cm="1">
        <f t="array" ref="S187">1*R$91/(S*Linterp(R$90,atmos_h,atmos_qms)*Q187^2)</f>
        <v>3.5467318000900139E-2</v>
      </c>
      <c r="T187" cm="1">
        <f t="array" ref="T187">InterpolateXY(S187,Q187,CD_CL,CD_M,CD_table)</f>
        <v>4.1706785578416922E-2</v>
      </c>
      <c r="U187" cm="1">
        <f t="array" ref="U187">T187*S*Linterp(R$90,atmos_h,atmos_qms)*Q187^2</f>
        <v>11759.216069666851</v>
      </c>
      <c r="V187" cm="1">
        <f t="array" ref="V187">Q187*Linterp(R$90,atmos_h,atmos_aspeed)</f>
        <v>1272.6272145894879</v>
      </c>
      <c r="W187" s="162">
        <f t="shared" si="30"/>
        <v>-30706.740622708119</v>
      </c>
      <c r="Y187">
        <v>1.1599999999999999</v>
      </c>
      <c r="Z187" cm="1">
        <f t="array" ref="Z187">numeng*InterpolateXY(Z$90,Y187,Tmax_h,Tmax_M,Tmax_table)</f>
        <v>7145.4850062940086</v>
      </c>
      <c r="AA187" cm="1">
        <f t="array" ref="AA187">1*Z$91/(S*Linterp(Z$90,atmos_h,atmos_qms)*Y187^2)</f>
        <v>4.2911662779366727E-2</v>
      </c>
      <c r="AB187" cm="1">
        <f t="array" ref="AB187">InterpolateXY(AA187,Y187,CD_CL,CD_M,CD_table)</f>
        <v>4.1846739260252092E-2</v>
      </c>
      <c r="AC187" cm="1">
        <f t="array" ref="AC187">AB187*S*Linterp(Z$90,atmos_h,atmos_qms)*Y187^2</f>
        <v>9751.833545908019</v>
      </c>
      <c r="AD187" cm="1">
        <f t="array" ref="AD187">Y187*Linterp(Z$90,atmos_h,atmos_aspeed)</f>
        <v>1249.7690458255072</v>
      </c>
      <c r="AE187" s="162">
        <f t="shared" si="31"/>
        <v>-19544.002364652635</v>
      </c>
      <c r="AG187">
        <v>1.1599999999999999</v>
      </c>
      <c r="AH187" cm="1">
        <f t="array" ref="AH187">numeng*InterpolateXY(AH$90,AG187,Tmax_h,Tmax_M,Tmax_table)</f>
        <v>6380.4184025798158</v>
      </c>
      <c r="AI187" cm="1">
        <f t="array" ref="AI187">1*AH$91/(S*Linterp(AH$90,atmos_h,atmos_qms)*AG187^2)</f>
        <v>5.2291975408886367E-2</v>
      </c>
      <c r="AJ187" cm="1">
        <f t="array" ref="AJ187">InterpolateXY(AI187,AG187,CD_CL,CD_M,CD_table)</f>
        <v>4.2023089137687063E-2</v>
      </c>
      <c r="AK187" cm="1">
        <f t="array" ref="AK187">AJ187*S*Linterp(AH$90,atmos_h,atmos_qms)*AG187^2</f>
        <v>8036.2405147436375</v>
      </c>
      <c r="AL187" cm="1">
        <f t="array" ref="AL187">AG187*Linterp(AH$90,atmos_h,atmos_aspeed)</f>
        <v>1226.4849401820622</v>
      </c>
      <c r="AM187" s="162">
        <f t="shared" si="32"/>
        <v>-12185.045305136284</v>
      </c>
      <c r="AO187">
        <v>1.1599999999999999</v>
      </c>
      <c r="AP187" cm="1">
        <f t="array" ref="AP187">numeng*InterpolateXY(AP$90,AO187,Tmax_h,Tmax_M,Tmax_table)</f>
        <v>5649.8731677744563</v>
      </c>
      <c r="AQ187" cm="1">
        <f t="array" ref="AQ187">1*AP$91/(S*Linterp(AP$90,atmos_h,atmos_qms)*AO187^2)</f>
        <v>6.4217121014634226E-2</v>
      </c>
      <c r="AR187" cm="1">
        <f t="array" ref="AR187">InterpolateXY(AQ187,AO187,CD_CL,CD_M,CD_table)</f>
        <v>4.2247281875075128E-2</v>
      </c>
      <c r="AS187" cm="1">
        <f t="array" ref="AS187">AR187*S*Linterp(AP$90,atmos_h,atmos_qms)*AO187^2</f>
        <v>6578.8190450717238</v>
      </c>
      <c r="AT187" cm="1">
        <f t="array" ref="AT187">AO187*Linterp(AP$90,atmos_h,atmos_aspeed)</f>
        <v>1202.7501607080319</v>
      </c>
      <c r="AU187" s="162">
        <f t="shared" si="33"/>
        <v>-6703.7388192501139</v>
      </c>
      <c r="AW187">
        <v>1.1599999999999999</v>
      </c>
      <c r="AX187" cm="1">
        <f t="array" ref="AX187">numeng*InterpolateXY(AX$90,AW187,Tmax_h,Tmax_M,Tmax_table)</f>
        <v>4959.7205612086636</v>
      </c>
      <c r="AY187" cm="1">
        <f t="array" ref="AY187">1*AX$91/(S*Linterp(AX$90,atmos_h,atmos_qms)*AW187^2)</f>
        <v>7.9523551426883152E-2</v>
      </c>
      <c r="AZ187" cm="1">
        <f t="array" ref="AZ187">InterpolateXY(AY187,AW187,CD_CL,CD_M,CD_table)</f>
        <v>4.2535042766825404E-2</v>
      </c>
      <c r="BA187" cm="1">
        <f t="array" ref="BA187">AZ187*S*Linterp(AX$90,atmos_h,atmos_qms)*AW187^2</f>
        <v>5348.7353121966225</v>
      </c>
      <c r="BB187" cm="1">
        <f t="array" ref="BB187">AW187*Linterp(AX$90,atmos_h,atmos_aspeed)</f>
        <v>1178.5374791125632</v>
      </c>
      <c r="BC187" s="162">
        <f t="shared" si="34"/>
        <v>-2750.8107838017036</v>
      </c>
      <c r="BE187">
        <v>1.1599999999999999</v>
      </c>
      <c r="BF187" cm="1">
        <f t="array" ref="BF187">numeng*InterpolateXY(BF$90,BE187,Tmax_h,Tmax_M,Tmax_table)</f>
        <v>4314.4338481720133</v>
      </c>
      <c r="BG187" cm="1">
        <f t="array" ref="BG187">1*BF$91/(S*Linterp(BF$90,atmos_h,atmos_qms)*BE187^2)</f>
        <v>9.9375122453953163E-2</v>
      </c>
      <c r="BH187" cm="1">
        <f t="array" ref="BH187">InterpolateXY(BG187,BE187,CD_CL,CD_M,CD_table)</f>
        <v>4.2908252302134318E-2</v>
      </c>
      <c r="BI187" cm="1">
        <f t="array" ref="BI187">BH187*S*Linterp(BF$90,atmos_h,atmos_qms)*BE187^2</f>
        <v>4317.8062318379989</v>
      </c>
      <c r="BJ187" cm="1">
        <f t="array" ref="BJ187">BE187*Linterp(BF$90,atmos_h,atmos_aspeed)</f>
        <v>1153.8168096638192</v>
      </c>
      <c r="BK187" s="162">
        <f t="shared" si="35"/>
        <v>-23.346677774699145</v>
      </c>
      <c r="BM187">
        <v>1.1599999999999999</v>
      </c>
      <c r="BN187" cm="1">
        <f t="array" ref="BN187">numeng*InterpolateXY(BN$90,BM187,Tmax_h,Tmax_M,Tmax_table)</f>
        <v>3717.2042450747658</v>
      </c>
      <c r="BO187" cm="1">
        <f t="array" ref="BO187">1*BN$91/(S*Linterp(BN$90,atmos_h,atmos_qms)*BM187^2)</f>
        <v>0.12541378873701628</v>
      </c>
      <c r="BP187" cm="1">
        <f t="array" ref="BP187">InterpolateXY(BO187,BM187,CD_CL,CD_M,CD_table)</f>
        <v>4.4353337684767721E-2</v>
      </c>
      <c r="BQ187" cm="1">
        <f t="array" ref="BQ187">BP187*S*Linterp(BN$90,atmos_h,atmos_qms)*BM187^2</f>
        <v>3536.5599055278913</v>
      </c>
      <c r="BR187" cm="1">
        <f t="array" ref="BR187">BM187*Linterp(BN$90,atmos_h,atmos_aspeed)</f>
        <v>1128.5547708696256</v>
      </c>
      <c r="BS187" s="162">
        <f t="shared" si="36"/>
        <v>1223.2021873573071</v>
      </c>
      <c r="BU187">
        <v>1.1599999999999999</v>
      </c>
      <c r="BV187" cm="1">
        <f t="array" ref="BV187">numeng*InterpolateXY(BV$90,BU187,Tmax_h,Tmax_M,Tmax_table)</f>
        <v>3067.2718106608422</v>
      </c>
      <c r="BW187" cm="1">
        <f t="array" ref="BW187">1*BV$91/(S*Linterp(BV$90,atmos_h,atmos_qms)*BU187^2)</f>
        <v>0.15944178807837106</v>
      </c>
      <c r="BX187" cm="1">
        <f t="array" ref="BX187">InterpolateXY(BW187,BU187,CD_CL,CD_M,CD_table)</f>
        <v>4.6272516847620133E-2</v>
      </c>
      <c r="BY187" cm="1">
        <f t="array" ref="BY187">BX187*S*Linterp(BV$90,atmos_h,atmos_qms)*BU187^2</f>
        <v>2902.1574209187629</v>
      </c>
      <c r="BZ187" cm="1">
        <f t="array" ref="BZ187">BU187*Linterp(BV$90,atmos_h,atmos_aspeed)</f>
        <v>1122.9965920888631</v>
      </c>
      <c r="CA187" s="162">
        <f t="shared" si="37"/>
        <v>1112.5373819111244</v>
      </c>
      <c r="CC187">
        <v>1.1599999999999999</v>
      </c>
      <c r="CD187" cm="1">
        <f t="array" ref="CD187">numeng*InterpolateXY(CD$90,CC187,Tmax_h,Tmax_M,Tmax_table)</f>
        <v>2322.2110091117925</v>
      </c>
      <c r="CE187" cm="1">
        <f t="array" ref="CE187">1*CD$91/(S*Linterp(CD$90,atmos_h,atmos_qms)*CC187^2)</f>
        <v>0.20275480474280519</v>
      </c>
      <c r="CF187" cm="1">
        <f t="array" ref="CF187">InterpolateXY(CE187,CC187,CD_CL,CD_M,CD_table)</f>
        <v>4.8818951645823692E-2</v>
      </c>
      <c r="CG187" cm="1">
        <f t="array" ref="CG187">CF187*S*Linterp(CD$90,atmos_h,atmos_qms)*CC187^2</f>
        <v>2407.7827259260571</v>
      </c>
      <c r="CH187" cm="1">
        <f t="array" ref="CH187">CC187*Linterp(CD$90,atmos_h,atmos_aspeed)</f>
        <v>1122.9965920888631</v>
      </c>
      <c r="CI187" s="162">
        <f t="shared" si="38"/>
        <v>-576.58047816967462</v>
      </c>
      <c r="CK187">
        <v>1.1599999999999999</v>
      </c>
      <c r="CL187" cm="1">
        <f t="array" ref="CL187">numeng*InterpolateXY(CL$90,CK187,Tmax_h,Tmax_M,Tmax_table)</f>
        <v>1684.8660313876776</v>
      </c>
      <c r="CM187" cm="1">
        <f t="array" ref="CM187">1*CL$91/(S*Linterp(CL$90,atmos_h,atmos_qms)*CK187^2)</f>
        <v>0.2578339802993575</v>
      </c>
      <c r="CN187" cm="1">
        <f t="array" ref="CN187">InterpolateXY(CM187,CK187,CD_CL,CD_M,CD_table)</f>
        <v>5.3996394148139608E-2</v>
      </c>
      <c r="CO187" cm="1">
        <f t="array" ref="CO187">CN187*S*Linterp(CL$90,atmos_h,atmos_qms)*CK187^2</f>
        <v>2094.231105048575</v>
      </c>
      <c r="CP187" cm="1">
        <f t="array" ref="CP187">CK187*Linterp(CL$90,atmos_h,atmos_aspeed)</f>
        <v>1122.9965920888631</v>
      </c>
      <c r="CQ187" s="162">
        <f t="shared" si="39"/>
        <v>-2758.2934958483656</v>
      </c>
    </row>
    <row r="188" spans="9:95">
      <c r="I188">
        <v>1.17</v>
      </c>
      <c r="J188" cm="1">
        <f t="array" ref="J188">numeng*InterpolateXY(J$90,I188,Tmax_h,Tmax_M,Tmax_table)</f>
        <v>8308</v>
      </c>
      <c r="K188" cm="1">
        <f t="array" ref="K188">1*J$91/(S*Linterp(J$90,atmos_h,atmos_qms)*I188^2)</f>
        <v>2.9008181268280538E-2</v>
      </c>
      <c r="L188" cm="1">
        <f t="array" ref="L188">InterpolateXY(K188,I188,CD_CL,CD_M,CD_table)</f>
        <v>4.183405626222416E-2</v>
      </c>
      <c r="M188" cm="1">
        <f t="array" ref="M188">L188*S*Linterp(J$90,atmos_h,atmos_qms)*I188^2</f>
        <v>14421.468162834557</v>
      </c>
      <c r="N188" cm="1">
        <f t="array" ref="N188">I188*Linterp(J$90,atmos_h,atmos_aspeed)</f>
        <v>1306.2465</v>
      </c>
      <c r="O188" s="162">
        <f t="shared" si="40"/>
        <v>-47914.178343384418</v>
      </c>
      <c r="Q188">
        <v>1.17</v>
      </c>
      <c r="R188" cm="1">
        <f t="array" ref="R188">numeng*InterpolateXY(R$90,Q188,Tmax_h,Tmax_M,Tmax_table)</f>
        <v>7763.6291616958733</v>
      </c>
      <c r="S188" cm="1">
        <f t="array" ref="S188">1*R$91/(S*Linterp(R$90,atmos_h,atmos_qms)*Q188^2)</f>
        <v>3.486362999635563E-2</v>
      </c>
      <c r="T188" cm="1">
        <f t="array" ref="T188">InterpolateXY(S188,Q188,CD_CL,CD_M,CD_table)</f>
        <v>4.1945895332930395E-2</v>
      </c>
      <c r="U188" cm="1">
        <f t="array" ref="U188">T188*S*Linterp(R$90,atmos_h,atmos_qms)*Q188^2</f>
        <v>12031.419372370316</v>
      </c>
      <c r="V188" cm="1">
        <f t="array" ref="V188">Q188*Linterp(R$90,atmos_h,atmos_aspeed)</f>
        <v>1283.5981388531904</v>
      </c>
      <c r="W188" s="162">
        <f t="shared" si="30"/>
        <v>-32868.765428625476</v>
      </c>
      <c r="Y188">
        <v>1.17</v>
      </c>
      <c r="Z188" cm="1">
        <f t="array" ref="Z188">numeng*InterpolateXY(Z$90,Y188,Tmax_h,Tmax_M,Tmax_table)</f>
        <v>7172.0701096659168</v>
      </c>
      <c r="AA188" cm="1">
        <f t="array" ref="AA188">1*Z$91/(S*Linterp(Z$90,atmos_h,atmos_qms)*Y188^2)</f>
        <v>4.2181264837399278E-2</v>
      </c>
      <c r="AB188" cm="1">
        <f t="array" ref="AB188">InterpolateXY(AA188,Y188,CD_CL,CD_M,CD_table)</f>
        <v>4.2085662158394328E-2</v>
      </c>
      <c r="AC188" cm="1">
        <f t="array" ref="AC188">AB188*S*Linterp(Z$90,atmos_h,atmos_qms)*Y188^2</f>
        <v>9977.3352744699605</v>
      </c>
      <c r="AD188" cm="1">
        <f t="array" ref="AD188">Y188*Linterp(Z$90,atmos_h,atmos_aspeed)</f>
        <v>1260.5429169102097</v>
      </c>
      <c r="AE188" s="162">
        <f t="shared" si="31"/>
        <v>-21216.942801292134</v>
      </c>
      <c r="AG188">
        <v>1.17</v>
      </c>
      <c r="AH188" cm="1">
        <f t="array" ref="AH188">numeng*InterpolateXY(AH$90,AG188,Tmax_h,Tmax_M,Tmax_table)</f>
        <v>6405.5877059430504</v>
      </c>
      <c r="AI188" cm="1">
        <f t="array" ref="AI188">1*AH$91/(S*Linterp(AH$90,atmos_h,atmos_qms)*AG188^2)</f>
        <v>5.140191548703156E-2</v>
      </c>
      <c r="AJ188" cm="1">
        <f t="array" ref="AJ188">InterpolateXY(AI188,AG188,CD_CL,CD_M,CD_table)</f>
        <v>4.2261776585802303E-2</v>
      </c>
      <c r="AK188" cm="1">
        <f t="array" ref="AK188">AJ188*S*Linterp(AH$90,atmos_h,atmos_qms)*AG188^2</f>
        <v>8221.8291255050081</v>
      </c>
      <c r="AL188" cm="1">
        <f t="array" ref="AL188">AG188*Linterp(AH$90,atmos_h,atmos_aspeed)</f>
        <v>1237.0580862181146</v>
      </c>
      <c r="AM188" s="162">
        <f t="shared" si="32"/>
        <v>-13480.776807560322</v>
      </c>
      <c r="AO188">
        <v>1.17</v>
      </c>
      <c r="AP188" cm="1">
        <f t="array" ref="AP188">numeng*InterpolateXY(AP$90,AO188,Tmax_h,Tmax_M,Tmax_table)</f>
        <v>5673.3166249021515</v>
      </c>
      <c r="AQ188" cm="1">
        <f t="array" ref="AQ188">1*AP$91/(S*Linterp(AP$90,atmos_h,atmos_qms)*AO188^2)</f>
        <v>6.3124083597992431E-2</v>
      </c>
      <c r="AR188" cm="1">
        <f t="array" ref="AR188">InterpolateXY(AQ188,AO188,CD_CL,CD_M,CD_table)</f>
        <v>4.248566999672166E-2</v>
      </c>
      <c r="AS188" cm="1">
        <f t="array" ref="AS188">AR188*S*Linterp(AP$90,atmos_h,atmos_qms)*AO188^2</f>
        <v>6730.5008762254502</v>
      </c>
      <c r="AT188" cm="1">
        <f t="array" ref="AT188">AO188*Linterp(AP$90,atmos_h,atmos_aspeed)</f>
        <v>1213.1186965762047</v>
      </c>
      <c r="AU188" s="162">
        <f t="shared" si="33"/>
        <v>-7694.9398860372648</v>
      </c>
      <c r="AW188">
        <v>1.17</v>
      </c>
      <c r="AX188" cm="1">
        <f t="array" ref="AX188">numeng*InterpolateXY(AX$90,AW188,Tmax_h,Tmax_M,Tmax_table)</f>
        <v>4981.2300106971006</v>
      </c>
      <c r="AY188" cm="1">
        <f t="array" ref="AY188">1*AX$91/(S*Linterp(AX$90,atmos_h,atmos_qms)*AW188^2)</f>
        <v>7.8169983782609379E-2</v>
      </c>
      <c r="AZ188" cm="1">
        <f t="array" ref="AZ188">InterpolateXY(AY188,AW188,CD_CL,CD_M,CD_table)</f>
        <v>4.277304669024784E-2</v>
      </c>
      <c r="BA188" cm="1">
        <f t="array" ref="BA188">AZ188*S*Linterp(AX$90,atmos_h,atmos_qms)*AW188^2</f>
        <v>5471.7993557731343</v>
      </c>
      <c r="BB188" cm="1">
        <f t="array" ref="BB188">AW188*Linterp(AX$90,atmos_h,atmos_aspeed)</f>
        <v>1188.6972849669817</v>
      </c>
      <c r="BC188" s="162">
        <f t="shared" si="34"/>
        <v>-3498.8306914794689</v>
      </c>
      <c r="BE188">
        <v>1.17</v>
      </c>
      <c r="BF188" cm="1">
        <f t="array" ref="BF188">numeng*InterpolateXY(BF$90,BE188,Tmax_h,Tmax_M,Tmax_table)</f>
        <v>4333.888457962591</v>
      </c>
      <c r="BG188" cm="1">
        <f t="array" ref="BG188">1*BF$91/(S*Linterp(BF$90,atmos_h,atmos_qms)*BE188^2)</f>
        <v>9.7683661899364005E-2</v>
      </c>
      <c r="BH188" cm="1">
        <f t="array" ref="BH188">InterpolateXY(BG188,BE188,CD_CL,CD_M,CD_table)</f>
        <v>4.3145757942277853E-2</v>
      </c>
      <c r="BI188" cm="1">
        <f t="array" ref="BI188">BH188*S*Linterp(BF$90,atmos_h,atmos_qms)*BE188^2</f>
        <v>4416.8858029429348</v>
      </c>
      <c r="BJ188" cm="1">
        <f t="array" ref="BJ188">BE188*Linterp(BF$90,atmos_h,atmos_aspeed)</f>
        <v>1163.7635062988522</v>
      </c>
      <c r="BK188" s="162">
        <f t="shared" si="35"/>
        <v>-579.53568724692184</v>
      </c>
      <c r="BM188">
        <v>1.17</v>
      </c>
      <c r="BN188" cm="1">
        <f t="array" ref="BN188">numeng*InterpolateXY(BN$90,BM188,Tmax_h,Tmax_M,Tmax_table)</f>
        <v>3734.5569824642444</v>
      </c>
      <c r="BO188" cm="1">
        <f t="array" ref="BO188">1*BN$91/(S*Linterp(BN$90,atmos_h,atmos_qms)*BM188^2)</f>
        <v>0.12327912493573609</v>
      </c>
      <c r="BP188" cm="1">
        <f t="array" ref="BP188">InterpolateXY(BO188,BM188,CD_CL,CD_M,CD_table)</f>
        <v>4.4523893858817679E-2</v>
      </c>
      <c r="BQ188" cm="1">
        <f t="array" ref="BQ188">BP188*S*Linterp(BN$90,atmos_h,atmos_qms)*BM188^2</f>
        <v>3611.6328601478513</v>
      </c>
      <c r="BR188" cm="1">
        <f t="array" ref="BR188">BM188*Linterp(BN$90,atmos_h,atmos_aspeed)</f>
        <v>1138.2836913081569</v>
      </c>
      <c r="BS188" s="162">
        <f t="shared" si="36"/>
        <v>839.53514220671593</v>
      </c>
      <c r="BU188">
        <v>1.17</v>
      </c>
      <c r="BV188" cm="1">
        <f t="array" ref="BV188">numeng*InterpolateXY(BV$90,BU188,Tmax_h,Tmax_M,Tmax_table)</f>
        <v>3082.0419798935586</v>
      </c>
      <c r="BW188" cm="1">
        <f t="array" ref="BW188">1*BV$91/(S*Linterp(BV$90,atmos_h,atmos_qms)*BU188^2)</f>
        <v>0.15672793486613787</v>
      </c>
      <c r="BX188" cm="1">
        <f t="array" ref="BX188">InterpolateXY(BW188,BU188,CD_CL,CD_M,CD_table)</f>
        <v>4.6440510667829699E-2</v>
      </c>
      <c r="BY188" cm="1">
        <f t="array" ref="BY188">BX188*S*Linterp(BV$90,atmos_h,atmos_qms)*BU188^2</f>
        <v>2963.1291133577924</v>
      </c>
      <c r="BZ188" cm="1">
        <f t="array" ref="BZ188">BU188*Linterp(BV$90,atmos_h,atmos_aspeed)</f>
        <v>1132.6775971930774</v>
      </c>
      <c r="CA188" s="162">
        <f t="shared" si="37"/>
        <v>808.13963965843641</v>
      </c>
      <c r="CC188">
        <v>1.17</v>
      </c>
      <c r="CD188" cm="1">
        <f t="array" ref="CD188">numeng*InterpolateXY(CD$90,CC188,Tmax_h,Tmax_M,Tmax_table)</f>
        <v>2333.0516073537283</v>
      </c>
      <c r="CE188" cm="1">
        <f t="array" ref="CE188">1*CD$91/(S*Linterp(CD$90,atmos_h,atmos_qms)*CC188^2)</f>
        <v>0.19930372215787764</v>
      </c>
      <c r="CF188" cm="1">
        <f t="array" ref="CF188">InterpolateXY(CE188,CC188,CD_CL,CD_M,CD_table)</f>
        <v>4.8880103279646391E-2</v>
      </c>
      <c r="CG188" cm="1">
        <f t="array" ref="CG188">CF188*S*Linterp(CD$90,atmos_h,atmos_qms)*CC188^2</f>
        <v>2452.5434221908918</v>
      </c>
      <c r="CH188" cm="1">
        <f t="array" ref="CH188">CC188*Linterp(CD$90,atmos_h,atmos_aspeed)</f>
        <v>1132.6775971930774</v>
      </c>
      <c r="CI188" s="162">
        <f t="shared" si="38"/>
        <v>-812.07421028399074</v>
      </c>
      <c r="CK188">
        <v>1.17</v>
      </c>
      <c r="CL188" cm="1">
        <f t="array" ref="CL188">numeng*InterpolateXY(CL$90,CK188,Tmax_h,Tmax_M,Tmax_table)</f>
        <v>1692.1730036958279</v>
      </c>
      <c r="CM188" cm="1">
        <f t="array" ref="CM188">1*CL$91/(S*Linterp(CL$90,atmos_h,atmos_qms)*CK188^2)</f>
        <v>0.25344539695435425</v>
      </c>
      <c r="CN188" cm="1">
        <f t="array" ref="CN188">InterpolateXY(CM188,CK188,CD_CL,CD_M,CD_table)</f>
        <v>5.402403540914083E-2</v>
      </c>
      <c r="CO188" cm="1">
        <f t="array" ref="CO188">CN188*S*Linterp(CL$90,atmos_h,atmos_qms)*CK188^2</f>
        <v>2131.5847933458667</v>
      </c>
      <c r="CP188" cm="1">
        <f t="array" ref="CP188">CK188*Linterp(CL$90,atmos_h,atmos_aspeed)</f>
        <v>1132.6775971930774</v>
      </c>
      <c r="CQ188" s="162">
        <f t="shared" si="39"/>
        <v>-2986.2713404746955</v>
      </c>
    </row>
    <row r="189" spans="9:95">
      <c r="I189">
        <v>1.18</v>
      </c>
      <c r="J189" cm="1">
        <f t="array" ref="J189">numeng*InterpolateXY(J$90,I189,Tmax_h,Tmax_M,Tmax_table)</f>
        <v>8332</v>
      </c>
      <c r="K189" cm="1">
        <f t="array" ref="K189">1*J$91/(S*Linterp(J$90,atmos_h,atmos_qms)*I189^2)</f>
        <v>2.8518600501399909E-2</v>
      </c>
      <c r="L189" cm="1">
        <f t="array" ref="L189">InterpolateXY(K189,I189,CD_CL,CD_M,CD_table)</f>
        <v>4.2073260849727165E-2</v>
      </c>
      <c r="M189" cm="1">
        <f t="array" ref="M189">L189*S*Linterp(J$90,atmos_h,atmos_qms)*I189^2</f>
        <v>14752.91918608064</v>
      </c>
      <c r="N189" cm="1">
        <f t="array" ref="N189">I189*Linterp(J$90,atmos_h,atmos_aspeed)</f>
        <v>1317.4110000000001</v>
      </c>
      <c r="O189" s="162">
        <f t="shared" si="40"/>
        <v>-50753.937395122099</v>
      </c>
      <c r="Q189">
        <v>1.18</v>
      </c>
      <c r="R189" cm="1">
        <f t="array" ref="R189">numeng*InterpolateXY(R$90,Q189,Tmax_h,Tmax_M,Tmax_table)</f>
        <v>7789.4792032997439</v>
      </c>
      <c r="S189" cm="1">
        <f t="array" ref="S189">1*R$91/(S*Linterp(R$90,atmos_h,atmos_qms)*Q189^2)</f>
        <v>3.4275224864989386E-2</v>
      </c>
      <c r="T189" cm="1">
        <f t="array" ref="T189">InterpolateXY(S189,Q189,CD_CL,CD_M,CD_table)</f>
        <v>4.2184939362380797E-2</v>
      </c>
      <c r="U189" cm="1">
        <f t="array" ref="U189">T189*S*Linterp(R$90,atmos_h,atmos_qms)*Q189^2</f>
        <v>12307.706084656742</v>
      </c>
      <c r="V189" cm="1">
        <f t="array" ref="V189">Q189*Linterp(R$90,atmos_h,atmos_aspeed)</f>
        <v>1294.5690631168929</v>
      </c>
      <c r="W189" s="162">
        <f t="shared" si="30"/>
        <v>-35094.940444487343</v>
      </c>
      <c r="Y189">
        <v>1.18</v>
      </c>
      <c r="Z189" cm="1">
        <f t="array" ref="Z189">numeng*InterpolateXY(Z$90,Y189,Tmax_h,Tmax_M,Tmax_table)</f>
        <v>7198.6552130378259</v>
      </c>
      <c r="AA189" cm="1">
        <f t="array" ref="AA189">1*Z$91/(S*Linterp(Z$90,atmos_h,atmos_qms)*Y189^2)</f>
        <v>4.1469357538003356E-2</v>
      </c>
      <c r="AB189" cm="1">
        <f t="array" ref="AB189">InterpolateXY(AA189,Y189,CD_CL,CD_M,CD_table)</f>
        <v>4.2324505536237268E-2</v>
      </c>
      <c r="AC189" cm="1">
        <f t="array" ref="AC189">AB189*S*Linterp(Z$90,atmos_h,atmos_qms)*Y189^2</f>
        <v>10206.212019911387</v>
      </c>
      <c r="AD189" cm="1">
        <f t="array" ref="AD189">Y189*Linterp(Z$90,atmos_h,atmos_aspeed)</f>
        <v>1271.3167879949124</v>
      </c>
      <c r="AE189" s="162">
        <f t="shared" si="31"/>
        <v>-22941.344756560386</v>
      </c>
      <c r="AG189">
        <v>1.18</v>
      </c>
      <c r="AH189" cm="1">
        <f t="array" ref="AH189">numeng*InterpolateXY(AH$90,AG189,Tmax_h,Tmax_M,Tmax_table)</f>
        <v>6430.7570093062841</v>
      </c>
      <c r="AI189" cm="1">
        <f t="array" ref="AI189">1*AH$91/(S*Linterp(AH$90,atmos_h,atmos_qms)*AG189^2)</f>
        <v>5.0534388186007972E-2</v>
      </c>
      <c r="AJ189" cm="1">
        <f t="array" ref="AJ189">InterpolateXY(AI189,AG189,CD_CL,CD_M,CD_table)</f>
        <v>4.2500367130808556E-2</v>
      </c>
      <c r="AK189" cm="1">
        <f t="array" ref="AK189">AJ189*S*Linterp(AH$90,atmos_h,atmos_qms)*AG189^2</f>
        <v>8410.1873311243762</v>
      </c>
      <c r="AL189" cm="1">
        <f t="array" ref="AL189">AG189*Linterp(AH$90,atmos_h,atmos_aspeed)</f>
        <v>1247.6312322541669</v>
      </c>
      <c r="AM189" s="162">
        <f t="shared" si="32"/>
        <v>-14817.594549427011</v>
      </c>
      <c r="AO189">
        <v>1.18</v>
      </c>
      <c r="AP189" cm="1">
        <f t="array" ref="AP189">numeng*InterpolateXY(AP$90,AO189,Tmax_h,Tmax_M,Tmax_table)</f>
        <v>5696.7600820298467</v>
      </c>
      <c r="AQ189" cm="1">
        <f t="array" ref="AQ189">1*AP$91/(S*Linterp(AP$90,atmos_h,atmos_qms)*AO189^2)</f>
        <v>6.2058717349390856E-2</v>
      </c>
      <c r="AR189" cm="1">
        <f t="array" ref="AR189">InterpolateXY(AQ189,AO189,CD_CL,CD_M,CD_table)</f>
        <v>4.2723939116578187E-2</v>
      </c>
      <c r="AS189" cm="1">
        <f t="array" ref="AS189">AR189*S*Linterp(AP$90,atmos_h,atmos_qms)*AO189^2</f>
        <v>6884.4379873406378</v>
      </c>
      <c r="AT189" cm="1">
        <f t="array" ref="AT189">AO189*Linterp(AP$90,atmos_h,atmos_aspeed)</f>
        <v>1223.4872324443772</v>
      </c>
      <c r="AU189" s="162">
        <f t="shared" si="33"/>
        <v>-8718.6525204242098</v>
      </c>
      <c r="AW189">
        <v>1.18</v>
      </c>
      <c r="AX189" cm="1">
        <f t="array" ref="AX189">numeng*InterpolateXY(AX$90,AW189,Tmax_h,Tmax_M,Tmax_table)</f>
        <v>5002.7394601855376</v>
      </c>
      <c r="AY189" cm="1">
        <f t="array" ref="AY189">1*AX$91/(S*Linterp(AX$90,atmos_h,atmos_qms)*AW189^2)</f>
        <v>7.6850682849765858E-2</v>
      </c>
      <c r="AZ189" cm="1">
        <f t="array" ref="AZ189">InterpolateXY(AY189,AW189,CD_CL,CD_M,CD_table)</f>
        <v>4.3010903247285459E-2</v>
      </c>
      <c r="BA189" cm="1">
        <f t="array" ref="BA189">AZ189*S*Linterp(AX$90,atmos_h,atmos_qms)*AW189^2</f>
        <v>5596.684590476154</v>
      </c>
      <c r="BB189" cm="1">
        <f t="array" ref="BB189">AW189*Linterp(AX$90,atmos_h,atmos_aspeed)</f>
        <v>1198.8570908214003</v>
      </c>
      <c r="BC189" s="162">
        <f t="shared" si="34"/>
        <v>-4272.3319860464762</v>
      </c>
      <c r="BE189">
        <v>1.18</v>
      </c>
      <c r="BF189" cm="1">
        <f t="array" ref="BF189">numeng*InterpolateXY(BF$90,BE189,Tmax_h,Tmax_M,Tmax_table)</f>
        <v>4353.3430677531696</v>
      </c>
      <c r="BG189" cm="1">
        <f t="array" ref="BG189">1*BF$91/(S*Linterp(BF$90,atmos_h,atmos_qms)*BE189^2)</f>
        <v>9.6035022101435913E-2</v>
      </c>
      <c r="BH189" cm="1">
        <f t="array" ref="BH189">InterpolateXY(BG189,BE189,CD_CL,CD_M,CD_table)</f>
        <v>4.3383079428767859E-2</v>
      </c>
      <c r="BI189" cm="1">
        <f t="array" ref="BI189">BH189*S*Linterp(BF$90,atmos_h,atmos_qms)*BE189^2</f>
        <v>4517.4227567673142</v>
      </c>
      <c r="BJ189" cm="1">
        <f t="array" ref="BJ189">BE189*Linterp(BF$90,atmos_h,atmos_aspeed)</f>
        <v>1173.7102029338851</v>
      </c>
      <c r="BK189" s="162">
        <f t="shared" si="35"/>
        <v>-1155.4920305407227</v>
      </c>
      <c r="BM189">
        <v>1.18</v>
      </c>
      <c r="BN189" cm="1">
        <f t="array" ref="BN189">numeng*InterpolateXY(BN$90,BM189,Tmax_h,Tmax_M,Tmax_table)</f>
        <v>3751.9097198537233</v>
      </c>
      <c r="BO189" cm="1">
        <f t="array" ref="BO189">1*BN$91/(S*Linterp(BN$90,atmos_h,atmos_qms)*BM189^2)</f>
        <v>0.12119850195671439</v>
      </c>
      <c r="BP189" cm="1">
        <f t="array" ref="BP189">InterpolateXY(BO189,BM189,CD_CL,CD_M,CD_table)</f>
        <v>4.4693752813880779E-2</v>
      </c>
      <c r="BQ189" cm="1">
        <f t="array" ref="BQ189">BP189*S*Linterp(BN$90,atmos_h,atmos_qms)*BM189^2</f>
        <v>3687.6489471662767</v>
      </c>
      <c r="BR189" cm="1">
        <f t="array" ref="BR189">BM189*Linterp(BN$90,atmos_h,atmos_aspeed)</f>
        <v>1148.0126117466882</v>
      </c>
      <c r="BS189" s="162">
        <f t="shared" si="36"/>
        <v>442.63306491465534</v>
      </c>
      <c r="BU189">
        <v>1.18</v>
      </c>
      <c r="BV189" cm="1">
        <f t="array" ref="BV189">numeng*InterpolateXY(BV$90,BU189,Tmax_h,Tmax_M,Tmax_table)</f>
        <v>3096.8121491262755</v>
      </c>
      <c r="BW189" cm="1">
        <f t="array" ref="BW189">1*BV$91/(S*Linterp(BV$90,atmos_h,atmos_qms)*BU189^2)</f>
        <v>0.15408278514669355</v>
      </c>
      <c r="BX189" cm="1">
        <f t="array" ref="BX189">InterpolateXY(BW189,BU189,CD_CL,CD_M,CD_table)</f>
        <v>4.6607618095537567E-2</v>
      </c>
      <c r="BY189" cm="1">
        <f t="array" ref="BY189">BX189*S*Linterp(BV$90,atmos_h,atmos_qms)*BU189^2</f>
        <v>3024.8426552755441</v>
      </c>
      <c r="BZ189" cm="1">
        <f t="array" ref="BZ189">BU189*Linterp(BV$90,atmos_h,atmos_aspeed)</f>
        <v>1142.3586022972918</v>
      </c>
      <c r="CA189" s="162">
        <f t="shared" si="37"/>
        <v>493.28982242019026</v>
      </c>
      <c r="CC189">
        <v>1.18</v>
      </c>
      <c r="CD189" cm="1">
        <f t="array" ref="CD189">numeng*InterpolateXY(CD$90,CC189,Tmax_h,Tmax_M,Tmax_table)</f>
        <v>2343.8922055956641</v>
      </c>
      <c r="CE189" cm="1">
        <f t="array" ref="CE189">1*CD$91/(S*Linterp(CD$90,atmos_h,atmos_qms)*CC189^2)</f>
        <v>0.19594000665176578</v>
      </c>
      <c r="CF189" cm="1">
        <f t="array" ref="CF189">InterpolateXY(CE189,CC189,CD_CL,CD_M,CD_table)</f>
        <v>4.9043708387132776E-2</v>
      </c>
      <c r="CG189" cm="1">
        <f t="array" ref="CG189">CF189*S*Linterp(CD$90,atmos_h,atmos_qms)*CC189^2</f>
        <v>2502.9961581197485</v>
      </c>
      <c r="CH189" cm="1">
        <f t="array" ref="CH189">CC189*Linterp(CD$90,atmos_h,atmos_aspeed)</f>
        <v>1142.3586022972918</v>
      </c>
      <c r="CI189" s="162">
        <f t="shared" si="38"/>
        <v>-1090.5226129523267</v>
      </c>
      <c r="CK189">
        <v>1.18</v>
      </c>
      <c r="CL189" cm="1">
        <f t="array" ref="CL189">numeng*InterpolateXY(CL$90,CK189,Tmax_h,Tmax_M,Tmax_table)</f>
        <v>1699.4799760039782</v>
      </c>
      <c r="CM189" cm="1">
        <f t="array" ref="CM189">1*CL$91/(S*Linterp(CL$90,atmos_h,atmos_qms)*CK189^2)</f>
        <v>0.24916791431400137</v>
      </c>
      <c r="CN189" cm="1">
        <f t="array" ref="CN189">InterpolateXY(CM189,CK189,CD_CL,CD_M,CD_table)</f>
        <v>5.4049287688458132E-2</v>
      </c>
      <c r="CO189" cm="1">
        <f t="array" ref="CO189">CN189*S*Linterp(CL$90,atmos_h,atmos_qms)*CK189^2</f>
        <v>2169.1913197276767</v>
      </c>
      <c r="CP189" cm="1">
        <f t="array" ref="CP189">CK189*Linterp(CL$90,atmos_h,atmos_aspeed)</f>
        <v>1142.3586022972918</v>
      </c>
      <c r="CQ189" s="162">
        <f t="shared" si="39"/>
        <v>-3219.4727645963221</v>
      </c>
    </row>
    <row r="190" spans="9:95">
      <c r="I190">
        <v>1.19</v>
      </c>
      <c r="J190" cm="1">
        <f t="array" ref="J190">numeng*InterpolateXY(J$90,I190,Tmax_h,Tmax_M,Tmax_table)</f>
        <v>8356</v>
      </c>
      <c r="K190" cm="1">
        <f t="array" ref="K190">1*J$91/(S*Linterp(J$90,atmos_h,atmos_qms)*I190^2)</f>
        <v>2.804131017452809E-2</v>
      </c>
      <c r="L190" cm="1">
        <f t="array" ref="L190">InterpolateXY(K190,I190,CD_CL,CD_M,CD_table)</f>
        <v>4.231241381043821E-2</v>
      </c>
      <c r="M190" cm="1">
        <f t="array" ref="M190">L190*S*Linterp(J$90,atmos_h,atmos_qms)*I190^2</f>
        <v>15089.314139420479</v>
      </c>
      <c r="N190" cm="1">
        <f t="array" ref="N190">I190*Linterp(J$90,atmos_h,atmos_aspeed)</f>
        <v>1328.5754999999999</v>
      </c>
      <c r="O190" s="162">
        <f t="shared" si="40"/>
        <v>-53674.297196625797</v>
      </c>
      <c r="Q190">
        <v>1.19</v>
      </c>
      <c r="R190" cm="1">
        <f t="array" ref="R190">numeng*InterpolateXY(R$90,Q190,Tmax_h,Tmax_M,Tmax_table)</f>
        <v>7815.3292449036153</v>
      </c>
      <c r="S190" cm="1">
        <f t="array" ref="S190">1*R$91/(S*Linterp(R$90,atmos_h,atmos_qms)*Q190^2)</f>
        <v>3.3701591061373652E-2</v>
      </c>
      <c r="T190" cm="1">
        <f t="array" ref="T190">InterpolateXY(S190,Q190,CD_CL,CD_M,CD_table)</f>
        <v>4.2423921343909064E-2</v>
      </c>
      <c r="U190" cm="1">
        <f t="array" ref="U190">T190*S*Linterp(R$90,atmos_h,atmos_qms)*Q190^2</f>
        <v>12588.10637950335</v>
      </c>
      <c r="V190" cm="1">
        <f t="array" ref="V190">Q190*Linterp(R$90,atmos_h,atmos_aspeed)</f>
        <v>1305.5399873805954</v>
      </c>
      <c r="W190" s="162">
        <f t="shared" si="30"/>
        <v>-37386.308400454393</v>
      </c>
      <c r="Y190">
        <v>1.19</v>
      </c>
      <c r="Z190" cm="1">
        <f t="array" ref="Z190">numeng*InterpolateXY(Z$90,Y190,Tmax_h,Tmax_M,Tmax_table)</f>
        <v>7225.2403164097341</v>
      </c>
      <c r="AA190" cm="1">
        <f t="array" ref="AA190">1*Z$91/(S*Linterp(Z$90,atmos_h,atmos_qms)*Y190^2)</f>
        <v>4.0775321965903444E-2</v>
      </c>
      <c r="AB190" cm="1">
        <f t="array" ref="AB190">InterpolateXY(AA190,Y190,CD_CL,CD_M,CD_table)</f>
        <v>4.2563273842728302E-2</v>
      </c>
      <c r="AC190" cm="1">
        <f t="array" ref="AC190">AB190*S*Linterp(Z$90,atmos_h,atmos_qms)*Y190^2</f>
        <v>10438.488720780662</v>
      </c>
      <c r="AD190" cm="1">
        <f t="array" ref="AD190">Y190*Linterp(Z$90,atmos_h,atmos_aspeed)</f>
        <v>1282.0906590796151</v>
      </c>
      <c r="AE190" s="162">
        <f t="shared" si="31"/>
        <v>-24718.054587278672</v>
      </c>
      <c r="AG190">
        <v>1.19</v>
      </c>
      <c r="AH190" cm="1">
        <f t="array" ref="AH190">numeng*InterpolateXY(AH$90,AG190,Tmax_h,Tmax_M,Tmax_table)</f>
        <v>6455.9263126695187</v>
      </c>
      <c r="AI190" cm="1">
        <f t="array" ref="AI190">1*AH$91/(S*Linterp(AH$90,atmos_h,atmos_qms)*AG190^2)</f>
        <v>4.9688639298211636E-2</v>
      </c>
      <c r="AJ190" cm="1">
        <f t="array" ref="AJ190">InterpolateXY(AI190,AG190,CD_CL,CD_M,CD_table)</f>
        <v>4.2738866194174774E-2</v>
      </c>
      <c r="AK190" cm="1">
        <f t="array" ref="AK190">AJ190*S*Linterp(AH$90,atmos_h,atmos_qms)*AG190^2</f>
        <v>8601.3355965883748</v>
      </c>
      <c r="AL190" cm="1">
        <f t="array" ref="AL190">AG190*Linterp(AH$90,atmos_h,atmos_aspeed)</f>
        <v>1258.2043782902192</v>
      </c>
      <c r="AM190" s="162">
        <f t="shared" si="32"/>
        <v>-16196.180125507131</v>
      </c>
      <c r="AO190">
        <v>1.19</v>
      </c>
      <c r="AP190" cm="1">
        <f t="array" ref="AP190">numeng*InterpolateXY(AP$90,AO190,Tmax_h,Tmax_M,Tmax_table)</f>
        <v>5720.2035391575409</v>
      </c>
      <c r="AQ190" cm="1">
        <f t="array" ref="AQ190">1*AP$91/(S*Linterp(AP$90,atmos_h,atmos_qms)*AO190^2)</f>
        <v>6.1020096064749542E-2</v>
      </c>
      <c r="AR190" cm="1">
        <f t="array" ref="AR190">InterpolateXY(AQ190,AO190,CD_CL,CD_M,CD_table)</f>
        <v>4.2962095892475571E-2</v>
      </c>
      <c r="AS190" cm="1">
        <f t="array" ref="AS190">AR190*S*Linterp(AP$90,atmos_h,atmos_qms)*AO190^2</f>
        <v>7040.647043047541</v>
      </c>
      <c r="AT190" cm="1">
        <f t="array" ref="AT190">AO190*Linterp(AP$90,atmos_h,atmos_aspeed)</f>
        <v>1233.85576831255</v>
      </c>
      <c r="AU190" s="162">
        <f t="shared" si="33"/>
        <v>-9775.421004033069</v>
      </c>
      <c r="AW190">
        <v>1.19</v>
      </c>
      <c r="AX190" cm="1">
        <f t="array" ref="AX190">numeng*InterpolateXY(AX$90,AW190,Tmax_h,Tmax_M,Tmax_table)</f>
        <v>5024.2489096739737</v>
      </c>
      <c r="AY190" cm="1">
        <f t="array" ref="AY190">1*AX$91/(S*Linterp(AX$90,atmos_h,atmos_qms)*AW190^2)</f>
        <v>7.5564501659497199E-2</v>
      </c>
      <c r="AZ190" cm="1">
        <f t="array" ref="AZ190">InterpolateXY(AY190,AW190,CD_CL,CD_M,CD_table)</f>
        <v>4.3248620682692099E-2</v>
      </c>
      <c r="BA190" cm="1">
        <f t="array" ref="BA190">AZ190*S*Linterp(AX$90,atmos_h,atmos_qms)*AW190^2</f>
        <v>5723.4044733829687</v>
      </c>
      <c r="BB190" cm="1">
        <f t="array" ref="BB190">AW190*Linterp(AX$90,atmos_h,atmos_aspeed)</f>
        <v>1209.016896675819</v>
      </c>
      <c r="BC190" s="162">
        <f t="shared" si="34"/>
        <v>-5071.7453395744924</v>
      </c>
      <c r="BE190">
        <v>1.19</v>
      </c>
      <c r="BF190" cm="1">
        <f t="array" ref="BF190">numeng*InterpolateXY(BF$90,BE190,Tmax_h,Tmax_M,Tmax_table)</f>
        <v>4372.7976775437473</v>
      </c>
      <c r="BG190" cm="1">
        <f t="array" ref="BG190">1*BF$91/(S*Linterp(BF$90,atmos_h,atmos_qms)*BE190^2)</f>
        <v>9.4427769771936565E-2</v>
      </c>
      <c r="BH190" cm="1">
        <f t="array" ref="BH190">InterpolateXY(BG190,BE190,CD_CL,CD_M,CD_table)</f>
        <v>4.3620227064507154E-2</v>
      </c>
      <c r="BI190" cm="1">
        <f t="array" ref="BI190">BH190*S*Linterp(BF$90,atmos_h,atmos_qms)*BE190^2</f>
        <v>4619.4278621489648</v>
      </c>
      <c r="BJ190" cm="1">
        <f t="array" ref="BJ190">BE190*Linterp(BF$90,atmos_h,atmos_aspeed)</f>
        <v>1183.6568995689181</v>
      </c>
      <c r="BK190" s="162">
        <f t="shared" si="35"/>
        <v>-1751.5531178995293</v>
      </c>
      <c r="BM190">
        <v>1.19</v>
      </c>
      <c r="BN190" cm="1">
        <f t="array" ref="BN190">numeng*InterpolateXY(BN$90,BM190,Tmax_h,Tmax_M,Tmax_table)</f>
        <v>3769.2624572432019</v>
      </c>
      <c r="BO190" cm="1">
        <f t="array" ref="BO190">1*BN$91/(S*Linterp(BN$90,atmos_h,atmos_qms)*BM190^2)</f>
        <v>0.11917011095581463</v>
      </c>
      <c r="BP190" cm="1">
        <f t="array" ref="BP190">InterpolateXY(BO190,BM190,CD_CL,CD_M,CD_table)</f>
        <v>4.486295355748865E-2</v>
      </c>
      <c r="BQ190" cm="1">
        <f t="array" ref="BQ190">BP190*S*Linterp(BN$90,atmos_h,atmos_qms)*BM190^2</f>
        <v>3764.6145663255052</v>
      </c>
      <c r="BR190" cm="1">
        <f t="array" ref="BR190">BM190*Linterp(BN$90,atmos_h,atmos_aspeed)</f>
        <v>1157.7415321852195</v>
      </c>
      <c r="BS190" s="162">
        <f t="shared" si="36"/>
        <v>32.286338114903756</v>
      </c>
      <c r="BU190">
        <v>1.19</v>
      </c>
      <c r="BV190" cm="1">
        <f t="array" ref="BV190">numeng*InterpolateXY(BV$90,BU190,Tmax_h,Tmax_M,Tmax_table)</f>
        <v>3111.5823183589923</v>
      </c>
      <c r="BW190" cm="1">
        <f t="array" ref="BW190">1*BV$91/(S*Linterp(BV$90,atmos_h,atmos_qms)*BU190^2)</f>
        <v>0.15150403928977904</v>
      </c>
      <c r="BX190" cm="1">
        <f t="array" ref="BX190">InterpolateXY(BW190,BU190,CD_CL,CD_M,CD_table)</f>
        <v>4.6773888722025946E-2</v>
      </c>
      <c r="BY190" cm="1">
        <f t="array" ref="BY190">BX190*S*Linterp(BV$90,atmos_h,atmos_qms)*BU190^2</f>
        <v>3087.3030805840344</v>
      </c>
      <c r="BZ190" cm="1">
        <f t="array" ref="BZ190">BU190*Linterp(BV$90,atmos_h,atmos_aspeed)</f>
        <v>1152.0396074015061</v>
      </c>
      <c r="CA190" s="162">
        <f t="shared" si="37"/>
        <v>167.82386132562183</v>
      </c>
      <c r="CC190">
        <v>1.19</v>
      </c>
      <c r="CD190" cm="1">
        <f t="array" ref="CD190">numeng*InterpolateXY(CD$90,CC190,Tmax_h,Tmax_M,Tmax_table)</f>
        <v>2354.7328038375995</v>
      </c>
      <c r="CE190" cm="1">
        <f t="array" ref="CE190">1*CD$91/(S*Linterp(CD$90,atmos_h,atmos_qms)*CC190^2)</f>
        <v>0.19266073389020455</v>
      </c>
      <c r="CF190" cm="1">
        <f t="array" ref="CF190">InterpolateXY(CE190,CC190,CD_CL,CD_M,CD_table)</f>
        <v>4.9206249372911091E-2</v>
      </c>
      <c r="CG190" cm="1">
        <f t="array" ref="CG190">CF190*S*Linterp(CD$90,atmos_h,atmos_qms)*CC190^2</f>
        <v>2554.0362262376329</v>
      </c>
      <c r="CH190" cm="1">
        <f t="array" ref="CH190">CC190*Linterp(CD$90,atmos_h,atmos_aspeed)</f>
        <v>1152.0396074015061</v>
      </c>
      <c r="CI190" s="162">
        <f t="shared" si="38"/>
        <v>-1377.6326189730667</v>
      </c>
      <c r="CK190">
        <v>1.19</v>
      </c>
      <c r="CL190" cm="1">
        <f t="array" ref="CL190">numeng*InterpolateXY(CL$90,CK190,Tmax_h,Tmax_M,Tmax_table)</f>
        <v>1706.7869483121287</v>
      </c>
      <c r="CM190" cm="1">
        <f t="array" ref="CM190">1*CL$91/(S*Linterp(CL$90,atmos_h,atmos_qms)*CK190^2)</f>
        <v>0.24499781363661854</v>
      </c>
      <c r="CN190" cm="1">
        <f t="array" ref="CN190">InterpolateXY(CM190,CK190,CD_CL,CD_M,CD_table)</f>
        <v>5.407228464320693E-2</v>
      </c>
      <c r="CO190" cm="1">
        <f t="array" ref="CO190">CN190*S*Linterp(CL$90,atmos_h,atmos_qms)*CK190^2</f>
        <v>2207.0517218332038</v>
      </c>
      <c r="CP190" cm="1">
        <f t="array" ref="CP190">CK190*Linterp(CL$90,atmos_h,atmos_aspeed)</f>
        <v>1152.0396074015061</v>
      </c>
      <c r="CQ190" s="162">
        <f t="shared" si="39"/>
        <v>-3457.9489997041369</v>
      </c>
    </row>
    <row r="191" spans="9:95">
      <c r="I191">
        <v>1.2</v>
      </c>
      <c r="J191" cm="1">
        <f t="array" ref="J191">numeng*InterpolateXY(J$90,I191,Tmax_h,Tmax_M,Tmax_table)</f>
        <v>8380</v>
      </c>
      <c r="K191" cm="1">
        <f t="array" ref="K191">1*J$91/(S*Linterp(J$90,atmos_h,atmos_qms)*I191^2)</f>
        <v>2.7575902318159186E-2</v>
      </c>
      <c r="L191" cm="1">
        <f t="array" ref="L191">InterpolateXY(K191,I191,CD_CL,CD_M,CD_table)</f>
        <v>4.2551518046363188E-2</v>
      </c>
      <c r="M191" cm="1">
        <f t="array" ref="M191">L191*S*Linterp(J$90,atmos_h,atmos_qms)*I191^2</f>
        <v>15430.689286400002</v>
      </c>
      <c r="N191" cm="1">
        <f t="array" ref="N191">I191*Linterp(J$90,atmos_h,atmos_aspeed)</f>
        <v>1339.74</v>
      </c>
      <c r="O191" s="162">
        <f t="shared" si="40"/>
        <v>-56676.542787369224</v>
      </c>
      <c r="Q191">
        <v>1.2</v>
      </c>
      <c r="R191" cm="1">
        <f t="array" ref="R191">numeng*InterpolateXY(R$90,Q191,Tmax_h,Tmax_M,Tmax_table)</f>
        <v>7841.1792865074858</v>
      </c>
      <c r="S191" cm="1">
        <f t="array" ref="S191">1*R$91/(S*Linterp(R$90,atmos_h,atmos_qms)*Q191^2)</f>
        <v>3.3142238265285569E-2</v>
      </c>
      <c r="T191" cm="1">
        <f t="array" ref="T191">InterpolateXY(S191,Q191,CD_CL,CD_M,CD_table)</f>
        <v>4.2662844765305713E-2</v>
      </c>
      <c r="U191" cm="1">
        <f t="array" ref="U191">T191*S*Linterp(R$90,atmos_h,atmos_qms)*Q191^2</f>
        <v>12872.650429887344</v>
      </c>
      <c r="V191" cm="1">
        <f t="array" ref="V191">Q191*Linterp(R$90,atmos_h,atmos_aspeed)</f>
        <v>1316.5109116442979</v>
      </c>
      <c r="W191" s="162">
        <f t="shared" si="30"/>
        <v>-39743.919971297975</v>
      </c>
      <c r="Y191">
        <v>1.2</v>
      </c>
      <c r="Z191" cm="1">
        <f t="array" ref="Z191">numeng*InterpolateXY(Z$90,Y191,Tmax_h,Tmax_M,Tmax_table)</f>
        <v>7251.8254197816423</v>
      </c>
      <c r="AA191" cm="1">
        <f t="array" ref="AA191">1*Z$91/(S*Linterp(Z$90,atmos_h,atmos_qms)*Y191^2)</f>
        <v>4.0098564886052686E-2</v>
      </c>
      <c r="AB191" cm="1">
        <f t="array" ref="AB191">InterpolateXY(AA191,Y191,CD_CL,CD_M,CD_table)</f>
        <v>4.2801971297721057E-2</v>
      </c>
      <c r="AC191" cm="1">
        <f t="array" ref="AC191">AB191*S*Linterp(Z$90,atmos_h,atmos_qms)*Y191^2</f>
        <v>10674.190315626156</v>
      </c>
      <c r="AD191" cm="1">
        <f t="array" ref="AD191">Y191*Linterp(Z$90,atmos_h,atmos_aspeed)</f>
        <v>1292.8645301643178</v>
      </c>
      <c r="AE191" s="162">
        <f t="shared" si="31"/>
        <v>-26547.925098701231</v>
      </c>
      <c r="AG191">
        <v>1.2</v>
      </c>
      <c r="AH191" cm="1">
        <f t="array" ref="AH191">numeng*InterpolateXY(AH$90,AG191,Tmax_h,Tmax_M,Tmax_table)</f>
        <v>6481.0956160327523</v>
      </c>
      <c r="AI191" cm="1">
        <f t="array" ref="AI191">1*AH$91/(S*Linterp(AH$90,atmos_h,atmos_qms)*AG191^2)</f>
        <v>4.8863945909859374E-2</v>
      </c>
      <c r="AJ191" cm="1">
        <f t="array" ref="AJ191">InterpolateXY(AI191,AG191,CD_CL,CD_M,CD_table)</f>
        <v>4.2977278918197193E-2</v>
      </c>
      <c r="AK191" cm="1">
        <f t="array" ref="AK191">AJ191*S*Linterp(AH$90,atmos_h,atmos_qms)*AG191^2</f>
        <v>8795.2943868836392</v>
      </c>
      <c r="AL191" cm="1">
        <f t="array" ref="AL191">AG191*Linterp(AH$90,atmos_h,atmos_aspeed)</f>
        <v>1268.7775243262715</v>
      </c>
      <c r="AM191" s="162">
        <f t="shared" si="32"/>
        <v>-17617.220323674534</v>
      </c>
      <c r="AO191">
        <v>1.2</v>
      </c>
      <c r="AP191" cm="1">
        <f t="array" ref="AP191">numeng*InterpolateXY(AP$90,AO191,Tmax_h,Tmax_M,Tmax_table)</f>
        <v>5743.6469962852361</v>
      </c>
      <c r="AQ191" cm="1">
        <f t="array" ref="AQ191">1*AP$91/(S*Linterp(AP$90,atmos_h,atmos_qms)*AO191^2)</f>
        <v>6.0007331970341533E-2</v>
      </c>
      <c r="AR191" cm="1">
        <f t="array" ref="AR191">InterpolateXY(AQ191,AO191,CD_CL,CD_M,CD_table)</f>
        <v>4.3200146639406835E-2</v>
      </c>
      <c r="AS191" cm="1">
        <f t="array" ref="AS191">AR191*S*Linterp(AP$90,atmos_h,atmos_qms)*AO191^2</f>
        <v>7199.1447079764175</v>
      </c>
      <c r="AT191" cm="1">
        <f t="array" ref="AT191">AO191*Linterp(AP$90,atmos_h,atmos_aspeed)</f>
        <v>1244.2243041807226</v>
      </c>
      <c r="AU191" s="162">
        <f t="shared" si="33"/>
        <v>-10865.793765393566</v>
      </c>
      <c r="AW191">
        <v>1.2</v>
      </c>
      <c r="AX191" cm="1">
        <f t="array" ref="AX191">numeng*InterpolateXY(AX$90,AW191,Tmax_h,Tmax_M,Tmax_table)</f>
        <v>5045.7583591624107</v>
      </c>
      <c r="AY191" cm="1">
        <f t="array" ref="AY191">1*AX$91/(S*Linterp(AX$90,atmos_h,atmos_qms)*AW191^2)</f>
        <v>7.4310340833343036E-2</v>
      </c>
      <c r="AZ191" cm="1">
        <f t="array" ref="AZ191">InterpolateXY(AY191,AW191,CD_CL,CD_M,CD_table)</f>
        <v>4.3486206816666866E-2</v>
      </c>
      <c r="BA191" cm="1">
        <f t="array" ref="BA191">AZ191*S*Linterp(AX$90,atmos_h,atmos_qms)*AW191^2</f>
        <v>5851.9724615708683</v>
      </c>
      <c r="BB191" cm="1">
        <f t="array" ref="BB191">AW191*Linterp(AX$90,atmos_h,atmos_aspeed)</f>
        <v>1219.1767025302377</v>
      </c>
      <c r="BC191" s="162">
        <f t="shared" si="34"/>
        <v>-5897.504705446313</v>
      </c>
      <c r="BE191">
        <v>1.2</v>
      </c>
      <c r="BF191" cm="1">
        <f t="array" ref="BF191">numeng*InterpolateXY(BF$90,BE191,Tmax_h,Tmax_M,Tmax_table)</f>
        <v>4392.252287334325</v>
      </c>
      <c r="BG191" cm="1">
        <f t="array" ref="BG191">1*BF$91/(S*Linterp(BF$90,atmos_h,atmos_qms)*BE191^2)</f>
        <v>9.2860531093082899E-2</v>
      </c>
      <c r="BH191" cm="1">
        <f t="array" ref="BH191">InterpolateXY(BG191,BE191,CD_CL,CD_M,CD_table)</f>
        <v>4.385721062186166E-2</v>
      </c>
      <c r="BI191" cm="1">
        <f t="array" ref="BI191">BH191*S*Linterp(BF$90,atmos_h,atmos_qms)*BE191^2</f>
        <v>4722.9118879257139</v>
      </c>
      <c r="BJ191" cm="1">
        <f t="array" ref="BJ191">BE191*Linterp(BF$90,atmos_h,atmos_aspeed)</f>
        <v>1193.6035962039509</v>
      </c>
      <c r="BK191" s="162">
        <f t="shared" si="35"/>
        <v>-2368.058930311463</v>
      </c>
      <c r="BM191">
        <v>1.2</v>
      </c>
      <c r="BN191" cm="1">
        <f t="array" ref="BN191">numeng*InterpolateXY(BN$90,BM191,Tmax_h,Tmax_M,Tmax_table)</f>
        <v>3786.6151946326809</v>
      </c>
      <c r="BO191" cm="1">
        <f t="array" ref="BO191">1*BN$91/(S*Linterp(BN$90,atmos_h,atmos_qms)*BM191^2)</f>
        <v>0.11719221814203411</v>
      </c>
      <c r="BP191" cm="1">
        <f t="array" ref="BP191">InterpolateXY(BO191,BM191,CD_CL,CD_M,CD_table)</f>
        <v>4.5031533088522049E-2</v>
      </c>
      <c r="BQ191" cm="1">
        <f t="array" ref="BQ191">BP191*S*Linterp(BN$90,atmos_h,atmos_qms)*BM191^2</f>
        <v>3842.536117367873</v>
      </c>
      <c r="BR191" cm="1">
        <f t="array" ref="BR191">BM191*Linterp(BN$90,atmos_h,atmos_aspeed)</f>
        <v>1167.4704526237508</v>
      </c>
      <c r="BS191" s="162">
        <f t="shared" si="36"/>
        <v>-391.71614986075519</v>
      </c>
      <c r="BU191">
        <v>1.2</v>
      </c>
      <c r="BV191" cm="1">
        <f t="array" ref="BV191">numeng*InterpolateXY(BV$90,BU191,Tmax_h,Tmax_M,Tmax_table)</f>
        <v>3126.3524875917092</v>
      </c>
      <c r="BW191" cm="1">
        <f t="array" ref="BW191">1*BV$91/(S*Linterp(BV$90,atmos_h,atmos_qms)*BU191^2)</f>
        <v>0.14898949308212231</v>
      </c>
      <c r="BX191" cm="1">
        <f t="array" ref="BX191">InterpolateXY(BW191,BU191,CD_CL,CD_M,CD_table)</f>
        <v>4.6939369584927344E-2</v>
      </c>
      <c r="BY191" cm="1">
        <f t="array" ref="BY191">BX191*S*Linterp(BV$90,atmos_h,atmos_qms)*BU191^2</f>
        <v>3150.5154231952847</v>
      </c>
      <c r="BZ191" cm="1">
        <f t="array" ref="BZ191">BU191*Linterp(BV$90,atmos_h,atmos_aspeed)</f>
        <v>1161.7206125057205</v>
      </c>
      <c r="CA191" s="162">
        <f t="shared" si="37"/>
        <v>-168.42348209593231</v>
      </c>
      <c r="CC191">
        <v>1.2</v>
      </c>
      <c r="CD191" cm="1">
        <f t="array" ref="CD191">numeng*InterpolateXY(CD$90,CC191,Tmax_h,Tmax_M,Tmax_table)</f>
        <v>2365.5734020795353</v>
      </c>
      <c r="CE191" cm="1">
        <f t="array" ref="CE191">1*CD$91/(S*Linterp(CD$90,atmos_h,atmos_qms)*CC191^2)</f>
        <v>0.18946310087633242</v>
      </c>
      <c r="CF191" cm="1">
        <f t="array" ref="CF191">InterpolateXY(CE191,CC191,CD_CL,CD_M,CD_table)</f>
        <v>4.9367786052579951E-2</v>
      </c>
      <c r="CG191" cm="1">
        <f t="array" ref="CG191">CF191*S*Linterp(CD$90,atmos_h,atmos_qms)*CC191^2</f>
        <v>2605.6675850989909</v>
      </c>
      <c r="CH191" cm="1">
        <f t="array" ref="CH191">CC191*Linterp(CD$90,atmos_h,atmos_aspeed)</f>
        <v>1161.7206125057205</v>
      </c>
      <c r="CI191" s="162">
        <f t="shared" si="38"/>
        <v>-1673.5341681385353</v>
      </c>
      <c r="CK191">
        <v>1.2</v>
      </c>
      <c r="CL191" cm="1">
        <f t="array" ref="CL191">numeng*InterpolateXY(CL$90,CK191,Tmax_h,Tmax_M,Tmax_table)</f>
        <v>1714.0939206202791</v>
      </c>
      <c r="CM191" cm="1">
        <f t="array" ref="CM191">1*CL$91/(S*Linterp(CL$90,atmos_h,atmos_qms)*CK191^2)</f>
        <v>0.24093153047973298</v>
      </c>
      <c r="CN191" cm="1">
        <f t="array" ref="CN191">InterpolateXY(CM191,CK191,CD_CL,CD_M,CD_table)</f>
        <v>5.4093153047973297E-2</v>
      </c>
      <c r="CO191" cm="1">
        <f t="array" ref="CO191">CN191*S*Linterp(CL$90,atmos_h,atmos_qms)*CK191^2</f>
        <v>2245.1670373016445</v>
      </c>
      <c r="CP191" cm="1">
        <f t="array" ref="CP191">CK191*Linterp(CL$90,atmos_h,atmos_aspeed)</f>
        <v>1161.7206125057205</v>
      </c>
      <c r="CQ191" s="162">
        <f t="shared" si="39"/>
        <v>-3701.7515183783876</v>
      </c>
    </row>
    <row r="192" spans="9:95">
      <c r="I192">
        <v>1.21</v>
      </c>
      <c r="J192" cm="1">
        <f t="array" ref="J192">numeng*InterpolateXY(J$90,I192,Tmax_h,Tmax_M,Tmax_table)</f>
        <v>8404</v>
      </c>
      <c r="K192" cm="1">
        <f t="array" ref="K192">1*J$91/(S*Linterp(J$90,atmos_h,atmos_qms)*I192^2)</f>
        <v>2.7121985751075221E-2</v>
      </c>
      <c r="L192" cm="1">
        <f t="array" ref="L192">InterpolateXY(K192,I192,CD_CL,CD_M,CD_table)</f>
        <v>4.2679220211459278E-2</v>
      </c>
      <c r="M192" cm="1">
        <f t="array" ref="M192">L192*S*Linterp(J$90,atmos_h,atmos_qms)*I192^2</f>
        <v>15736.023388245942</v>
      </c>
      <c r="N192" cm="1">
        <f t="array" ref="N192">I192*Linterp(J$90,atmos_h,atmos_aspeed)</f>
        <v>1350.9045000000001</v>
      </c>
      <c r="O192" s="162">
        <f t="shared" si="40"/>
        <v>-59429.180335720135</v>
      </c>
      <c r="Q192">
        <v>1.21</v>
      </c>
      <c r="R192" cm="1">
        <f t="array" ref="R192">numeng*InterpolateXY(R$90,Q192,Tmax_h,Tmax_M,Tmax_table)</f>
        <v>7867.0293281113563</v>
      </c>
      <c r="S192" cm="1">
        <f t="array" ref="S192">1*R$91/(S*Linterp(R$90,atmos_h,atmos_qms)*Q192^2)</f>
        <v>3.2596696333591434E-2</v>
      </c>
      <c r="T192" cm="1">
        <f t="array" ref="T192">InterpolateXY(S192,Q192,CD_CL,CD_M,CD_table)</f>
        <v>4.279008310075523E-2</v>
      </c>
      <c r="U192" cm="1">
        <f t="array" ref="U192">T192*S*Linterp(R$90,atmos_h,atmos_qms)*Q192^2</f>
        <v>13127.122657721402</v>
      </c>
      <c r="V192" cm="1">
        <f t="array" ref="V192">Q192*Linterp(R$90,atmos_h,atmos_aspeed)</f>
        <v>1327.4818359080004</v>
      </c>
      <c r="W192" s="162">
        <f t="shared" si="30"/>
        <v>-41896.070101429024</v>
      </c>
      <c r="Y192">
        <v>1.21</v>
      </c>
      <c r="Z192" cm="1">
        <f t="array" ref="Z192">numeng*InterpolateXY(Z$90,Y192,Tmax_h,Tmax_M,Tmax_table)</f>
        <v>7278.4105231535505</v>
      </c>
      <c r="AA192" cm="1">
        <f t="array" ref="AA192">1*Z$91/(S*Linterp(Z$90,atmos_h,atmos_qms)*Y192^2)</f>
        <v>3.9438517475524799E-2</v>
      </c>
      <c r="AB192" cm="1">
        <f t="array" ref="AB192">InterpolateXY(AA192,Y192,CD_CL,CD_M,CD_table)</f>
        <v>4.2928629978879383E-2</v>
      </c>
      <c r="AC192" cm="1">
        <f t="array" ref="AC192">AB192*S*Linterp(Z$90,atmos_h,atmos_qms)*Y192^2</f>
        <v>10884.950228040521</v>
      </c>
      <c r="AD192" cm="1">
        <f t="array" ref="AD192">Y192*Linterp(Z$90,atmos_h,atmos_aspeed)</f>
        <v>1303.6384012490205</v>
      </c>
      <c r="AE192" s="162">
        <f t="shared" si="31"/>
        <v>-28209.741929519791</v>
      </c>
      <c r="AG192">
        <v>1.21</v>
      </c>
      <c r="AH192" cm="1">
        <f t="array" ref="AH192">numeng*InterpolateXY(AH$90,AG192,Tmax_h,Tmax_M,Tmax_table)</f>
        <v>6506.264919395986</v>
      </c>
      <c r="AI192" cm="1">
        <f t="array" ref="AI192">1*AH$91/(S*Linterp(AH$90,atmos_h,atmos_qms)*AG192^2)</f>
        <v>4.805961485567755E-2</v>
      </c>
      <c r="AJ192" cm="1">
        <f t="array" ref="AJ192">InterpolateXY(AI192,AG192,CD_CL,CD_M,CD_table)</f>
        <v>4.310320720082747E-2</v>
      </c>
      <c r="AK192" cm="1">
        <f t="array" ref="AK192">AJ192*S*Linterp(AH$90,atmos_h,atmos_qms)*AG192^2</f>
        <v>8968.6959269785857</v>
      </c>
      <c r="AL192" cm="1">
        <f t="array" ref="AL192">AG192*Linterp(AH$90,atmos_h,atmos_aspeed)</f>
        <v>1279.3506703623236</v>
      </c>
      <c r="AM192" s="162">
        <f t="shared" si="32"/>
        <v>-18901.876561630623</v>
      </c>
      <c r="AO192">
        <v>1.21</v>
      </c>
      <c r="AP192" cm="1">
        <f t="array" ref="AP192">numeng*InterpolateXY(AP$90,AO192,Tmax_h,Tmax_M,Tmax_table)</f>
        <v>5767.0904534129313</v>
      </c>
      <c r="AQ192" cm="1">
        <f t="array" ref="AQ192">1*AP$91/(S*Linterp(AP$90,atmos_h,atmos_qms)*AO192^2)</f>
        <v>5.9019573825074667E-2</v>
      </c>
      <c r="AR192" cm="1">
        <f t="array" ref="AR192">InterpolateXY(AQ192,AO192,CD_CL,CD_M,CD_table)</f>
        <v>4.3325146369957768E-2</v>
      </c>
      <c r="AS192" cm="1">
        <f t="array" ref="AS192">AR192*S*Linterp(AP$90,atmos_h,atmos_qms)*AO192^2</f>
        <v>7340.8097622607593</v>
      </c>
      <c r="AT192" cm="1">
        <f t="array" ref="AT192">AO192*Linterp(AP$90,atmos_h,atmos_aspeed)</f>
        <v>1254.5928400488954</v>
      </c>
      <c r="AU192" s="162">
        <f t="shared" si="33"/>
        <v>-11846.261862763087</v>
      </c>
      <c r="AW192">
        <v>1.21</v>
      </c>
      <c r="AX192" cm="1">
        <f t="array" ref="AX192">numeng*InterpolateXY(AX$90,AW192,Tmax_h,Tmax_M,Tmax_table)</f>
        <v>5067.2678086508477</v>
      </c>
      <c r="AY192" cm="1">
        <f t="array" ref="AY192">1*AX$91/(S*Linterp(AX$90,atmos_h,atmos_qms)*AW192^2)</f>
        <v>7.3087146233190334E-2</v>
      </c>
      <c r="AZ192" cm="1">
        <f t="array" ref="AZ192">InterpolateXY(AY192,AW192,CD_CL,CD_M,CD_table)</f>
        <v>4.3610014711222105E-2</v>
      </c>
      <c r="BA192" cm="1">
        <f t="array" ref="BA192">AZ192*S*Linterp(AX$90,atmos_h,atmos_qms)*AW192^2</f>
        <v>5966.85148604392</v>
      </c>
      <c r="BB192" cm="1">
        <f t="array" ref="BB192">AW192*Linterp(AX$90,atmos_h,atmos_aspeed)</f>
        <v>1229.3365083846563</v>
      </c>
      <c r="BC192" s="162">
        <f t="shared" si="34"/>
        <v>-6635.3463417973717</v>
      </c>
      <c r="BE192">
        <v>1.21</v>
      </c>
      <c r="BF192" cm="1">
        <f t="array" ref="BF192">numeng*InterpolateXY(BF$90,BE192,Tmax_h,Tmax_M,Tmax_table)</f>
        <v>4411.7068971249028</v>
      </c>
      <c r="BG192" cm="1">
        <f t="array" ref="BG192">1*BF$91/(S*Linterp(BF$90,atmos_h,atmos_qms)*BE192^2)</f>
        <v>9.1331988780847861E-2</v>
      </c>
      <c r="BH192" cm="1">
        <f t="array" ref="BH192">InterpolateXY(BG192,BE192,CD_CL,CD_M,CD_table)</f>
        <v>4.3979472772812174E-2</v>
      </c>
      <c r="BI192" cm="1">
        <f t="array" ref="BI192">BH192*S*Linterp(BF$90,atmos_h,atmos_qms)*BE192^2</f>
        <v>4815.3416300110812</v>
      </c>
      <c r="BJ192" cm="1">
        <f t="array" ref="BJ192">BE192*Linterp(BF$90,atmos_h,atmos_aspeed)</f>
        <v>1203.550292838984</v>
      </c>
      <c r="BK192" s="162">
        <f t="shared" si="35"/>
        <v>-2914.7682057908705</v>
      </c>
      <c r="BM192">
        <v>1.21</v>
      </c>
      <c r="BN192" cm="1">
        <f t="array" ref="BN192">numeng*InterpolateXY(BN$90,BM192,Tmax_h,Tmax_M,Tmax_table)</f>
        <v>3803.9679320221594</v>
      </c>
      <c r="BO192" cm="1">
        <f t="array" ref="BO192">1*BN$91/(S*Linterp(BN$90,atmos_h,atmos_qms)*BM192^2)</f>
        <v>0.11526316107132649</v>
      </c>
      <c r="BP192" cm="1">
        <f t="array" ref="BP192">InterpolateXY(BO192,BM192,CD_CL,CD_M,CD_table)</f>
        <v>4.5082237035083086E-2</v>
      </c>
      <c r="BQ192" cm="1">
        <f t="array" ref="BQ192">BP192*S*Linterp(BN$90,atmos_h,atmos_qms)*BM192^2</f>
        <v>3911.2442011880585</v>
      </c>
      <c r="BR192" cm="1">
        <f t="array" ref="BR192">BM192*Linterp(BN$90,atmos_h,atmos_aspeed)</f>
        <v>1177.1993730622819</v>
      </c>
      <c r="BS192" s="162">
        <f t="shared" si="36"/>
        <v>-757.71334083934198</v>
      </c>
      <c r="BU192">
        <v>1.21</v>
      </c>
      <c r="BV192" cm="1">
        <f t="array" ref="BV192">numeng*InterpolateXY(BV$90,BU192,Tmax_h,Tmax_M,Tmax_table)</f>
        <v>3141.122656824426</v>
      </c>
      <c r="BW192" cm="1">
        <f t="array" ref="BW192">1*BV$91/(S*Linterp(BV$90,atmos_h,atmos_qms)*BU192^2)</f>
        <v>0.14653703301567933</v>
      </c>
      <c r="BX192" cm="1">
        <f t="array" ref="BX192">InterpolateXY(BW192,BU192,CD_CL,CD_M,CD_table)</f>
        <v>4.6982124755702522E-2</v>
      </c>
      <c r="BY192" cm="1">
        <f t="array" ref="BY192">BX192*S*Linterp(BV$90,atmos_h,atmos_qms)*BU192^2</f>
        <v>3206.1605035141852</v>
      </c>
      <c r="BZ192" cm="1">
        <f t="array" ref="BZ192">BU192*Linterp(BV$90,atmos_h,atmos_aspeed)</f>
        <v>1171.4016176099349</v>
      </c>
      <c r="CA192" s="162">
        <f t="shared" si="37"/>
        <v>-457.11263290950478</v>
      </c>
      <c r="CC192">
        <v>1.21</v>
      </c>
      <c r="CD192" cm="1">
        <f t="array" ref="CD192">numeng*InterpolateXY(CD$90,CC192,Tmax_h,Tmax_M,Tmax_table)</f>
        <v>2376.4140003214711</v>
      </c>
      <c r="CE192" cm="1">
        <f t="array" ref="CE192">1*CD$91/(S*Linterp(CD$90,atmos_h,atmos_qms)*CC192^2)</f>
        <v>0.18634441995896364</v>
      </c>
      <c r="CF192" cm="1">
        <f t="array" ref="CF192">InterpolateXY(CE192,CC192,CD_CL,CD_M,CD_table)</f>
        <v>4.9400423512507043E-2</v>
      </c>
      <c r="CG192" cm="1">
        <f t="array" ref="CG192">CF192*S*Linterp(CD$90,atmos_h,atmos_qms)*CC192^2</f>
        <v>2651.0277862565399</v>
      </c>
      <c r="CH192" cm="1">
        <f t="array" ref="CH192">CC192*Linterp(CD$90,atmos_h,atmos_aspeed)</f>
        <v>1171.4016176099349</v>
      </c>
      <c r="CI192" s="162">
        <f t="shared" si="38"/>
        <v>-1930.0981983739678</v>
      </c>
      <c r="CK192">
        <v>1.21</v>
      </c>
      <c r="CL192" cm="1">
        <f t="array" ref="CL192">numeng*InterpolateXY(CL$90,CK192,Tmax_h,Tmax_M,Tmax_table)</f>
        <v>1721.4008929284294</v>
      </c>
      <c r="CM192" cm="1">
        <f t="array" ref="CM192">1*CL$91/(S*Linterp(CL$90,atmos_h,atmos_qms)*CK192^2)</f>
        <v>0.23696564708067447</v>
      </c>
      <c r="CN192" cm="1">
        <f t="array" ref="CN192">InterpolateXY(CM192,CK192,CD_CL,CD_M,CD_table)</f>
        <v>5.3972771766918289E-2</v>
      </c>
      <c r="CO192" cm="1">
        <f t="array" ref="CO192">CN192*S*Linterp(CL$90,atmos_h,atmos_qms)*CK192^2</f>
        <v>2277.6622869956914</v>
      </c>
      <c r="CP192" cm="1">
        <f t="array" ref="CP192">CK192*Linterp(CL$90,atmos_h,atmos_aspeed)</f>
        <v>1171.4016176099349</v>
      </c>
      <c r="CQ192" s="162">
        <f t="shared" si="39"/>
        <v>-3909.6329809460885</v>
      </c>
    </row>
    <row r="193" spans="9:95">
      <c r="I193">
        <v>1.22</v>
      </c>
      <c r="J193" cm="1">
        <f t="array" ref="J193">numeng*InterpolateXY(J$90,I193,Tmax_h,Tmax_M,Tmax_table)</f>
        <v>8428</v>
      </c>
      <c r="K193" cm="1">
        <f t="array" ref="K193">1*J$91/(S*Linterp(J$90,atmos_h,atmos_qms)*I193^2)</f>
        <v>2.6679185258095425E-2</v>
      </c>
      <c r="L193" cm="1">
        <f t="array" ref="L193">InterpolateXY(K193,I193,CD_CL,CD_M,CD_table)</f>
        <v>4.2806923297790962E-2</v>
      </c>
      <c r="M193" cm="1">
        <f t="array" ref="M193">L193*S*Linterp(J$90,atmos_h,atmos_qms)*I193^2</f>
        <v>16045.063926681123</v>
      </c>
      <c r="N193" cm="1">
        <f t="array" ref="N193">I193*Linterp(J$90,atmos_h,atmos_aspeed)</f>
        <v>1362.069</v>
      </c>
      <c r="O193" s="162">
        <f t="shared" si="40"/>
        <v>-62249.799873303782</v>
      </c>
      <c r="Q193">
        <v>1.22</v>
      </c>
      <c r="R193" cm="1">
        <f t="array" ref="R193">numeng*InterpolateXY(R$90,Q193,Tmax_h,Tmax_M,Tmax_table)</f>
        <v>7892.8793697152278</v>
      </c>
      <c r="S193" cm="1">
        <f t="array" ref="S193">1*R$91/(S*Linterp(R$90,atmos_h,atmos_qms)*Q193^2)</f>
        <v>3.206451431202044E-2</v>
      </c>
      <c r="T193" cm="1">
        <f t="array" ref="T193">InterpolateXY(S193,Q193,CD_CL,CD_M,CD_table)</f>
        <v>4.2917322543396419E-2</v>
      </c>
      <c r="U193" cm="1">
        <f t="array" ref="U193">T193*S*Linterp(R$90,atmos_h,atmos_qms)*Q193^2</f>
        <v>13384.678815268207</v>
      </c>
      <c r="V193" cm="1">
        <f t="array" ref="V193">Q193*Linterp(R$90,atmos_h,atmos_aspeed)</f>
        <v>1338.4527601717029</v>
      </c>
      <c r="W193" s="162">
        <f t="shared" si="30"/>
        <v>-44103.084757258883</v>
      </c>
      <c r="Y193">
        <v>1.22</v>
      </c>
      <c r="Z193" cm="1">
        <f t="array" ref="Z193">numeng*InterpolateXY(Z$90,Y193,Tmax_h,Tmax_M,Tmax_table)</f>
        <v>7304.9956265254586</v>
      </c>
      <c r="AA193" cm="1">
        <f t="array" ref="AA193">1*Z$91/(S*Linterp(Z$90,atmos_h,atmos_qms)*Y193^2)</f>
        <v>3.8794634127866073E-2</v>
      </c>
      <c r="AB193" cm="1">
        <f t="array" ref="AB193">InterpolateXY(AA193,Y193,CD_CL,CD_M,CD_table)</f>
        <v>4.3055289999621257E-2</v>
      </c>
      <c r="AC193" cm="1">
        <f t="array" ref="AC193">AB193*S*Linterp(Z$90,atmos_h,atmos_qms)*Y193^2</f>
        <v>11098.259067919593</v>
      </c>
      <c r="AD193" cm="1">
        <f t="array" ref="AD193">Y193*Linterp(Z$90,atmos_h,atmos_aspeed)</f>
        <v>1314.412272333723</v>
      </c>
      <c r="AE193" s="162">
        <f t="shared" si="31"/>
        <v>-29915.47211737981</v>
      </c>
      <c r="AG193">
        <v>1.22</v>
      </c>
      <c r="AH193" cm="1">
        <f t="array" ref="AH193">numeng*InterpolateXY(AH$90,AG193,Tmax_h,Tmax_M,Tmax_table)</f>
        <v>6531.4342227592206</v>
      </c>
      <c r="AI193" cm="1">
        <f t="array" ref="AI193">1*AH$91/(S*Linterp(AH$90,atmos_h,atmos_qms)*AG193^2)</f>
        <v>4.7274981261890281E-2</v>
      </c>
      <c r="AJ193" cm="1">
        <f t="array" ref="AJ193">InterpolateXY(AI193,AG193,CD_CL,CD_M,CD_table)</f>
        <v>4.3229137115868753E-2</v>
      </c>
      <c r="AK193" cm="1">
        <f t="array" ref="AK193">AJ193*S*Linterp(AH$90,atmos_h,atmos_qms)*AG193^2</f>
        <v>9144.1891592492284</v>
      </c>
      <c r="AL193" cm="1">
        <f t="array" ref="AL193">AG193*Linterp(AH$90,atmos_h,atmos_aspeed)</f>
        <v>1289.9238163983759</v>
      </c>
      <c r="AM193" s="162">
        <f t="shared" si="32"/>
        <v>-20221.528913945323</v>
      </c>
      <c r="AO193">
        <v>1.22</v>
      </c>
      <c r="AP193" cm="1">
        <f t="array" ref="AP193">numeng*InterpolateXY(AP$90,AO193,Tmax_h,Tmax_M,Tmax_table)</f>
        <v>5790.5339105406256</v>
      </c>
      <c r="AQ193" cm="1">
        <f t="array" ref="AQ193">1*AP$91/(S*Linterp(AP$90,atmos_h,atmos_qms)*AO193^2)</f>
        <v>5.8056005131209225E-2</v>
      </c>
      <c r="AR193" cm="1">
        <f t="array" ref="AR193">InterpolateXY(AQ193,AO193,CD_CL,CD_M,CD_table)</f>
        <v>4.3450148105189795E-2</v>
      </c>
      <c r="AS193" cm="1">
        <f t="array" ref="AS193">AR193*S*Linterp(AP$90,atmos_h,atmos_qms)*AO193^2</f>
        <v>7484.1780806292945</v>
      </c>
      <c r="AT193" cm="1">
        <f t="array" ref="AT193">AO193*Linterp(AP$90,atmos_h,atmos_aspeed)</f>
        <v>1264.9613759170682</v>
      </c>
      <c r="AU193" s="162">
        <f t="shared" si="33"/>
        <v>-12854.366758255705</v>
      </c>
      <c r="AW193">
        <v>1.22</v>
      </c>
      <c r="AX193" cm="1">
        <f t="array" ref="AX193">numeng*InterpolateXY(AX$90,AW193,Tmax_h,Tmax_M,Tmax_table)</f>
        <v>5088.7772581392837</v>
      </c>
      <c r="AY193" cm="1">
        <f t="array" ref="AY193">1*AX$91/(S*Linterp(AX$90,atmos_h,atmos_qms)*AW193^2)</f>
        <v>7.1893906745507913E-2</v>
      </c>
      <c r="AZ193" cm="1">
        <f t="array" ref="AZ193">InterpolateXY(AY193,AW193,CD_CL,CD_M,CD_table)</f>
        <v>4.3733825088282913E-2</v>
      </c>
      <c r="BA193" cm="1">
        <f t="array" ref="BA193">AZ193*S*Linterp(AX$90,atmos_h,atmos_qms)*AW193^2</f>
        <v>6083.105935958265</v>
      </c>
      <c r="BB193" cm="1">
        <f t="array" ref="BB193">AW193*Linterp(AX$90,atmos_h,atmos_aspeed)</f>
        <v>1239.496314239075</v>
      </c>
      <c r="BC193" s="162">
        <f t="shared" si="34"/>
        <v>-7394.8003877930387</v>
      </c>
      <c r="BE193">
        <v>1.22</v>
      </c>
      <c r="BF193" cm="1">
        <f t="array" ref="BF193">numeng*InterpolateXY(BF$90,BE193,Tmax_h,Tmax_M,Tmax_table)</f>
        <v>4431.1615069154814</v>
      </c>
      <c r="BG193" cm="1">
        <f t="array" ref="BG193">1*BF$91/(S*Linterp(BF$90,atmos_h,atmos_qms)*BE193^2)</f>
        <v>8.9840879316070515E-2</v>
      </c>
      <c r="BH193" cm="1">
        <f t="array" ref="BH193">InterpolateXY(BG193,BE193,CD_CL,CD_M,CD_table)</f>
        <v>4.4101738025979449E-2</v>
      </c>
      <c r="BI193" cm="1">
        <f t="array" ref="BI193">BH193*S*Linterp(BF$90,atmos_h,atmos_qms)*BE193^2</f>
        <v>4908.8720370628243</v>
      </c>
      <c r="BJ193" cm="1">
        <f t="array" ref="BJ193">BE193*Linterp(BF$90,atmos_h,atmos_aspeed)</f>
        <v>1213.4969894740168</v>
      </c>
      <c r="BK193" s="162">
        <f t="shared" si="35"/>
        <v>-3478.201741043023</v>
      </c>
      <c r="BM193">
        <v>1.22</v>
      </c>
      <c r="BN193" cm="1">
        <f t="array" ref="BN193">numeng*InterpolateXY(BN$90,BM193,Tmax_h,Tmax_M,Tmax_table)</f>
        <v>3821.3206694116384</v>
      </c>
      <c r="BO193" cm="1">
        <f t="array" ref="BO193">1*BN$91/(S*Linterp(BN$90,atmos_h,atmos_qms)*BM193^2)</f>
        <v>0.1133813451521964</v>
      </c>
      <c r="BP193" cm="1">
        <f t="array" ref="BP193">InterpolateXY(BO193,BM193,CD_CL,CD_M,CD_table)</f>
        <v>4.5132952726860083E-2</v>
      </c>
      <c r="BQ193" cm="1">
        <f t="array" ref="BQ193">BP193*S*Linterp(BN$90,atmos_h,atmos_qms)*BM193^2</f>
        <v>3980.6330279708959</v>
      </c>
      <c r="BR193" cm="1">
        <f t="array" ref="BR193">BM193*Linterp(BN$90,atmos_h,atmos_aspeed)</f>
        <v>1186.9282935008132</v>
      </c>
      <c r="BS193" s="162">
        <f t="shared" si="36"/>
        <v>-1134.5540752699751</v>
      </c>
      <c r="BU193">
        <v>1.22</v>
      </c>
      <c r="BV193" cm="1">
        <f t="array" ref="BV193">numeng*InterpolateXY(BV$90,BU193,Tmax_h,Tmax_M,Tmax_table)</f>
        <v>3155.8928260571424</v>
      </c>
      <c r="BW193" cm="1">
        <f t="array" ref="BW193">1*BV$91/(S*Linterp(BV$90,atmos_h,atmos_qms)*BU193^2)</f>
        <v>0.1441446318451062</v>
      </c>
      <c r="BX193" cm="1">
        <f t="array" ref="BX193">InterpolateXY(BW193,BU193,CD_CL,CD_M,CD_table)</f>
        <v>4.7024894858474033E-2</v>
      </c>
      <c r="BY193" cm="1">
        <f t="array" ref="BY193">BX193*S*Linterp(BV$90,atmos_h,atmos_qms)*BU193^2</f>
        <v>3262.3410429190085</v>
      </c>
      <c r="BZ193" cm="1">
        <f t="array" ref="BZ193">BU193*Linterp(BV$90,atmos_h,atmos_aspeed)</f>
        <v>1181.0826227141492</v>
      </c>
      <c r="CA193" s="162">
        <f t="shared" si="37"/>
        <v>-754.34483492674372</v>
      </c>
      <c r="CC193">
        <v>1.22</v>
      </c>
      <c r="CD193" cm="1">
        <f t="array" ref="CD193">numeng*InterpolateXY(CD$90,CC193,Tmax_h,Tmax_M,Tmax_table)</f>
        <v>2387.2545985634065</v>
      </c>
      <c r="CE193" cm="1">
        <f t="array" ref="CE193">1*CD$91/(S*Linterp(CD$90,atmos_h,atmos_qms)*CC193^2)</f>
        <v>0.18330211318322942</v>
      </c>
      <c r="CF193" cm="1">
        <f t="array" ref="CF193">InterpolateXY(CE193,CC193,CD_CL,CD_M,CD_table)</f>
        <v>4.9433079960768608E-2</v>
      </c>
      <c r="CG193" cm="1">
        <f t="array" ref="CG193">CF193*S*Linterp(CD$90,atmos_h,atmos_qms)*CC193^2</f>
        <v>2696.8090603164587</v>
      </c>
      <c r="CH193" cm="1">
        <f t="array" ref="CH193">CC193*Linterp(CD$90,atmos_h,atmos_aspeed)</f>
        <v>1181.0826227141492</v>
      </c>
      <c r="CI193" s="162">
        <f t="shared" si="38"/>
        <v>-2193.6563733609701</v>
      </c>
      <c r="CK193">
        <v>1.22</v>
      </c>
      <c r="CL193" cm="1">
        <f t="array" ref="CL193">numeng*InterpolateXY(CL$90,CK193,Tmax_h,Tmax_M,Tmax_table)</f>
        <v>1728.7078652365799</v>
      </c>
      <c r="CM193" cm="1">
        <f t="array" ref="CM193">1*CL$91/(S*Linterp(CL$90,atmos_h,atmos_qms)*CK193^2)</f>
        <v>0.23309688517254468</v>
      </c>
      <c r="CN193" cm="1">
        <f t="array" ref="CN193">InterpolateXY(CM193,CK193,CD_CL,CD_M,CD_table)</f>
        <v>5.3852430730185828E-2</v>
      </c>
      <c r="CO193" cm="1">
        <f t="array" ref="CO193">CN193*S*Linterp(CL$90,atmos_h,atmos_qms)*CK193^2</f>
        <v>2310.3024602976907</v>
      </c>
      <c r="CP193" cm="1">
        <f t="array" ref="CP193">CK193*Linterp(CL$90,atmos_h,atmos_aspeed)</f>
        <v>1181.0826227141492</v>
      </c>
      <c r="CQ193" s="162">
        <f t="shared" si="39"/>
        <v>-4121.4676181469013</v>
      </c>
    </row>
    <row r="194" spans="9:95">
      <c r="I194">
        <v>1.23</v>
      </c>
      <c r="J194" cm="1">
        <f t="array" ref="J194">numeng*InterpolateXY(J$90,I194,Tmax_h,Tmax_M,Tmax_table)</f>
        <v>8452</v>
      </c>
      <c r="K194" cm="1">
        <f t="array" ref="K194">1*J$91/(S*Linterp(J$90,atmos_h,atmos_qms)*I194^2)</f>
        <v>2.6247140814428731E-2</v>
      </c>
      <c r="L194" cm="1">
        <f t="array" ref="L194">InterpolateXY(K194,I194,CD_CL,CD_M,CD_table)</f>
        <v>4.2934628171899393E-2</v>
      </c>
      <c r="M194" cm="1">
        <f t="array" ref="M194">L194*S*Linterp(J$90,atmos_h,atmos_qms)*I194^2</f>
        <v>16357.830544459579</v>
      </c>
      <c r="N194" cm="1">
        <f t="array" ref="N194">I194*Linterp(J$90,atmos_h,atmos_aspeed)</f>
        <v>1373.2335</v>
      </c>
      <c r="O194" s="162">
        <f t="shared" si="40"/>
        <v>-65139.308093850806</v>
      </c>
      <c r="Q194">
        <v>1.23</v>
      </c>
      <c r="R194" cm="1">
        <f t="array" ref="R194">numeng*InterpolateXY(R$90,Q194,Tmax_h,Tmax_M,Tmax_table)</f>
        <v>7918.7294113190983</v>
      </c>
      <c r="S194" cm="1">
        <f t="array" ref="S194">1*R$91/(S*Linterp(R$90,atmos_h,atmos_qms)*Q194^2)</f>
        <v>3.1545259502948786E-2</v>
      </c>
      <c r="T194" cm="1">
        <f t="array" ref="T194">InterpolateXY(S194,Q194,CD_CL,CD_M,CD_table)</f>
        <v>4.3044564134686186E-2</v>
      </c>
      <c r="U194" cm="1">
        <f t="array" ref="U194">T194*S*Linterp(R$90,atmos_h,atmos_qms)*Q194^2</f>
        <v>13645.335246223751</v>
      </c>
      <c r="V194" cm="1">
        <f t="array" ref="V194">Q194*Linterp(R$90,atmos_h,atmos_aspeed)</f>
        <v>1349.4236844354054</v>
      </c>
      <c r="W194" s="162">
        <f t="shared" si="30"/>
        <v>-46365.705270277962</v>
      </c>
      <c r="Y194">
        <v>1.23</v>
      </c>
      <c r="Z194" cm="1">
        <f t="array" ref="Z194">numeng*InterpolateXY(Z$90,Y194,Tmax_h,Tmax_M,Tmax_table)</f>
        <v>7331.5807298973668</v>
      </c>
      <c r="AA194" cm="1">
        <f t="array" ref="AA194">1*Z$91/(S*Linterp(Z$90,atmos_h,atmos_qms)*Y194^2)</f>
        <v>3.8166391325213739E-2</v>
      </c>
      <c r="AB194" cm="1">
        <f t="array" ref="AB194">InterpolateXY(AA194,Y194,CD_CL,CD_M,CD_table)</f>
        <v>4.3181952619998187E-2</v>
      </c>
      <c r="AC194" cm="1">
        <f t="array" ref="AC194">AB194*S*Linterp(Z$90,atmos_h,atmos_qms)*Y194^2</f>
        <v>11314.130343643737</v>
      </c>
      <c r="AD194" cm="1">
        <f t="array" ref="AD194">Y194*Linterp(Z$90,atmos_h,atmos_aspeed)</f>
        <v>1325.1861434184257</v>
      </c>
      <c r="AE194" s="162">
        <f t="shared" si="31"/>
        <v>-31665.717381678562</v>
      </c>
      <c r="AG194">
        <v>1.23</v>
      </c>
      <c r="AH194" cm="1">
        <f t="array" ref="AH194">numeng*InterpolateXY(AH$90,AG194,Tmax_h,Tmax_M,Tmax_table)</f>
        <v>6556.6035261224542</v>
      </c>
      <c r="AI194" cm="1">
        <f t="array" ref="AI194">1*AH$91/(S*Linterp(AH$90,atmos_h,atmos_qms)*AG194^2)</f>
        <v>4.6509407171787621E-2</v>
      </c>
      <c r="AJ194" cm="1">
        <f t="array" ref="AJ194">InterpolateXY(AI194,AG194,CD_CL,CD_M,CD_table)</f>
        <v>4.3355070198814599E-2</v>
      </c>
      <c r="AK194" cm="1">
        <f t="array" ref="AK194">AJ194*S*Linterp(AH$90,atmos_h,atmos_qms)*AG194^2</f>
        <v>9321.7851688966639</v>
      </c>
      <c r="AL194" cm="1">
        <f t="array" ref="AL194">AG194*Linterp(AH$90,atmos_h,atmos_aspeed)</f>
        <v>1300.4969624344283</v>
      </c>
      <c r="AM194" s="162">
        <f t="shared" si="32"/>
        <v>-21576.661962043814</v>
      </c>
      <c r="AO194">
        <v>1.23</v>
      </c>
      <c r="AP194" cm="1">
        <f t="array" ref="AP194">numeng*InterpolateXY(AP$90,AO194,Tmax_h,Tmax_M,Tmax_table)</f>
        <v>5813.9773676683208</v>
      </c>
      <c r="AQ194" cm="1">
        <f t="array" ref="AQ194">1*AP$91/(S*Linterp(AP$90,atmos_h,atmos_qms)*AO194^2)</f>
        <v>5.7115842446488083E-2</v>
      </c>
      <c r="AR194" cm="1">
        <f t="array" ref="AR194">InterpolateXY(AQ194,AO194,CD_CL,CD_M,CD_table)</f>
        <v>4.3575153730764628E-2</v>
      </c>
      <c r="AS194" cm="1">
        <f t="array" ref="AS194">AR194*S*Linterp(AP$90,atmos_h,atmos_qms)*AO194^2</f>
        <v>7629.2586897567444</v>
      </c>
      <c r="AT194" cm="1">
        <f t="array" ref="AT194">AO194*Linterp(AP$90,atmos_h,atmos_aspeed)</f>
        <v>1275.3299117852407</v>
      </c>
      <c r="AU194" s="162">
        <f t="shared" si="33"/>
        <v>-13890.495410186548</v>
      </c>
      <c r="AW194">
        <v>1.23</v>
      </c>
      <c r="AX194" cm="1">
        <f t="array" ref="AX194">numeng*InterpolateXY(AX$90,AW194,Tmax_h,Tmax_M,Tmax_table)</f>
        <v>5110.2867076277198</v>
      </c>
      <c r="AY194" cm="1">
        <f t="array" ref="AY194">1*AX$91/(S*Linterp(AX$90,atmos_h,atmos_qms)*AW194^2)</f>
        <v>7.0729652191165296E-2</v>
      </c>
      <c r="AZ194" cm="1">
        <f t="array" ref="AZ194">InterpolateXY(AY194,AW194,CD_CL,CD_M,CD_table)</f>
        <v>4.3857640282966681E-2</v>
      </c>
      <c r="BA194" cm="1">
        <f t="array" ref="BA194">AZ194*S*Linterp(AX$90,atmos_h,atmos_qms)*AW194^2</f>
        <v>6200.743100564102</v>
      </c>
      <c r="BB194" cm="1">
        <f t="array" ref="BB194">AW194*Linterp(AX$90,atmos_h,atmos_aspeed)</f>
        <v>1249.6561200934937</v>
      </c>
      <c r="BC194" s="162">
        <f t="shared" si="34"/>
        <v>-8176.1730307681528</v>
      </c>
      <c r="BE194">
        <v>1.23</v>
      </c>
      <c r="BF194" cm="1">
        <f t="array" ref="BF194">numeng*InterpolateXY(BF$90,BE194,Tmax_h,Tmax_M,Tmax_table)</f>
        <v>4450.6161167060591</v>
      </c>
      <c r="BG194" cm="1">
        <f t="array" ref="BG194">1*BF$91/(S*Linterp(BF$90,atmos_h,atmos_qms)*BE194^2)</f>
        <v>8.8385990332500081E-2</v>
      </c>
      <c r="BH194" cm="1">
        <f t="array" ref="BH194">InterpolateXY(BG194,BE194,CD_CL,CD_M,CD_table)</f>
        <v>4.4224009299399382E-2</v>
      </c>
      <c r="BI194" cm="1">
        <f t="array" ref="BI194">BH194*S*Linterp(BF$90,atmos_h,atmos_qms)*BE194^2</f>
        <v>5003.5089422014353</v>
      </c>
      <c r="BJ194" cm="1">
        <f t="array" ref="BJ194">BE194*Linterp(BF$90,atmos_h,atmos_aspeed)</f>
        <v>1223.4436861090498</v>
      </c>
      <c r="BK194" s="162">
        <f t="shared" si="35"/>
        <v>-4058.5994186838643</v>
      </c>
      <c r="BM194">
        <v>1.23</v>
      </c>
      <c r="BN194" cm="1">
        <f t="array" ref="BN194">numeng*InterpolateXY(BN$90,BM194,Tmax_h,Tmax_M,Tmax_table)</f>
        <v>3838.6734068011169</v>
      </c>
      <c r="BO194" cm="1">
        <f t="array" ref="BO194">1*BN$91/(S*Linterp(BN$90,atmos_h,atmos_qms)*BM194^2)</f>
        <v>0.11154524034934836</v>
      </c>
      <c r="BP194" cm="1">
        <f t="array" ref="BP194">InterpolateXY(BO194,BM194,CD_CL,CD_M,CD_table)</f>
        <v>4.5183691211746937E-2</v>
      </c>
      <c r="BQ194" cm="1">
        <f t="array" ref="BQ194">BP194*S*Linterp(BN$90,atmos_h,atmos_qms)*BM194^2</f>
        <v>4050.7054420463132</v>
      </c>
      <c r="BR194" cm="1">
        <f t="array" ref="BR194">BM194*Linterp(BN$90,atmos_h,atmos_aspeed)</f>
        <v>1196.6572139393445</v>
      </c>
      <c r="BS194" s="162">
        <f t="shared" si="36"/>
        <v>-1522.3779873744331</v>
      </c>
      <c r="BU194">
        <v>1.23</v>
      </c>
      <c r="BV194" cm="1">
        <f t="array" ref="BV194">numeng*InterpolateXY(BV$90,BU194,Tmax_h,Tmax_M,Tmax_table)</f>
        <v>3170.6629952898593</v>
      </c>
      <c r="BW194" cm="1">
        <f t="array" ref="BW194">1*BV$91/(S*Linterp(BV$90,atmos_h,atmos_qms)*BU194^2)</f>
        <v>0.141810344397023</v>
      </c>
      <c r="BX194" cm="1">
        <f t="array" ref="BX194">InterpolateXY(BW194,BU194,CD_CL,CD_M,CD_table)</f>
        <v>4.7067693938714683E-2</v>
      </c>
      <c r="BY194" cm="1">
        <f t="array" ref="BY194">BX194*S*Linterp(BV$90,atmos_h,atmos_qms)*BU194^2</f>
        <v>3319.059278703985</v>
      </c>
      <c r="BZ194" cm="1">
        <f t="array" ref="BZ194">BU194*Linterp(BV$90,atmos_h,atmos_aspeed)</f>
        <v>1190.7636278183636</v>
      </c>
      <c r="CA194" s="162">
        <f t="shared" si="37"/>
        <v>-1060.2293807577985</v>
      </c>
      <c r="CC194">
        <v>1.23</v>
      </c>
      <c r="CD194" cm="1">
        <f t="array" ref="CD194">numeng*InterpolateXY(CD$90,CC194,Tmax_h,Tmax_M,Tmax_table)</f>
        <v>2398.0951968053423</v>
      </c>
      <c r="CE194" cm="1">
        <f t="array" ref="CE194">1*CD$91/(S*Linterp(CD$90,atmos_h,atmos_qms)*CC194^2)</f>
        <v>0.18033370696141099</v>
      </c>
      <c r="CF194" cm="1">
        <f t="array" ref="CF194">InterpolateXY(CE194,CC194,CD_CL,CD_M,CD_table)</f>
        <v>4.9465773258347834E-2</v>
      </c>
      <c r="CG194" cm="1">
        <f t="array" ref="CG194">CF194*S*Linterp(CD$90,atmos_h,atmos_qms)*CC194^2</f>
        <v>2743.0131666362772</v>
      </c>
      <c r="CH194" cm="1">
        <f t="array" ref="CH194">CC194*Linterp(CD$90,atmos_h,atmos_aspeed)</f>
        <v>1190.7636278183636</v>
      </c>
      <c r="CI194" s="162">
        <f t="shared" si="38"/>
        <v>-2464.2946383337735</v>
      </c>
      <c r="CK194">
        <v>1.23</v>
      </c>
      <c r="CL194" cm="1">
        <f t="array" ref="CL194">numeng*InterpolateXY(CL$90,CK194,Tmax_h,Tmax_M,Tmax_table)</f>
        <v>1736.0148375447302</v>
      </c>
      <c r="CM194" cm="1">
        <f t="array" ref="CM194">1*CL$91/(S*Linterp(CL$90,atmos_h,atmos_qms)*CK194^2)</f>
        <v>0.22932209920736035</v>
      </c>
      <c r="CN194" cm="1">
        <f t="array" ref="CN194">InterpolateXY(CM194,CK194,CD_CL,CD_M,CD_table)</f>
        <v>5.3732167792763637E-2</v>
      </c>
      <c r="CO194" cm="1">
        <f t="array" ref="CO194">CN194*S*Linterp(CL$90,atmos_h,atmos_qms)*CK194^2</f>
        <v>2343.0872113279106</v>
      </c>
      <c r="CP194" cm="1">
        <f t="array" ref="CP194">CK194*Linterp(CL$90,atmos_h,atmos_aspeed)</f>
        <v>1190.7636278183636</v>
      </c>
      <c r="CQ194" s="162">
        <f t="shared" si="39"/>
        <v>-4337.2782129261932</v>
      </c>
    </row>
    <row r="195" spans="9:95">
      <c r="I195">
        <v>1.24</v>
      </c>
      <c r="J195" cm="1">
        <f t="array" ref="J195">numeng*InterpolateXY(J$90,I195,Tmax_h,Tmax_M,Tmax_table)</f>
        <v>8476</v>
      </c>
      <c r="K195" cm="1">
        <f t="array" ref="K195">1*J$91/(S*Linterp(J$90,atmos_h,atmos_qms)*I195^2)</f>
        <v>2.5825506853635032E-2</v>
      </c>
      <c r="L195" cm="1">
        <f t="array" ref="L195">InterpolateXY(K195,I195,CD_CL,CD_M,CD_table)</f>
        <v>4.3062335643926336E-2</v>
      </c>
      <c r="M195" cm="1">
        <f t="array" ref="M195">L195*S*Linterp(J$90,atmos_h,atmos_qms)*I195^2</f>
        <v>16674.342884335361</v>
      </c>
      <c r="N195" cm="1">
        <f t="array" ref="N195">I195*Linterp(J$90,atmos_h,atmos_aspeed)</f>
        <v>1384.3980000000001</v>
      </c>
      <c r="O195" s="162">
        <f t="shared" si="40"/>
        <v>-68098.616954328638</v>
      </c>
      <c r="Q195">
        <v>1.24</v>
      </c>
      <c r="R195" cm="1">
        <f t="array" ref="R195">numeng*InterpolateXY(R$90,Q195,Tmax_h,Tmax_M,Tmax_table)</f>
        <v>7944.5794529229688</v>
      </c>
      <c r="S195" cm="1">
        <f t="array" ref="S195">1*R$91/(S*Linterp(R$90,atmos_h,atmos_qms)*Q195^2)</f>
        <v>3.1038516585595224E-2</v>
      </c>
      <c r="T195" cm="1">
        <f t="array" ref="T195">InterpolateXY(S195,Q195,CD_CL,CD_M,CD_table)</f>
        <v>4.3171808848297501E-2</v>
      </c>
      <c r="U195" cm="1">
        <f t="array" ref="U195">T195*S*Linterp(R$90,atmos_h,atmos_qms)*Q195^2</f>
        <v>13909.108294284033</v>
      </c>
      <c r="V195" cm="1">
        <f t="array" ref="V195">Q195*Linterp(R$90,atmos_h,atmos_aspeed)</f>
        <v>1360.3946086991079</v>
      </c>
      <c r="W195" s="162">
        <f t="shared" si="30"/>
        <v>-48684.677275307571</v>
      </c>
      <c r="Y195">
        <v>1.24</v>
      </c>
      <c r="Z195" cm="1">
        <f t="array" ref="Z195">numeng*InterpolateXY(Z$90,Y195,Tmax_h,Tmax_M,Tmax_table)</f>
        <v>7358.165833269275</v>
      </c>
      <c r="AA195" cm="1">
        <f t="array" ref="AA195">1*Z$91/(S*Linterp(Z$90,atmos_h,atmos_qms)*Y195^2)</f>
        <v>3.7553286573826651E-2</v>
      </c>
      <c r="AB195" cm="1">
        <f t="array" ref="AB195">InterpolateXY(AA195,Y195,CD_CL,CD_M,CD_table)</f>
        <v>4.3308619018050359E-2</v>
      </c>
      <c r="AC195" cm="1">
        <f t="array" ref="AC195">AB195*S*Linterp(Z$90,atmos_h,atmos_qms)*Y195^2</f>
        <v>11532.577563593322</v>
      </c>
      <c r="AD195" cm="1">
        <f t="array" ref="AD195">Y195*Linterp(Z$90,atmos_h,atmos_aspeed)</f>
        <v>1335.9600145031284</v>
      </c>
      <c r="AE195" s="162">
        <f t="shared" si="31"/>
        <v>-33461.082934714461</v>
      </c>
      <c r="AG195">
        <v>1.24</v>
      </c>
      <c r="AH195" cm="1">
        <f t="array" ref="AH195">numeng*InterpolateXY(AH$90,AG195,Tmax_h,Tmax_M,Tmax_table)</f>
        <v>6581.7728294856879</v>
      </c>
      <c r="AI195" cm="1">
        <f t="array" ref="AI195">1*AH$91/(S*Linterp(AH$90,atmos_h,atmos_qms)*AG195^2)</f>
        <v>4.5762280248567565E-2</v>
      </c>
      <c r="AJ195" cm="1">
        <f t="array" ref="AJ195">InterpolateXY(AI195,AG195,CD_CL,CD_M,CD_table)</f>
        <v>4.348100788521992E-2</v>
      </c>
      <c r="AK195" cm="1">
        <f t="array" ref="AK195">AJ195*S*Linterp(AH$90,atmos_h,atmos_qms)*AG195^2</f>
        <v>9501.4950411219834</v>
      </c>
      <c r="AL195" cm="1">
        <f t="array" ref="AL195">AG195*Linterp(AH$90,atmos_h,atmos_aspeed)</f>
        <v>1311.0701084704806</v>
      </c>
      <c r="AM195" s="162">
        <f t="shared" si="32"/>
        <v>-22967.763100282016</v>
      </c>
      <c r="AO195">
        <v>1.24</v>
      </c>
      <c r="AP195" cm="1">
        <f t="array" ref="AP195">numeng*InterpolateXY(AP$90,AO195,Tmax_h,Tmax_M,Tmax_table)</f>
        <v>5837.420824796015</v>
      </c>
      <c r="AQ195" cm="1">
        <f t="array" ref="AQ195">1*AP$91/(S*Linterp(AP$90,atmos_h,atmos_qms)*AO195^2)</f>
        <v>5.6198333791162729E-2</v>
      </c>
      <c r="AR195" cm="1">
        <f t="array" ref="AR195">InterpolateXY(AQ195,AO195,CD_CL,CD_M,CD_table)</f>
        <v>4.370016500961442E-2</v>
      </c>
      <c r="AS195" cm="1">
        <f t="array" ref="AS195">AR195*S*Linterp(AP$90,atmos_h,atmos_qms)*AO195^2</f>
        <v>7776.0606163178336</v>
      </c>
      <c r="AT195" cm="1">
        <f t="array" ref="AT195">AO195*Linterp(AP$90,atmos_h,atmos_aspeed)</f>
        <v>1285.6984476534135</v>
      </c>
      <c r="AU195" s="162">
        <f t="shared" si="33"/>
        <v>-14955.037023112434</v>
      </c>
      <c r="AW195">
        <v>1.24</v>
      </c>
      <c r="AX195" cm="1">
        <f t="array" ref="AX195">numeng*InterpolateXY(AX$90,AW195,Tmax_h,Tmax_M,Tmax_table)</f>
        <v>5131.7961571161568</v>
      </c>
      <c r="AY195" cm="1">
        <f t="array" ref="AY195">1*AX$91/(S*Linterp(AX$90,atmos_h,atmos_qms)*AW195^2)</f>
        <v>6.9593451352766622E-2</v>
      </c>
      <c r="AZ195" cm="1">
        <f t="array" ref="AZ195">InterpolateXY(AY195,AW195,CD_CL,CD_M,CD_table)</f>
        <v>4.3981462478408104E-2</v>
      </c>
      <c r="BA195" cm="1">
        <f t="array" ref="BA195">AZ195*S*Linterp(AX$90,atmos_h,atmos_qms)*AW195^2</f>
        <v>6319.7702691116292</v>
      </c>
      <c r="BB195" cm="1">
        <f t="array" ref="BB195">AW195*Linterp(AX$90,atmos_h,atmos_aspeed)</f>
        <v>1259.8159259479123</v>
      </c>
      <c r="BC195" s="162">
        <f t="shared" si="34"/>
        <v>-8979.7722354343496</v>
      </c>
      <c r="BE195">
        <v>1.24</v>
      </c>
      <c r="BF195" cm="1">
        <f t="array" ref="BF195">numeng*InterpolateXY(BF$90,BE195,Tmax_h,Tmax_M,Tmax_table)</f>
        <v>4470.0707264966368</v>
      </c>
      <c r="BG195" cm="1">
        <f t="array" ref="BG195">1*BF$91/(S*Linterp(BF$90,atmos_h,atmos_qms)*BE195^2)</f>
        <v>8.6966158151690523E-2</v>
      </c>
      <c r="BH195" cm="1">
        <f t="array" ref="BH195">InterpolateXY(BG195,BE195,CD_CL,CD_M,CD_table)</f>
        <v>4.4346289321185499E-2</v>
      </c>
      <c r="BI195" cm="1">
        <f t="array" ref="BI195">BH195*S*Linterp(BF$90,atmos_h,atmos_qms)*BE195^2</f>
        <v>5099.2581785474058</v>
      </c>
      <c r="BJ195" cm="1">
        <f t="array" ref="BJ195">BE195*Linterp(BF$90,atmos_h,atmos_aspeed)</f>
        <v>1233.3903827440827</v>
      </c>
      <c r="BK195" s="162">
        <f t="shared" si="35"/>
        <v>-4656.2025138160325</v>
      </c>
      <c r="BM195">
        <v>1.24</v>
      </c>
      <c r="BN195" cm="1">
        <f t="array" ref="BN195">numeng*InterpolateXY(BN$90,BM195,Tmax_h,Tmax_M,Tmax_table)</f>
        <v>3856.0261441905959</v>
      </c>
      <c r="BO195" cm="1">
        <f t="array" ref="BO195">1*BN$91/(S*Linterp(BN$90,atmos_h,atmos_qms)*BM195^2)</f>
        <v>0.1097533780726646</v>
      </c>
      <c r="BP195" cm="1">
        <f t="array" ref="BP195">InterpolateXY(BO195,BM195,CD_CL,CD_M,CD_table)</f>
        <v>4.5234462818577875E-2</v>
      </c>
      <c r="BQ195" cm="1">
        <f t="array" ref="BQ195">BP195*S*Linterp(BN$90,atmos_h,atmos_qms)*BM195^2</f>
        <v>4121.4642877442393</v>
      </c>
      <c r="BR195" cm="1">
        <f t="array" ref="BR195">BM195*Linterp(BN$90,atmos_h,atmos_aspeed)</f>
        <v>1206.3861343778758</v>
      </c>
      <c r="BS195" s="162">
        <f t="shared" si="36"/>
        <v>-1921.3253755087171</v>
      </c>
      <c r="BU195">
        <v>1.24</v>
      </c>
      <c r="BV195" cm="1">
        <f t="array" ref="BV195">numeng*InterpolateXY(BV$90,BU195,Tmax_h,Tmax_M,Tmax_table)</f>
        <v>3185.4331645225761</v>
      </c>
      <c r="BW195" cm="1">
        <f t="array" ref="BW195">1*BV$91/(S*Linterp(BV$90,atmos_h,atmos_qms)*BU195^2)</f>
        <v>0.13953230361489077</v>
      </c>
      <c r="BX195" cm="1">
        <f t="array" ref="BX195">InterpolateXY(BW195,BU195,CD_CL,CD_M,CD_table)</f>
        <v>4.7110535127738121E-2</v>
      </c>
      <c r="BY195" cm="1">
        <f t="array" ref="BY195">BX195*S*Linterp(BV$90,atmos_h,atmos_qms)*BU195^2</f>
        <v>3376.3174481633455</v>
      </c>
      <c r="BZ195" cm="1">
        <f t="array" ref="BZ195">BU195*Linterp(BV$90,atmos_h,atmos_aspeed)</f>
        <v>1200.444632922578</v>
      </c>
      <c r="CA195" s="162">
        <f t="shared" si="37"/>
        <v>-1374.8760828349957</v>
      </c>
      <c r="CC195">
        <v>1.24</v>
      </c>
      <c r="CD195" cm="1">
        <f t="array" ref="CD195">numeng*InterpolateXY(CD$90,CC195,Tmax_h,Tmax_M,Tmax_table)</f>
        <v>2408.9357950472781</v>
      </c>
      <c r="CE195" cm="1">
        <f t="array" ref="CE195">1*CD$91/(S*Linterp(CD$90,atmos_h,atmos_qms)*CC195^2)</f>
        <v>0.17743682704339142</v>
      </c>
      <c r="CF195" cm="1">
        <f t="array" ref="CF195">InterpolateXY(CE195,CC195,CD_CL,CD_M,CD_table)</f>
        <v>4.9498520103733658E-2</v>
      </c>
      <c r="CG195" cm="1">
        <f t="array" ref="CG195">CF195*S*Linterp(CD$90,atmos_h,atmos_qms)*CC195^2</f>
        <v>2789.6418645735257</v>
      </c>
      <c r="CH195" cm="1">
        <f t="array" ref="CH195">CC195*Linterp(CD$90,atmos_h,atmos_aspeed)</f>
        <v>1200.444632922578</v>
      </c>
      <c r="CI195" s="162">
        <f t="shared" si="38"/>
        <v>-2742.0993473030021</v>
      </c>
      <c r="CK195">
        <v>1.24</v>
      </c>
      <c r="CL195" cm="1">
        <f t="array" ref="CL195">numeng*InterpolateXY(CL$90,CK195,Tmax_h,Tmax_M,Tmax_table)</f>
        <v>1743.3218098528807</v>
      </c>
      <c r="CM195" cm="1">
        <f t="array" ref="CM195">1*CL$91/(S*Linterp(CL$90,atmos_h,atmos_qms)*CK195^2)</f>
        <v>0.22563826996020775</v>
      </c>
      <c r="CN195" cm="1">
        <f t="array" ref="CN195">InterpolateXY(CM195,CK195,CD_CL,CD_M,CD_table)</f>
        <v>5.3612018345821813E-2</v>
      </c>
      <c r="CO195" cm="1">
        <f t="array" ref="CO195">CN195*S*Linterp(CL$90,atmos_h,atmos_qms)*CK195^2</f>
        <v>2376.016194206617</v>
      </c>
      <c r="CP195" cm="1">
        <f t="array" ref="CP195">CK195*Linterp(CL$90,atmos_h,atmos_aspeed)</f>
        <v>1200.444632922578</v>
      </c>
      <c r="CQ195" s="162">
        <f t="shared" si="39"/>
        <v>-4557.0874678661839</v>
      </c>
    </row>
    <row r="196" spans="9:95">
      <c r="I196">
        <v>1.25</v>
      </c>
      <c r="J196" cm="1">
        <f t="array" ref="J196">numeng*InterpolateXY(J$90,I196,Tmax_h,Tmax_M,Tmax_table)</f>
        <v>8500</v>
      </c>
      <c r="K196" cm="1">
        <f t="array" ref="K196">1*J$91/(S*Linterp(J$90,atmos_h,atmos_qms)*I196^2)</f>
        <v>2.5413951576415503E-2</v>
      </c>
      <c r="L196" cm="1">
        <f t="array" ref="L196">InterpolateXY(K196,I196,CD_CL,CD_M,CD_table)</f>
        <v>4.3190046470998833E-2</v>
      </c>
      <c r="M196" cm="1">
        <f t="array" ref="M196">L196*S*Linterp(J$90,atmos_h,atmos_qms)*I196^2</f>
        <v>16994.620589062502</v>
      </c>
      <c r="N196" cm="1">
        <f t="array" ref="N196">I196*Linterp(J$90,atmos_h,atmos_aspeed)</f>
        <v>1395.5625</v>
      </c>
      <c r="O196" s="162">
        <f t="shared" si="40"/>
        <v>-71128.643674941224</v>
      </c>
      <c r="Q196">
        <v>1.25</v>
      </c>
      <c r="R196" cm="1">
        <f t="array" ref="R196">numeng*InterpolateXY(R$90,Q196,Tmax_h,Tmax_M,Tmax_table)</f>
        <v>7970.4294945268393</v>
      </c>
      <c r="S196" cm="1">
        <f t="array" ref="S196">1*R$91/(S*Linterp(R$90,atmos_h,atmos_qms)*Q196^2)</f>
        <v>3.0543886785287178E-2</v>
      </c>
      <c r="T196" cm="1">
        <f t="array" ref="T196">InterpolateXY(S196,Q196,CD_CL,CD_M,CD_table)</f>
        <v>4.3299057594187354E-2</v>
      </c>
      <c r="U196" cm="1">
        <f t="array" ref="U196">T196*S*Linterp(R$90,atmos_h,atmos_qms)*Q196^2</f>
        <v>14176.01430314503</v>
      </c>
      <c r="V196" cm="1">
        <f t="array" ref="V196">Q196*Linterp(R$90,atmos_h,atmos_aspeed)</f>
        <v>1371.3655329628104</v>
      </c>
      <c r="W196" s="162">
        <f t="shared" si="30"/>
        <v>-51060.750710499633</v>
      </c>
      <c r="Y196">
        <v>1.25</v>
      </c>
      <c r="Z196" cm="1">
        <f t="array" ref="Z196">numeng*InterpolateXY(Z$90,Y196,Tmax_h,Tmax_M,Tmax_table)</f>
        <v>7384.7509366411832</v>
      </c>
      <c r="AA196" cm="1">
        <f t="array" ref="AA196">1*Z$91/(S*Linterp(Z$90,atmos_h,atmos_qms)*Y196^2)</f>
        <v>3.6954837398986154E-2</v>
      </c>
      <c r="AB196" cm="1">
        <f t="array" ref="AB196">InterpolateXY(AA196,Y196,CD_CL,CD_M,CD_table)</f>
        <v>4.3435290294728451E-2</v>
      </c>
      <c r="AC196" cm="1">
        <f t="array" ref="AC196">AB196*S*Linterp(Z$90,atmos_h,atmos_qms)*Y196^2</f>
        <v>11753.614236148715</v>
      </c>
      <c r="AD196" cm="1">
        <f t="array" ref="AD196">Y196*Linterp(Z$90,atmos_h,atmos_aspeed)</f>
        <v>1346.7338855878311</v>
      </c>
      <c r="AE196" s="162">
        <f t="shared" si="31"/>
        <v>-35302.177481687097</v>
      </c>
      <c r="AG196">
        <v>1.25</v>
      </c>
      <c r="AH196" cm="1">
        <f t="array" ref="AH196">numeng*InterpolateXY(AH$90,AG196,Tmax_h,Tmax_M,Tmax_table)</f>
        <v>6606.9421328489225</v>
      </c>
      <c r="AI196" cm="1">
        <f t="array" ref="AI196">1*AH$91/(S*Linterp(AH$90,atmos_h,atmos_qms)*AG196^2)</f>
        <v>4.50330125505264E-2</v>
      </c>
      <c r="AJ196" cm="1">
        <f t="array" ref="AJ196">InterpolateXY(AI196,AG196,CD_CL,CD_M,CD_table)</f>
        <v>4.3606951516698689E-2</v>
      </c>
      <c r="AK196" cm="1">
        <f t="array" ref="AK196">AJ196*S*Linterp(AH$90,atmos_h,atmos_qms)*AG196^2</f>
        <v>9683.3298611262835</v>
      </c>
      <c r="AL196" cm="1">
        <f t="array" ref="AL196">AG196*Linterp(AH$90,atmos_h,atmos_aspeed)</f>
        <v>1321.6432545065327</v>
      </c>
      <c r="AM196" s="162">
        <f t="shared" si="32"/>
        <v>-24395.3225359467</v>
      </c>
      <c r="AO196">
        <v>1.25</v>
      </c>
      <c r="AP196" cm="1">
        <f t="array" ref="AP196">numeng*InterpolateXY(AP$90,AO196,Tmax_h,Tmax_M,Tmax_table)</f>
        <v>5860.8642819237102</v>
      </c>
      <c r="AQ196" cm="1">
        <f t="array" ref="AQ196">1*AP$91/(S*Linterp(AP$90,atmos_h,atmos_qms)*AO196^2)</f>
        <v>5.530275714386676E-2</v>
      </c>
      <c r="AR196" cm="1">
        <f t="array" ref="AR196">InterpolateXY(AQ196,AO196,CD_CL,CD_M,CD_table)</f>
        <v>4.3825183589307169E-2</v>
      </c>
      <c r="AS196" cm="1">
        <f t="array" ref="AS196">AR196*S*Linterp(AP$90,atmos_h,atmos_qms)*AO196^2</f>
        <v>7924.5928869872823</v>
      </c>
      <c r="AT196" cm="1">
        <f t="array" ref="AT196">AO196*Linterp(AP$90,atmos_h,atmos_aspeed)</f>
        <v>1296.0669835215863</v>
      </c>
      <c r="AU196" s="162">
        <f t="shared" si="33"/>
        <v>-16048.383047831729</v>
      </c>
      <c r="AW196">
        <v>1.25</v>
      </c>
      <c r="AX196" cm="1">
        <f t="array" ref="AX196">numeng*InterpolateXY(AX$90,AW196,Tmax_h,Tmax_M,Tmax_table)</f>
        <v>5153.3056066045938</v>
      </c>
      <c r="AY196" cm="1">
        <f t="array" ref="AY196">1*AX$91/(S*Linterp(AX$90,atmos_h,atmos_qms)*AW196^2)</f>
        <v>6.8484410112008939E-2</v>
      </c>
      <c r="AZ196" cm="1">
        <f t="array" ref="AZ196">InterpolateXY(AY196,AW196,CD_CL,CD_M,CD_table)</f>
        <v>4.4105293714880187E-2</v>
      </c>
      <c r="BA196" cm="1">
        <f t="array" ref="BA196">AZ196*S*Linterp(AX$90,atmos_h,atmos_qms)*AW196^2</f>
        <v>6440.1947308510426</v>
      </c>
      <c r="BB196" cm="1">
        <f t="array" ref="BB196">AW196*Linterp(AX$90,atmos_h,atmos_aspeed)</f>
        <v>1269.975731802331</v>
      </c>
      <c r="BC196" s="162">
        <f t="shared" si="34"/>
        <v>-9805.9077438800687</v>
      </c>
      <c r="BE196">
        <v>1.25</v>
      </c>
      <c r="BF196" cm="1">
        <f t="array" ref="BF196">numeng*InterpolateXY(BF$90,BE196,Tmax_h,Tmax_M,Tmax_table)</f>
        <v>4489.5253362872154</v>
      </c>
      <c r="BG196" cm="1">
        <f t="array" ref="BG196">1*BF$91/(S*Linterp(BF$90,atmos_h,atmos_qms)*BE196^2)</f>
        <v>8.558026545538519E-2</v>
      </c>
      <c r="BH196" cm="1">
        <f t="array" ref="BH196">InterpolateXY(BG196,BE196,CD_CL,CD_M,CD_table)</f>
        <v>4.4468580640926937E-2</v>
      </c>
      <c r="BI196" cm="1">
        <f t="array" ref="BI196">BH196*S*Linterp(BF$90,atmos_h,atmos_qms)*BE196^2</f>
        <v>5196.1255792212232</v>
      </c>
      <c r="BJ196" cm="1">
        <f t="array" ref="BJ196">BE196*Linterp(BF$90,atmos_h,atmos_aspeed)</f>
        <v>1243.3370793791157</v>
      </c>
      <c r="BK196" s="162">
        <f t="shared" si="35"/>
        <v>-5271.2536940288583</v>
      </c>
      <c r="BM196">
        <v>1.25</v>
      </c>
      <c r="BN196" cm="1">
        <f t="array" ref="BN196">numeng*InterpolateXY(BN$90,BM196,Tmax_h,Tmax_M,Tmax_table)</f>
        <v>3873.3788815800744</v>
      </c>
      <c r="BO196" cm="1">
        <f t="array" ref="BO196">1*BN$91/(S*Linterp(BN$90,atmos_h,atmos_qms)*BM196^2)</f>
        <v>0.10800434823969862</v>
      </c>
      <c r="BP196" cm="1">
        <f t="array" ref="BP196">InterpolateXY(BO196,BM196,CD_CL,CD_M,CD_table)</f>
        <v>4.5285277200280791E-2</v>
      </c>
      <c r="BQ196" cm="1">
        <f t="array" ref="BQ196">BP196*S*Linterp(BN$90,atmos_h,atmos_qms)*BM196^2</f>
        <v>4192.9124093945975</v>
      </c>
      <c r="BR196" cm="1">
        <f t="array" ref="BR196">BM196*Linterp(BN$90,atmos_h,atmos_aspeed)</f>
        <v>1216.1150548164071</v>
      </c>
      <c r="BS196" s="162">
        <f t="shared" si="36"/>
        <v>-2331.5372021630319</v>
      </c>
      <c r="BU196">
        <v>1.25</v>
      </c>
      <c r="BV196" cm="1">
        <f t="array" ref="BV196">numeng*InterpolateXY(BV$90,BU196,Tmax_h,Tmax_M,Tmax_table)</f>
        <v>3200.203333755293</v>
      </c>
      <c r="BW196" cm="1">
        <f t="array" ref="BW196">1*BV$91/(S*Linterp(BV$90,atmos_h,atmos_qms)*BU196^2)</f>
        <v>0.1373087168244839</v>
      </c>
      <c r="BX196" cm="1">
        <f t="array" ref="BX196">InterpolateXY(BW196,BU196,CD_CL,CD_M,CD_table)</f>
        <v>4.7153430697560852E-2</v>
      </c>
      <c r="BY196" cm="1">
        <f t="array" ref="BY196">BX196*S*Linterp(BV$90,atmos_h,atmos_qms)*BU196^2</f>
        <v>3434.1177885913212</v>
      </c>
      <c r="BZ196" cm="1">
        <f t="array" ref="BZ196">BU196*Linterp(BV$90,atmos_h,atmos_aspeed)</f>
        <v>1210.1256380267923</v>
      </c>
      <c r="CA196" s="162">
        <f t="shared" si="37"/>
        <v>-1698.3952734128275</v>
      </c>
      <c r="CC196">
        <v>1.25</v>
      </c>
      <c r="CD196" cm="1">
        <f t="array" ref="CD196">numeng*InterpolateXY(CD$90,CC196,Tmax_h,Tmax_M,Tmax_table)</f>
        <v>2419.776393289214</v>
      </c>
      <c r="CE196" cm="1">
        <f t="array" ref="CE196">1*CD$91/(S*Linterp(CD$90,atmos_h,atmos_qms)*CC196^2)</f>
        <v>0.17460919376762793</v>
      </c>
      <c r="CF196" cm="1">
        <f t="array" ref="CF196">InterpolateXY(CE196,CC196,CD_CL,CD_M,CD_table)</f>
        <v>4.9531336102686285E-2</v>
      </c>
      <c r="CG196" cm="1">
        <f t="array" ref="CG196">CF196*S*Linterp(CD$90,atmos_h,atmos_qms)*CC196^2</f>
        <v>2836.6969134857354</v>
      </c>
      <c r="CH196" cm="1">
        <f t="array" ref="CH196">CC196*Linterp(CD$90,atmos_h,atmos_aspeed)</f>
        <v>1210.1256380267923</v>
      </c>
      <c r="CI196" s="162">
        <f t="shared" si="38"/>
        <v>-3027.1572630556661</v>
      </c>
      <c r="CK196">
        <v>1.25</v>
      </c>
      <c r="CL196" cm="1">
        <f t="array" ref="CL196">numeng*InterpolateXY(CL$90,CK196,Tmax_h,Tmax_M,Tmax_table)</f>
        <v>1750.628782161031</v>
      </c>
      <c r="CM196" cm="1">
        <f t="array" ref="CM196">1*CL$91/(S*Linterp(CL$90,atmos_h,atmos_qms)*CK196^2)</f>
        <v>0.22204249849012192</v>
      </c>
      <c r="CN196" cm="1">
        <f t="array" ref="CN196">InterpolateXY(CM196,CK196,CD_CL,CD_M,CD_table)</f>
        <v>5.3492015464575451E-2</v>
      </c>
      <c r="CO196" cm="1">
        <f t="array" ref="CO196">CN196*S*Linterp(CL$90,atmos_h,atmos_qms)*CK196^2</f>
        <v>2409.0890630540789</v>
      </c>
      <c r="CP196" cm="1">
        <f t="array" ref="CP196">CK196*Linterp(CL$90,atmos_h,atmos_aspeed)</f>
        <v>1210.1256380267923</v>
      </c>
      <c r="CQ196" s="162">
        <f t="shared" si="39"/>
        <v>-4780.918005186003</v>
      </c>
    </row>
    <row r="197" spans="9:95">
      <c r="I197">
        <v>1.26</v>
      </c>
      <c r="J197" cm="1">
        <f t="array" ref="J197">numeng*InterpolateXY(J$90,I197,Tmax_h,Tmax_M,Tmax_table)</f>
        <v>8524</v>
      </c>
      <c r="K197" cm="1">
        <f t="array" ref="K197">1*J$91/(S*Linterp(J$90,atmos_h,atmos_qms)*I197^2)</f>
        <v>2.5012156297650051E-2</v>
      </c>
      <c r="L197" cm="1">
        <f t="array" ref="L197">InterpolateXY(K197,I197,CD_CL,CD_M,CD_table)</f>
        <v>4.3317761360399477E-2</v>
      </c>
      <c r="M197" cm="1">
        <f t="array" ref="M197">L197*S*Linterp(J$90,atmos_h,atmos_qms)*I197^2</f>
        <v>17318.683301395042</v>
      </c>
      <c r="N197" cm="1">
        <f t="array" ref="N197">I197*Linterp(J$90,atmos_h,atmos_aspeed)</f>
        <v>1406.7270000000001</v>
      </c>
      <c r="O197" s="162">
        <f t="shared" si="40"/>
        <v>-74230.310739129272</v>
      </c>
      <c r="Q197">
        <v>1.26</v>
      </c>
      <c r="R197" cm="1">
        <f t="array" ref="R197">numeng*InterpolateXY(R$90,Q197,Tmax_h,Tmax_M,Tmax_table)</f>
        <v>7996.2795361307108</v>
      </c>
      <c r="S197" cm="1">
        <f t="array" ref="S197">1*R$91/(S*Linterp(R$90,atmos_h,atmos_qms)*Q197^2)</f>
        <v>3.0060987088694389E-2</v>
      </c>
      <c r="T197" cm="1">
        <f t="array" ref="T197">InterpolateXY(S197,Q197,CD_CL,CD_M,CD_table)</f>
        <v>4.3426311222406928E-2</v>
      </c>
      <c r="U197" cm="1">
        <f t="array" ref="U197">T197*S*Linterp(R$90,atmos_h,atmos_qms)*Q197^2</f>
        <v>14446.069616502744</v>
      </c>
      <c r="V197" cm="1">
        <f t="array" ref="V197">Q197*Linterp(R$90,atmos_h,atmos_aspeed)</f>
        <v>1382.3364572265129</v>
      </c>
      <c r="W197" s="162">
        <f t="shared" si="30"/>
        <v>-53494.679817337099</v>
      </c>
      <c r="Y197">
        <v>1.26</v>
      </c>
      <c r="Z197" cm="1">
        <f t="array" ref="Z197">numeng*InterpolateXY(Z$90,Y197,Tmax_h,Tmax_M,Tmax_table)</f>
        <v>7411.3360400130923</v>
      </c>
      <c r="AA197" cm="1">
        <f t="array" ref="AA197">1*Z$91/(S*Linterp(Z$90,atmos_h,atmos_qms)*Y197^2)</f>
        <v>3.6370580395512636E-2</v>
      </c>
      <c r="AB197" cm="1">
        <f t="array" ref="AB197">InterpolateXY(AA197,Y197,CD_CL,CD_M,CD_table)</f>
        <v>4.3561967478503522E-2</v>
      </c>
      <c r="AC197" cm="1">
        <f t="array" ref="AC197">AB197*S*Linterp(Z$90,atmos_h,atmos_qms)*Y197^2</f>
        <v>11977.253869690283</v>
      </c>
      <c r="AD197" cm="1">
        <f t="array" ref="AD197">Y197*Linterp(Z$90,atmos_h,atmos_aspeed)</f>
        <v>1357.5077566725338</v>
      </c>
      <c r="AE197" s="162">
        <f t="shared" si="31"/>
        <v>-37189.61322069724</v>
      </c>
      <c r="AG197">
        <v>1.26</v>
      </c>
      <c r="AH197" cm="1">
        <f t="array" ref="AH197">numeng*InterpolateXY(AH$90,AG197,Tmax_h,Tmax_M,Tmax_table)</f>
        <v>6632.1114362121561</v>
      </c>
      <c r="AI197" cm="1">
        <f t="array" ref="AI197">1*AH$91/(S*Linterp(AH$90,atmos_h,atmos_qms)*AG197^2)</f>
        <v>4.4321039374022098E-2</v>
      </c>
      <c r="AJ197" cm="1">
        <f t="array" ref="AJ197">InterpolateXY(AI197,AG197,CD_CL,CD_M,CD_table)</f>
        <v>4.3732902346541473E-2</v>
      </c>
      <c r="AK197" cm="1">
        <f t="array" ref="AK197">AJ197*S*Linterp(AH$90,atmos_h,atmos_qms)*AG197^2</f>
        <v>9867.3007141106555</v>
      </c>
      <c r="AL197" cm="1">
        <f t="array" ref="AL197">AG197*Linterp(AH$90,atmos_h,atmos_aspeed)</f>
        <v>1332.216400542585</v>
      </c>
      <c r="AM197" s="162">
        <f t="shared" si="32"/>
        <v>-25859.833289255421</v>
      </c>
      <c r="AO197">
        <v>1.26</v>
      </c>
      <c r="AP197" cm="1">
        <f t="array" ref="AP197">numeng*InterpolateXY(AP$90,AO197,Tmax_h,Tmax_M,Tmax_table)</f>
        <v>5884.3077390514054</v>
      </c>
      <c r="AQ197" cm="1">
        <f t="array" ref="AQ197">1*AP$91/(S*Linterp(AP$90,atmos_h,atmos_qms)*AO197^2)</f>
        <v>5.4428419020717947E-2</v>
      </c>
      <c r="AR197" cm="1">
        <f t="array" ref="AR197">InterpolateXY(AQ197,AO197,CD_CL,CD_M,CD_table)</f>
        <v>4.3950211008945438E-2</v>
      </c>
      <c r="AS197" cm="1">
        <f t="array" ref="AS197">AR197*S*Linterp(AP$90,atmos_h,atmos_qms)*AO197^2</f>
        <v>8074.8645284398181</v>
      </c>
      <c r="AT197" cm="1">
        <f t="array" ref="AT197">AO197*Linterp(AP$90,atmos_h,atmos_aspeed)</f>
        <v>1306.4355193897588</v>
      </c>
      <c r="AU197" s="162">
        <f t="shared" si="33"/>
        <v>-17170.927181384479</v>
      </c>
      <c r="AW197">
        <v>1.26</v>
      </c>
      <c r="AX197" cm="1">
        <f t="array" ref="AX197">numeng*InterpolateXY(AX$90,AW197,Tmax_h,Tmax_M,Tmax_table)</f>
        <v>5174.8150560930299</v>
      </c>
      <c r="AY197" cm="1">
        <f t="array" ref="AY197">1*AX$91/(S*Linterp(AX$90,atmos_h,atmos_qms)*AW197^2)</f>
        <v>6.7401669690107052E-2</v>
      </c>
      <c r="AZ197" cm="1">
        <f t="array" ref="AZ197">InterpolateXY(AY197,AW197,CD_CL,CD_M,CD_table)</f>
        <v>4.4229135898337303E-2</v>
      </c>
      <c r="BA197" cm="1">
        <f t="array" ref="BA197">AZ197*S*Linterp(AX$90,atmos_h,atmos_qms)*AW197^2</f>
        <v>6562.0237750325468</v>
      </c>
      <c r="BB197" cm="1">
        <f t="array" ref="BB197">AW197*Linterp(AX$90,atmos_h,atmos_aspeed)</f>
        <v>1280.1355376567496</v>
      </c>
      <c r="BC197" s="162">
        <f t="shared" si="34"/>
        <v>-10654.891075570617</v>
      </c>
      <c r="BE197">
        <v>1.26</v>
      </c>
      <c r="BF197" cm="1">
        <f t="array" ref="BF197">numeng*InterpolateXY(BF$90,BE197,Tmax_h,Tmax_M,Tmax_table)</f>
        <v>4508.9799460777931</v>
      </c>
      <c r="BG197" cm="1">
        <f t="array" ref="BG197">1*BF$91/(S*Linterp(BF$90,atmos_h,atmos_qms)*BE197^2)</f>
        <v>8.4227239086696493E-2</v>
      </c>
      <c r="BH197" cm="1">
        <f t="array" ref="BH197">InterpolateXY(BG197,BE197,CD_CL,CD_M,CD_table)</f>
        <v>4.4590885640363974E-2</v>
      </c>
      <c r="BI197" cm="1">
        <f t="array" ref="BI197">BH197*S*Linterp(BF$90,atmos_h,atmos_qms)*BE197^2</f>
        <v>5294.1169773433785</v>
      </c>
      <c r="BJ197" cm="1">
        <f t="array" ref="BJ197">BE197*Linterp(BF$90,atmos_h,atmos_aspeed)</f>
        <v>1253.2837760141485</v>
      </c>
      <c r="BK197" s="162">
        <f t="shared" si="35"/>
        <v>-5903.9970193984282</v>
      </c>
      <c r="BM197">
        <v>1.26</v>
      </c>
      <c r="BN197" cm="1">
        <f t="array" ref="BN197">numeng*InterpolateXY(BN$90,BM197,Tmax_h,Tmax_M,Tmax_table)</f>
        <v>3890.731618969553</v>
      </c>
      <c r="BO197" cm="1">
        <f t="array" ref="BO197">1*BN$91/(S*Linterp(BN$90,atmos_h,atmos_qms)*BM197^2)</f>
        <v>0.10629679650071119</v>
      </c>
      <c r="BP197" cm="1">
        <f t="array" ref="BP197">InterpolateXY(BO197,BM197,CD_CL,CD_M,CD_table)</f>
        <v>4.5336143374295874E-2</v>
      </c>
      <c r="BQ197" cm="1">
        <f t="array" ref="BQ197">BP197*S*Linterp(BN$90,atmos_h,atmos_qms)*BM197^2</f>
        <v>4265.0526513273189</v>
      </c>
      <c r="BR197" cm="1">
        <f t="array" ref="BR197">BM197*Linterp(BN$90,atmos_h,atmos_aspeed)</f>
        <v>1225.8439752549384</v>
      </c>
      <c r="BS197" s="162">
        <f t="shared" si="36"/>
        <v>-2753.1550939618573</v>
      </c>
      <c r="BU197">
        <v>1.26</v>
      </c>
      <c r="BV197" cm="1">
        <f t="array" ref="BV197">numeng*InterpolateXY(BV$90,BU197,Tmax_h,Tmax_M,Tmax_table)</f>
        <v>3214.9735029880094</v>
      </c>
      <c r="BW197" cm="1">
        <f t="array" ref="BW197">1*BV$91/(S*Linterp(BV$90,atmos_h,atmos_qms)*BU197^2)</f>
        <v>0.1351378622060066</v>
      </c>
      <c r="BX197" cm="1">
        <f t="array" ref="BX197">InterpolateXY(BW197,BU197,CD_CL,CD_M,CD_table)</f>
        <v>4.7196392112287426E-2</v>
      </c>
      <c r="BY197" cm="1">
        <f t="array" ref="BY197">BX197*S*Linterp(BV$90,atmos_h,atmos_qms)*BU197^2</f>
        <v>3492.4625372821415</v>
      </c>
      <c r="BZ197" cm="1">
        <f t="array" ref="BZ197">BU197*Linterp(BV$90,atmos_h,atmos_aspeed)</f>
        <v>1219.8066431310067</v>
      </c>
      <c r="CA197" s="162">
        <f t="shared" si="37"/>
        <v>-2030.8978045679405</v>
      </c>
      <c r="CC197">
        <v>1.26</v>
      </c>
      <c r="CD197" cm="1">
        <f t="array" ref="CD197">numeng*InterpolateXY(CD$90,CC197,Tmax_h,Tmax_M,Tmax_table)</f>
        <v>2430.6169915311493</v>
      </c>
      <c r="CE197" cm="1">
        <f t="array" ref="CE197">1*CD$91/(S*Linterp(CD$90,atmos_h,atmos_qms)*CC197^2)</f>
        <v>0.17184861757490466</v>
      </c>
      <c r="CF197" cm="1">
        <f t="array" ref="CF197">InterpolateXY(CE197,CC197,CD_CL,CD_M,CD_table)</f>
        <v>4.9564235833581348E-2</v>
      </c>
      <c r="CG197" cm="1">
        <f t="array" ref="CG197">CF197*S*Linterp(CD$90,atmos_h,atmos_qms)*CC197^2</f>
        <v>2884.1800727304362</v>
      </c>
      <c r="CH197" cm="1">
        <f t="array" ref="CH197">CC197*Linterp(CD$90,atmos_h,atmos_aspeed)</f>
        <v>1219.8066431310067</v>
      </c>
      <c r="CI197" s="162">
        <f t="shared" si="38"/>
        <v>-3319.5555571551504</v>
      </c>
      <c r="CK197">
        <v>1.26</v>
      </c>
      <c r="CL197" cm="1">
        <f t="array" ref="CL197">numeng*InterpolateXY(CL$90,CK197,Tmax_h,Tmax_M,Tmax_table)</f>
        <v>1757.9357544691813</v>
      </c>
      <c r="CM197" cm="1">
        <f t="array" ref="CM197">1*CL$91/(S*Linterp(CL$90,atmos_h,atmos_qms)*CK197^2)</f>
        <v>0.21853200043513193</v>
      </c>
      <c r="CN197" cm="1">
        <f t="array" ref="CN197">InterpolateXY(CM197,CK197,CD_CL,CD_M,CD_table)</f>
        <v>5.337219004677668E-2</v>
      </c>
      <c r="CO197" cm="1">
        <f t="array" ref="CO197">CN197*S*Linterp(CL$90,atmos_h,atmos_qms)*CK197^2</f>
        <v>2442.3054719905626</v>
      </c>
      <c r="CP197" cm="1">
        <f t="array" ref="CP197">CK197*Linterp(CL$90,atmos_h,atmos_aspeed)</f>
        <v>1219.8066431310067</v>
      </c>
      <c r="CQ197" s="162">
        <f t="shared" si="39"/>
        <v>-5008.792366741628</v>
      </c>
    </row>
    <row r="198" spans="9:95">
      <c r="I198">
        <v>1.27</v>
      </c>
      <c r="J198" cm="1">
        <f t="array" ref="J198">numeng*InterpolateXY(J$90,I198,Tmax_h,Tmax_M,Tmax_table)</f>
        <v>8548</v>
      </c>
      <c r="K198" cm="1">
        <f t="array" ref="K198">1*J$91/(S*Linterp(J$90,atmos_h,atmos_qms)*I198^2)</f>
        <v>2.4619814829282178E-2</v>
      </c>
      <c r="L198" cm="1">
        <f t="array" ref="L198">InterpolateXY(K198,I198,CD_CL,CD_M,CD_table)</f>
        <v>4.3445480972536886E-2</v>
      </c>
      <c r="M198" cm="1">
        <f t="array" ref="M198">L198*S*Linterp(J$90,atmos_h,atmos_qms)*I198^2</f>
        <v>17646.550664087019</v>
      </c>
      <c r="N198" cm="1">
        <f t="array" ref="N198">I198*Linterp(J$90,atmos_h,atmos_aspeed)</f>
        <v>1417.8915000000002</v>
      </c>
      <c r="O198" s="162">
        <f t="shared" si="40"/>
        <v>-77404.545893570044</v>
      </c>
      <c r="Q198">
        <v>1.27</v>
      </c>
      <c r="R198" cm="1">
        <f t="array" ref="R198">numeng*InterpolateXY(R$90,Q198,Tmax_h,Tmax_M,Tmax_table)</f>
        <v>8022.1295777345813</v>
      </c>
      <c r="S198" cm="1">
        <f t="array" ref="S198">1*R$91/(S*Linterp(R$90,atmos_h,atmos_qms)*Q198^2)</f>
        <v>2.9589449502145961E-2</v>
      </c>
      <c r="T198" cm="1">
        <f t="array" ref="T198">InterpolateXY(S198,Q198,CD_CL,CD_M,CD_table)</f>
        <v>4.3553570526671671E-2</v>
      </c>
      <c r="U198" cm="1">
        <f t="array" ref="U198">T198*S*Linterp(R$90,atmos_h,atmos_qms)*Q198^2</f>
        <v>14719.290578053158</v>
      </c>
      <c r="V198" cm="1">
        <f t="array" ref="V198">Q198*Linterp(R$90,atmos_h,atmos_aspeed)</f>
        <v>1393.3073814902154</v>
      </c>
      <c r="W198" s="162">
        <f t="shared" si="30"/>
        <v>-55987.223140633607</v>
      </c>
      <c r="Y198">
        <v>1.27</v>
      </c>
      <c r="Z198" cm="1">
        <f t="array" ref="Z198">numeng*InterpolateXY(Z$90,Y198,Tmax_h,Tmax_M,Tmax_table)</f>
        <v>7437.9211433850005</v>
      </c>
      <c r="AA198" cm="1">
        <f t="array" ref="AA198">1*Z$91/(S*Linterp(Z$90,atmos_h,atmos_qms)*Y198^2)</f>
        <v>3.5800070330408496E-2</v>
      </c>
      <c r="AB198" cm="1">
        <f t="array" ref="AB198">InterpolateXY(AA198,Y198,CD_CL,CD_M,CD_table)</f>
        <v>4.3688651529686387E-2</v>
      </c>
      <c r="AC198" cm="1">
        <f t="array" ref="AC198">AB198*S*Linterp(Z$90,atmos_h,atmos_qms)*Y198^2</f>
        <v>12203.509972598393</v>
      </c>
      <c r="AD198" cm="1">
        <f t="array" ref="AD198">Y198*Linterp(Z$90,atmos_h,atmos_aspeed)</f>
        <v>1368.2816277572363</v>
      </c>
      <c r="AE198" s="162">
        <f t="shared" si="31"/>
        <v>-39124.00584274681</v>
      </c>
      <c r="AG198">
        <v>1.27</v>
      </c>
      <c r="AH198" cm="1">
        <f t="array" ref="AH198">numeng*InterpolateXY(AH$90,AG198,Tmax_h,Tmax_M,Tmax_table)</f>
        <v>6657.2807395753898</v>
      </c>
      <c r="AI198" cm="1">
        <f t="array" ref="AI198">1*AH$91/(S*Linterp(AH$90,atmos_h,atmos_qms)*AG198^2)</f>
        <v>4.3625818159958765E-2</v>
      </c>
      <c r="AJ198" cm="1">
        <f t="array" ref="AJ198">InterpolateXY(AI198,AG198,CD_CL,CD_M,CD_table)</f>
        <v>4.3858861544979102E-2</v>
      </c>
      <c r="AK198" cm="1">
        <f t="array" ref="AK198">AJ198*S*Linterp(AH$90,atmos_h,atmos_qms)*AG198^2</f>
        <v>10053.418685276196</v>
      </c>
      <c r="AL198" cm="1">
        <f t="array" ref="AL198">AG198*Linterp(AH$90,atmos_h,atmos_aspeed)</f>
        <v>1342.7895465786373</v>
      </c>
      <c r="AM198" s="162">
        <f t="shared" si="32"/>
        <v>-27361.791193356545</v>
      </c>
      <c r="AO198">
        <v>1.27</v>
      </c>
      <c r="AP198" cm="1">
        <f t="array" ref="AP198">numeng*InterpolateXY(AP$90,AO198,Tmax_h,Tmax_M,Tmax_table)</f>
        <v>5907.7511961790997</v>
      </c>
      <c r="AQ198" cm="1">
        <f t="array" ref="AQ198">1*AP$91/(S*Linterp(AP$90,atmos_h,atmos_qms)*AO198^2)</f>
        <v>5.3574653132427187E-2</v>
      </c>
      <c r="AR198" cm="1">
        <f t="array" ref="AR198">InterpolateXY(AQ198,AO198,CD_CL,CD_M,CD_table)</f>
        <v>4.4075248705630295E-2</v>
      </c>
      <c r="AS198" cm="1">
        <f t="array" ref="AS198">AR198*S*Linterp(AP$90,atmos_h,atmos_qms)*AO198^2</f>
        <v>8226.8845673501582</v>
      </c>
      <c r="AT198" cm="1">
        <f t="array" ref="AT198">AO198*Linterp(AP$90,atmos_h,atmos_aspeed)</f>
        <v>1316.8040552579316</v>
      </c>
      <c r="AU198" s="162">
        <f t="shared" si="33"/>
        <v>-18323.065367052288</v>
      </c>
      <c r="AW198">
        <v>1.27</v>
      </c>
      <c r="AX198" cm="1">
        <f t="array" ref="AX198">numeng*InterpolateXY(AX$90,AW198,Tmax_h,Tmax_M,Tmax_table)</f>
        <v>5196.3245055814659</v>
      </c>
      <c r="AY198" cm="1">
        <f t="array" ref="AY198">1*AX$91/(S*Linterp(AX$90,atmos_h,atmos_qms)*AW198^2)</f>
        <v>6.6344404984818625E-2</v>
      </c>
      <c r="AZ198" cm="1">
        <f t="array" ref="AZ198">InterpolateXY(AY198,AW198,CD_CL,CD_M,CD_table)</f>
        <v>4.4352990808419805E-2</v>
      </c>
      <c r="BA198" cm="1">
        <f t="array" ref="BA198">AZ198*S*Linterp(AX$90,atmos_h,atmos_qms)*AW198^2</f>
        <v>6685.2646909063324</v>
      </c>
      <c r="BB198" cm="1">
        <f t="array" ref="BB198">AW198*Linterp(AX$90,atmos_h,atmos_aspeed)</f>
        <v>1290.2953435111683</v>
      </c>
      <c r="BC198" s="162">
        <f t="shared" si="34"/>
        <v>-11527.035527347987</v>
      </c>
      <c r="BE198">
        <v>1.27</v>
      </c>
      <c r="BF198" cm="1">
        <f t="array" ref="BF198">numeng*InterpolateXY(BF$90,BE198,Tmax_h,Tmax_M,Tmax_table)</f>
        <v>4528.4345558683708</v>
      </c>
      <c r="BG198" cm="1">
        <f t="array" ref="BG198">1*BF$91/(S*Linterp(BF$90,atmos_h,atmos_qms)*BE198^2)</f>
        <v>8.2906047972000352E-2</v>
      </c>
      <c r="BH198" cm="1">
        <f t="array" ref="BH198">InterpolateXY(BG198,BE198,CD_CL,CD_M,CD_table)</f>
        <v>4.4713206543391004E-2</v>
      </c>
      <c r="BI198" cm="1">
        <f t="array" ref="BI198">BH198*S*Linterp(BF$90,atmos_h,atmos_qms)*BE198^2</f>
        <v>5393.2382060343634</v>
      </c>
      <c r="BJ198" cm="1">
        <f t="array" ref="BJ198">BE198*Linterp(BF$90,atmos_h,atmos_aspeed)</f>
        <v>1263.2304726491816</v>
      </c>
      <c r="BK198" s="162">
        <f t="shared" si="35"/>
        <v>-6554.6779424875458</v>
      </c>
      <c r="BM198">
        <v>1.27</v>
      </c>
      <c r="BN198" cm="1">
        <f t="array" ref="BN198">numeng*InterpolateXY(BN$90,BM198,Tmax_h,Tmax_M,Tmax_table)</f>
        <v>3908.084356359032</v>
      </c>
      <c r="BO198" cm="1">
        <f t="array" ref="BO198">1*BN$91/(S*Linterp(BN$90,atmos_h,atmos_qms)*BM198^2)</f>
        <v>0.10462942161605128</v>
      </c>
      <c r="BP198" cm="1">
        <f t="array" ref="BP198">InterpolateXY(BO198,BM198,CD_CL,CD_M,CD_table)</f>
        <v>4.5387069760447346E-2</v>
      </c>
      <c r="BQ198" cm="1">
        <f t="array" ref="BQ198">BP198*S*Linterp(BN$90,atmos_h,atmos_qms)*BM198^2</f>
        <v>4337.8878578723288</v>
      </c>
      <c r="BR198" cm="1">
        <f t="array" ref="BR198">BM198*Linterp(BN$90,atmos_h,atmos_aspeed)</f>
        <v>1235.5728956934695</v>
      </c>
      <c r="BS198" s="162">
        <f t="shared" si="36"/>
        <v>-3186.32134166386</v>
      </c>
      <c r="BU198">
        <v>1.27</v>
      </c>
      <c r="BV198" cm="1">
        <f t="array" ref="BV198">numeng*InterpolateXY(BV$90,BU198,Tmax_h,Tmax_M,Tmax_table)</f>
        <v>3229.7436722207262</v>
      </c>
      <c r="BW198" cm="1">
        <f t="array" ref="BW198">1*BV$91/(S*Linterp(BV$90,atmos_h,atmos_qms)*BU198^2)</f>
        <v>0.13301808545988969</v>
      </c>
      <c r="BX198" cm="1">
        <f t="array" ref="BX198">InterpolateXY(BW198,BU198,CD_CL,CD_M,CD_table)</f>
        <v>4.7239430076257805E-2</v>
      </c>
      <c r="BY198" cm="1">
        <f t="array" ref="BY198">BX198*S*Linterp(BV$90,atmos_h,atmos_qms)*BU198^2</f>
        <v>3551.3539315300395</v>
      </c>
      <c r="BZ198" cm="1">
        <f t="array" ref="BZ198">BU198*Linterp(BV$90,atmos_h,atmos_aspeed)</f>
        <v>1229.4876482352208</v>
      </c>
      <c r="CA198" s="162">
        <f t="shared" si="37"/>
        <v>-2372.4950481991627</v>
      </c>
      <c r="CC198">
        <v>1.27</v>
      </c>
      <c r="CD198" cm="1">
        <f t="array" ref="CD198">numeng*InterpolateXY(CD$90,CC198,Tmax_h,Tmax_M,Tmax_table)</f>
        <v>2441.4575897730851</v>
      </c>
      <c r="CE198" cm="1">
        <f t="array" ref="CE198">1*CD$91/(S*Linterp(CD$90,atmos_h,atmos_qms)*CC198^2)</f>
        <v>0.16915299476837911</v>
      </c>
      <c r="CF198" cm="1">
        <f t="array" ref="CF198">InterpolateXY(CE198,CC198,CD_CL,CD_M,CD_table)</f>
        <v>4.959723290863674E-2</v>
      </c>
      <c r="CG198" cm="1">
        <f t="array" ref="CG198">CF198*S*Linterp(CD$90,atmos_h,atmos_qms)*CC198^2</f>
        <v>2932.0931016651607</v>
      </c>
      <c r="CH198" cm="1">
        <f t="array" ref="CH198">CC198*Linterp(CD$90,atmos_h,atmos_aspeed)</f>
        <v>1229.4876482352208</v>
      </c>
      <c r="CI198" s="162">
        <f t="shared" si="38"/>
        <v>-3619.3818099412301</v>
      </c>
      <c r="CK198">
        <v>1.27</v>
      </c>
      <c r="CL198" cm="1">
        <f t="array" ref="CL198">numeng*InterpolateXY(CL$90,CK198,Tmax_h,Tmax_M,Tmax_table)</f>
        <v>1765.2427267773319</v>
      </c>
      <c r="CM198" cm="1">
        <f t="array" ref="CM198">1*CL$91/(S*Linterp(CL$90,atmos_h,atmos_qms)*CK198^2)</f>
        <v>0.21510410062050683</v>
      </c>
      <c r="CN198" cm="1">
        <f t="array" ref="CN198">InterpolateXY(CM198,CK198,CD_CL,CD_M,CD_table)</f>
        <v>5.3252570942480121E-2</v>
      </c>
      <c r="CO198" cm="1">
        <f t="array" ref="CO198">CN198*S*Linterp(CL$90,atmos_h,atmos_qms)*CK198^2</f>
        <v>2475.6650751363368</v>
      </c>
      <c r="CP198" cm="1">
        <f t="array" ref="CP198">CK198*Linterp(CL$90,atmos_h,atmos_aspeed)</f>
        <v>1229.4876482352208</v>
      </c>
      <c r="CQ198" s="162">
        <f t="shared" si="39"/>
        <v>-5240.7330140259346</v>
      </c>
    </row>
    <row r="199" spans="9:95">
      <c r="I199">
        <v>1.28</v>
      </c>
      <c r="J199" cm="1">
        <f t="array" ref="J199">numeng*InterpolateXY(J$90,I199,Tmax_h,Tmax_M,Tmax_table)</f>
        <v>8572</v>
      </c>
      <c r="K199" cm="1">
        <f t="array" ref="K199">1*J$91/(S*Linterp(J$90,atmos_h,atmos_qms)*I199^2)</f>
        <v>2.4236632896819595E-2</v>
      </c>
      <c r="L199" cm="1">
        <f t="array" ref="L199">InterpolateXY(K199,I199,CD_CL,CD_M,CD_table)</f>
        <v>4.3573205923730027E-2</v>
      </c>
      <c r="M199" cm="1">
        <f t="array" ref="M199">L199*S*Linterp(J$90,atmos_h,atmos_qms)*I199^2</f>
        <v>17978.242319892481</v>
      </c>
      <c r="N199" cm="1">
        <f t="array" ref="N199">I199*Linterp(J$90,atmos_h,atmos_aspeed)</f>
        <v>1429.056</v>
      </c>
      <c r="O199" s="162">
        <f t="shared" si="40"/>
        <v>-80652.282148177619</v>
      </c>
      <c r="Q199">
        <v>1.28</v>
      </c>
      <c r="R199" cm="1">
        <f t="array" ref="R199">numeng*InterpolateXY(R$90,Q199,Tmax_h,Tmax_M,Tmax_table)</f>
        <v>8047.9796193384518</v>
      </c>
      <c r="S199" cm="1">
        <f t="array" ref="S199">1*R$91/(S*Linterp(R$90,atmos_h,atmos_qms)*Q199^2)</f>
        <v>2.9128920350348645E-2</v>
      </c>
      <c r="T199" cm="1">
        <f t="array" ref="T199">InterpolateXY(S199,Q199,CD_CL,CD_M,CD_table)</f>
        <v>4.3680836247707668E-2</v>
      </c>
      <c r="U199" cm="1">
        <f t="array" ref="U199">T199*S*Linterp(R$90,atmos_h,atmos_qms)*Q199^2</f>
        <v>14995.69353149227</v>
      </c>
      <c r="V199" cm="1">
        <f t="array" ref="V199">Q199*Linterp(R$90,atmos_h,atmos_aspeed)</f>
        <v>1404.2783057539179</v>
      </c>
      <c r="W199" s="162">
        <f t="shared" si="30"/>
        <v>-58539.143528533736</v>
      </c>
      <c r="Y199">
        <v>1.28</v>
      </c>
      <c r="Z199" cm="1">
        <f t="array" ref="Z199">numeng*InterpolateXY(Z$90,Y199,Tmax_h,Tmax_M,Tmax_table)</f>
        <v>7464.5062467569087</v>
      </c>
      <c r="AA199" cm="1">
        <f t="array" ref="AA199">1*Z$91/(S*Linterp(Z$90,atmos_h,atmos_qms)*Y199^2)</f>
        <v>3.5242879294382239E-2</v>
      </c>
      <c r="AB199" cm="1">
        <f t="array" ref="AB199">InterpolateXY(AA199,Y199,CD_CL,CD_M,CD_table)</f>
        <v>4.3815343344476405E-2</v>
      </c>
      <c r="AC199" cm="1">
        <f t="array" ref="AC199">AB199*S*Linterp(Z$90,atmos_h,atmos_qms)*Y199^2</f>
        <v>12432.396053253409</v>
      </c>
      <c r="AD199" cm="1">
        <f t="array" ref="AD199">Y199*Linterp(Z$90,atmos_h,atmos_aspeed)</f>
        <v>1379.055498841939</v>
      </c>
      <c r="AE199" s="162">
        <f t="shared" si="31"/>
        <v>-41105.974531738888</v>
      </c>
      <c r="AG199">
        <v>1.28</v>
      </c>
      <c r="AH199" cm="1">
        <f t="array" ref="AH199">numeng*InterpolateXY(AH$90,AG199,Tmax_h,Tmax_M,Tmax_table)</f>
        <v>6682.4500429386235</v>
      </c>
      <c r="AI199" cm="1">
        <f t="array" ref="AI199">1*AH$91/(S*Linterp(AH$90,atmos_h,atmos_qms)*AG199^2)</f>
        <v>4.2946827459837335E-2</v>
      </c>
      <c r="AJ199" cm="1">
        <f t="array" ref="AJ199">InterpolateXY(AI199,AG199,CD_CL,CD_M,CD_table)</f>
        <v>4.3984830204116421E-2</v>
      </c>
      <c r="AK199" cm="1">
        <f t="array" ref="AK199">AJ199*S*Linterp(AH$90,atmos_h,atmos_qms)*AG199^2</f>
        <v>10241.694859824</v>
      </c>
      <c r="AL199" cm="1">
        <f t="array" ref="AL199">AG199*Linterp(AH$90,atmos_h,atmos_aspeed)</f>
        <v>1353.3626926146896</v>
      </c>
      <c r="AM199" s="162">
        <f t="shared" si="32"/>
        <v>-28901.694894329226</v>
      </c>
      <c r="AO199">
        <v>1.28</v>
      </c>
      <c r="AP199" cm="1">
        <f t="array" ref="AP199">numeng*InterpolateXY(AP$90,AO199,Tmax_h,Tmax_M,Tmax_table)</f>
        <v>5931.1946533067949</v>
      </c>
      <c r="AQ199" cm="1">
        <f t="array" ref="AQ199">1*AP$91/(S*Linterp(AP$90,atmos_h,atmos_qms)*AO199^2)</f>
        <v>5.2740819114557996E-2</v>
      </c>
      <c r="AR199" cm="1">
        <f t="array" ref="AR199">InterpolateXY(AQ199,AO199,CD_CL,CD_M,CD_table)</f>
        <v>4.4200298020520279E-2</v>
      </c>
      <c r="AS199" cm="1">
        <f t="array" ref="AS199">AR199*S*Linterp(AP$90,atmos_h,atmos_qms)*AO199^2</f>
        <v>8380.6620303930249</v>
      </c>
      <c r="AT199" cm="1">
        <f t="array" ref="AT199">AO199*Linterp(AP$90,atmos_h,atmos_aspeed)</f>
        <v>1327.1725911261042</v>
      </c>
      <c r="AU199" s="162">
        <f t="shared" si="33"/>
        <v>-19505.195794358366</v>
      </c>
      <c r="AW199">
        <v>1.28</v>
      </c>
      <c r="AX199" cm="1">
        <f t="array" ref="AX199">numeng*InterpolateXY(AX$90,AW199,Tmax_h,Tmax_M,Tmax_table)</f>
        <v>5217.8339550699029</v>
      </c>
      <c r="AY199" cm="1">
        <f t="array" ref="AY199">1*AX$91/(S*Linterp(AX$90,atmos_h,atmos_qms)*AW199^2)</f>
        <v>6.5311822998055394E-2</v>
      </c>
      <c r="AZ199" cm="1">
        <f t="array" ref="AZ199">InterpolateXY(AY199,AW199,CD_CL,CD_M,CD_table)</f>
        <v>4.4476860105957222E-2</v>
      </c>
      <c r="BA199" cm="1">
        <f t="array" ref="BA199">AZ199*S*Linterp(AX$90,atmos_h,atmos_qms)*AW199^2</f>
        <v>6809.924767722604</v>
      </c>
      <c r="BB199" cm="1">
        <f t="array" ref="BB199">AW199*Linterp(AX$90,atmos_h,atmos_aspeed)</f>
        <v>1300.455149365587</v>
      </c>
      <c r="BC199" s="162">
        <f t="shared" si="34"/>
        <v>-12422.656173431082</v>
      </c>
      <c r="BE199">
        <v>1.28</v>
      </c>
      <c r="BF199" cm="1">
        <f t="array" ref="BF199">numeng*InterpolateXY(BF$90,BE199,Tmax_h,Tmax_M,Tmax_table)</f>
        <v>4547.8891656589485</v>
      </c>
      <c r="BG199" cm="1">
        <f t="array" ref="BG199">1*BF$91/(S*Linterp(BF$90,atmos_h,atmos_qms)*BE199^2)</f>
        <v>8.1615701156029882E-2</v>
      </c>
      <c r="BH199" cm="1">
        <f t="array" ref="BH199">InterpolateXY(BG199,BE199,CD_CL,CD_M,CD_table)</f>
        <v>4.4835545425432659E-2</v>
      </c>
      <c r="BI199" cm="1">
        <f t="array" ref="BI199">BH199*S*Linterp(BF$90,atmos_h,atmos_qms)*BE199^2</f>
        <v>5493.495098414669</v>
      </c>
      <c r="BJ199" cm="1">
        <f t="array" ref="BJ199">BE199*Linterp(BF$90,atmos_h,atmos_aspeed)</f>
        <v>1273.1771692842144</v>
      </c>
      <c r="BK199" s="162">
        <f t="shared" si="35"/>
        <v>-7223.5433083457228</v>
      </c>
      <c r="BM199">
        <v>1.28</v>
      </c>
      <c r="BN199" cm="1">
        <f t="array" ref="BN199">numeng*InterpolateXY(BN$90,BM199,Tmax_h,Tmax_M,Tmax_table)</f>
        <v>3925.4370937485105</v>
      </c>
      <c r="BO199" cm="1">
        <f t="array" ref="BO199">1*BN$91/(S*Linterp(BN$90,atmos_h,atmos_qms)*BM199^2)</f>
        <v>0.10300097297639715</v>
      </c>
      <c r="BP199" cm="1">
        <f t="array" ref="BP199">InterpolateXY(BO199,BM199,CD_CL,CD_M,CD_table)</f>
        <v>4.5438064216442212E-2</v>
      </c>
      <c r="BQ199" cm="1">
        <f t="array" ref="BQ199">BP199*S*Linterp(BN$90,atmos_h,atmos_qms)*BM199^2</f>
        <v>4411.4208733595578</v>
      </c>
      <c r="BR199" cm="1">
        <f t="array" ref="BR199">BM199*Linterp(BN$90,atmos_h,atmos_aspeed)</f>
        <v>1245.3018161320008</v>
      </c>
      <c r="BS199" s="162">
        <f t="shared" si="36"/>
        <v>-3631.1789001619877</v>
      </c>
      <c r="BU199">
        <v>1.28</v>
      </c>
      <c r="BV199" cm="1">
        <f t="array" ref="BV199">numeng*InterpolateXY(BV$90,BU199,Tmax_h,Tmax_M,Tmax_table)</f>
        <v>3244.5138414534431</v>
      </c>
      <c r="BW199" cm="1">
        <f t="array" ref="BW199">1*BV$91/(S*Linterp(BV$90,atmos_h,atmos_qms)*BU199^2)</f>
        <v>0.13094779665420903</v>
      </c>
      <c r="BX199" cm="1">
        <f t="array" ref="BX199">InterpolateXY(BW199,BU199,CD_CL,CD_M,CD_table)</f>
        <v>4.72825545791778E-2</v>
      </c>
      <c r="BY199" cm="1">
        <f t="array" ref="BY199">BX199*S*Linterp(BV$90,atmos_h,atmos_qms)*BU199^2</f>
        <v>3610.7942086292446</v>
      </c>
      <c r="BZ199" cm="1">
        <f t="array" ref="BZ199">BU199*Linterp(BV$90,atmos_h,atmos_aspeed)</f>
        <v>1239.1686533394352</v>
      </c>
      <c r="CA199" s="162">
        <f t="shared" si="37"/>
        <v>-2723.2988960274711</v>
      </c>
      <c r="CC199">
        <v>1.28</v>
      </c>
      <c r="CD199" cm="1">
        <f t="array" ref="CD199">numeng*InterpolateXY(CD$90,CC199,Tmax_h,Tmax_M,Tmax_table)</f>
        <v>2452.298188015021</v>
      </c>
      <c r="CE199" cm="1">
        <f t="array" ref="CE199">1*CD$91/(S*Linterp(CD$90,atmos_h,atmos_qms)*CC199^2)</f>
        <v>0.16652030350458902</v>
      </c>
      <c r="CF199" cm="1">
        <f t="array" ref="CF199">InterpolateXY(CE199,CC199,CD_CL,CD_M,CD_table)</f>
        <v>4.9630340031302872E-2</v>
      </c>
      <c r="CG199" cm="1">
        <f t="array" ref="CG199">CF199*S*Linterp(CD$90,atmos_h,atmos_qms)*CC199^2</f>
        <v>2980.4377596474383</v>
      </c>
      <c r="CH199" cm="1">
        <f t="array" ref="CH199">CC199*Linterp(CD$90,atmos_h,atmos_aspeed)</f>
        <v>1239.1686533394352</v>
      </c>
      <c r="CI199" s="162">
        <f t="shared" si="38"/>
        <v>-3926.7240105300525</v>
      </c>
      <c r="CK199">
        <v>1.28</v>
      </c>
      <c r="CL199" cm="1">
        <f t="array" ref="CL199">numeng*InterpolateXY(CL$90,CK199,Tmax_h,Tmax_M,Tmax_table)</f>
        <v>1772.5496990854822</v>
      </c>
      <c r="CM199" cm="1">
        <f t="array" ref="CM199">1*CL$91/(S*Linterp(CL$90,atmos_h,atmos_qms)*CK199^2)</f>
        <v>0.21175622796070279</v>
      </c>
      <c r="CN199" cm="1">
        <f t="array" ref="CN199">InterpolateXY(CM199,CK199,CD_CL,CD_M,CD_table)</f>
        <v>5.3133185075677304E-2</v>
      </c>
      <c r="CO199" cm="1">
        <f t="array" ref="CO199">CN199*S*Linterp(CL$90,atmos_h,atmos_qms)*CK199^2</f>
        <v>2509.1675266116677</v>
      </c>
      <c r="CP199" cm="1">
        <f t="array" ref="CP199">CK199*Linterp(CL$90,atmos_h,atmos_aspeed)</f>
        <v>1239.1686533394352</v>
      </c>
      <c r="CQ199" s="162">
        <f t="shared" si="39"/>
        <v>-5476.762328168662</v>
      </c>
    </row>
    <row r="200" spans="9:95">
      <c r="I200">
        <v>1.29</v>
      </c>
      <c r="J200" cm="1">
        <f t="array" ref="J200">numeng*InterpolateXY(J$90,I200,Tmax_h,Tmax_M,Tmax_table)</f>
        <v>8596</v>
      </c>
      <c r="K200" cm="1">
        <f t="array" ref="K200">1*J$91/(S*Linterp(J$90,atmos_h,atmos_qms)*I200^2)</f>
        <v>2.3862327587374089E-2</v>
      </c>
      <c r="L200" cm="1">
        <f t="array" ref="L200">InterpolateXY(K200,I200,CD_CL,CD_M,CD_table)</f>
        <v>4.3700936788819068E-2</v>
      </c>
      <c r="M200" cm="1">
        <f t="array" ref="M200">L200*S*Linterp(J$90,atmos_h,atmos_qms)*I200^2</f>
        <v>18313.777911565459</v>
      </c>
      <c r="N200" cm="1">
        <f t="array" ref="N200">I200*Linterp(J$90,atmos_h,atmos_aspeed)</f>
        <v>1440.2205000000001</v>
      </c>
      <c r="O200" s="162">
        <f t="shared" si="40"/>
        <v>-83974.457776102572</v>
      </c>
      <c r="Q200">
        <v>1.29</v>
      </c>
      <c r="R200" cm="1">
        <f t="array" ref="R200">numeng*InterpolateXY(R$90,Q200,Tmax_h,Tmax_M,Tmax_table)</f>
        <v>8073.8296609423232</v>
      </c>
      <c r="S200" cm="1">
        <f t="array" ref="S200">1*R$91/(S*Linterp(R$90,atmos_h,atmos_qms)*Q200^2)</f>
        <v>2.8679059613010767E-2</v>
      </c>
      <c r="T200" cm="1">
        <f t="array" ref="T200">InterpolateXY(S200,Q200,CD_CL,CD_M,CD_table)</f>
        <v>4.380810907638949E-2</v>
      </c>
      <c r="U200" cm="1">
        <f t="array" ref="U200">T200*S*Linterp(R$90,atmos_h,atmos_qms)*Q200^2</f>
        <v>15275.294820516066</v>
      </c>
      <c r="V200" cm="1">
        <f t="array" ref="V200">Q200*Linterp(R$90,atmos_h,atmos_aspeed)</f>
        <v>1415.2492300176204</v>
      </c>
      <c r="W200" s="162">
        <f t="shared" si="30"/>
        <v>-61151.208132512758</v>
      </c>
      <c r="Y200">
        <v>1.29</v>
      </c>
      <c r="Z200" cm="1">
        <f t="array" ref="Z200">numeng*InterpolateXY(Z$90,Y200,Tmax_h,Tmax_M,Tmax_table)</f>
        <v>7491.0913501288169</v>
      </c>
      <c r="AA200" cm="1">
        <f t="array" ref="AA200">1*Z$91/(S*Linterp(Z$90,atmos_h,atmos_qms)*Y200^2)</f>
        <v>3.4698595899234332E-2</v>
      </c>
      <c r="AB200" cm="1">
        <f t="array" ref="AB200">InterpolateXY(AA200,Y200,CD_CL,CD_M,CD_table)</f>
        <v>4.3942043758757959E-2</v>
      </c>
      <c r="AC200" cm="1">
        <f t="array" ref="AC200">AB200*S*Linterp(Z$90,atmos_h,atmos_qms)*Y200^2</f>
        <v>12663.925620035707</v>
      </c>
      <c r="AD200" cm="1">
        <f t="array" ref="AD200">Y200*Linterp(Z$90,atmos_h,atmos_aspeed)</f>
        <v>1389.8293699266417</v>
      </c>
      <c r="AE200" s="162">
        <f t="shared" si="31"/>
        <v>-43136.141964477792</v>
      </c>
      <c r="AG200">
        <v>1.29</v>
      </c>
      <c r="AH200" cm="1">
        <f t="array" ref="AH200">numeng*InterpolateXY(AH$90,AG200,Tmax_h,Tmax_M,Tmax_table)</f>
        <v>6707.6193463018581</v>
      </c>
      <c r="AI200" cm="1">
        <f t="array" ref="AI200">1*AH$91/(S*Linterp(AH$90,atmos_h,atmos_qms)*AG200^2)</f>
        <v>4.2283565957693336E-2</v>
      </c>
      <c r="AJ200" cm="1">
        <f t="array" ref="AJ200">InterpolateXY(AI200,AG200,CD_CL,CD_M,CD_table)</f>
        <v>4.4110809342558677E-2</v>
      </c>
      <c r="AK200" cm="1">
        <f t="array" ref="AK200">AJ200*S*Linterp(AH$90,atmos_h,atmos_qms)*AG200^2</f>
        <v>10432.14032295516</v>
      </c>
      <c r="AL200" cm="1">
        <f t="array" ref="AL200">AG200*Linterp(AH$90,atmos_h,atmos_aspeed)</f>
        <v>1363.935838650742</v>
      </c>
      <c r="AM200" s="162">
        <f t="shared" si="32"/>
        <v>-30480.045851183408</v>
      </c>
      <c r="AO200">
        <v>1.29</v>
      </c>
      <c r="AP200" cm="1">
        <f t="array" ref="AP200">numeng*InterpolateXY(AP$90,AO200,Tmax_h,Tmax_M,Tmax_table)</f>
        <v>5954.6381104344891</v>
      </c>
      <c r="AQ200" cm="1">
        <f t="array" ref="AQ200">1*AP$91/(S*Linterp(AP$90,atmos_h,atmos_qms)*AO200^2)</f>
        <v>5.1926301326417769E-2</v>
      </c>
      <c r="AR200" cm="1">
        <f t="array" ref="AR200">InterpolateXY(AQ200,AO200,CD_CL,CD_M,CD_table)</f>
        <v>4.4325360204512797E-2</v>
      </c>
      <c r="AS200" cm="1">
        <f t="array" ref="AS200">AR200*S*Linterp(AP$90,atmos_h,atmos_qms)*AO200^2</f>
        <v>8536.2059442431437</v>
      </c>
      <c r="AT200" cm="1">
        <f t="array" ref="AT200">AO200*Linterp(AP$90,atmos_h,atmos_aspeed)</f>
        <v>1337.541126994277</v>
      </c>
      <c r="AU200" s="162">
        <f t="shared" si="33"/>
        <v>-20717.718899067615</v>
      </c>
      <c r="AW200">
        <v>1.29</v>
      </c>
      <c r="AX200" cm="1">
        <f t="array" ref="AX200">numeng*InterpolateXY(AX$90,AW200,Tmax_h,Tmax_M,Tmax_table)</f>
        <v>5239.3434045583399</v>
      </c>
      <c r="AY200" cm="1">
        <f t="array" ref="AY200">1*AX$91/(S*Linterp(AX$90,atmos_h,atmos_qms)*AW200^2)</f>
        <v>6.4303161348485044E-2</v>
      </c>
      <c r="AZ200" cm="1">
        <f t="array" ref="AZ200">InterpolateXY(AY200,AW200,CD_CL,CD_M,CD_table)</f>
        <v>4.4600745340003793E-2</v>
      </c>
      <c r="BA200" cm="1">
        <f t="array" ref="BA200">AZ200*S*Linterp(AX$90,atmos_h,atmos_qms)*AW200^2</f>
        <v>6936.0112947315565</v>
      </c>
      <c r="BB200" cm="1">
        <f t="array" ref="BB200">AW200*Linterp(AX$90,atmos_h,atmos_aspeed)</f>
        <v>1310.6149552200056</v>
      </c>
      <c r="BC200" s="162">
        <f t="shared" si="34"/>
        <v>-13342.069865415551</v>
      </c>
      <c r="BE200">
        <v>1.29</v>
      </c>
      <c r="BF200" cm="1">
        <f t="array" ref="BF200">numeng*InterpolateXY(BF$90,BE200,Tmax_h,Tmax_M,Tmax_table)</f>
        <v>4567.3437754495271</v>
      </c>
      <c r="BG200" cm="1">
        <f t="array" ref="BG200">1*BF$91/(S*Linterp(BF$90,atmos_h,atmos_qms)*BE200^2)</f>
        <v>8.0355245943176098E-2</v>
      </c>
      <c r="BH200" cm="1">
        <f t="array" ref="BH200">InterpolateXY(BG200,BE200,CD_CL,CD_M,CD_table)</f>
        <v>4.4957904222235667E-2</v>
      </c>
      <c r="BI200" cm="1">
        <f t="array" ref="BI200">BH200*S*Linterp(BF$90,atmos_h,atmos_qms)*BE200^2</f>
        <v>5594.8934876047833</v>
      </c>
      <c r="BJ200" cm="1">
        <f t="array" ref="BJ200">BE200*Linterp(BF$90,atmos_h,atmos_aspeed)</f>
        <v>1283.1238659192475</v>
      </c>
      <c r="BK200" s="162">
        <f t="shared" si="35"/>
        <v>-7910.8413545091735</v>
      </c>
      <c r="BM200">
        <v>1.29</v>
      </c>
      <c r="BN200" cm="1">
        <f t="array" ref="BN200">numeng*InterpolateXY(BN$90,BM200,Tmax_h,Tmax_M,Tmax_table)</f>
        <v>3942.7898311379895</v>
      </c>
      <c r="BO200" cm="1">
        <f t="array" ref="BO200">1*BN$91/(S*Linterp(BN$90,atmos_h,atmos_qms)*BM200^2)</f>
        <v>0.10141024825703329</v>
      </c>
      <c r="BP200" cm="1">
        <f t="array" ref="BP200">InterpolateXY(BO200,BM200,CD_CL,CD_M,CD_table)</f>
        <v>4.548913407115697E-2</v>
      </c>
      <c r="BQ200" cm="1">
        <f t="array" ref="BQ200">BP200*S*Linterp(BN$90,atmos_h,atmos_qms)*BM200^2</f>
        <v>4485.6545421189303</v>
      </c>
      <c r="BR200" cm="1">
        <f t="array" ref="BR200">BM200*Linterp(BN$90,atmos_h,atmos_aspeed)</f>
        <v>1255.0307365705321</v>
      </c>
      <c r="BS200" s="162">
        <f t="shared" si="36"/>
        <v>-4087.8713884833551</v>
      </c>
      <c r="BU200">
        <v>1.29</v>
      </c>
      <c r="BV200" cm="1">
        <f t="array" ref="BV200">numeng*InterpolateXY(BV$90,BU200,Tmax_h,Tmax_M,Tmax_table)</f>
        <v>3259.2840106861595</v>
      </c>
      <c r="BW200" cm="1">
        <f t="array" ref="BW200">1*BV$91/(S*Linterp(BV$90,atmos_h,atmos_qms)*BU200^2)</f>
        <v>0.12892546724250711</v>
      </c>
      <c r="BX200" cm="1">
        <f t="array" ref="BX200">InterpolateXY(BW200,BU200,CD_CL,CD_M,CD_table)</f>
        <v>4.732577493843735E-2</v>
      </c>
      <c r="BY200" cm="1">
        <f t="array" ref="BY200">BX200*S*Linterp(BV$90,atmos_h,atmos_qms)*BU200^2</f>
        <v>3670.785605873989</v>
      </c>
      <c r="BZ200" cm="1">
        <f t="array" ref="BZ200">BU200*Linterp(BV$90,atmos_h,atmos_aspeed)</f>
        <v>1248.8496584436496</v>
      </c>
      <c r="CA200" s="162">
        <f t="shared" si="37"/>
        <v>-3083.4217595960267</v>
      </c>
      <c r="CC200">
        <v>1.29</v>
      </c>
      <c r="CD200" cm="1">
        <f t="array" ref="CD200">numeng*InterpolateXY(CD$90,CC200,Tmax_h,Tmax_M,Tmax_table)</f>
        <v>2463.1387862569563</v>
      </c>
      <c r="CE200" cm="1">
        <f t="array" ref="CE200">1*CD$91/(S*Linterp(CD$90,atmos_h,atmos_qms)*CC200^2)</f>
        <v>0.16394860000115297</v>
      </c>
      <c r="CF200" cm="1">
        <f t="array" ref="CF200">InterpolateXY(CE200,CC200,CD_CL,CD_M,CD_table)</f>
        <v>4.9663569050076961E-2</v>
      </c>
      <c r="CG200" cm="1">
        <f t="array" ref="CG200">CF200*S*Linterp(CD$90,atmos_h,atmos_qms)*CC200^2</f>
        <v>3029.2158060348002</v>
      </c>
      <c r="CH200" cm="1">
        <f t="array" ref="CH200">CC200*Linterp(CD$90,atmos_h,atmos_aspeed)</f>
        <v>1248.8496584436496</v>
      </c>
      <c r="CI200" s="162">
        <f t="shared" si="38"/>
        <v>-4241.670556814156</v>
      </c>
      <c r="CK200">
        <v>1.29</v>
      </c>
      <c r="CL200" cm="1">
        <f t="array" ref="CL200">numeng*InterpolateXY(CL$90,CK200,Tmax_h,Tmax_M,Tmax_table)</f>
        <v>1779.8566713936327</v>
      </c>
      <c r="CM200" cm="1">
        <f t="array" ref="CM200">1*CL$91/(S*Linterp(CL$90,atmos_h,atmos_qms)*CK200^2)</f>
        <v>0.20848591063687005</v>
      </c>
      <c r="CN200" cm="1">
        <f t="array" ref="CN200">InterpolateXY(CM200,CK200,CD_CL,CD_M,CD_table)</f>
        <v>5.3014057558351792E-2</v>
      </c>
      <c r="CO200" cm="1">
        <f t="array" ref="CO200">CN200*S*Linterp(CL$90,atmos_h,atmos_qms)*CK200^2</f>
        <v>2542.8124805368229</v>
      </c>
      <c r="CP200" cm="1">
        <f t="array" ref="CP200">CK200*Linterp(CL$90,atmos_h,atmos_aspeed)</f>
        <v>1248.8496584436496</v>
      </c>
      <c r="CQ200" s="162">
        <f t="shared" si="39"/>
        <v>-5716.9026099364282</v>
      </c>
    </row>
    <row r="201" spans="9:95">
      <c r="I201">
        <v>1.3</v>
      </c>
      <c r="J201" cm="1">
        <f t="array" ref="J201">numeng*InterpolateXY(J$90,I201,Tmax_h,Tmax_M,Tmax_table)</f>
        <v>8620</v>
      </c>
      <c r="K201" cm="1">
        <f t="array" ref="K201">1*J$91/(S*Linterp(J$90,atmos_h,atmos_qms)*I201^2)</f>
        <v>2.3496626827307233E-2</v>
      </c>
      <c r="L201" cm="1">
        <f t="array" ref="L201">InterpolateXY(K201,I201,CD_CL,CD_M,CD_table)</f>
        <v>4.3828674103614414E-2</v>
      </c>
      <c r="M201" cm="1">
        <f t="array" ref="M201">L201*S*Linterp(J$90,atmos_h,atmos_qms)*I201^2</f>
        <v>18653.177081860002</v>
      </c>
      <c r="N201" cm="1">
        <f t="array" ref="N201">I201*Linterp(J$90,atmos_h,atmos_aspeed)</f>
        <v>1451.3850000000002</v>
      </c>
      <c r="O201" s="162">
        <f t="shared" si="40"/>
        <v>-87372.016313732296</v>
      </c>
      <c r="Q201">
        <v>1.3</v>
      </c>
      <c r="R201" cm="1">
        <f t="array" ref="R201">numeng*InterpolateXY(R$90,Q201,Tmax_h,Tmax_M,Tmax_table)</f>
        <v>8099.6797025461938</v>
      </c>
      <c r="S201" cm="1">
        <f t="array" ref="S201">1*R$91/(S*Linterp(R$90,atmos_h,atmos_qms)*Q201^2)</f>
        <v>2.8239540297048057E-2</v>
      </c>
      <c r="T201" cm="1">
        <f t="array" ref="T201">InterpolateXY(S201,Q201,CD_CL,CD_M,CD_table)</f>
        <v>4.3935389656683581E-2</v>
      </c>
      <c r="U201" cm="1">
        <f t="array" ref="U201">T201*S*Linterp(R$90,atmos_h,atmos_qms)*Q201^2</f>
        <v>15558.110788820541</v>
      </c>
      <c r="V201" cm="1">
        <f t="array" ref="V201">Q201*Linterp(R$90,atmos_h,atmos_aspeed)</f>
        <v>1426.2201542813229</v>
      </c>
      <c r="W201" s="162">
        <f t="shared" si="30"/>
        <v>-63824.188407376889</v>
      </c>
      <c r="Y201">
        <v>1.3</v>
      </c>
      <c r="Z201" cm="1">
        <f t="array" ref="Z201">numeng*InterpolateXY(Z$90,Y201,Tmax_h,Tmax_M,Tmax_table)</f>
        <v>7517.6764535007251</v>
      </c>
      <c r="AA201" cm="1">
        <f t="array" ref="AA201">1*Z$91/(S*Linterp(Z$90,atmos_h,atmos_qms)*Y201^2)</f>
        <v>3.4166824518293407E-2</v>
      </c>
      <c r="AB201" cm="1">
        <f t="array" ref="AB201">InterpolateXY(AA201,Y201,CD_CL,CD_M,CD_table)</f>
        <v>4.4068753551661601E-2</v>
      </c>
      <c r="AC201" cm="1">
        <f t="array" ref="AC201">AB201*S*Linterp(Z$90,atmos_h,atmos_qms)*Y201^2</f>
        <v>12898.112181325649</v>
      </c>
      <c r="AD201" cm="1">
        <f t="array" ref="AD201">Y201*Linterp(Z$90,atmos_h,atmos_aspeed)</f>
        <v>1400.6032410113444</v>
      </c>
      <c r="AE201" s="162">
        <f t="shared" si="31"/>
        <v>-45215.134310668916</v>
      </c>
      <c r="AG201">
        <v>1.3</v>
      </c>
      <c r="AH201" cm="1">
        <f t="array" ref="AH201">numeng*InterpolateXY(AH$90,AG201,Tmax_h,Tmax_M,Tmax_table)</f>
        <v>6732.7886496650917</v>
      </c>
      <c r="AI201" cm="1">
        <f t="array" ref="AI201">1*AH$91/(S*Linterp(AH$90,atmos_h,atmos_qms)*AG201^2)</f>
        <v>4.1635551544495553E-2</v>
      </c>
      <c r="AJ201" cm="1">
        <f t="array" ref="AJ201">InterpolateXY(AI201,AG201,CD_CL,CD_M,CD_table)</f>
        <v>4.423679990975115E-2</v>
      </c>
      <c r="AK201" cm="1">
        <f t="array" ref="AK201">AJ201*S*Linterp(AH$90,atmos_h,atmos_qms)*AG201^2</f>
        <v>10624.766159870769</v>
      </c>
      <c r="AL201" cm="1">
        <f t="array" ref="AL201">AG201*Linterp(AH$90,atmos_h,atmos_aspeed)</f>
        <v>1374.5089846867941</v>
      </c>
      <c r="AM201" s="162">
        <f t="shared" si="32"/>
        <v>-32097.348335859853</v>
      </c>
      <c r="AO201">
        <v>1.3</v>
      </c>
      <c r="AP201" cm="1">
        <f t="array" ref="AP201">numeng*InterpolateXY(AP$90,AO201,Tmax_h,Tmax_M,Tmax_table)</f>
        <v>5978.0815675621843</v>
      </c>
      <c r="AQ201" cm="1">
        <f t="array" ref="AQ201">1*AP$91/(S*Linterp(AP$90,atmos_h,atmos_qms)*AO201^2)</f>
        <v>5.113050771437385E-2</v>
      </c>
      <c r="AR201" cm="1">
        <f t="array" ref="AR201">InterpolateXY(AQ201,AO201,CD_CL,CD_M,CD_table)</f>
        <v>4.4450436423573408E-2</v>
      </c>
      <c r="AS201" cm="1">
        <f t="array" ref="AS201">AR201*S*Linterp(AP$90,atmos_h,atmos_qms)*AO201^2</f>
        <v>8693.5253355752357</v>
      </c>
      <c r="AT201" cm="1">
        <f t="array" ref="AT201">AO201*Linterp(AP$90,atmos_h,atmos_aspeed)</f>
        <v>1347.9096628624497</v>
      </c>
      <c r="AU201" s="162">
        <f t="shared" si="33"/>
        <v>-21961.037363186471</v>
      </c>
      <c r="AW201">
        <v>1.3</v>
      </c>
      <c r="AX201" cm="1">
        <f t="array" ref="AX201">numeng*InterpolateXY(AX$90,AW201,Tmax_h,Tmax_M,Tmax_table)</f>
        <v>5260.852854046776</v>
      </c>
      <c r="AY201" cm="1">
        <f t="array" ref="AY201">1*AX$91/(S*Linterp(AX$90,atmos_h,atmos_qms)*AW201^2)</f>
        <v>6.3317686863913578E-2</v>
      </c>
      <c r="AZ201" cm="1">
        <f t="array" ref="AZ201">InterpolateXY(AY201,AW201,CD_CL,CD_M,CD_table)</f>
        <v>4.4724647954438056E-2</v>
      </c>
      <c r="BA201" cm="1">
        <f t="array" ref="BA201">AZ201*S*Linterp(AX$90,atmos_h,atmos_qms)*AW201^2</f>
        <v>7063.5315611833894</v>
      </c>
      <c r="BB201" cm="1">
        <f t="array" ref="BB201">AW201*Linterp(AX$90,atmos_h,atmos_aspeed)</f>
        <v>1320.7747610744243</v>
      </c>
      <c r="BC201" s="162">
        <f t="shared" si="34"/>
        <v>-14285.595232273874</v>
      </c>
      <c r="BE201">
        <v>1.3</v>
      </c>
      <c r="BF201" cm="1">
        <f t="array" ref="BF201">numeng*InterpolateXY(BF$90,BE201,Tmax_h,Tmax_M,Tmax_table)</f>
        <v>4586.7983852401048</v>
      </c>
      <c r="BG201" cm="1">
        <f t="array" ref="BG201">1*BF$91/(S*Linterp(BF$90,atmos_h,atmos_qms)*BE201^2)</f>
        <v>7.9123766138484819E-2</v>
      </c>
      <c r="BH201" cm="1">
        <f t="array" ref="BH201">InterpolateXY(BG201,BE201,CD_CL,CD_M,CD_table)</f>
        <v>4.5080284738115907E-2</v>
      </c>
      <c r="BI201" cm="1">
        <f t="array" ref="BI201">BH201*S*Linterp(BF$90,atmos_h,atmos_qms)*BE201^2</f>
        <v>5697.4392067251983</v>
      </c>
      <c r="BJ201" cm="1">
        <f t="array" ref="BJ201">BE201*Linterp(BF$90,atmos_h,atmos_aspeed)</f>
        <v>1293.0705625542803</v>
      </c>
      <c r="BK201" s="162">
        <f t="shared" si="35"/>
        <v>-8616.8217110008663</v>
      </c>
      <c r="BM201">
        <v>1.3</v>
      </c>
      <c r="BN201" cm="1">
        <f t="array" ref="BN201">numeng*InterpolateXY(BN$90,BM201,Tmax_h,Tmax_M,Tmax_table)</f>
        <v>3960.142568527468</v>
      </c>
      <c r="BO201" cm="1">
        <f t="array" ref="BO201">1*BN$91/(S*Linterp(BN$90,atmos_h,atmos_qms)*BM201^2)</f>
        <v>9.9856091197946209E-2</v>
      </c>
      <c r="BP201" cm="1">
        <f t="array" ref="BP201">InterpolateXY(BO201,BM201,CD_CL,CD_M,CD_table)</f>
        <v>4.5546762051953793E-2</v>
      </c>
      <c r="BQ201" cm="1">
        <f t="array" ref="BQ201">BP201*S*Linterp(BN$90,atmos_h,atmos_qms)*BM201^2</f>
        <v>4561.2402313711409</v>
      </c>
      <c r="BR201" cm="1">
        <f t="array" ref="BR201">BM201*Linterp(BN$90,atmos_h,atmos_aspeed)</f>
        <v>1264.7596570090634</v>
      </c>
      <c r="BS201" s="162">
        <f t="shared" si="36"/>
        <v>-4561.4644433226804</v>
      </c>
      <c r="BU201">
        <v>1.3</v>
      </c>
      <c r="BV201" cm="1">
        <f t="array" ref="BV201">numeng*InterpolateXY(BV$90,BU201,Tmax_h,Tmax_M,Tmax_table)</f>
        <v>3274.0541799188763</v>
      </c>
      <c r="BW201" cm="1">
        <f t="array" ref="BW201">1*BV$91/(S*Linterp(BV$90,atmos_h,atmos_qms)*BU201^2)</f>
        <v>0.12694962724157163</v>
      </c>
      <c r="BX201" cm="1">
        <f t="array" ref="BX201">InterpolateXY(BW201,BU201,CD_CL,CD_M,CD_table)</f>
        <v>4.7369099838806085E-2</v>
      </c>
      <c r="BY201" cm="1">
        <f t="array" ref="BY201">BX201*S*Linterp(BV$90,atmos_h,atmos_qms)*BU201^2</f>
        <v>3731.3303605585015</v>
      </c>
      <c r="BZ201" cm="1">
        <f t="array" ref="BZ201">BU201*Linterp(BV$90,atmos_h,atmos_aspeed)</f>
        <v>1258.5306635478639</v>
      </c>
      <c r="CA201" s="162">
        <f t="shared" si="37"/>
        <v>-3452.976570270122</v>
      </c>
      <c r="CC201">
        <v>1.3</v>
      </c>
      <c r="CD201" cm="1">
        <f t="array" ref="CD201">numeng*InterpolateXY(CD$90,CC201,Tmax_h,Tmax_M,Tmax_table)</f>
        <v>2473.9793844988922</v>
      </c>
      <c r="CE201" cm="1">
        <f t="array" ref="CE201">1*CD$91/(S*Linterp(CD$90,atmos_h,atmos_qms)*CC201^2)</f>
        <v>0.16143601494788085</v>
      </c>
      <c r="CF201" cm="1">
        <f t="array" ref="CF201">InterpolateXY(CE201,CC201,CD_CL,CD_M,CD_table)</f>
        <v>4.9696931008981954E-2</v>
      </c>
      <c r="CG201" cm="1">
        <f t="array" ref="CG201">CF201*S*Linterp(CD$90,atmos_h,atmos_qms)*CC201^2</f>
        <v>3078.4290001847771</v>
      </c>
      <c r="CH201" cm="1">
        <f t="array" ref="CH201">CC201*Linterp(CD$90,atmos_h,atmos_aspeed)</f>
        <v>1258.5306635478639</v>
      </c>
      <c r="CI201" s="162">
        <f t="shared" si="38"/>
        <v>-4564.3102554624484</v>
      </c>
      <c r="CK201">
        <v>1.3</v>
      </c>
      <c r="CL201" cm="1">
        <f t="array" ref="CL201">numeng*InterpolateXY(CL$90,CK201,Tmax_h,Tmax_M,Tmax_table)</f>
        <v>1787.163643701783</v>
      </c>
      <c r="CM201" cm="1">
        <f t="array" ref="CM201">1*CL$91/(S*Linterp(CL$90,atmos_h,atmos_qms)*CK201^2)</f>
        <v>0.20529077153302688</v>
      </c>
      <c r="CN201" cm="1">
        <f t="array" ref="CN201">InterpolateXY(CM201,CK201,CD_CL,CD_M,CD_table)</f>
        <v>5.2895211797465522E-2</v>
      </c>
      <c r="CO201" cm="1">
        <f t="array" ref="CO201">CN201*S*Linterp(CL$90,atmos_h,atmos_qms)*CK201^2</f>
        <v>2576.5995910320698</v>
      </c>
      <c r="CP201" cm="1">
        <f t="array" ref="CP201">CK201*Linterp(CL$90,atmos_h,atmos_aspeed)</f>
        <v>1258.5306635478639</v>
      </c>
      <c r="CQ201" s="162">
        <f t="shared" si="39"/>
        <v>-5961.1760797327352</v>
      </c>
    </row>
    <row r="202" spans="9:95">
      <c r="I202">
        <v>1.31</v>
      </c>
      <c r="J202" cm="1">
        <f t="array" ref="J202">numeng*InterpolateXY(J$90,I202,Tmax_h,Tmax_M,Tmax_table)</f>
        <v>8644</v>
      </c>
      <c r="K202" cm="1">
        <f t="array" ref="K202">1*J$91/(S*Linterp(J$90,atmos_h,atmos_qms)*I202^2)</f>
        <v>2.3139268887680916E-2</v>
      </c>
      <c r="L202" cm="1">
        <f t="array" ref="L202">InterpolateXY(K202,I202,CD_CL,CD_M,CD_table)</f>
        <v>4.3896418367194739E-2</v>
      </c>
      <c r="M202" cm="1">
        <f t="array" ref="M202">L202*S*Linterp(J$90,atmos_h,atmos_qms)*I202^2</f>
        <v>18970.529527216262</v>
      </c>
      <c r="N202" cm="1">
        <f t="array" ref="N202">I202*Linterp(J$90,atmos_h,atmos_aspeed)</f>
        <v>1462.5495000000001</v>
      </c>
      <c r="O202" s="162">
        <f t="shared" si="40"/>
        <v>-90618.363580592297</v>
      </c>
      <c r="Q202">
        <v>1.31</v>
      </c>
      <c r="R202" cm="1">
        <f t="array" ref="R202">numeng*InterpolateXY(R$90,Q202,Tmax_h,Tmax_M,Tmax_table)</f>
        <v>8125.5297441500643</v>
      </c>
      <c r="S202" cm="1">
        <f t="array" ref="S202">1*R$91/(S*Linterp(R$90,atmos_h,atmos_qms)*Q202^2)</f>
        <v>2.7810047842206875E-2</v>
      </c>
      <c r="T202" cm="1">
        <f t="array" ref="T202">InterpolateXY(S202,Q202,CD_CL,CD_M,CD_table)</f>
        <v>4.4002678588410206E-2</v>
      </c>
      <c r="U202" cm="1">
        <f t="array" ref="U202">T202*S*Linterp(R$90,atmos_h,atmos_qms)*Q202^2</f>
        <v>15822.582844186278</v>
      </c>
      <c r="V202" cm="1">
        <f t="array" ref="V202">Q202*Linterp(R$90,atmos_h,atmos_aspeed)</f>
        <v>1437.1910785450254</v>
      </c>
      <c r="W202" s="162">
        <f t="shared" si="30"/>
        <v>-66372.816278756261</v>
      </c>
      <c r="Y202">
        <v>1.31</v>
      </c>
      <c r="Z202" cm="1">
        <f t="array" ref="Z202">numeng*InterpolateXY(Z$90,Y202,Tmax_h,Tmax_M,Tmax_table)</f>
        <v>7544.2615568726333</v>
      </c>
      <c r="AA202" cm="1">
        <f t="array" ref="AA202">1*Z$91/(S*Linterp(Z$90,atmos_h,atmos_qms)*Y202^2)</f>
        <v>3.3647184567283876E-2</v>
      </c>
      <c r="AB202" cm="1">
        <f t="array" ref="AB202">InterpolateXY(AA202,Y202,CD_CL,CD_M,CD_table)</f>
        <v>4.4135473448905706E-2</v>
      </c>
      <c r="AC202" cm="1">
        <f t="array" ref="AC202">AB202*S*Linterp(Z$90,atmos_h,atmos_qms)*Y202^2</f>
        <v>13117.137144312484</v>
      </c>
      <c r="AD202" cm="1">
        <f t="array" ref="AD202">Y202*Linterp(Z$90,atmos_h,atmos_aspeed)</f>
        <v>1411.3771120960471</v>
      </c>
      <c r="AE202" s="162">
        <f t="shared" si="31"/>
        <v>-47192.57431602852</v>
      </c>
      <c r="AG202">
        <v>1.31</v>
      </c>
      <c r="AH202" cm="1">
        <f t="array" ref="AH202">numeng*InterpolateXY(AH$90,AG202,Tmax_h,Tmax_M,Tmax_table)</f>
        <v>6757.9579530283254</v>
      </c>
      <c r="AI202" cm="1">
        <f t="array" ref="AI202">1*AH$91/(S*Linterp(AH$90,atmos_h,atmos_qms)*AG202^2)</f>
        <v>4.1002320441814281E-2</v>
      </c>
      <c r="AJ202" cm="1">
        <f t="array" ref="AJ202">InterpolateXY(AI202,AG202,CD_CL,CD_M,CD_table)</f>
        <v>4.4302802790051277E-2</v>
      </c>
      <c r="AK202" cm="1">
        <f t="array" ref="AK202">AJ202*S*Linterp(AH$90,atmos_h,atmos_qms)*AG202^2</f>
        <v>10804.950137619811</v>
      </c>
      <c r="AL202" cm="1">
        <f t="array" ref="AL202">AG202*Linterp(AH$90,atmos_h,atmos_aspeed)</f>
        <v>1385.0821307228464</v>
      </c>
      <c r="AM202" s="162">
        <f t="shared" si="32"/>
        <v>-33632.499348316094</v>
      </c>
      <c r="AO202">
        <v>1.31</v>
      </c>
      <c r="AP202" cm="1">
        <f t="array" ref="AP202">numeng*InterpolateXY(AP$90,AO202,Tmax_h,Tmax_M,Tmax_table)</f>
        <v>6001.5250246898795</v>
      </c>
      <c r="AQ202" cm="1">
        <f t="array" ref="AQ202">1*AP$91/(S*Linterp(AP$90,atmos_h,atmos_qms)*AO202^2)</f>
        <v>5.035286873567496E-2</v>
      </c>
      <c r="AR202" cm="1">
        <f t="array" ref="AR202">InterpolateXY(AQ202,AO202,CD_CL,CD_M,CD_table)</f>
        <v>4.4515527763736601E-2</v>
      </c>
      <c r="AS202" cm="1">
        <f t="array" ref="AS202">AR202*S*Linterp(AP$90,atmos_h,atmos_qms)*AO202^2</f>
        <v>8840.7133260706141</v>
      </c>
      <c r="AT202" cm="1">
        <f t="array" ref="AT202">AO202*Linterp(AP$90,atmos_h,atmos_aspeed)</f>
        <v>1358.2781987306223</v>
      </c>
      <c r="AU202" s="162">
        <f t="shared" si="33"/>
        <v>-23138.44543113888</v>
      </c>
      <c r="AW202">
        <v>1.31</v>
      </c>
      <c r="AX202" cm="1">
        <f t="array" ref="AX202">numeng*InterpolateXY(AX$90,AW202,Tmax_h,Tmax_M,Tmax_table)</f>
        <v>5282.362303535213</v>
      </c>
      <c r="AY202" cm="1">
        <f t="array" ref="AY202">1*AX$91/(S*Linterp(AX$90,atmos_h,atmos_qms)*AW202^2)</f>
        <v>6.2354694248595049E-2</v>
      </c>
      <c r="AZ202" cm="1">
        <f t="array" ref="AZ202">InterpolateXY(AY202,AW202,CD_CL,CD_M,CD_table)</f>
        <v>4.4788569294155534E-2</v>
      </c>
      <c r="BA202" cm="1">
        <f t="array" ref="BA202">AZ202*S*Linterp(AX$90,atmos_h,atmos_qms)*AW202^2</f>
        <v>7182.8704853547888</v>
      </c>
      <c r="BB202" cm="1">
        <f t="array" ref="BB202">AW202*Linterp(AX$90,atmos_h,atmos_aspeed)</f>
        <v>1330.934566928843</v>
      </c>
      <c r="BC202" s="162">
        <f t="shared" si="34"/>
        <v>-15176.712203488558</v>
      </c>
      <c r="BE202">
        <v>1.31</v>
      </c>
      <c r="BF202" cm="1">
        <f t="array" ref="BF202">numeng*InterpolateXY(BF$90,BE202,Tmax_h,Tmax_M,Tmax_table)</f>
        <v>4606.2529950306825</v>
      </c>
      <c r="BG202" cm="1">
        <f t="array" ref="BG202">1*BF$91/(S*Linterp(BF$90,atmos_h,atmos_qms)*BE202^2)</f>
        <v>7.7920380382285034E-2</v>
      </c>
      <c r="BH202" cm="1">
        <f t="array" ref="BH202">InterpolateXY(BG202,BE202,CD_CL,CD_M,CD_table)</f>
        <v>4.5142688653696986E-2</v>
      </c>
      <c r="BI202" cm="1">
        <f t="array" ref="BI202">BH202*S*Linterp(BF$90,atmos_h,atmos_qms)*BE202^2</f>
        <v>5793.4379211475261</v>
      </c>
      <c r="BJ202" cm="1">
        <f t="array" ref="BJ202">BE202*Linterp(BF$90,atmos_h,atmos_aspeed)</f>
        <v>1303.0172591893133</v>
      </c>
      <c r="BK202" s="162">
        <f t="shared" si="35"/>
        <v>-9281.5346914778238</v>
      </c>
      <c r="BM202">
        <v>1.31</v>
      </c>
      <c r="BN202" cm="1">
        <f t="array" ref="BN202">numeng*InterpolateXY(BN$90,BM202,Tmax_h,Tmax_M,Tmax_table)</f>
        <v>3977.4953059169466</v>
      </c>
      <c r="BO202" cm="1">
        <f t="array" ref="BO202">1*BN$91/(S*Linterp(BN$90,atmos_h,atmos_qms)*BM202^2)</f>
        <v>9.8337389502085593E-2</v>
      </c>
      <c r="BP202" cm="1">
        <f t="array" ref="BP202">InterpolateXY(BO202,BM202,CD_CL,CD_M,CD_table)</f>
        <v>4.5607175611172446E-2</v>
      </c>
      <c r="BQ202" cm="1">
        <f t="array" ref="BQ202">BP202*S*Linterp(BN$90,atmos_h,atmos_qms)*BM202^2</f>
        <v>4637.8265522500151</v>
      </c>
      <c r="BR202" cm="1">
        <f t="array" ref="BR202">BM202*Linterp(BN$90,atmos_h,atmos_aspeed)</f>
        <v>1274.4885774475947</v>
      </c>
      <c r="BS202" s="162">
        <f t="shared" si="36"/>
        <v>-5049.5077846993781</v>
      </c>
      <c r="BU202">
        <v>1.31</v>
      </c>
      <c r="BV202" cm="1">
        <f t="array" ref="BV202">numeng*InterpolateXY(BV$90,BU202,Tmax_h,Tmax_M,Tmax_table)</f>
        <v>3288.8243491515932</v>
      </c>
      <c r="BW202" cm="1">
        <f t="array" ref="BW202">1*BV$91/(S*Linterp(BV$90,atmos_h,atmos_qms)*BU202^2)</f>
        <v>0.12501886255944061</v>
      </c>
      <c r="BX202" cm="1">
        <f t="array" ref="BX202">InterpolateXY(BW202,BU202,CD_CL,CD_M,CD_table)</f>
        <v>4.7352537369681827E-2</v>
      </c>
      <c r="BY202" cm="1">
        <f t="array" ref="BY202">BX202*S*Linterp(BV$90,atmos_h,atmos_qms)*BU202^2</f>
        <v>3787.6314341900134</v>
      </c>
      <c r="BZ202" cm="1">
        <f t="array" ref="BZ202">BU202*Linterp(BV$90,atmos_h,atmos_aspeed)</f>
        <v>1268.2116686520783</v>
      </c>
      <c r="CA202" s="162">
        <f t="shared" si="37"/>
        <v>-3795.5577939123236</v>
      </c>
      <c r="CC202">
        <v>1.31</v>
      </c>
      <c r="CD202" cm="1">
        <f t="array" ref="CD202">numeng*InterpolateXY(CD$90,CC202,Tmax_h,Tmax_M,Tmax_table)</f>
        <v>2484.819982740828</v>
      </c>
      <c r="CE202" cm="1">
        <f t="array" ref="CE202">1*CD$91/(S*Linterp(CD$90,atmos_h,atmos_qms)*CC202^2)</f>
        <v>0.1589807501089206</v>
      </c>
      <c r="CF202" cm="1">
        <f t="array" ref="CF202">InterpolateXY(CE202,CC202,CD_CL,CD_M,CD_table)</f>
        <v>4.9670436194933831E-2</v>
      </c>
      <c r="CG202" cm="1">
        <f t="array" ref="CG202">CF202*S*Linterp(CD$90,atmos_h,atmos_qms)*CC202^2</f>
        <v>3124.3050596316666</v>
      </c>
      <c r="CH202" cm="1">
        <f t="array" ref="CH202">CC202*Linterp(CD$90,atmos_h,atmos_aspeed)</f>
        <v>1268.2116686520783</v>
      </c>
      <c r="CI202" s="162">
        <f t="shared" si="38"/>
        <v>-4866.0146186509983</v>
      </c>
      <c r="CK202">
        <v>1.31</v>
      </c>
      <c r="CL202" cm="1">
        <f t="array" ref="CL202">numeng*InterpolateXY(CL$90,CK202,Tmax_h,Tmax_M,Tmax_table)</f>
        <v>1794.4706160099333</v>
      </c>
      <c r="CM202" cm="1">
        <f t="array" ref="CM202">1*CL$91/(S*Linterp(CL$90,atmos_h,atmos_qms)*CK202^2)</f>
        <v>0.20216852391516546</v>
      </c>
      <c r="CN202" cm="1">
        <f t="array" ref="CN202">InterpolateXY(CM202,CK202,CD_CL,CD_M,CD_table)</f>
        <v>5.2716669595350069E-2</v>
      </c>
      <c r="CO202" cm="1">
        <f t="array" ref="CO202">CN202*S*Linterp(CL$90,atmos_h,atmos_qms)*CK202^2</f>
        <v>2607.5606911722416</v>
      </c>
      <c r="CP202" cm="1">
        <f t="array" ref="CP202">CK202*Linterp(CL$90,atmos_h,atmos_aspeed)</f>
        <v>1268.2116686520783</v>
      </c>
      <c r="CQ202" s="162">
        <f t="shared" si="39"/>
        <v>-6187.0219259162086</v>
      </c>
    </row>
    <row r="203" spans="9:95">
      <c r="I203">
        <v>1.32</v>
      </c>
      <c r="J203" cm="1">
        <f t="array" ref="J203">numeng*InterpolateXY(J$90,I203,Tmax_h,Tmax_M,Tmax_table)</f>
        <v>8668</v>
      </c>
      <c r="K203" cm="1">
        <f t="array" ref="K203">1*J$91/(S*Linterp(J$90,atmos_h,atmos_qms)*I203^2)</f>
        <v>2.2790001915834034E-2</v>
      </c>
      <c r="L203" cm="1">
        <f t="array" ref="L203">InterpolateXY(K203,I203,CD_CL,CD_M,CD_table)</f>
        <v>4.3964170044064187E-2</v>
      </c>
      <c r="M203" cm="1">
        <f t="array" ref="M203">L203*S*Linterp(J$90,atmos_h,atmos_qms)*I203^2</f>
        <v>19290.990060654083</v>
      </c>
      <c r="N203" cm="1">
        <f t="array" ref="N203">I203*Linterp(J$90,atmos_h,atmos_aspeed)</f>
        <v>1473.7140000000002</v>
      </c>
      <c r="O203" s="162">
        <f t="shared" si="40"/>
        <v>-93931.495045480639</v>
      </c>
      <c r="Q203">
        <v>1.32</v>
      </c>
      <c r="R203" cm="1">
        <f t="array" ref="R203">numeng*InterpolateXY(R$90,Q203,Tmax_h,Tmax_M,Tmax_table)</f>
        <v>8151.3797857539357</v>
      </c>
      <c r="S203" cm="1">
        <f t="array" ref="S203">1*R$91/(S*Linterp(R$90,atmos_h,atmos_qms)*Q203^2)</f>
        <v>2.7390279558087243E-2</v>
      </c>
      <c r="T203" cm="1">
        <f t="array" ref="T203">InterpolateXY(S203,Q203,CD_CL,CD_M,CD_table)</f>
        <v>4.4069976429836004E-2</v>
      </c>
      <c r="U203" cm="1">
        <f t="array" ref="U203">T203*S*Linterp(R$90,atmos_h,atmos_qms)*Q203^2</f>
        <v>16089.64097514073</v>
      </c>
      <c r="V203" cm="1">
        <f t="array" ref="V203">Q203*Linterp(R$90,atmos_h,atmos_aspeed)</f>
        <v>1448.1620028087279</v>
      </c>
      <c r="W203" s="162">
        <f t="shared" si="30"/>
        <v>-68975.329337047049</v>
      </c>
      <c r="Y203">
        <v>1.32</v>
      </c>
      <c r="Z203" cm="1">
        <f t="array" ref="Z203">numeng*InterpolateXY(Z$90,Y203,Tmax_h,Tmax_M,Tmax_table)</f>
        <v>7570.8466602445415</v>
      </c>
      <c r="AA203" cm="1">
        <f t="array" ref="AA203">1*Z$91/(S*Linterp(Z$90,atmos_h,atmos_qms)*Y203^2)</f>
        <v>3.3139309823184034E-2</v>
      </c>
      <c r="AB203" cm="1">
        <f t="array" ref="AB203">InterpolateXY(AA203,Y203,CD_CL,CD_M,CD_table)</f>
        <v>4.4202204125933231E-2</v>
      </c>
      <c r="AC203" cm="1">
        <f t="array" ref="AC203">AB203*S*Linterp(Z$90,atmos_h,atmos_qms)*Y203^2</f>
        <v>13338.299548715911</v>
      </c>
      <c r="AD203" cm="1">
        <f t="array" ref="AD203">Y203*Linterp(Z$90,atmos_h,atmos_aspeed)</f>
        <v>1422.1509831807496</v>
      </c>
      <c r="AE203" s="162">
        <f t="shared" si="31"/>
        <v>-49213.132774729274</v>
      </c>
      <c r="AG203">
        <v>1.32</v>
      </c>
      <c r="AH203" cm="1">
        <f t="array" ref="AH203">numeng*InterpolateXY(AH$90,AG203,Tmax_h,Tmax_M,Tmax_table)</f>
        <v>6783.12725639156</v>
      </c>
      <c r="AI203" cm="1">
        <f t="array" ref="AI203">1*AH$91/(S*Linterp(AH$90,atmos_h,atmos_qms)*AG203^2)</f>
        <v>4.0383426371784603E-2</v>
      </c>
      <c r="AJ203" cm="1">
        <f t="array" ref="AJ203">InterpolateXY(AI203,AG203,CD_CL,CD_M,CD_table)</f>
        <v>4.4368818806551046E-2</v>
      </c>
      <c r="AK203" cm="1">
        <f t="array" ref="AK203">AJ203*S*Linterp(AH$90,atmos_h,atmos_qms)*AG203^2</f>
        <v>10986.888135265064</v>
      </c>
      <c r="AL203" cm="1">
        <f t="array" ref="AL203">AG203*Linterp(AH$90,atmos_h,atmos_aspeed)</f>
        <v>1395.6552767588987</v>
      </c>
      <c r="AM203" s="162">
        <f t="shared" si="32"/>
        <v>-35202.006316994593</v>
      </c>
      <c r="AO203">
        <v>1.32</v>
      </c>
      <c r="AP203" cm="1">
        <f t="array" ref="AP203">numeng*InterpolateXY(AP$90,AO203,Tmax_h,Tmax_M,Tmax_table)</f>
        <v>6024.9684818175747</v>
      </c>
      <c r="AQ203" cm="1">
        <f t="array" ref="AQ203">1*AP$91/(S*Linterp(AP$90,atmos_h,atmos_qms)*AO203^2)</f>
        <v>4.9592836339125229E-2</v>
      </c>
      <c r="AR203" cm="1">
        <f t="array" ref="AR203">InterpolateXY(AQ203,AO203,CD_CL,CD_M,CD_table)</f>
        <v>4.458063523579988E-2</v>
      </c>
      <c r="AS203" cm="1">
        <f t="array" ref="AS203">AR203*S*Linterp(AP$90,atmos_h,atmos_qms)*AO203^2</f>
        <v>8989.3296142509444</v>
      </c>
      <c r="AT203" cm="1">
        <f t="array" ref="AT203">AO203*Linterp(AP$90,atmos_h,atmos_aspeed)</f>
        <v>1368.6467345987951</v>
      </c>
      <c r="AU203" s="162">
        <f t="shared" si="33"/>
        <v>-24342.979104459107</v>
      </c>
      <c r="AW203">
        <v>1.32</v>
      </c>
      <c r="AX203" cm="1">
        <f t="array" ref="AX203">numeng*InterpolateXY(AX$90,AW203,Tmax_h,Tmax_M,Tmax_table)</f>
        <v>5303.871753023649</v>
      </c>
      <c r="AY203" cm="1">
        <f t="array" ref="AY203">1*AX$91/(S*Linterp(AX$90,atmos_h,atmos_qms)*AW203^2)</f>
        <v>6.1413504820944646E-2</v>
      </c>
      <c r="AZ203" cm="1">
        <f t="array" ref="AZ203">InterpolateXY(AY203,AW203,CD_CL,CD_M,CD_table)</f>
        <v>4.4852510610881725E-2</v>
      </c>
      <c r="BA203" cm="1">
        <f t="array" ref="BA203">AZ203*S*Linterp(AX$90,atmos_h,atmos_qms)*AW203^2</f>
        <v>7303.3627931922047</v>
      </c>
      <c r="BB203" cm="1">
        <f t="array" ref="BB203">AW203*Linterp(AX$90,atmos_h,atmos_aspeed)</f>
        <v>1341.0943727832616</v>
      </c>
      <c r="BC203" s="162">
        <f t="shared" si="34"/>
        <v>-16089.037094403604</v>
      </c>
      <c r="BE203">
        <v>1.32</v>
      </c>
      <c r="BF203" cm="1">
        <f t="array" ref="BF203">numeng*InterpolateXY(BF$90,BE203,Tmax_h,Tmax_M,Tmax_table)</f>
        <v>4625.7076048212602</v>
      </c>
      <c r="BG203" cm="1">
        <f t="array" ref="BG203">1*BF$91/(S*Linterp(BF$90,atmos_h,atmos_qms)*BE203^2)</f>
        <v>7.6744240572795774E-2</v>
      </c>
      <c r="BH203" cm="1">
        <f t="array" ref="BH203">InterpolateXY(BG203,BE203,CD_CL,CD_M,CD_table)</f>
        <v>4.5205117533174299E-2</v>
      </c>
      <c r="BI203" cm="1">
        <f t="array" ref="BI203">BH203*S*Linterp(BF$90,atmos_h,atmos_qms)*BE203^2</f>
        <v>5890.3596147120606</v>
      </c>
      <c r="BJ203" cm="1">
        <f t="array" ref="BJ203">BE203*Linterp(BF$90,atmos_h,atmos_aspeed)</f>
        <v>1312.9639558243462</v>
      </c>
      <c r="BK203" s="162">
        <f t="shared" si="35"/>
        <v>-9962.6550338846137</v>
      </c>
      <c r="BM203">
        <v>1.32</v>
      </c>
      <c r="BN203" cm="1">
        <f t="array" ref="BN203">numeng*InterpolateXY(BN$90,BM203,Tmax_h,Tmax_M,Tmax_table)</f>
        <v>3994.8480433064256</v>
      </c>
      <c r="BO203" cm="1">
        <f t="array" ref="BO203">1*BN$91/(S*Linterp(BN$90,atmos_h,atmos_qms)*BM203^2)</f>
        <v>9.6853072844656274E-2</v>
      </c>
      <c r="BP203" cm="1">
        <f t="array" ref="BP203">InterpolateXY(BO203,BM203,CD_CL,CD_M,CD_table)</f>
        <v>4.5667620675427095E-2</v>
      </c>
      <c r="BQ203" cm="1">
        <f t="array" ref="BQ203">BP203*S*Linterp(BN$90,atmos_h,atmos_qms)*BM203^2</f>
        <v>4715.1442214615026</v>
      </c>
      <c r="BR203" cm="1">
        <f t="array" ref="BR203">BM203*Linterp(BN$90,atmos_h,atmos_aspeed)</f>
        <v>1284.217497886126</v>
      </c>
      <c r="BS203" s="162">
        <f t="shared" si="36"/>
        <v>-5550.1017338835145</v>
      </c>
      <c r="BU203">
        <v>1.32</v>
      </c>
      <c r="BV203" cm="1">
        <f t="array" ref="BV203">numeng*InterpolateXY(BV$90,BU203,Tmax_h,Tmax_M,Tmax_table)</f>
        <v>3303.59451838431</v>
      </c>
      <c r="BW203" cm="1">
        <f t="array" ref="BW203">1*BV$91/(S*Linterp(BV$90,atmos_h,atmos_qms)*BU203^2)</f>
        <v>0.12313181246456384</v>
      </c>
      <c r="BX203" cm="1">
        <f t="array" ref="BX203">InterpolateXY(BW203,BU203,CD_CL,CD_M,CD_table)</f>
        <v>4.7336095060054907E-2</v>
      </c>
      <c r="BY203" cm="1">
        <f t="array" ref="BY203">BX203*S*Linterp(BV$90,atmos_h,atmos_qms)*BU203^2</f>
        <v>3844.3432377540753</v>
      </c>
      <c r="BZ203" cm="1">
        <f t="array" ref="BZ203">BU203*Linterp(BV$90,atmos_h,atmos_aspeed)</f>
        <v>1277.8926737562927</v>
      </c>
      <c r="CA203" s="162">
        <f t="shared" si="37"/>
        <v>-4146.1129609543223</v>
      </c>
      <c r="CC203">
        <v>1.32</v>
      </c>
      <c r="CD203" cm="1">
        <f t="array" ref="CD203">numeng*InterpolateXY(CD$90,CC203,Tmax_h,Tmax_M,Tmax_table)</f>
        <v>2495.6605809827633</v>
      </c>
      <c r="CE203" cm="1">
        <f t="array" ref="CE203">1*CD$91/(S*Linterp(CD$90,atmos_h,atmos_qms)*CC203^2)</f>
        <v>0.15658107510440694</v>
      </c>
      <c r="CF203" cm="1">
        <f t="array" ref="CF203">InterpolateXY(CE203,CC203,CD_CL,CD_M,CD_table)</f>
        <v>4.9644094182204078E-2</v>
      </c>
      <c r="CG203" cm="1">
        <f t="array" ref="CG203">CF203*S*Linterp(CD$90,atmos_h,atmos_qms)*CC203^2</f>
        <v>3170.5041077985843</v>
      </c>
      <c r="CH203" cm="1">
        <f t="array" ref="CH203">CC203*Linterp(CD$90,atmos_h,atmos_aspeed)</f>
        <v>1277.8926737562927</v>
      </c>
      <c r="CI203" s="162">
        <f t="shared" si="38"/>
        <v>-5174.2655930987748</v>
      </c>
      <c r="CK203">
        <v>1.32</v>
      </c>
      <c r="CL203" cm="1">
        <f t="array" ref="CL203">numeng*InterpolateXY(CL$90,CK203,Tmax_h,Tmax_M,Tmax_table)</f>
        <v>1801.7775883180839</v>
      </c>
      <c r="CM203" cm="1">
        <f t="array" ref="CM203">1*CL$91/(S*Linterp(CL$90,atmos_h,atmos_qms)*CK203^2)</f>
        <v>0.19911696733862225</v>
      </c>
      <c r="CN203" cm="1">
        <f t="array" ref="CN203">InterpolateXY(CM203,CK203,CD_CL,CD_M,CD_table)</f>
        <v>5.2579070746364934E-2</v>
      </c>
      <c r="CO203" cm="1">
        <f t="array" ref="CO203">CN203*S*Linterp(CL$90,atmos_h,atmos_qms)*CK203^2</f>
        <v>2640.6122717281005</v>
      </c>
      <c r="CP203" cm="1">
        <f t="array" ref="CP203">CK203*Linterp(CL$90,atmos_h,atmos_aspeed)</f>
        <v>1277.8926737562927</v>
      </c>
      <c r="CQ203" s="162">
        <f t="shared" si="39"/>
        <v>-6431.6441785340367</v>
      </c>
    </row>
    <row r="204" spans="9:95">
      <c r="I204">
        <v>1.33</v>
      </c>
      <c r="J204" cm="1">
        <f t="array" ref="J204">numeng*InterpolateXY(J$90,I204,Tmax_h,Tmax_M,Tmax_table)</f>
        <v>8692</v>
      </c>
      <c r="K204" cm="1">
        <f t="array" ref="K204">1*J$91/(S*Linterp(J$90,atmos_h,atmos_qms)*I204^2)</f>
        <v>2.2448583491519715E-2</v>
      </c>
      <c r="L204" cm="1">
        <f t="array" ref="L204">InterpolateXY(K204,I204,CD_CL,CD_M,CD_table)</f>
        <v>4.4031929566177831E-2</v>
      </c>
      <c r="M204" cm="1">
        <f t="array" ref="M204">L204*S*Linterp(J$90,atmos_h,atmos_qms)*I204^2</f>
        <v>19614.569259041022</v>
      </c>
      <c r="N204" cm="1">
        <f t="array" ref="N204">I204*Linterp(J$90,atmos_h,atmos_aspeed)</f>
        <v>1484.8785</v>
      </c>
      <c r="O204" s="162">
        <f t="shared" si="40"/>
        <v>-97312.129545065662</v>
      </c>
      <c r="Q204">
        <v>1.33</v>
      </c>
      <c r="R204" cm="1">
        <f t="array" ref="R204">numeng*InterpolateXY(R$90,Q204,Tmax_h,Tmax_M,Tmax_table)</f>
        <v>8177.2298273578062</v>
      </c>
      <c r="S204" cm="1">
        <f t="array" ref="S204">1*R$91/(S*Linterp(R$90,atmos_h,atmos_qms)*Q204^2)</f>
        <v>2.6979944090684164E-2</v>
      </c>
      <c r="T204" cm="1">
        <f t="array" ref="T204">InterpolateXY(S204,Q204,CD_CL,CD_M,CD_table)</f>
        <v>4.4137283700108408E-2</v>
      </c>
      <c r="U204" cm="1">
        <f t="array" ref="U204">T204*S*Linterp(R$90,atmos_h,atmos_qms)*Q204^2</f>
        <v>16359.29398213559</v>
      </c>
      <c r="V204" cm="1">
        <f t="array" ref="V204">Q204*Linterp(R$90,atmos_h,atmos_aspeed)</f>
        <v>1459.1329270724304</v>
      </c>
      <c r="W204" s="162">
        <f t="shared" si="30"/>
        <v>-71632.31531793192</v>
      </c>
      <c r="Y204">
        <v>1.33</v>
      </c>
      <c r="Z204" cm="1">
        <f t="array" ref="Z204">numeng*InterpolateXY(Z$90,Y204,Tmax_h,Tmax_M,Tmax_table)</f>
        <v>7597.4317636164496</v>
      </c>
      <c r="AA204" cm="1">
        <f t="array" ref="AA204">1*Z$91/(S*Linterp(Z$90,atmos_h,atmos_qms)*Y204^2)</f>
        <v>3.2642847778798043E-2</v>
      </c>
      <c r="AB204" cm="1">
        <f t="array" ref="AB204">InterpolateXY(AA204,Y204,CD_CL,CD_M,CD_table)</f>
        <v>4.4268946210857051E-2</v>
      </c>
      <c r="AC204" cm="1">
        <f t="array" ref="AC204">AB204*S*Linterp(Z$90,atmos_h,atmos_qms)*Y204^2</f>
        <v>13561.606668279204</v>
      </c>
      <c r="AD204" cm="1">
        <f t="array" ref="AD204">Y204*Linterp(Z$90,atmos_h,atmos_aspeed)</f>
        <v>1432.9248542654523</v>
      </c>
      <c r="AE204" s="162">
        <f t="shared" si="31"/>
        <v>-51277.286736465277</v>
      </c>
      <c r="AG204">
        <v>1.33</v>
      </c>
      <c r="AH204" cm="1">
        <f t="array" ref="AH204">numeng*InterpolateXY(AH$90,AG204,Tmax_h,Tmax_M,Tmax_table)</f>
        <v>6808.2965597547936</v>
      </c>
      <c r="AI204" cm="1">
        <f t="array" ref="AI204">1*AH$91/(S*Linterp(AH$90,atmos_h,atmos_qms)*AG204^2)</f>
        <v>3.9778439770590472E-2</v>
      </c>
      <c r="AJ204" cm="1">
        <f t="array" ref="AJ204">InterpolateXY(AI204,AG204,CD_CL,CD_M,CD_table)</f>
        <v>4.4434848724666229E-2</v>
      </c>
      <c r="AK204" cm="1">
        <f t="array" ref="AK204">AJ204*S*Linterp(AH$90,atmos_h,atmos_qms)*AG204^2</f>
        <v>11170.586121760962</v>
      </c>
      <c r="AL204" cm="1">
        <f t="array" ref="AL204">AG204*Linterp(AH$90,atmos_h,atmos_aspeed)</f>
        <v>1406.228422794951</v>
      </c>
      <c r="AM204" s="162">
        <f t="shared" si="32"/>
        <v>-36806.253423328868</v>
      </c>
      <c r="AO204">
        <v>1.33</v>
      </c>
      <c r="AP204" cm="1">
        <f t="array" ref="AP204">numeng*InterpolateXY(AP$90,AO204,Tmax_h,Tmax_M,Tmax_table)</f>
        <v>6048.411938945269</v>
      </c>
      <c r="AQ204" cm="1">
        <f t="array" ref="AQ204">1*AP$91/(S*Linterp(AP$90,atmos_h,atmos_qms)*AO204^2)</f>
        <v>4.8849882999203918E-2</v>
      </c>
      <c r="AR204" cm="1">
        <f t="array" ref="AR204">InterpolateXY(AQ204,AO204,CD_CL,CD_M,CD_table)</f>
        <v>4.4645759779731488E-2</v>
      </c>
      <c r="AS204" cm="1">
        <f t="array" ref="AS204">AR204*S*Linterp(AP$90,atmos_h,atmos_qms)*AO204^2</f>
        <v>9139.3790606333823</v>
      </c>
      <c r="AT204" cm="1">
        <f t="array" ref="AT204">AO204*Linterp(AP$90,atmos_h,atmos_aspeed)</f>
        <v>1379.0152704669676</v>
      </c>
      <c r="AU204" s="162">
        <f t="shared" si="33"/>
        <v>-25574.94516791543</v>
      </c>
      <c r="AW204">
        <v>1.33</v>
      </c>
      <c r="AX204" cm="1">
        <f t="array" ref="AX204">numeng*InterpolateXY(AX$90,AW204,Tmax_h,Tmax_M,Tmax_table)</f>
        <v>5325.381202512086</v>
      </c>
      <c r="AY204" cm="1">
        <f t="array" ref="AY204">1*AX$91/(S*Linterp(AX$90,atmos_h,atmos_qms)*AW204^2)</f>
        <v>6.0493465317436802E-2</v>
      </c>
      <c r="AZ204" cm="1">
        <f t="array" ref="AZ204">InterpolateXY(AY204,AW204,CD_CL,CD_M,CD_table)</f>
        <v>4.4916473068630405E-2</v>
      </c>
      <c r="BA204" cm="1">
        <f t="array" ref="BA204">AZ204*S*Linterp(AX$90,atmos_h,atmos_qms)*AW204^2</f>
        <v>7425.0124096765148</v>
      </c>
      <c r="BB204" cm="1">
        <f t="array" ref="BB204">AW204*Linterp(AX$90,atmos_h,atmos_aspeed)</f>
        <v>1351.2541786376803</v>
      </c>
      <c r="BC204" s="162">
        <f t="shared" si="34"/>
        <v>-17022.812653674067</v>
      </c>
      <c r="BE204">
        <v>1.33</v>
      </c>
      <c r="BF204" cm="1">
        <f t="array" ref="BF204">numeng*InterpolateXY(BF$90,BE204,Tmax_h,Tmax_M,Tmax_table)</f>
        <v>4645.1622146118389</v>
      </c>
      <c r="BG204" cm="1">
        <f t="array" ref="BG204">1*BF$91/(S*Linterp(BF$90,atmos_h,atmos_qms)*BE204^2)</f>
        <v>7.5594530371439511E-2</v>
      </c>
      <c r="BH204" cm="1">
        <f t="array" ref="BH204">InterpolateXY(BG204,BE204,CD_CL,CD_M,CD_table)</f>
        <v>4.5267572831135965E-2</v>
      </c>
      <c r="BI204" cm="1">
        <f t="array" ref="BI204">BH204*S*Linterp(BF$90,atmos_h,atmos_qms)*BE204^2</f>
        <v>5988.2074283298389</v>
      </c>
      <c r="BJ204" cm="1">
        <f t="array" ref="BJ204">BE204*Linterp(BF$90,atmos_h,atmos_aspeed)</f>
        <v>1322.9106524593792</v>
      </c>
      <c r="BK204" s="162">
        <f t="shared" si="35"/>
        <v>-10660.372919772755</v>
      </c>
      <c r="BM204">
        <v>1.33</v>
      </c>
      <c r="BN204" cm="1">
        <f t="array" ref="BN204">numeng*InterpolateXY(BN$90,BM204,Tmax_h,Tmax_M,Tmax_table)</f>
        <v>4012.2007806959041</v>
      </c>
      <c r="BO204" cm="1">
        <f t="array" ref="BO204">1*BN$91/(S*Linterp(BN$90,atmos_h,atmos_qms)*BM204^2)</f>
        <v>9.5402110986787886E-2</v>
      </c>
      <c r="BP204" cm="1">
        <f t="array" ref="BP204">InterpolateXY(BO204,BM204,CD_CL,CD_M,CD_table)</f>
        <v>4.572809908044282E-2</v>
      </c>
      <c r="BQ204" cm="1">
        <f t="array" ref="BQ204">BP204*S*Linterp(BN$90,atmos_h,atmos_qms)*BM204^2</f>
        <v>4793.1957277942884</v>
      </c>
      <c r="BR204" cm="1">
        <f t="array" ref="BR204">BM204*Linterp(BN$90,atmos_h,atmos_aspeed)</f>
        <v>1293.9464183246571</v>
      </c>
      <c r="BS204" s="162">
        <f t="shared" si="36"/>
        <v>-6063.393687165656</v>
      </c>
      <c r="BU204">
        <v>1.33</v>
      </c>
      <c r="BV204" cm="1">
        <f t="array" ref="BV204">numeng*InterpolateXY(BV$90,BU204,Tmax_h,Tmax_M,Tmax_table)</f>
        <v>3318.3646876170264</v>
      </c>
      <c r="BW204" cm="1">
        <f t="array" ref="BW204">1*BV$91/(S*Linterp(BV$90,atmos_h,atmos_qms)*BU204^2)</f>
        <v>0.12128716718766244</v>
      </c>
      <c r="BX204" cm="1">
        <f t="array" ref="BX204">InterpolateXY(BW204,BU204,CD_CL,CD_M,CD_table)</f>
        <v>4.7319779911339455E-2</v>
      </c>
      <c r="BY204" cm="1">
        <f t="array" ref="BY204">BX204*S*Linterp(BV$90,atmos_h,atmos_qms)*BU204^2</f>
        <v>3901.4663305742474</v>
      </c>
      <c r="BZ204" cm="1">
        <f t="array" ref="BZ204">BU204*Linterp(BV$90,atmos_h,atmos_aspeed)</f>
        <v>1287.573678860507</v>
      </c>
      <c r="CA204" s="162">
        <f t="shared" si="37"/>
        <v>-4504.7179654322099</v>
      </c>
      <c r="CC204">
        <v>1.33</v>
      </c>
      <c r="CD204" cm="1">
        <f t="array" ref="CD204">numeng*InterpolateXY(CD$90,CC204,Tmax_h,Tmax_M,Tmax_table)</f>
        <v>2506.5011792246992</v>
      </c>
      <c r="CE204" cm="1">
        <f t="array" ref="CE204">1*CD$91/(S*Linterp(CD$90,atmos_h,atmos_qms)*CC204^2)</f>
        <v>0.15423532436085624</v>
      </c>
      <c r="CF204" cm="1">
        <f t="array" ref="CF204">InterpolateXY(CE204,CC204,CD_CL,CD_M,CD_table)</f>
        <v>4.9617913874169722E-2</v>
      </c>
      <c r="CG204" cm="1">
        <f t="array" ref="CG204">CF204*S*Linterp(CD$90,atmos_h,atmos_qms)*CC204^2</f>
        <v>3217.0265845249114</v>
      </c>
      <c r="CH204" cm="1">
        <f t="array" ref="CH204">CC204*Linterp(CD$90,atmos_h,atmos_aspeed)</f>
        <v>1287.573678860507</v>
      </c>
      <c r="CI204" s="162">
        <f t="shared" si="38"/>
        <v>-5489.1228601574821</v>
      </c>
      <c r="CK204">
        <v>1.33</v>
      </c>
      <c r="CL204" cm="1">
        <f t="array" ref="CL204">numeng*InterpolateXY(CL$90,CK204,Tmax_h,Tmax_M,Tmax_table)</f>
        <v>1809.0845606262342</v>
      </c>
      <c r="CM204" cm="1">
        <f t="array" ref="CM204">1*CL$91/(S*Linterp(CL$90,atmos_h,atmos_qms)*CK204^2)</f>
        <v>0.1961339837700353</v>
      </c>
      <c r="CN204" cm="1">
        <f t="array" ref="CN204">InterpolateXY(CM204,CK204,CD_CL,CD_M,CD_table)</f>
        <v>5.2540345367959963E-2</v>
      </c>
      <c r="CO204" cm="1">
        <f t="array" ref="CO204">CN204*S*Linterp(CL$90,atmos_h,atmos_qms)*CK204^2</f>
        <v>2678.7986639563123</v>
      </c>
      <c r="CP204" cm="1">
        <f t="array" ref="CP204">CK204*Linterp(CL$90,atmos_h,atmos_aspeed)</f>
        <v>1287.573678860507</v>
      </c>
      <c r="CQ204" s="162">
        <f t="shared" si="39"/>
        <v>-6718.925925489455</v>
      </c>
    </row>
    <row r="205" spans="9:95">
      <c r="I205">
        <v>1.34</v>
      </c>
      <c r="J205" cm="1">
        <f t="array" ref="J205">numeng*InterpolateXY(J$90,I205,Tmax_h,Tmax_M,Tmax_table)</f>
        <v>8716</v>
      </c>
      <c r="K205" cm="1">
        <f t="array" ref="K205">1*J$91/(S*Linterp(J$90,atmos_h,atmos_qms)*I205^2)</f>
        <v>2.2114780206142357E-2</v>
      </c>
      <c r="L205" cm="1">
        <f t="array" ref="L205">InterpolateXY(K205,I205,CD_CL,CD_M,CD_table)</f>
        <v>4.4099697334844347E-2</v>
      </c>
      <c r="M205" cm="1">
        <f t="array" ref="M205">L205*S*Linterp(J$90,atmos_h,atmos_qms)*I205^2</f>
        <v>19941.277699244645</v>
      </c>
      <c r="N205" cm="1">
        <f t="array" ref="N205">I205*Linterp(J$90,atmos_h,atmos_aspeed)</f>
        <v>1496.0430000000001</v>
      </c>
      <c r="O205" s="162">
        <f t="shared" si="40"/>
        <v>-100760.98875006635</v>
      </c>
      <c r="Q205">
        <v>1.34</v>
      </c>
      <c r="R205" cm="1">
        <f t="array" ref="R205">numeng*InterpolateXY(R$90,Q205,Tmax_h,Tmax_M,Tmax_table)</f>
        <v>8203.0798689616768</v>
      </c>
      <c r="S205" cm="1">
        <f t="array" ref="S205">1*R$91/(S*Linterp(R$90,atmos_h,atmos_qms)*Q205^2)</f>
        <v>2.6578760916691473E-2</v>
      </c>
      <c r="T205" cm="1">
        <f t="array" ref="T205">InterpolateXY(S205,Q205,CD_CL,CD_M,CD_table)</f>
        <v>4.4204600881542253E-2</v>
      </c>
      <c r="U205" cm="1">
        <f t="array" ref="U205">T205*S*Linterp(R$90,atmos_h,atmos_qms)*Q205^2</f>
        <v>16631.550665622541</v>
      </c>
      <c r="V205" cm="1">
        <f t="array" ref="V205">Q205*Linterp(R$90,atmos_h,atmos_aspeed)</f>
        <v>1470.1038513361329</v>
      </c>
      <c r="W205" s="162">
        <f t="shared" si="30"/>
        <v>-74344.364274271575</v>
      </c>
      <c r="Y205">
        <v>1.34</v>
      </c>
      <c r="Z205" cm="1">
        <f t="array" ref="Z205">numeng*InterpolateXY(Z$90,Y205,Tmax_h,Tmax_M,Tmax_table)</f>
        <v>7624.0168669883578</v>
      </c>
      <c r="AA205" cm="1">
        <f t="array" ref="AA205">1*Z$91/(S*Linterp(Z$90,atmos_h,atmos_qms)*Y205^2)</f>
        <v>3.2157459030917712E-2</v>
      </c>
      <c r="AB205" cm="1">
        <f t="array" ref="AB205">InterpolateXY(AA205,Y205,CD_CL,CD_M,CD_table)</f>
        <v>4.4335700287226568E-2</v>
      </c>
      <c r="AC205" cm="1">
        <f t="array" ref="AC205">AB205*S*Linterp(Z$90,atmos_h,atmos_qms)*Y205^2</f>
        <v>13787.06577674564</v>
      </c>
      <c r="AD205" cm="1">
        <f t="array" ref="AD205">Y205*Linterp(Z$90,atmos_h,atmos_aspeed)</f>
        <v>1443.698725350155</v>
      </c>
      <c r="AE205" s="162">
        <f t="shared" si="31"/>
        <v>-53385.5151317235</v>
      </c>
      <c r="AG205">
        <v>1.34</v>
      </c>
      <c r="AH205" cm="1">
        <f t="array" ref="AH205">numeng*InterpolateXY(AH$90,AG205,Tmax_h,Tmax_M,Tmax_table)</f>
        <v>6833.4658631180282</v>
      </c>
      <c r="AI205" cm="1">
        <f t="array" ref="AI205">1*AH$91/(S*Linterp(AH$90,atmos_h,atmos_qms)*AG205^2)</f>
        <v>3.9186947042881198E-2</v>
      </c>
      <c r="AJ205" cm="1">
        <f t="array" ref="AJ205">InterpolateXY(AI205,AG205,CD_CL,CD_M,CD_table)</f>
        <v>4.4500893255507705E-2</v>
      </c>
      <c r="AK205" cm="1">
        <f t="array" ref="AK205">AJ205*S*Linterp(AH$90,atmos_h,atmos_qms)*AG205^2</f>
        <v>11356.050066061949</v>
      </c>
      <c r="AL205" cm="1">
        <f t="array" ref="AL205">AG205*Linterp(AH$90,atmos_h,atmos_aspeed)</f>
        <v>1416.8015688310034</v>
      </c>
      <c r="AM205" s="162">
        <f t="shared" si="32"/>
        <v>-38445.626363407559</v>
      </c>
      <c r="AO205">
        <v>1.34</v>
      </c>
      <c r="AP205" cm="1">
        <f t="array" ref="AP205">numeng*InterpolateXY(AP$90,AO205,Tmax_h,Tmax_M,Tmax_table)</f>
        <v>6071.8553960729641</v>
      </c>
      <c r="AQ205" cm="1">
        <f t="array" ref="AQ205">1*AP$91/(S*Linterp(AP$90,atmos_h,atmos_qms)*AO205^2)</f>
        <v>4.8123500800452107E-2</v>
      </c>
      <c r="AR205" cm="1">
        <f t="array" ref="AR205">InterpolateXY(AQ205,AO205,CD_CL,CD_M,CD_table)</f>
        <v>4.4710902268810623E-2</v>
      </c>
      <c r="AS205" cm="1">
        <f t="array" ref="AS205">AR205*S*Linterp(AP$90,atmos_h,atmos_qms)*AO205^2</f>
        <v>9290.8665257350895</v>
      </c>
      <c r="AT205" cm="1">
        <f t="array" ref="AT205">AO205*Linterp(AP$90,atmos_h,atmos_aspeed)</f>
        <v>1389.3838063351404</v>
      </c>
      <c r="AU205" s="162">
        <f t="shared" si="33"/>
        <v>-26834.651615790866</v>
      </c>
      <c r="AW205">
        <v>1.34</v>
      </c>
      <c r="AX205" cm="1">
        <f t="array" ref="AX205">numeng*InterpolateXY(AX$90,AW205,Tmax_h,Tmax_M,Tmax_table)</f>
        <v>5346.8906520005221</v>
      </c>
      <c r="AY205" cm="1">
        <f t="array" ref="AY205">1*AX$91/(S*Linterp(AX$90,atmos_h,atmos_qms)*AW205^2)</f>
        <v>5.9593946758751362E-2</v>
      </c>
      <c r="AZ205" cm="1">
        <f t="array" ref="AZ205">InterpolateXY(AY205,AW205,CD_CL,CD_M,CD_table)</f>
        <v>4.4980457748830659E-2</v>
      </c>
      <c r="BA205" cm="1">
        <f t="array" ref="BA205">AZ205*S*Linterp(AX$90,atmos_h,atmos_qms)*AW205^2</f>
        <v>7547.8232597885935</v>
      </c>
      <c r="BB205" cm="1">
        <f t="array" ref="BB205">AW205*Linterp(AX$90,atmos_h,atmos_aspeed)</f>
        <v>1361.413984492099</v>
      </c>
      <c r="BC205" s="162">
        <f t="shared" si="34"/>
        <v>-17978.282587004069</v>
      </c>
      <c r="BE205">
        <v>1.34</v>
      </c>
      <c r="BF205" cm="1">
        <f t="array" ref="BF205">numeng*InterpolateXY(BF$90,BE205,Tmax_h,Tmax_M,Tmax_table)</f>
        <v>4664.6168244024166</v>
      </c>
      <c r="BG205" cm="1">
        <f t="array" ref="BG205">1*BF$91/(S*Linterp(BF$90,atmos_h,atmos_qms)*BE205^2)</f>
        <v>7.4470463785943047E-2</v>
      </c>
      <c r="BH205" cm="1">
        <f t="array" ref="BH205">InterpolateXY(BG205,BE205,CD_CL,CD_M,CD_table)</f>
        <v>4.5330055898969664E-2</v>
      </c>
      <c r="BI205" cm="1">
        <f t="array" ref="BI205">BH205*S*Linterp(BF$90,atmos_h,atmos_qms)*BE205^2</f>
        <v>6086.9845029118924</v>
      </c>
      <c r="BJ205" cm="1">
        <f t="array" ref="BJ205">BE205*Linterp(BF$90,atmos_h,atmos_aspeed)</f>
        <v>1332.857349094412</v>
      </c>
      <c r="BK205" s="162">
        <f t="shared" si="35"/>
        <v>-11374.879280494277</v>
      </c>
      <c r="BM205">
        <v>1.34</v>
      </c>
      <c r="BN205" cm="1">
        <f t="array" ref="BN205">numeng*InterpolateXY(BN$90,BM205,Tmax_h,Tmax_M,Tmax_table)</f>
        <v>4029.5535180853831</v>
      </c>
      <c r="BO205" cm="1">
        <f t="array" ref="BO205">1*BN$91/(S*Linterp(BN$90,atmos_h,atmos_qms)*BM205^2)</f>
        <v>9.3983511987374174E-2</v>
      </c>
      <c r="BP205" cm="1">
        <f t="array" ref="BP205">InterpolateXY(BO205,BM205,CD_CL,CD_M,CD_table)</f>
        <v>4.5788612531703292E-2</v>
      </c>
      <c r="BQ205" cm="1">
        <f t="array" ref="BQ205">BP205*S*Linterp(BN$90,atmos_h,atmos_qms)*BM205^2</f>
        <v>4871.9835600370598</v>
      </c>
      <c r="BR205" cm="1">
        <f t="array" ref="BR205">BM205*Linterp(BN$90,atmos_h,atmos_aspeed)</f>
        <v>1303.6753387631884</v>
      </c>
      <c r="BS205" s="162">
        <f t="shared" si="36"/>
        <v>-6589.5316219538345</v>
      </c>
      <c r="BU205">
        <v>1.34</v>
      </c>
      <c r="BV205" cm="1">
        <f t="array" ref="BV205">numeng*InterpolateXY(BV$90,BU205,Tmax_h,Tmax_M,Tmax_table)</f>
        <v>3333.1348568497433</v>
      </c>
      <c r="BW205" cm="1">
        <f t="array" ref="BW205">1*BV$91/(S*Linterp(BV$90,atmos_h,atmos_qms)*BU205^2)</f>
        <v>0.11948366564839388</v>
      </c>
      <c r="BX205" cm="1">
        <f t="array" ref="BX205">InterpolateXY(BW205,BU205,CD_CL,CD_M,CD_table)</f>
        <v>4.7303598428211767E-2</v>
      </c>
      <c r="BY205" cm="1">
        <f t="array" ref="BY205">BX205*S*Linterp(BV$90,atmos_h,atmos_qms)*BU205^2</f>
        <v>3959.0012719740848</v>
      </c>
      <c r="BZ205" cm="1">
        <f t="array" ref="BZ205">BU205*Linterp(BV$90,atmos_h,atmos_aspeed)</f>
        <v>1297.2546839647214</v>
      </c>
      <c r="CA205" s="162">
        <f t="shared" si="37"/>
        <v>-4871.4488313375641</v>
      </c>
      <c r="CC205">
        <v>1.34</v>
      </c>
      <c r="CD205" cm="1">
        <f t="array" ref="CD205">numeng*InterpolateXY(CD$90,CC205,Tmax_h,Tmax_M,Tmax_table)</f>
        <v>2517.341777466635</v>
      </c>
      <c r="CE205" cm="1">
        <f t="array" ref="CE205">1*CD$91/(S*Linterp(CD$90,atmos_h,atmos_qms)*CC205^2)</f>
        <v>0.15194189422027099</v>
      </c>
      <c r="CF205" cm="1">
        <f t="array" ref="CF205">InterpolateXY(CE205,CC205,CD_CL,CD_M,CD_table)</f>
        <v>4.9591903542529105E-2</v>
      </c>
      <c r="CG205" cm="1">
        <f t="array" ref="CG205">CF205*S*Linterp(CD$90,atmos_h,atmos_qms)*CC205^2</f>
        <v>3263.8729296500314</v>
      </c>
      <c r="CH205" cm="1">
        <f t="array" ref="CH205">CC205*Linterp(CD$90,atmos_h,atmos_aspeed)</f>
        <v>1297.2546839647214</v>
      </c>
      <c r="CI205" s="162">
        <f t="shared" si="38"/>
        <v>-5810.6462033729476</v>
      </c>
      <c r="CK205">
        <v>1.34</v>
      </c>
      <c r="CL205" cm="1">
        <f t="array" ref="CL205">numeng*InterpolateXY(CL$90,CK205,Tmax_h,Tmax_M,Tmax_table)</f>
        <v>1816.3915329343847</v>
      </c>
      <c r="CM205" cm="1">
        <f t="array" ref="CM205">1*CL$91/(S*Linterp(CL$90,atmos_h,atmos_qms)*CK205^2)</f>
        <v>0.19321753391112464</v>
      </c>
      <c r="CN205" cm="1">
        <f t="array" ref="CN205">InterpolateXY(CM205,CK205,CD_CL,CD_M,CD_table)</f>
        <v>5.2501836140734288E-2</v>
      </c>
      <c r="CO205" cm="1">
        <f t="array" ref="CO205">CN205*S*Linterp(CL$90,atmos_h,atmos_qms)*CK205^2</f>
        <v>2717.2397389609505</v>
      </c>
      <c r="CP205" cm="1">
        <f t="array" ref="CP205">CK205*Linterp(CL$90,atmos_h,atmos_aspeed)</f>
        <v>1297.2546839647214</v>
      </c>
      <c r="CQ205" s="162">
        <f t="shared" si="39"/>
        <v>-7011.7773288550716</v>
      </c>
    </row>
    <row r="206" spans="9:95">
      <c r="I206">
        <v>1.35</v>
      </c>
      <c r="J206" cm="1">
        <f t="array" ref="J206">numeng*InterpolateXY(J$90,I206,Tmax_h,Tmax_M,Tmax_table)</f>
        <v>8740</v>
      </c>
      <c r="K206" cm="1">
        <f t="array" ref="K206">1*J$91/(S*Linterp(J$90,atmos_h,atmos_qms)*I206^2)</f>
        <v>2.178836726373071E-2</v>
      </c>
      <c r="L206" cm="1">
        <f t="array" ref="L206">InterpolateXY(K206,I206,CD_CL,CD_M,CD_table)</f>
        <v>4.4167473722513603E-2</v>
      </c>
      <c r="M206" cm="1">
        <f t="array" ref="M206">L206*S*Linterp(J$90,atmos_h,atmos_qms)*I206^2</f>
        <v>20271.125958132503</v>
      </c>
      <c r="N206" cm="1">
        <f t="array" ref="N206">I206*Linterp(J$90,atmos_h,atmos_aspeed)</f>
        <v>1507.2075000000002</v>
      </c>
      <c r="O206" s="162">
        <f t="shared" si="40"/>
        <v>-104278.79716525199</v>
      </c>
      <c r="Q206">
        <v>1.35</v>
      </c>
      <c r="R206" cm="1">
        <f t="array" ref="R206">numeng*InterpolateXY(R$90,Q206,Tmax_h,Tmax_M,Tmax_table)</f>
        <v>8228.9299105655482</v>
      </c>
      <c r="S206" cm="1">
        <f t="array" ref="S206">1*R$91/(S*Linterp(R$90,atmos_h,atmos_qms)*Q206^2)</f>
        <v>2.6186459863929337E-2</v>
      </c>
      <c r="T206" cm="1">
        <f t="array" ref="T206">InterpolateXY(S206,Q206,CD_CL,CD_M,CD_table)</f>
        <v>4.4271928421768324E-2</v>
      </c>
      <c r="U206" cm="1">
        <f t="array" ref="U206">T206*S*Linterp(R$90,atmos_h,atmos_qms)*Q206^2</f>
        <v>16906.419826053276</v>
      </c>
      <c r="V206" cm="1">
        <f t="array" ref="V206">Q206*Linterp(R$90,atmos_h,atmos_aspeed)</f>
        <v>1481.0747755998354</v>
      </c>
      <c r="W206" s="162">
        <f t="shared" si="30"/>
        <v>-77112.068576104924</v>
      </c>
      <c r="Y206">
        <v>1.35</v>
      </c>
      <c r="Z206" cm="1">
        <f t="array" ref="Z206">numeng*InterpolateXY(Z$90,Y206,Tmax_h,Tmax_M,Tmax_table)</f>
        <v>7650.601970360266</v>
      </c>
      <c r="AA206" cm="1">
        <f t="array" ref="AA206">1*Z$91/(S*Linterp(Z$90,atmos_h,atmos_qms)*Y206^2)</f>
        <v>3.1682816700091002E-2</v>
      </c>
      <c r="AB206" cm="1">
        <f t="array" ref="AB206">InterpolateXY(AA206,Y206,CD_CL,CD_M,CD_table)</f>
        <v>4.4402466896627163E-2</v>
      </c>
      <c r="AC206" cm="1">
        <f t="array" ref="AC206">AB206*S*Linterp(Z$90,atmos_h,atmos_qms)*Y206^2</f>
        <v>14014.68414785849</v>
      </c>
      <c r="AD206" cm="1">
        <f t="array" ref="AD206">Y206*Linterp(Z$90,atmos_h,atmos_aspeed)</f>
        <v>1454.4725964348577</v>
      </c>
      <c r="AE206" s="162">
        <f t="shared" si="31"/>
        <v>-55538.298771783877</v>
      </c>
      <c r="AG206">
        <v>1.35</v>
      </c>
      <c r="AH206" cm="1">
        <f t="array" ref="AH206">numeng*InterpolateXY(AH$90,AG206,Tmax_h,Tmax_M,Tmax_table)</f>
        <v>6858.6351664812619</v>
      </c>
      <c r="AI206" cm="1">
        <f t="array" ref="AI206">1*AH$91/(S*Linterp(AH$90,atmos_h,atmos_qms)*AG206^2)</f>
        <v>3.8608549854703696E-2</v>
      </c>
      <c r="AJ206" cm="1">
        <f t="array" ref="AJ206">InterpolateXY(AI206,AG206,CD_CL,CD_M,CD_table)</f>
        <v>4.4566953059049209E-2</v>
      </c>
      <c r="AK206" cm="1">
        <f t="array" ref="AK206">AJ206*S*Linterp(AH$90,atmos_h,atmos_qms)*AG206^2</f>
        <v>11543.285937122448</v>
      </c>
      <c r="AL206" cm="1">
        <f t="array" ref="AL206">AG206*Linterp(AH$90,atmos_h,atmos_aspeed)</f>
        <v>1427.3747148670554</v>
      </c>
      <c r="AM206" s="162">
        <f t="shared" si="32"/>
        <v>-40120.512347974167</v>
      </c>
      <c r="AO206">
        <v>1.35</v>
      </c>
      <c r="AP206" cm="1">
        <f t="array" ref="AP206">numeng*InterpolateXY(AP$90,AO206,Tmax_h,Tmax_M,Tmax_table)</f>
        <v>6095.2988532006593</v>
      </c>
      <c r="AQ206" cm="1">
        <f t="array" ref="AQ206">1*AP$91/(S*Linterp(AP$90,atmos_h,atmos_qms)*AO206^2)</f>
        <v>4.7413200569158737E-2</v>
      </c>
      <c r="AR206" cm="1">
        <f t="array" ref="AR206">InterpolateXY(AQ206,AO206,CD_CL,CD_M,CD_table)</f>
        <v>4.4776063513517518E-2</v>
      </c>
      <c r="AS206" cm="1">
        <f t="array" ref="AS206">AR206*S*Linterp(AP$90,atmos_h,atmos_qms)*AO206^2</f>
        <v>9443.7968700732217</v>
      </c>
      <c r="AT206" cm="1">
        <f t="array" ref="AT206">AO206*Linterp(AP$90,atmos_h,atmos_aspeed)</f>
        <v>1399.7523422033132</v>
      </c>
      <c r="AU206" s="162">
        <f t="shared" si="33"/>
        <v>-28122.407651883113</v>
      </c>
      <c r="AW206">
        <v>1.35</v>
      </c>
      <c r="AX206" cm="1">
        <f t="array" ref="AX206">numeng*InterpolateXY(AX$90,AW206,Tmax_h,Tmax_M,Tmax_table)</f>
        <v>5368.4001014889591</v>
      </c>
      <c r="AY206" cm="1">
        <f t="array" ref="AY206">1*AX$91/(S*Linterp(AX$90,atmos_h,atmos_qms)*AW206^2)</f>
        <v>5.8714343374493244E-2</v>
      </c>
      <c r="AZ206" cm="1">
        <f t="array" ref="AZ206">InterpolateXY(AY206,AW206,CD_CL,CD_M,CD_table)</f>
        <v>4.5044465655144215E-2</v>
      </c>
      <c r="BA206" cm="1">
        <f t="array" ref="BA206">AZ206*S*Linterp(AX$90,atmos_h,atmos_qms)*AW206^2</f>
        <v>7671.7992685093159</v>
      </c>
      <c r="BB206" cm="1">
        <f t="array" ref="BB206">AW206*Linterp(AX$90,atmos_h,atmos_aspeed)</f>
        <v>1371.5737903465176</v>
      </c>
      <c r="BC206" s="162">
        <f t="shared" si="34"/>
        <v>-18955.691557146733</v>
      </c>
      <c r="BE206">
        <v>1.35</v>
      </c>
      <c r="BF206" cm="1">
        <f t="array" ref="BF206">numeng*InterpolateXY(BF$90,BE206,Tmax_h,Tmax_M,Tmax_table)</f>
        <v>4684.0714341929943</v>
      </c>
      <c r="BG206" cm="1">
        <f t="array" ref="BG206">1*BF$91/(S*Linterp(BF$90,atmos_h,atmos_qms)*BE206^2)</f>
        <v>7.3371283826633382E-2</v>
      </c>
      <c r="BH206" cm="1">
        <f t="array" ref="BH206">InterpolateXY(BG206,BE206,CD_CL,CD_M,CD_table)</f>
        <v>4.5392567990882544E-2</v>
      </c>
      <c r="BI206" cm="1">
        <f t="array" ref="BI206">BH206*S*Linterp(BF$90,atmos_h,atmos_qms)*BE206^2</f>
        <v>6186.6939793692536</v>
      </c>
      <c r="BJ206" cm="1">
        <f t="array" ref="BJ206">BE206*Linterp(BF$90,atmos_h,atmos_aspeed)</f>
        <v>1342.8040457294451</v>
      </c>
      <c r="BK206" s="162">
        <f t="shared" si="35"/>
        <v>-12106.365797201743</v>
      </c>
      <c r="BM206">
        <v>1.35</v>
      </c>
      <c r="BN206" cm="1">
        <f t="array" ref="BN206">numeng*InterpolateXY(BN$90,BM206,Tmax_h,Tmax_M,Tmax_table)</f>
        <v>4046.9062554748616</v>
      </c>
      <c r="BO206" cm="1">
        <f t="array" ref="BO206">1*BN$91/(S*Linterp(BN$90,atmos_h,atmos_qms)*BM206^2)</f>
        <v>9.2596320507286181E-2</v>
      </c>
      <c r="BP206" cm="1">
        <f t="array" ref="BP206">InterpolateXY(BO206,BM206,CD_CL,CD_M,CD_table)</f>
        <v>4.584916261204805E-2</v>
      </c>
      <c r="BQ206" cm="1">
        <f t="array" ref="BQ206">BP206*S*Linterp(BN$90,atmos_h,atmos_qms)*BM206^2</f>
        <v>4951.5102069785034</v>
      </c>
      <c r="BR206" cm="1">
        <f t="array" ref="BR206">BM206*Linterp(BN$90,atmos_h,atmos_aspeed)</f>
        <v>1313.4042592017197</v>
      </c>
      <c r="BS206" s="162">
        <f t="shared" si="36"/>
        <v>-7128.6640967735348</v>
      </c>
      <c r="BU206">
        <v>1.35</v>
      </c>
      <c r="BV206" cm="1">
        <f t="array" ref="BV206">numeng*InterpolateXY(BV$90,BU206,Tmax_h,Tmax_M,Tmax_table)</f>
        <v>3347.9050260824602</v>
      </c>
      <c r="BW206" cm="1">
        <f t="array" ref="BW206">1*BV$91/(S*Linterp(BV$90,atmos_h,atmos_qms)*BU206^2)</f>
        <v>0.11772009329945463</v>
      </c>
      <c r="BX206" cm="1">
        <f t="array" ref="BX206">InterpolateXY(BW206,BU206,CD_CL,CD_M,CD_table)</f>
        <v>4.7287556647586146E-2</v>
      </c>
      <c r="BY206" cm="1">
        <f t="array" ref="BY206">BX206*S*Linterp(BV$90,atmos_h,atmos_qms)*BU206^2</f>
        <v>4016.9486212771476</v>
      </c>
      <c r="BZ206" cm="1">
        <f t="array" ref="BZ206">BU206*Linterp(BV$90,atmos_h,atmos_aspeed)</f>
        <v>1306.9356890689357</v>
      </c>
      <c r="CA206" s="162">
        <f t="shared" si="37"/>
        <v>-5246.3817126175609</v>
      </c>
      <c r="CC206">
        <v>1.35</v>
      </c>
      <c r="CD206" cm="1">
        <f t="array" ref="CD206">numeng*InterpolateXY(CD$90,CC206,Tmax_h,Tmax_M,Tmax_table)</f>
        <v>2528.1823757085704</v>
      </c>
      <c r="CE206" cm="1">
        <f t="array" ref="CE206">1*CD$91/(S*Linterp(CD$90,atmos_h,atmos_qms)*CC206^2)</f>
        <v>0.14969924019858361</v>
      </c>
      <c r="CF206" cm="1">
        <f t="array" ref="CF206">InterpolateXY(CE206,CC206,CD_CL,CD_M,CD_table)</f>
        <v>4.9566070864149082E-2</v>
      </c>
      <c r="CG206" cm="1">
        <f t="array" ref="CG206">CF206*S*Linterp(CD$90,atmos_h,atmos_qms)*CC206^2</f>
        <v>3311.0435830133265</v>
      </c>
      <c r="CH206" cm="1">
        <f t="array" ref="CH206">CC206*Linterp(CD$90,atmos_h,atmos_aspeed)</f>
        <v>1306.9356890689357</v>
      </c>
      <c r="CI206" s="162">
        <f t="shared" si="38"/>
        <v>-6138.8955084850822</v>
      </c>
      <c r="CK206">
        <v>1.35</v>
      </c>
      <c r="CL206" cm="1">
        <f t="array" ref="CL206">numeng*InterpolateXY(CL$90,CK206,Tmax_h,Tmax_M,Tmax_table)</f>
        <v>1823.698505242535</v>
      </c>
      <c r="CM206" cm="1">
        <f t="array" ref="CM206">1*CL$91/(S*Linterp(CL$90,atmos_h,atmos_qms)*CK206^2)</f>
        <v>0.19036565371238159</v>
      </c>
      <c r="CN206" cm="1">
        <f t="array" ref="CN206">InterpolateXY(CM206,CK206,CD_CL,CD_M,CD_table)</f>
        <v>5.2463552827007189E-2</v>
      </c>
      <c r="CO206" cm="1">
        <f t="array" ref="CO206">CN206*S*Linterp(CL$90,atmos_h,atmos_qms)*CK206^2</f>
        <v>2755.9358426217468</v>
      </c>
      <c r="CP206" cm="1">
        <f t="array" ref="CP206">CK206*Linterp(CL$90,atmos_h,atmos_aspeed)</f>
        <v>1306.9356890689357</v>
      </c>
      <c r="CQ206" s="162">
        <f t="shared" si="39"/>
        <v>-7310.2454814209405</v>
      </c>
    </row>
    <row r="207" spans="9:95">
      <c r="I207">
        <v>1.36</v>
      </c>
      <c r="J207" cm="1">
        <f t="array" ref="J207">numeng*InterpolateXY(J$90,I207,Tmax_h,Tmax_M,Tmax_table)</f>
        <v>8764</v>
      </c>
      <c r="K207" cm="1">
        <f t="array" ref="K207">1*J$91/(S*Linterp(J$90,atmos_h,atmos_qms)*I207^2)</f>
        <v>2.1469128102373065E-2</v>
      </c>
      <c r="L207" cm="1">
        <f t="array" ref="L207">InterpolateXY(K207,I207,CD_CL,CD_M,CD_table)</f>
        <v>4.4235259074456953E-2</v>
      </c>
      <c r="M207" cm="1">
        <f t="array" ref="M207">L207*S*Linterp(J$90,atmos_h,atmos_qms)*I207^2</f>
        <v>20604.124612572163</v>
      </c>
      <c r="N207" cm="1">
        <f t="array" ref="N207">I207*Linterp(J$90,atmos_h,atmos_aspeed)</f>
        <v>1518.3720000000001</v>
      </c>
      <c r="O207" s="162">
        <f t="shared" si="40"/>
        <v>-107866.28212944252</v>
      </c>
      <c r="Q207">
        <v>1.36</v>
      </c>
      <c r="R207" cm="1">
        <f t="array" ref="R207">numeng*InterpolateXY(R$90,Q207,Tmax_h,Tmax_M,Tmax_table)</f>
        <v>8254.7799521694196</v>
      </c>
      <c r="S207" cm="1">
        <f t="array" ref="S207">1*R$91/(S*Linterp(R$90,atmos_h,atmos_qms)*Q207^2)</f>
        <v>2.5802780656364193E-2</v>
      </c>
      <c r="T207" cm="1">
        <f t="array" ref="T207">InterpolateXY(S207,Q207,CD_CL,CD_M,CD_table)</f>
        <v>4.4339266735752746E-2</v>
      </c>
      <c r="U207" cm="1">
        <f t="array" ref="U207">T207*S*Linterp(R$90,atmos_h,atmos_qms)*Q207^2</f>
        <v>17183.910263879476</v>
      </c>
      <c r="V207" cm="1">
        <f t="array" ref="V207">Q207*Linterp(R$90,atmos_h,atmos_aspeed)</f>
        <v>1492.0456998635379</v>
      </c>
      <c r="W207" s="162">
        <f t="shared" si="30"/>
        <v>-79936.022910648971</v>
      </c>
      <c r="Y207">
        <v>1.36</v>
      </c>
      <c r="Z207" cm="1">
        <f t="array" ref="Z207">numeng*InterpolateXY(Z$90,Y207,Tmax_h,Tmax_M,Tmax_table)</f>
        <v>7677.1870737321742</v>
      </c>
      <c r="AA207" cm="1">
        <f t="array" ref="AA207">1*Z$91/(S*Linterp(Z$90,atmos_h,atmos_qms)*Y207^2)</f>
        <v>3.1218605880144815E-2</v>
      </c>
      <c r="AB207" cm="1">
        <f t="array" ref="AB207">InterpolateXY(AA207,Y207,CD_CL,CD_M,CD_table)</f>
        <v>4.4469246541123476E-2</v>
      </c>
      <c r="AC207" cm="1">
        <f t="array" ref="AC207">AB207*S*Linterp(Z$90,atmos_h,atmos_qms)*Y207^2</f>
        <v>14244.469055361031</v>
      </c>
      <c r="AD207" cm="1">
        <f t="array" ref="AD207">Y207*Linterp(Z$90,atmos_h,atmos_aspeed)</f>
        <v>1465.2464675195602</v>
      </c>
      <c r="AE207" s="162">
        <f t="shared" si="31"/>
        <v>-57736.120348719225</v>
      </c>
      <c r="AG207">
        <v>1.36</v>
      </c>
      <c r="AH207" cm="1">
        <f t="array" ref="AH207">numeng*InterpolateXY(AH$90,AG207,Tmax_h,Tmax_M,Tmax_table)</f>
        <v>6883.8044698444965</v>
      </c>
      <c r="AI207" cm="1">
        <f t="array" ref="AI207">1*AH$91/(S*Linterp(AH$90,atmos_h,atmos_qms)*AG207^2)</f>
        <v>3.8042864462693275E-2</v>
      </c>
      <c r="AJ207" cm="1">
        <f t="array" ref="AJ207">InterpolateXY(AI207,AG207,CD_CL,CD_M,CD_table)</f>
        <v>4.4633028747104633E-2</v>
      </c>
      <c r="AK207" cm="1">
        <f t="array" ref="AK207">AJ207*S*Linterp(AH$90,atmos_h,atmos_qms)*AG207^2</f>
        <v>11732.299703896904</v>
      </c>
      <c r="AL207" cm="1">
        <f t="array" ref="AL207">AG207*Linterp(AH$90,atmos_h,atmos_aspeed)</f>
        <v>1437.9478609031078</v>
      </c>
      <c r="AM207" s="162">
        <f t="shared" si="32"/>
        <v>-41831.300102427434</v>
      </c>
      <c r="AO207">
        <v>1.36</v>
      </c>
      <c r="AP207" cm="1">
        <f t="array" ref="AP207">numeng*InterpolateXY(AP$90,AO207,Tmax_h,Tmax_M,Tmax_table)</f>
        <v>6118.7423103283545</v>
      </c>
      <c r="AQ207" cm="1">
        <f t="array" ref="AQ207">1*AP$91/(S*Linterp(AP$90,atmos_h,atmos_qms)*AO207^2)</f>
        <v>4.6718511049573856E-2</v>
      </c>
      <c r="AR207" cm="1">
        <f t="array" ref="AR207">InterpolateXY(AQ207,AO207,CD_CL,CD_M,CD_table)</f>
        <v>4.4841244265189768E-2</v>
      </c>
      <c r="AS207" cm="1">
        <f t="array" ref="AS207">AR207*S*Linterp(AP$90,atmos_h,atmos_qms)*AO207^2</f>
        <v>9598.1749541649388</v>
      </c>
      <c r="AT207" cm="1">
        <f t="array" ref="AT207">AO207*Linterp(AP$90,atmos_h,atmos_aspeed)</f>
        <v>1410.1208780714858</v>
      </c>
      <c r="AU207" s="162">
        <f t="shared" si="33"/>
        <v>-29438.523689504611</v>
      </c>
      <c r="AW207">
        <v>1.36</v>
      </c>
      <c r="AX207" cm="1">
        <f t="array" ref="AX207">numeng*InterpolateXY(AX$90,AW207,Tmax_h,Tmax_M,Tmax_table)</f>
        <v>5389.9095509773952</v>
      </c>
      <c r="AY207" cm="1">
        <f t="array" ref="AY207">1*AX$91/(S*Linterp(AX$90,atmos_h,atmos_qms)*AW207^2)</f>
        <v>5.7854071583052523E-2</v>
      </c>
      <c r="AZ207" cm="1">
        <f t="array" ref="AZ207">InterpolateXY(AY207,AW207,CD_CL,CD_M,CD_table)</f>
        <v>4.5108497717993259E-2</v>
      </c>
      <c r="BA207" cm="1">
        <f t="array" ref="BA207">AZ207*S*Linterp(AX$90,atmos_h,atmos_qms)*AW207^2</f>
        <v>7796.9443608195616</v>
      </c>
      <c r="BB207" cm="1">
        <f t="array" ref="BB207">AW207*Linterp(AX$90,atmos_h,atmos_aspeed)</f>
        <v>1381.7335962009363</v>
      </c>
      <c r="BC207" s="162">
        <f t="shared" si="34"/>
        <v>-19955.285183904321</v>
      </c>
      <c r="BE207">
        <v>1.36</v>
      </c>
      <c r="BF207" cm="1">
        <f t="array" ref="BF207">numeng*InterpolateXY(BF$90,BE207,Tmax_h,Tmax_M,Tmax_table)</f>
        <v>4703.526043983572</v>
      </c>
      <c r="BG207" cm="1">
        <f t="array" ref="BG207">1*BF$91/(S*Linterp(BF$90,atmos_h,atmos_qms)*BE207^2)</f>
        <v>7.2296261231638917E-2</v>
      </c>
      <c r="BH207" cm="1">
        <f t="array" ref="BH207">InterpolateXY(BG207,BE207,CD_CL,CD_M,CD_table)</f>
        <v>4.5455110269559333E-2</v>
      </c>
      <c r="BI207" cm="1">
        <f t="array" ref="BI207">BH207*S*Linterp(BF$90,atmos_h,atmos_qms)*BE207^2</f>
        <v>6287.3389986129569</v>
      </c>
      <c r="BJ207" cm="1">
        <f t="array" ref="BJ207">BE207*Linterp(BF$90,atmos_h,atmos_aspeed)</f>
        <v>1352.7507423644779</v>
      </c>
      <c r="BK207" s="162">
        <f t="shared" si="35"/>
        <v>-12855.024900848264</v>
      </c>
      <c r="BM207">
        <v>1.36</v>
      </c>
      <c r="BN207" cm="1">
        <f t="array" ref="BN207">numeng*InterpolateXY(BN$90,BM207,Tmax_h,Tmax_M,Tmax_table)</f>
        <v>4064.2589928643406</v>
      </c>
      <c r="BO207" cm="1">
        <f t="array" ref="BO207">1*BN$91/(S*Linterp(BN$90,atmos_h,atmos_qms)*BM207^2)</f>
        <v>9.1239616200545562E-2</v>
      </c>
      <c r="BP207" cm="1">
        <f t="array" ref="BP207">InterpolateXY(BO207,BM207,CD_CL,CD_M,CD_table)</f>
        <v>4.5909750788813097E-2</v>
      </c>
      <c r="BQ207" cm="1">
        <f t="array" ref="BQ207">BP207*S*Linterp(BN$90,atmos_h,atmos_qms)*BM207^2</f>
        <v>5031.7781574073069</v>
      </c>
      <c r="BR207" cm="1">
        <f t="array" ref="BR207">BM207*Linterp(BN$90,atmos_h,atmos_aspeed)</f>
        <v>1323.133179640251</v>
      </c>
      <c r="BS207" s="162">
        <f t="shared" si="36"/>
        <v>-7680.9402512676852</v>
      </c>
      <c r="BU207">
        <v>1.36</v>
      </c>
      <c r="BV207" cm="1">
        <f t="array" ref="BV207">numeng*InterpolateXY(BV$90,BU207,Tmax_h,Tmax_M,Tmax_table)</f>
        <v>3362.675195315177</v>
      </c>
      <c r="BW207" cm="1">
        <f t="array" ref="BW207">1*BV$91/(S*Linterp(BV$90,atmos_h,atmos_qms)*BU207^2)</f>
        <v>0.11599528008123705</v>
      </c>
      <c r="BX207" cm="1">
        <f t="array" ref="BX207">InterpolateXY(BW207,BU207,CD_CL,CD_M,CD_table)</f>
        <v>4.7271660165849071E-2</v>
      </c>
      <c r="BY207" cm="1">
        <f t="array" ref="BY207">BX207*S*Linterp(BV$90,atmos_h,atmos_qms)*BU207^2</f>
        <v>4075.3089378069926</v>
      </c>
      <c r="BZ207" cm="1">
        <f t="array" ref="BZ207">BU207*Linterp(BV$90,atmos_h,atmos_aspeed)</f>
        <v>1316.6166941731501</v>
      </c>
      <c r="CA207" s="162">
        <f t="shared" si="37"/>
        <v>-5629.5928931748849</v>
      </c>
      <c r="CC207">
        <v>1.36</v>
      </c>
      <c r="CD207" cm="1">
        <f t="array" ref="CD207">numeng*InterpolateXY(CD$90,CC207,Tmax_h,Tmax_M,Tmax_table)</f>
        <v>2539.0229739505062</v>
      </c>
      <c r="CE207" cm="1">
        <f t="array" ref="CE207">1*CD$91/(S*Linterp(CD$90,atmos_h,atmos_qms)*CC207^2)</f>
        <v>0.14750587438468782</v>
      </c>
      <c r="CF207" cm="1">
        <f t="array" ref="CF207">InterpolateXY(CE207,CC207,CD_CL,CD_M,CD_table)</f>
        <v>4.9540422955697522E-2</v>
      </c>
      <c r="CG207" cm="1">
        <f t="array" ref="CG207">CF207*S*Linterp(CD$90,atmos_h,atmos_qms)*CC207^2</f>
        <v>3358.5389844541796</v>
      </c>
      <c r="CH207" cm="1">
        <f t="array" ref="CH207">CC207*Linterp(CD$90,atmos_h,atmos_aspeed)</f>
        <v>1316.6166941731501</v>
      </c>
      <c r="CI207" s="162">
        <f t="shared" si="38"/>
        <v>-6473.9307634278912</v>
      </c>
      <c r="CK207">
        <v>1.36</v>
      </c>
      <c r="CL207" cm="1">
        <f t="array" ref="CL207">numeng*InterpolateXY(CL$90,CK207,Tmax_h,Tmax_M,Tmax_table)</f>
        <v>1831.0054775506856</v>
      </c>
      <c r="CM207" cm="1">
        <f t="array" ref="CM207">1*CL$91/(S*Linterp(CL$90,atmos_h,atmos_qms)*CK207^2)</f>
        <v>0.187576451065536</v>
      </c>
      <c r="CN207" cm="1">
        <f t="array" ref="CN207">InterpolateXY(CM207,CK207,CD_CL,CD_M,CD_table)</f>
        <v>5.2425504476718593E-2</v>
      </c>
      <c r="CO207" cm="1">
        <f t="array" ref="CO207">CN207*S*Linterp(CL$90,atmos_h,atmos_qms)*CK207^2</f>
        <v>2794.8873208184336</v>
      </c>
      <c r="CP207" cm="1">
        <f t="array" ref="CP207">CK207*Linterp(CL$90,atmos_h,atmos_aspeed)</f>
        <v>1316.6166941731501</v>
      </c>
      <c r="CQ207" s="162">
        <f t="shared" si="39"/>
        <v>-7614.3775563402296</v>
      </c>
    </row>
    <row r="208" spans="9:95">
      <c r="I208">
        <v>1.37</v>
      </c>
      <c r="J208" cm="1">
        <f t="array" ref="J208">numeng*InterpolateXY(J$90,I208,Tmax_h,Tmax_M,Tmax_table)</f>
        <v>8788</v>
      </c>
      <c r="K208" cm="1">
        <f t="array" ref="K208">1*J$91/(S*Linterp(J$90,atmos_h,atmos_qms)*I208^2)</f>
        <v>2.1156854034924195E-2</v>
      </c>
      <c r="L208" cm="1">
        <f t="array" ref="L208">InterpolateXY(K208,I208,CD_CL,CD_M,CD_table)</f>
        <v>4.4303053710346908E-2</v>
      </c>
      <c r="M208" cm="1">
        <f t="array" ref="M208">L208*S*Linterp(J$90,atmos_h,atmos_qms)*I208^2</f>
        <v>20940.284239431185</v>
      </c>
      <c r="N208" cm="1">
        <f t="array" ref="N208">I208*Linterp(J$90,atmos_h,atmos_aspeed)</f>
        <v>1529.5365000000002</v>
      </c>
      <c r="O208" s="162">
        <f t="shared" si="40"/>
        <v>-111524.17381550842</v>
      </c>
      <c r="Q208">
        <v>1.37</v>
      </c>
      <c r="R208" cm="1">
        <f t="array" ref="R208">numeng*InterpolateXY(R$90,Q208,Tmax_h,Tmax_M,Tmax_table)</f>
        <v>8280.6299937732892</v>
      </c>
      <c r="S208" cm="1">
        <f t="array" ref="S208">1*R$91/(S*Linterp(R$90,atmos_h,atmos_qms)*Q208^2)</f>
        <v>2.5427472482290592E-2</v>
      </c>
      <c r="T208" cm="1">
        <f t="array" ref="T208">InterpolateXY(S208,Q208,CD_CL,CD_M,CD_table)</f>
        <v>4.4406616207695544E-2</v>
      </c>
      <c r="U208" cm="1">
        <f t="array" ref="U208">T208*S*Linterp(R$90,atmos_h,atmos_qms)*Q208^2</f>
        <v>17464.030779552828</v>
      </c>
      <c r="V208" cm="1">
        <f t="array" ref="V208">Q208*Linterp(R$90,atmos_h,atmos_aspeed)</f>
        <v>1503.0166241272404</v>
      </c>
      <c r="W208" s="162">
        <f t="shared" si="30"/>
        <v>-82816.824282298854</v>
      </c>
      <c r="Y208">
        <v>1.37</v>
      </c>
      <c r="Z208" cm="1">
        <f t="array" ref="Z208">numeng*InterpolateXY(Z$90,Y208,Tmax_h,Tmax_M,Tmax_table)</f>
        <v>7703.7721771040824</v>
      </c>
      <c r="AA208" cm="1">
        <f t="array" ref="AA208">1*Z$91/(S*Linterp(Z$90,atmos_h,atmos_qms)*Y208^2)</f>
        <v>3.0764523115731184E-2</v>
      </c>
      <c r="AB208" cm="1">
        <f t="array" ref="AB208">InterpolateXY(AA208,Y208,CD_CL,CD_M,CD_table)</f>
        <v>4.4536039685556479E-2</v>
      </c>
      <c r="AC208" cm="1">
        <f t="array" ref="AC208">AB208*S*Linterp(Z$90,atmos_h,atmos_qms)*Y208^2</f>
        <v>14476.427772996536</v>
      </c>
      <c r="AD208" cm="1">
        <f t="array" ref="AD208">Y208*Linterp(Z$90,atmos_h,atmos_aspeed)</f>
        <v>1476.0203386042629</v>
      </c>
      <c r="AE208" s="162">
        <f t="shared" si="31"/>
        <v>-59979.464435395421</v>
      </c>
      <c r="AG208">
        <v>1.37</v>
      </c>
      <c r="AH208" cm="1">
        <f t="array" ref="AH208">numeng*InterpolateXY(AH$90,AG208,Tmax_h,Tmax_M,Tmax_table)</f>
        <v>6908.9737732077301</v>
      </c>
      <c r="AI208" cm="1">
        <f t="array" ref="AI208">1*AH$91/(S*Linterp(AH$90,atmos_h,atmos_qms)*AG208^2)</f>
        <v>3.7489521077413553E-2</v>
      </c>
      <c r="AJ208" cm="1">
        <f t="array" ref="AJ208">InterpolateXY(AI208,AG208,CD_CL,CD_M,CD_table)</f>
        <v>4.4699120886127278E-2</v>
      </c>
      <c r="AK208" cm="1">
        <f t="array" ref="AK208">AJ208*S*Linterp(AH$90,atmos_h,atmos_qms)*AG208^2</f>
        <v>11923.097335339748</v>
      </c>
      <c r="AL208" cm="1">
        <f t="array" ref="AL208">AG208*Linterp(AH$90,atmos_h,atmos_aspeed)</f>
        <v>1448.5210069391601</v>
      </c>
      <c r="AM208" s="162">
        <f t="shared" si="32"/>
        <v>-43578.379866821029</v>
      </c>
      <c r="AO208">
        <v>1.37</v>
      </c>
      <c r="AP208" cm="1">
        <f t="array" ref="AP208">numeng*InterpolateXY(AP$90,AO208,Tmax_h,Tmax_M,Tmax_table)</f>
        <v>6142.1857674560488</v>
      </c>
      <c r="AQ208" cm="1">
        <f t="array" ref="AQ208">1*AP$91/(S*Linterp(AP$90,atmos_h,atmos_qms)*AO208^2)</f>
        <v>4.6038978122058608E-2</v>
      </c>
      <c r="AR208" cm="1">
        <f t="array" ref="AR208">InterpolateXY(AQ208,AO208,CD_CL,CD_M,CD_table)</f>
        <v>4.4906445219459919E-2</v>
      </c>
      <c r="AS208" cm="1">
        <f t="array" ref="AS208">AR208*S*Linterp(AP$90,atmos_h,atmos_qms)*AO208^2</f>
        <v>9754.0056385273965</v>
      </c>
      <c r="AT208" cm="1">
        <f t="array" ref="AT208">AO208*Linterp(AP$90,atmos_h,atmos_aspeed)</f>
        <v>1420.4894139396586</v>
      </c>
      <c r="AU208" s="162">
        <f t="shared" si="33"/>
        <v>-30783.311351482509</v>
      </c>
      <c r="AW208">
        <v>1.37</v>
      </c>
      <c r="AX208" cm="1">
        <f t="array" ref="AX208">numeng*InterpolateXY(AX$90,AW208,Tmax_h,Tmax_M,Tmax_table)</f>
        <v>5411.4190004658321</v>
      </c>
      <c r="AY208" cm="1">
        <f t="array" ref="AY208">1*AX$91/(S*Linterp(AX$90,atmos_h,atmos_qms)*AW208^2)</f>
        <v>5.7012569023397068E-2</v>
      </c>
      <c r="AZ208" cm="1">
        <f t="array" ref="AZ208">InterpolateXY(AY208,AW208,CD_CL,CD_M,CD_table)</f>
        <v>4.5172554798817377E-2</v>
      </c>
      <c r="BA208" cm="1">
        <f t="array" ref="BA208">AZ208*S*Linterp(AX$90,atmos_h,atmos_qms)*AW208^2</f>
        <v>7923.262461700202</v>
      </c>
      <c r="BB208" cm="1">
        <f t="array" ref="BB208">AW208*Linterp(AX$90,atmos_h,atmos_aspeed)</f>
        <v>1391.893402055355</v>
      </c>
      <c r="BC208" s="162">
        <f t="shared" si="34"/>
        <v>-20977.310044128029</v>
      </c>
      <c r="BE208">
        <v>1.37</v>
      </c>
      <c r="BF208" cm="1">
        <f t="array" ref="BF208">numeng*InterpolateXY(BF$90,BE208,Tmax_h,Tmax_M,Tmax_table)</f>
        <v>4722.9806537741506</v>
      </c>
      <c r="BG208" cm="1">
        <f t="array" ref="BG208">1*BF$91/(S*Linterp(BF$90,atmos_h,atmos_qms)*BE208^2)</f>
        <v>7.1244693256987235E-2</v>
      </c>
      <c r="BH208" cm="1">
        <f t="array" ref="BH208">InterpolateXY(BG208,BE208,CD_CL,CD_M,CD_table)</f>
        <v>4.551768381148194E-2</v>
      </c>
      <c r="BI208" cm="1">
        <f t="array" ref="BI208">BH208*S*Linterp(BF$90,atmos_h,atmos_qms)*BE208^2</f>
        <v>6388.9227015540337</v>
      </c>
      <c r="BJ208" cm="1">
        <f t="array" ref="BJ208">BE208*Linterp(BF$90,atmos_h,atmos_aspeed)</f>
        <v>1362.697438999511</v>
      </c>
      <c r="BK208" s="162">
        <f t="shared" si="35"/>
        <v>-13621.049772187487</v>
      </c>
      <c r="BM208">
        <v>1.37</v>
      </c>
      <c r="BN208" cm="1">
        <f t="array" ref="BN208">numeng*InterpolateXY(BN$90,BM208,Tmax_h,Tmax_M,Tmax_table)</f>
        <v>4081.6117302538191</v>
      </c>
      <c r="BO208" cm="1">
        <f t="array" ref="BO208">1*BN$91/(S*Linterp(BN$90,atmos_h,atmos_qms)*BM208^2)</f>
        <v>8.9912512187398944E-2</v>
      </c>
      <c r="BP208" cm="1">
        <f t="array" ref="BP208">InterpolateXY(BO208,BM208,CD_CL,CD_M,CD_table)</f>
        <v>4.5970378420544425E-2</v>
      </c>
      <c r="BQ208" cm="1">
        <f t="array" ref="BQ208">BP208*S*Linterp(BN$90,atmos_h,atmos_qms)*BM208^2</f>
        <v>5112.7899001121541</v>
      </c>
      <c r="BR208" cm="1">
        <f t="array" ref="BR208">BM208*Linterp(BN$90,atmos_h,atmos_aspeed)</f>
        <v>1332.8621000787823</v>
      </c>
      <c r="BS208" s="162">
        <f t="shared" si="36"/>
        <v>-8246.5098061966546</v>
      </c>
      <c r="BU208">
        <v>1.37</v>
      </c>
      <c r="BV208" cm="1">
        <f t="array" ref="BV208">numeng*InterpolateXY(BV$90,BU208,Tmax_h,Tmax_M,Tmax_table)</f>
        <v>3377.4453645478934</v>
      </c>
      <c r="BW208" cm="1">
        <f t="array" ref="BW208">1*BV$91/(S*Linterp(BV$90,atmos_h,atmos_qms)*BU208^2)</f>
        <v>0.11430809848060955</v>
      </c>
      <c r="BX208" cm="1">
        <f t="array" ref="BX208">InterpolateXY(BW208,BU208,CD_CL,CD_M,CD_table)</f>
        <v>4.7255914164464348E-2</v>
      </c>
      <c r="BY208" cm="1">
        <f t="array" ref="BY208">BX208*S*Linterp(BV$90,atmos_h,atmos_qms)*BU208^2</f>
        <v>4134.0827808871763</v>
      </c>
      <c r="BZ208" cm="1">
        <f t="array" ref="BZ208">BU208*Linterp(BV$90,atmos_h,atmos_aspeed)</f>
        <v>1326.2976992773645</v>
      </c>
      <c r="CA208" s="162">
        <f t="shared" si="37"/>
        <v>-6021.1587868677616</v>
      </c>
      <c r="CC208">
        <v>1.37</v>
      </c>
      <c r="CD208" cm="1">
        <f t="array" ref="CD208">numeng*InterpolateXY(CD$90,CC208,Tmax_h,Tmax_M,Tmax_table)</f>
        <v>2549.863572192442</v>
      </c>
      <c r="CE208" cm="1">
        <f t="array" ref="CE208">1*CD$91/(S*Linterp(CD$90,atmos_h,atmos_qms)*CC208^2)</f>
        <v>0.14536036297187843</v>
      </c>
      <c r="CF208" cm="1">
        <f t="array" ref="CF208">InterpolateXY(CE208,CC208,CD_CL,CD_M,CD_table)</f>
        <v>4.9514966406204154E-2</v>
      </c>
      <c r="CG208" cm="1">
        <f t="array" ref="CG208">CF208*S*Linterp(CD$90,atmos_h,atmos_qms)*CC208^2</f>
        <v>3406.3595738119739</v>
      </c>
      <c r="CH208" cm="1">
        <f t="array" ref="CH208">CC208*Linterp(CD$90,atmos_h,atmos_aspeed)</f>
        <v>1326.2976992773645</v>
      </c>
      <c r="CI208" s="162">
        <f t="shared" si="38"/>
        <v>-6815.8120583294813</v>
      </c>
      <c r="CK208">
        <v>1.37</v>
      </c>
      <c r="CL208" cm="1">
        <f t="array" ref="CL208">numeng*InterpolateXY(CL$90,CK208,Tmax_h,Tmax_M,Tmax_table)</f>
        <v>1838.3124498588359</v>
      </c>
      <c r="CM208" cm="1">
        <f t="array" ref="CM208">1*CL$91/(S*Linterp(CL$90,atmos_h,atmos_qms)*CK208^2)</f>
        <v>0.18484810266440163</v>
      </c>
      <c r="CN208" cm="1">
        <f t="array" ref="CN208">InterpolateXY(CM208,CK208,CD_CL,CD_M,CD_table)</f>
        <v>5.2387699468835223E-2</v>
      </c>
      <c r="CO208" cm="1">
        <f t="array" ref="CO208">CN208*S*Linterp(CL$90,atmos_h,atmos_qms)*CK208^2</f>
        <v>2834.0945194307446</v>
      </c>
      <c r="CP208" cm="1">
        <f t="array" ref="CP208">CK208*Linterp(CL$90,atmos_h,atmos_aspeed)</f>
        <v>1326.2976992773645</v>
      </c>
      <c r="CQ208" s="162">
        <f t="shared" si="39"/>
        <v>-7924.2208071292507</v>
      </c>
    </row>
    <row r="209" spans="9:95">
      <c r="I209">
        <v>1.38</v>
      </c>
      <c r="J209" cm="1">
        <f t="array" ref="J209">numeng*InterpolateXY(J$90,I209,Tmax_h,Tmax_M,Tmax_table)</f>
        <v>8812</v>
      </c>
      <c r="K209" cm="1">
        <f t="array" ref="K209">1*J$91/(S*Linterp(J$90,atmos_h,atmos_qms)*I209^2)</f>
        <v>2.0851343907870842E-2</v>
      </c>
      <c r="L209" cm="1">
        <f t="array" ref="L209">InterpolateXY(K209,I209,CD_CL,CD_M,CD_table)</f>
        <v>4.4370857925742836E-2</v>
      </c>
      <c r="M209" cm="1">
        <f t="array" ref="M209">L209*S*Linterp(J$90,atmos_h,atmos_qms)*I209^2</f>
        <v>21279.615415577118</v>
      </c>
      <c r="N209" cm="1">
        <f t="array" ref="N209">I209*Linterp(J$90,atmos_h,atmos_aspeed)</f>
        <v>1540.701</v>
      </c>
      <c r="O209" s="162">
        <f t="shared" si="40"/>
        <v>-115253.20523037047</v>
      </c>
      <c r="Q209">
        <v>1.38</v>
      </c>
      <c r="R209" cm="1">
        <f t="array" ref="R209">numeng*InterpolateXY(R$90,Q209,Tmax_h,Tmax_M,Tmax_table)</f>
        <v>8306.4800353771607</v>
      </c>
      <c r="S209" cm="1">
        <f t="array" ref="S209">1*R$91/(S*Linterp(R$90,atmos_h,atmos_qms)*Q209^2)</f>
        <v>2.506029358433692E-2</v>
      </c>
      <c r="T209" cm="1">
        <f t="array" ref="T209">InterpolateXY(S209,Q209,CD_CL,CD_M,CD_table)</f>
        <v>4.4473977192816254E-2</v>
      </c>
      <c r="U209" cm="1">
        <f t="array" ref="U209">T209*S*Linterp(R$90,atmos_h,atmos_qms)*Q209^2</f>
        <v>17746.790173525023</v>
      </c>
      <c r="V209" cm="1">
        <f t="array" ref="V209">Q209*Linterp(R$90,atmos_h,atmos_aspeed)</f>
        <v>1513.9875483909427</v>
      </c>
      <c r="W209" s="162">
        <f t="shared" si="30"/>
        <v>-85755.072012627861</v>
      </c>
      <c r="Y209">
        <v>1.38</v>
      </c>
      <c r="Z209" cm="1">
        <f t="array" ref="Z209">numeng*InterpolateXY(Z$90,Y209,Tmax_h,Tmax_M,Tmax_table)</f>
        <v>7730.3572804759906</v>
      </c>
      <c r="AA209" cm="1">
        <f t="array" ref="AA209">1*Z$91/(S*Linterp(Z$90,atmos_h,atmos_qms)*Y209^2)</f>
        <v>3.0320275906278029E-2</v>
      </c>
      <c r="AB209" cm="1">
        <f t="array" ref="AB209">InterpolateXY(AA209,Y209,CD_CL,CD_M,CD_table)</f>
        <v>4.4602846759703815E-2</v>
      </c>
      <c r="AC209" cm="1">
        <f t="array" ref="AC209">AB209*S*Linterp(Z$90,atmos_h,atmos_qms)*Y209^2</f>
        <v>14710.567574508281</v>
      </c>
      <c r="AD209" cm="1">
        <f t="array" ref="AD209">Y209*Linterp(Z$90,atmos_h,atmos_aspeed)</f>
        <v>1486.7942096889653</v>
      </c>
      <c r="AE209" s="162">
        <f t="shared" si="31"/>
        <v>-62268.817485471103</v>
      </c>
      <c r="AG209">
        <v>1.38</v>
      </c>
      <c r="AH209" cm="1">
        <f t="array" ref="AH209">numeng*InterpolateXY(AH$90,AG209,Tmax_h,Tmax_M,Tmax_table)</f>
        <v>6934.1430765709638</v>
      </c>
      <c r="AI209" cm="1">
        <f t="array" ref="AI209">1*AH$91/(S*Linterp(AH$90,atmos_h,atmos_qms)*AG209^2)</f>
        <v>3.6948163258872881E-2</v>
      </c>
      <c r="AJ209" cm="1">
        <f t="array" ref="AJ209">InterpolateXY(AI209,AG209,CD_CL,CD_M,CD_table)</f>
        <v>4.4765229999842379E-2</v>
      </c>
      <c r="AK209" cm="1">
        <f t="array" ref="AK209">AJ209*S*Linterp(AH$90,atmos_h,atmos_qms)*AG209^2</f>
        <v>12115.684800405412</v>
      </c>
      <c r="AL209" cm="1">
        <f t="array" ref="AL209">AG209*Linterp(AH$90,atmos_h,atmos_aspeed)</f>
        <v>1459.0941529752122</v>
      </c>
      <c r="AM209" s="162">
        <f t="shared" si="32"/>
        <v>-45362.14339586367</v>
      </c>
      <c r="AO209">
        <v>1.38</v>
      </c>
      <c r="AP209" cm="1">
        <f t="array" ref="AP209">numeng*InterpolateXY(AP$90,AO209,Tmax_h,Tmax_M,Tmax_table)</f>
        <v>6165.6292245837431</v>
      </c>
      <c r="AQ209" cm="1">
        <f t="array" ref="AQ209">1*AP$91/(S*Linterp(AP$90,atmos_h,atmos_qms)*AO209^2)</f>
        <v>4.5374164060749754E-2</v>
      </c>
      <c r="AR209" cm="1">
        <f t="array" ref="AR209">InterpolateXY(AQ209,AO209,CD_CL,CD_M,CD_table)</f>
        <v>4.4971667019488362E-2</v>
      </c>
      <c r="AS209" cm="1">
        <f t="array" ref="AS209">AR209*S*Linterp(AP$90,atmos_h,atmos_qms)*AO209^2</f>
        <v>9911.2937836777546</v>
      </c>
      <c r="AT209" cm="1">
        <f t="array" ref="AT209">AO209*Linterp(AP$90,atmos_h,atmos_aspeed)</f>
        <v>1430.8579498078311</v>
      </c>
      <c r="AU209" s="162">
        <f t="shared" si="33"/>
        <v>-32157.083470158665</v>
      </c>
      <c r="AW209">
        <v>1.38</v>
      </c>
      <c r="AX209" cm="1">
        <f t="array" ref="AX209">numeng*InterpolateXY(AX$90,AW209,Tmax_h,Tmax_M,Tmax_table)</f>
        <v>5432.9284499542682</v>
      </c>
      <c r="AY209" cm="1">
        <f t="array" ref="AY209">1*AX$91/(S*Linterp(AX$90,atmos_h,atmos_qms)*AW209^2)</f>
        <v>5.6189293635798138E-2</v>
      </c>
      <c r="AZ209" cm="1">
        <f t="array" ref="AZ209">InterpolateXY(AY209,AW209,CD_CL,CD_M,CD_table)</f>
        <v>4.5236637694077056E-2</v>
      </c>
      <c r="BA209" cm="1">
        <f t="array" ref="BA209">AZ209*S*Linterp(AX$90,atmos_h,atmos_qms)*AW209^2</f>
        <v>8050.757496132117</v>
      </c>
      <c r="BB209" cm="1">
        <f t="array" ref="BB209">AW209*Linterp(AX$90,atmos_h,atmos_aspeed)</f>
        <v>1402.0532079097734</v>
      </c>
      <c r="BC209" s="162">
        <f t="shared" si="34"/>
        <v>-22022.01367171821</v>
      </c>
      <c r="BE209">
        <v>1.38</v>
      </c>
      <c r="BF209" cm="1">
        <f t="array" ref="BF209">numeng*InterpolateXY(BF$90,BE209,Tmax_h,Tmax_M,Tmax_table)</f>
        <v>4742.4352635647283</v>
      </c>
      <c r="BG209" cm="1">
        <f t="array" ref="BG209">1*BF$91/(S*Linterp(BF$90,atmos_h,atmos_qms)*BE209^2)</f>
        <v>7.0215902527850968E-2</v>
      </c>
      <c r="BH209" cm="1">
        <f t="array" ref="BH209">InterpolateXY(BG209,BE209,CD_CL,CD_M,CD_table)</f>
        <v>4.5580289611932348E-2</v>
      </c>
      <c r="BI209" cm="1">
        <f t="array" ref="BI209">BH209*S*Linterp(BF$90,atmos_h,atmos_qms)*BE209^2</f>
        <v>6491.4482291035192</v>
      </c>
      <c r="BJ209" cm="1">
        <f t="array" ref="BJ209">BE209*Linterp(BF$90,atmos_h,atmos_aspeed)</f>
        <v>1372.6441356345435</v>
      </c>
      <c r="BK209" s="162">
        <f t="shared" si="35"/>
        <v>-14404.634341773621</v>
      </c>
      <c r="BM209">
        <v>1.38</v>
      </c>
      <c r="BN209" cm="1">
        <f t="array" ref="BN209">numeng*InterpolateXY(BN$90,BM209,Tmax_h,Tmax_M,Tmax_table)</f>
        <v>4098.9644676432981</v>
      </c>
      <c r="BO209" cm="1">
        <f t="array" ref="BO209">1*BN$91/(S*Linterp(BN$90,atmos_h,atmos_qms)*BM209^2)</f>
        <v>8.8614153604562665E-2</v>
      </c>
      <c r="BP209" cm="1">
        <f t="array" ref="BP209">InterpolateXY(BO209,BM209,CD_CL,CD_M,CD_table)</f>
        <v>4.6031046763311788E-2</v>
      </c>
      <c r="BQ209" cm="1">
        <f t="array" ref="BQ209">BP209*S*Linterp(BN$90,atmos_h,atmos_qms)*BM209^2</f>
        <v>5194.5479238817325</v>
      </c>
      <c r="BR209" cm="1">
        <f t="array" ref="BR209">BM209*Linterp(BN$90,atmos_h,atmos_aspeed)</f>
        <v>1342.5910205173134</v>
      </c>
      <c r="BS209" s="162">
        <f t="shared" si="36"/>
        <v>-8825.5230634382697</v>
      </c>
      <c r="BU209">
        <v>1.38</v>
      </c>
      <c r="BV209" cm="1">
        <f t="array" ref="BV209">numeng*InterpolateXY(BV$90,BU209,Tmax_h,Tmax_M,Tmax_table)</f>
        <v>3392.2155337806098</v>
      </c>
      <c r="BW209" cm="1">
        <f t="array" ref="BW209">1*BV$91/(S*Linterp(BV$90,atmos_h,atmos_qms)*BU209^2)</f>
        <v>0.11265746168780516</v>
      </c>
      <c r="BX209" cm="1">
        <f t="array" ref="BX209">InterpolateXY(BW209,BU209,CD_CL,CD_M,CD_table)</f>
        <v>4.7240323434053676E-2</v>
      </c>
      <c r="BY209" cm="1">
        <f t="array" ref="BY209">BX209*S*Linterp(BV$90,atmos_h,atmos_qms)*BU209^2</f>
        <v>4193.2707098412557</v>
      </c>
      <c r="BZ209" cm="1">
        <f t="array" ref="BZ209">BU209*Linterp(BV$90,atmos_h,atmos_aspeed)</f>
        <v>1335.9787043815786</v>
      </c>
      <c r="CA209" s="162">
        <f t="shared" si="37"/>
        <v>-6421.1559375099532</v>
      </c>
      <c r="CC209">
        <v>1.38</v>
      </c>
      <c r="CD209" cm="1">
        <f t="array" ref="CD209">numeng*InterpolateXY(CD$90,CC209,Tmax_h,Tmax_M,Tmax_table)</f>
        <v>2560.7041704343774</v>
      </c>
      <c r="CE209" cm="1">
        <f t="array" ref="CE209">1*CD$91/(S*Linterp(CD$90,atmos_h,atmos_qms)*CC209^2)</f>
        <v>0.143261323914051</v>
      </c>
      <c r="CF209" cm="1">
        <f t="array" ref="CF209">InterpolateXY(CE209,CC209,CD_CL,CD_M,CD_table)</f>
        <v>4.9489707307682748E-2</v>
      </c>
      <c r="CG209" cm="1">
        <f t="array" ref="CG209">CF209*S*Linterp(CD$90,atmos_h,atmos_qms)*CC209^2</f>
        <v>3454.50579092609</v>
      </c>
      <c r="CH209" cm="1">
        <f t="array" ref="CH209">CC209*Linterp(CD$90,atmos_h,atmos_aspeed)</f>
        <v>1335.9787043815786</v>
      </c>
      <c r="CI209" s="162">
        <f t="shared" si="38"/>
        <v>-7164.5995855120409</v>
      </c>
      <c r="CK209">
        <v>1.38</v>
      </c>
      <c r="CL209" cm="1">
        <f t="array" ref="CL209">numeng*InterpolateXY(CL$90,CK209,Tmax_h,Tmax_M,Tmax_table)</f>
        <v>1845.6194221669862</v>
      </c>
      <c r="CM209" cm="1">
        <f t="array" ref="CM209">1*CL$91/(S*Linterp(CL$90,atmos_h,atmos_qms)*CK209^2)</f>
        <v>0.18217885102437278</v>
      </c>
      <c r="CN209" cm="1">
        <f t="array" ref="CN209">InterpolateXY(CM209,CK209,CD_CL,CD_M,CD_table)</f>
        <v>5.2350145550291403E-2</v>
      </c>
      <c r="CO209" cm="1">
        <f t="array" ref="CO209">CN209*S*Linterp(CL$90,atmos_h,atmos_qms)*CK209^2</f>
        <v>2873.5577843384103</v>
      </c>
      <c r="CP209" cm="1">
        <f t="array" ref="CP209">CK209*Linterp(CL$90,atmos_h,atmos_aspeed)</f>
        <v>1335.9787043815786</v>
      </c>
      <c r="CQ209" s="162">
        <f t="shared" si="39"/>
        <v>-8239.8225676674065</v>
      </c>
    </row>
    <row r="210" spans="9:95">
      <c r="I210">
        <v>1.39</v>
      </c>
      <c r="J210" cm="1">
        <f t="array" ref="J210">numeng*InterpolateXY(J$90,I210,Tmax_h,Tmax_M,Tmax_table)</f>
        <v>8836</v>
      </c>
      <c r="K210" cm="1">
        <f t="array" ref="K210">1*J$91/(S*Linterp(J$90,atmos_h,atmos_qms)*I210^2)</f>
        <v>2.0552403777314442E-2</v>
      </c>
      <c r="L210" cm="1">
        <f t="array" ref="L210">InterpolateXY(K210,I210,CD_CL,CD_M,CD_table)</f>
        <v>4.4438671993488527E-2</v>
      </c>
      <c r="M210" cm="1">
        <f t="array" ref="M210">L210*S*Linterp(J$90,atmos_h,atmos_qms)*I210^2</f>
        <v>21622.128717877535</v>
      </c>
      <c r="N210" cm="1">
        <f t="array" ref="N210">I210*Linterp(J$90,atmos_h,atmos_aspeed)</f>
        <v>1551.8654999999999</v>
      </c>
      <c r="O210" s="162">
        <f t="shared" si="40"/>
        <v>-119054.11221500028</v>
      </c>
      <c r="Q210">
        <v>1.39</v>
      </c>
      <c r="R210" cm="1">
        <f t="array" ref="R210">numeng*InterpolateXY(R$90,Q210,Tmax_h,Tmax_M,Tmax_table)</f>
        <v>8332.3300769810303</v>
      </c>
      <c r="S210" cm="1">
        <f t="array" ref="S210">1*R$91/(S*Linterp(R$90,atmos_h,atmos_qms)*Q210^2)</f>
        <v>2.4701010870043595E-2</v>
      </c>
      <c r="T210" cm="1">
        <f t="array" ref="T210">InterpolateXY(S210,Q210,CD_CL,CD_M,CD_table)</f>
        <v>4.4541350019033574E-2</v>
      </c>
      <c r="U210" cm="1">
        <f t="array" ref="U210">T210*S*Linterp(R$90,atmos_h,atmos_qms)*Q210^2</f>
        <v>18032.197246247746</v>
      </c>
      <c r="V210" cm="1">
        <f t="array" ref="V210">Q210*Linterp(R$90,atmos_h,atmos_aspeed)</f>
        <v>1524.9584726546452</v>
      </c>
      <c r="W210" s="162">
        <f t="shared" si="30"/>
        <v>-88751.367740387446</v>
      </c>
      <c r="Y210">
        <v>1.39</v>
      </c>
      <c r="Z210" cm="1">
        <f t="array" ref="Z210">numeng*InterpolateXY(Z$90,Y210,Tmax_h,Tmax_M,Tmax_table)</f>
        <v>7756.9423838478988</v>
      </c>
      <c r="AA210" cm="1">
        <f t="array" ref="AA210">1*Z$91/(S*Linterp(Z$90,atmos_h,atmos_qms)*Y210^2)</f>
        <v>2.988558223483043E-2</v>
      </c>
      <c r="AB210" cm="1">
        <f t="array" ref="AB210">InterpolateXY(AA210,Y210,CD_CL,CD_M,CD_table)</f>
        <v>4.4669668160312051E-2</v>
      </c>
      <c r="AC210" cm="1">
        <f t="array" ref="AC210">AB210*S*Linterp(Z$90,atmos_h,atmos_qms)*Y210^2</f>
        <v>14946.89573363954</v>
      </c>
      <c r="AD210" cm="1">
        <f t="array" ref="AD210">Y210*Linterp(Z$90,atmos_h,atmos_aspeed)</f>
        <v>1497.568080773668</v>
      </c>
      <c r="AE210" s="162">
        <f t="shared" si="31"/>
        <v>-64604.667833398031</v>
      </c>
      <c r="AG210">
        <v>1.39</v>
      </c>
      <c r="AH210" cm="1">
        <f t="array" ref="AH210">numeng*InterpolateXY(AH$90,AG210,Tmax_h,Tmax_M,Tmax_table)</f>
        <v>6959.3123799341984</v>
      </c>
      <c r="AI210" cm="1">
        <f t="array" ref="AI210">1*AH$91/(S*Linterp(AH$90,atmos_h,atmos_qms)*AG210^2)</f>
        <v>3.641844734237229E-2</v>
      </c>
      <c r="AJ210" cm="1">
        <f t="array" ref="AJ210">InterpolateXY(AI210,AG210,CD_CL,CD_M,CD_table)</f>
        <v>4.4831356571723713E-2</v>
      </c>
      <c r="AK210" cm="1">
        <f t="array" ref="AK210">AJ210*S*Linterp(AH$90,atmos_h,atmos_qms)*AG210^2</f>
        <v>12310.068068048344</v>
      </c>
      <c r="AL210" cm="1">
        <f t="array" ref="AL210">AG210*Linterp(AH$90,atmos_h,atmos_aspeed)</f>
        <v>1469.6672990112643</v>
      </c>
      <c r="AM210" s="162">
        <f t="shared" si="32"/>
        <v>-47182.983958919249</v>
      </c>
      <c r="AO210">
        <v>1.39</v>
      </c>
      <c r="AP210" cm="1">
        <f t="array" ref="AP210">numeng*InterpolateXY(AP$90,AO210,Tmax_h,Tmax_M,Tmax_table)</f>
        <v>6189.0726817114382</v>
      </c>
      <c r="AQ210" cm="1">
        <f t="array" ref="AQ210">1*AP$91/(S*Linterp(AP$90,atmos_h,atmos_qms)*AO210^2)</f>
        <v>4.4723646828472553E-2</v>
      </c>
      <c r="AR210" cm="1">
        <f t="array" ref="AR210">InterpolateXY(AQ210,AO210,CD_CL,CD_M,CD_table)</f>
        <v>4.5036910259004692E-2</v>
      </c>
      <c r="AS210" cm="1">
        <f t="array" ref="AS210">AR210*S*Linterp(AP$90,atmos_h,atmos_qms)*AO210^2</f>
        <v>10070.044250133176</v>
      </c>
      <c r="AT210" cm="1">
        <f t="array" ref="AT210">AO210*Linterp(AP$90,atmos_h,atmos_aspeed)</f>
        <v>1441.2264856760037</v>
      </c>
      <c r="AU210" s="162">
        <f t="shared" si="33"/>
        <v>-33560.154087389703</v>
      </c>
      <c r="AW210">
        <v>1.39</v>
      </c>
      <c r="AX210" cm="1">
        <f t="array" ref="AX210">numeng*InterpolateXY(AX$90,AW210,Tmax_h,Tmax_M,Tmax_table)</f>
        <v>5454.4378994427043</v>
      </c>
      <c r="AY210" cm="1">
        <f t="array" ref="AY210">1*AX$91/(S*Linterp(AX$90,atmos_h,atmos_qms)*AW210^2)</f>
        <v>5.5383722788682768E-2</v>
      </c>
      <c r="AZ210" cm="1">
        <f t="array" ref="AZ210">InterpolateXY(AY210,AW210,CD_CL,CD_M,CD_table)</f>
        <v>4.5300747139019895E-2</v>
      </c>
      <c r="BA210" cm="1">
        <f t="array" ref="BA210">AZ210*S*Linterp(AX$90,atmos_h,atmos_qms)*AW210^2</f>
        <v>8179.4333890961807</v>
      </c>
      <c r="BB210" cm="1">
        <f t="array" ref="BB210">AW210*Linterp(AX$90,atmos_h,atmos_aspeed)</f>
        <v>1412.2130137641921</v>
      </c>
      <c r="BC210" s="162">
        <f t="shared" si="34"/>
        <v>-23089.644557624197</v>
      </c>
      <c r="BE210">
        <v>1.39</v>
      </c>
      <c r="BF210" cm="1">
        <f t="array" ref="BF210">numeng*InterpolateXY(BF$90,BE210,Tmax_h,Tmax_M,Tmax_table)</f>
        <v>4761.889873355306</v>
      </c>
      <c r="BG210" cm="1">
        <f t="array" ref="BG210">1*BF$91/(S*Linterp(BF$90,atmos_h,atmos_qms)*BE210^2)</f>
        <v>6.920923594743511E-2</v>
      </c>
      <c r="BH210" cm="1">
        <f t="array" ref="BH210">InterpolateXY(BG210,BE210,CD_CL,CD_M,CD_table)</f>
        <v>4.5642928589699018E-2</v>
      </c>
      <c r="BI210" cm="1">
        <f t="array" ref="BI210">BH210*S*Linterp(BF$90,atmos_h,atmos_qms)*BE210^2</f>
        <v>6594.9187221724469</v>
      </c>
      <c r="BJ210" cm="1">
        <f t="array" ref="BJ210">BE210*Linterp(BF$90,atmos_h,atmos_aspeed)</f>
        <v>1382.5908322695766</v>
      </c>
      <c r="BK210" s="162">
        <f t="shared" si="35"/>
        <v>-15205.973289961406</v>
      </c>
      <c r="BM210">
        <v>1.39</v>
      </c>
      <c r="BN210" cm="1">
        <f t="array" ref="BN210">numeng*InterpolateXY(BN$90,BM210,Tmax_h,Tmax_M,Tmax_table)</f>
        <v>4116.3172050327767</v>
      </c>
      <c r="BO210" cm="1">
        <f t="array" ref="BO210">1*BN$91/(S*Linterp(BN$90,atmos_h,atmos_qms)*BM210^2)</f>
        <v>8.7343716228212381E-2</v>
      </c>
      <c r="BP210" cm="1">
        <f t="array" ref="BP210">InterpolateXY(BO210,BM210,CD_CL,CD_M,CD_table)</f>
        <v>4.609175697664826E-2</v>
      </c>
      <c r="BQ210" cm="1">
        <f t="array" ref="BQ210">BP210*S*Linterp(BN$90,atmos_h,atmos_qms)*BM210^2</f>
        <v>5277.0547175047304</v>
      </c>
      <c r="BR210" cm="1">
        <f t="array" ref="BR210">BM210*Linterp(BN$90,atmos_h,atmos_aspeed)</f>
        <v>1352.3199409558445</v>
      </c>
      <c r="BS210" s="162">
        <f t="shared" si="36"/>
        <v>-9418.1309059878386</v>
      </c>
      <c r="BU210">
        <v>1.39</v>
      </c>
      <c r="BV210" cm="1">
        <f t="array" ref="BV210">numeng*InterpolateXY(BV$90,BU210,Tmax_h,Tmax_M,Tmax_table)</f>
        <v>3406.9857030133267</v>
      </c>
      <c r="BW210" cm="1">
        <f t="array" ref="BW210">1*BV$91/(S*Linterp(BV$90,atmos_h,atmos_qms)*BU210^2)</f>
        <v>0.11104232184579273</v>
      </c>
      <c r="BX210" cm="1">
        <f t="array" ref="BX210">InterpolateXY(BW210,BU210,CD_CL,CD_M,CD_table)</f>
        <v>4.7224892397050106E-2</v>
      </c>
      <c r="BY210" cm="1">
        <f t="array" ref="BY210">BX210*S*Linterp(BV$90,atmos_h,atmos_qms)*BU210^2</f>
        <v>4252.8732839927925</v>
      </c>
      <c r="BZ210" cm="1">
        <f t="array" ref="BZ210">BU210*Linterp(BV$90,atmos_h,atmos_aspeed)</f>
        <v>1345.659709485793</v>
      </c>
      <c r="CA210" s="162">
        <f t="shared" si="37"/>
        <v>-6829.66101887081</v>
      </c>
      <c r="CC210">
        <v>1.39</v>
      </c>
      <c r="CD210" cm="1">
        <f t="array" ref="CD210">numeng*InterpolateXY(CD$90,CC210,Tmax_h,Tmax_M,Tmax_table)</f>
        <v>2571.5447686763127</v>
      </c>
      <c r="CE210" cm="1">
        <f t="array" ref="CE210">1*CD$91/(S*Linterp(CD$90,atmos_h,atmos_qms)*CC210^2)</f>
        <v>0.14120742469950764</v>
      </c>
      <c r="CF210" cm="1">
        <f t="array" ref="CF210">InterpolateXY(CE210,CC210,CD_CL,CD_M,CD_table)</f>
        <v>4.9464651283938441E-2</v>
      </c>
      <c r="CG210" cm="1">
        <f t="array" ref="CG210">CF210*S*Linterp(CD$90,atmos_h,atmos_qms)*CC210^2</f>
        <v>3502.9780756359137</v>
      </c>
      <c r="CH210" cm="1">
        <f t="array" ref="CH210">CC210*Linterp(CD$90,atmos_h,atmos_aspeed)</f>
        <v>1345.659709485793</v>
      </c>
      <c r="CI210" s="162">
        <f t="shared" si="38"/>
        <v>-7520.3536394918892</v>
      </c>
      <c r="CK210">
        <v>1.39</v>
      </c>
      <c r="CL210" cm="1">
        <f t="array" ref="CL210">numeng*InterpolateXY(CL$90,CK210,Tmax_h,Tmax_M,Tmax_table)</f>
        <v>1852.9263944751367</v>
      </c>
      <c r="CM210" cm="1">
        <f t="array" ref="CM210">1*CL$91/(S*Linterp(CL$90,atmos_h,atmos_qms)*CK210^2)</f>
        <v>0.17956700165147535</v>
      </c>
      <c r="CN210" cm="1">
        <f t="array" ref="CN210">InterpolateXY(CM210,CK210,CD_CL,CD_M,CD_table)</f>
        <v>5.2312849872622046E-2</v>
      </c>
      <c r="CO210" cm="1">
        <f t="array" ref="CO210">CN210*S*Linterp(CL$90,atmos_h,atmos_qms)*CK210^2</f>
        <v>2913.2774614211662</v>
      </c>
      <c r="CP210" cm="1">
        <f t="array" ref="CP210">CK210*Linterp(CL$90,atmos_h,atmos_aspeed)</f>
        <v>1345.659709485793</v>
      </c>
      <c r="CQ210" s="162">
        <f t="shared" si="39"/>
        <v>-8561.2302521972688</v>
      </c>
    </row>
    <row r="211" spans="9:95">
      <c r="I211">
        <v>1.4</v>
      </c>
      <c r="J211" cm="1">
        <f t="array" ref="J211">numeng*InterpolateXY(J$90,I211,Tmax_h,Tmax_M,Tmax_table)</f>
        <v>8860</v>
      </c>
      <c r="K211" cm="1">
        <f t="array" ref="K211">1*J$91/(S*Linterp(J$90,atmos_h,atmos_qms)*I211^2)</f>
        <v>2.0259846601096546E-2</v>
      </c>
      <c r="L211" cm="1">
        <f t="array" ref="L211">InterpolateXY(K211,I211,CD_CL,CD_M,CD_table)</f>
        <v>4.4506496165027415E-2</v>
      </c>
      <c r="M211" cm="1">
        <f t="array" ref="M211">L211*S*Linterp(J$90,atmos_h,atmos_qms)*I211^2</f>
        <v>21967.834723199998</v>
      </c>
      <c r="N211" cm="1">
        <f t="array" ref="N211">I211*Linterp(J$90,atmos_h,atmos_aspeed)</f>
        <v>1563.03</v>
      </c>
      <c r="O211" s="162">
        <f t="shared" si="40"/>
        <v>-122927.63344441977</v>
      </c>
      <c r="Q211">
        <v>1.4</v>
      </c>
      <c r="R211" cm="1">
        <f t="array" ref="R211">numeng*InterpolateXY(R$90,Q211,Tmax_h,Tmax_M,Tmax_table)</f>
        <v>8358.1801185849017</v>
      </c>
      <c r="S211" cm="1">
        <f t="array" ref="S211">1*R$91/(S*Linterp(R$90,atmos_h,atmos_qms)*Q211^2)</f>
        <v>2.4349399541842461E-2</v>
      </c>
      <c r="T211" cm="1">
        <f t="array" ref="T211">InterpolateXY(S211,Q211,CD_CL,CD_M,CD_table)</f>
        <v>4.4608734988546062E-2</v>
      </c>
      <c r="U211" cm="1">
        <f t="array" ref="U211">T211*S*Linterp(R$90,atmos_h,atmos_qms)*Q211^2</f>
        <v>18320.260798172694</v>
      </c>
      <c r="V211" cm="1">
        <f t="array" ref="V211">Q211*Linterp(R$90,atmos_h,atmos_aspeed)</f>
        <v>1535.9293969183477</v>
      </c>
      <c r="W211" s="162">
        <f t="shared" si="30"/>
        <v>-91806.315421507214</v>
      </c>
      <c r="Y211">
        <v>1.4</v>
      </c>
      <c r="Z211" cm="1">
        <f t="array" ref="Z211">numeng*InterpolateXY(Z$90,Y211,Tmax_h,Tmax_M,Tmax_table)</f>
        <v>7783.527487219807</v>
      </c>
      <c r="AA211" cm="1">
        <f t="array" ref="AA211">1*Z$91/(S*Linterp(Z$90,atmos_h,atmos_qms)*Y211^2)</f>
        <v>2.9460170120365236E-2</v>
      </c>
      <c r="AB211" cm="1">
        <f t="array" ref="AB211">InterpolateXY(AA211,Y211,CD_CL,CD_M,CD_table)</f>
        <v>4.4736504253009131E-2</v>
      </c>
      <c r="AC211" cm="1">
        <f t="array" ref="AC211">AB211*S*Linterp(Z$90,atmos_h,atmos_qms)*Y211^2</f>
        <v>15185.419524133591</v>
      </c>
      <c r="AD211" cm="1">
        <f t="array" ref="AD211">Y211*Linterp(Z$90,atmos_h,atmos_aspeed)</f>
        <v>1508.3419518583707</v>
      </c>
      <c r="AE211" s="162">
        <f t="shared" si="31"/>
        <v>-66987.505694420819</v>
      </c>
      <c r="AG211">
        <v>1.4</v>
      </c>
      <c r="AH211" cm="1">
        <f t="array" ref="AH211">numeng*InterpolateXY(AH$90,AG211,Tmax_h,Tmax_M,Tmax_table)</f>
        <v>6984.481683297432</v>
      </c>
      <c r="AI211" cm="1">
        <f t="array" ref="AI211">1*AH$91/(S*Linterp(AH$90,atmos_h,atmos_qms)*AG211^2)</f>
        <v>3.590004189295791E-2</v>
      </c>
      <c r="AJ211" cm="1">
        <f t="array" ref="AJ211">InterpolateXY(AI211,AG211,CD_CL,CD_M,CD_table)</f>
        <v>4.4897501047323943E-2</v>
      </c>
      <c r="AK211" cm="1">
        <f t="array" ref="AK211">AJ211*S*Linterp(AH$90,atmos_h,atmos_qms)*AG211^2</f>
        <v>12506.253107222965</v>
      </c>
      <c r="AL211" cm="1">
        <f t="array" ref="AL211">AG211*Linterp(AH$90,atmos_h,atmos_aspeed)</f>
        <v>1480.2404450473166</v>
      </c>
      <c r="AM211" s="162">
        <f t="shared" si="32"/>
        <v>-49041.296340006513</v>
      </c>
      <c r="AO211">
        <v>1.4</v>
      </c>
      <c r="AP211" cm="1">
        <f t="array" ref="AP211">numeng*InterpolateXY(AP$90,AO211,Tmax_h,Tmax_M,Tmax_table)</f>
        <v>6212.5161388391334</v>
      </c>
      <c r="AQ211" cm="1">
        <f t="array" ref="AQ211">1*AP$91/(S*Linterp(AP$90,atmos_h,atmos_qms)*AO211^2)</f>
        <v>4.4087019406781544E-2</v>
      </c>
      <c r="AR211" cm="1">
        <f t="array" ref="AR211">InterpolateXY(AQ211,AO211,CD_CL,CD_M,CD_table)</f>
        <v>4.5102175485169538E-2</v>
      </c>
      <c r="AS211" cm="1">
        <f t="array" ref="AS211">AR211*S*Linterp(AP$90,atmos_h,atmos_qms)*AO211^2</f>
        <v>10230.261898410816</v>
      </c>
      <c r="AT211" cm="1">
        <f t="array" ref="AT211">AO211*Linterp(AP$90,atmos_h,atmos_aspeed)</f>
        <v>1451.5950215441765</v>
      </c>
      <c r="AU211" s="162">
        <f t="shared" si="33"/>
        <v>-34992.83845454688</v>
      </c>
      <c r="AW211">
        <v>1.4</v>
      </c>
      <c r="AX211" cm="1">
        <f t="array" ref="AX211">numeng*InterpolateXY(AX$90,AW211,Tmax_h,Tmax_M,Tmax_table)</f>
        <v>5475.9473489311413</v>
      </c>
      <c r="AY211" cm="1">
        <f t="array" ref="AY211">1*AX$91/(S*Linterp(AX$90,atmos_h,atmos_qms)*AW211^2)</f>
        <v>5.459535244898673E-2</v>
      </c>
      <c r="AZ211" cm="1">
        <f t="array" ref="AZ211">InterpolateXY(AY211,AW211,CD_CL,CD_M,CD_table)</f>
        <v>4.5364883811224666E-2</v>
      </c>
      <c r="BA211" cm="1">
        <f t="array" ref="BA211">AZ211*S*Linterp(AX$90,atmos_h,atmos_qms)*AW211^2</f>
        <v>8309.2940655732727</v>
      </c>
      <c r="BB211" cm="1">
        <f t="array" ref="BB211">AW211*Linterp(AX$90,atmos_h,atmos_aspeed)</f>
        <v>1422.3728196186107</v>
      </c>
      <c r="BC211" s="162">
        <f t="shared" si="34"/>
        <v>-24180.452149844408</v>
      </c>
      <c r="BE211">
        <v>1.4</v>
      </c>
      <c r="BF211" cm="1">
        <f t="array" ref="BF211">numeng*InterpolateXY(BF$90,BE211,Tmax_h,Tmax_M,Tmax_table)</f>
        <v>4781.3444831458837</v>
      </c>
      <c r="BG211" cm="1">
        <f t="array" ref="BG211">1*BF$91/(S*Linterp(BF$90,atmos_h,atmos_qms)*BE211^2)</f>
        <v>6.8224063660224168E-2</v>
      </c>
      <c r="BH211" cm="1">
        <f t="array" ref="BH211">InterpolateXY(BG211,BE211,CD_CL,CD_M,CD_table)</f>
        <v>4.57056015915056E-2</v>
      </c>
      <c r="BI211" cm="1">
        <f t="array" ref="BI211">BH211*S*Linterp(BF$90,atmos_h,atmos_qms)*BE211^2</f>
        <v>6699.3373216718492</v>
      </c>
      <c r="BJ211" cm="1">
        <f t="array" ref="BJ211">BE211*Linterp(BF$90,atmos_h,atmos_aspeed)</f>
        <v>1392.5375289046094</v>
      </c>
      <c r="BK211" s="162">
        <f t="shared" si="35"/>
        <v>-16025.262046906113</v>
      </c>
      <c r="BM211">
        <v>1.4</v>
      </c>
      <c r="BN211" cm="1">
        <f t="array" ref="BN211">numeng*InterpolateXY(BN$90,BM211,Tmax_h,Tmax_M,Tmax_table)</f>
        <v>4133.6699424222552</v>
      </c>
      <c r="BO211" cm="1">
        <f t="array" ref="BO211">1*BN$91/(S*Linterp(BN$90,atmos_h,atmos_qms)*BM211^2)</f>
        <v>8.6100405165576085E-2</v>
      </c>
      <c r="BP211" cm="1">
        <f t="array" ref="BP211">InterpolateXY(BO211,BM211,CD_CL,CD_M,CD_table)</f>
        <v>4.6152510129139401E-2</v>
      </c>
      <c r="BQ211" cm="1">
        <f t="array" ref="BQ211">BP211*S*Linterp(BN$90,atmos_h,atmos_qms)*BM211^2</f>
        <v>5360.3127697698328</v>
      </c>
      <c r="BR211" cm="1">
        <f t="array" ref="BR211">BM211*Linterp(BN$90,atmos_h,atmos_aspeed)</f>
        <v>1362.0488613943758</v>
      </c>
      <c r="BS211" s="162">
        <f t="shared" si="36"/>
        <v>-10024.484797958075</v>
      </c>
      <c r="BU211">
        <v>1.4</v>
      </c>
      <c r="BV211" cm="1">
        <f t="array" ref="BV211">numeng*InterpolateXY(BV$90,BU211,Tmax_h,Tmax_M,Tmax_table)</f>
        <v>3421.7558722460435</v>
      </c>
      <c r="BW211" cm="1">
        <f t="array" ref="BW211">1*BV$91/(S*Linterp(BV$90,atmos_h,atmos_qms)*BU211^2)</f>
        <v>0.10946166838686537</v>
      </c>
      <c r="BX211" cm="1">
        <f t="array" ref="BX211">InterpolateXY(BW211,BU211,CD_CL,CD_M,CD_table)</f>
        <v>4.7209625129014901E-2</v>
      </c>
      <c r="BY211" cm="1">
        <f t="array" ref="BY211">BX211*S*Linterp(BV$90,atmos_h,atmos_qms)*BU211^2</f>
        <v>4312.8910626653424</v>
      </c>
      <c r="BZ211" cm="1">
        <f t="array" ref="BZ211">BU211*Linterp(BV$90,atmos_h,atmos_aspeed)</f>
        <v>1355.3407145900073</v>
      </c>
      <c r="CA211" s="162">
        <f t="shared" si="37"/>
        <v>-7246.7508346751674</v>
      </c>
      <c r="CC211">
        <v>1.4</v>
      </c>
      <c r="CD211" cm="1">
        <f t="array" ref="CD211">numeng*InterpolateXY(CD$90,CC211,Tmax_h,Tmax_M,Tmax_table)</f>
        <v>2582.3853669182486</v>
      </c>
      <c r="CE211" cm="1">
        <f t="array" ref="CE211">1*CD$91/(S*Linterp(CD$90,atmos_h,atmos_qms)*CC211^2)</f>
        <v>0.13919738023567282</v>
      </c>
      <c r="CF211" cm="1">
        <f t="array" ref="CF211">InterpolateXY(CE211,CC211,CD_CL,CD_M,CD_table)</f>
        <v>4.9439803517675462E-2</v>
      </c>
      <c r="CG211" cm="1">
        <f t="array" ref="CG211">CF211*S*Linterp(CD$90,atmos_h,atmos_qms)*CC211^2</f>
        <v>3551.7768677808258</v>
      </c>
      <c r="CH211" cm="1">
        <f t="array" ref="CH211">CC211*Linterp(CD$90,atmos_h,atmos_aspeed)</f>
        <v>1355.3407145900073</v>
      </c>
      <c r="CI211" s="162">
        <f t="shared" si="38"/>
        <v>-7883.1346169793915</v>
      </c>
      <c r="CK211">
        <v>1.4</v>
      </c>
      <c r="CL211" cm="1">
        <f t="array" ref="CL211">numeng*InterpolateXY(CL$90,CK211,Tmax_h,Tmax_M,Tmax_table)</f>
        <v>1860.233366783287</v>
      </c>
      <c r="CM211" cm="1">
        <f t="array" ref="CM211">1*CL$91/(S*Linterp(CL$90,atmos_h,atmos_qms)*CK211^2)</f>
        <v>0.17701092035245689</v>
      </c>
      <c r="CN211" cm="1">
        <f t="array" ref="CN211">InterpolateXY(CM211,CK211,CD_CL,CD_M,CD_table)</f>
        <v>5.2275819026434266E-2</v>
      </c>
      <c r="CO211" cm="1">
        <f t="array" ref="CO211">CN211*S*Linterp(CL$90,atmos_h,atmos_qms)*CK211^2</f>
        <v>2953.2538965587432</v>
      </c>
      <c r="CP211" cm="1">
        <f t="array" ref="CP211">CK211*Linterp(CL$90,atmos_h,atmos_aspeed)</f>
        <v>1355.3407145900073</v>
      </c>
      <c r="CQ211" s="162">
        <f t="shared" si="39"/>
        <v>-8888.4913553244915</v>
      </c>
    </row>
    <row r="212" spans="9:95">
      <c r="I212">
        <v>1.41</v>
      </c>
      <c r="J212" cm="1">
        <f t="array" ref="J212">numeng*InterpolateXY(J$90,I212,Tmax_h,Tmax_M,Tmax_table)</f>
        <v>8884</v>
      </c>
      <c r="K212" cm="1">
        <f t="array" ref="K212">1*J$91/(S*Linterp(J$90,atmos_h,atmos_qms)*I212^2)</f>
        <v>1.9973491946154234E-2</v>
      </c>
      <c r="L212" cm="1">
        <f t="array" ref="L212">InterpolateXY(K212,I212,CD_CL,CD_M,CD_table)</f>
        <v>4.4504330671640391E-2</v>
      </c>
      <c r="M212" cm="1">
        <f t="array" ref="M212">L212*S*Linterp(J$90,atmos_h,atmos_qms)*I212^2</f>
        <v>22281.697557751995</v>
      </c>
      <c r="N212" cm="1">
        <f t="array" ref="N212">I212*Linterp(J$90,atmos_h,atmos_aspeed)</f>
        <v>1574.1945000000001</v>
      </c>
      <c r="O212" s="162">
        <f t="shared" si="40"/>
        <v>-126543.49084845974</v>
      </c>
      <c r="Q212">
        <v>1.41</v>
      </c>
      <c r="R212" cm="1">
        <f t="array" ref="R212">numeng*InterpolateXY(R$90,Q212,Tmax_h,Tmax_M,Tmax_table)</f>
        <v>8384.0301601887732</v>
      </c>
      <c r="S212" cm="1">
        <f t="array" ref="S212">1*R$91/(S*Linterp(R$90,atmos_h,atmos_qms)*Q212^2)</f>
        <v>2.4005242745340386E-2</v>
      </c>
      <c r="T212" cm="1">
        <f t="array" ref="T212">InterpolateXY(S212,Q212,CD_CL,CD_M,CD_table)</f>
        <v>4.4606132379319846E-2</v>
      </c>
      <c r="U212" cm="1">
        <f t="array" ref="U212">T212*S*Linterp(R$90,atmos_h,atmos_qms)*Q212^2</f>
        <v>18581.829333085272</v>
      </c>
      <c r="V212" cm="1">
        <f t="array" ref="V212">Q212*Linterp(R$90,atmos_h,atmos_aspeed)</f>
        <v>1546.9003211820502</v>
      </c>
      <c r="W212" s="162">
        <f t="shared" si="30"/>
        <v>-94649.872895421839</v>
      </c>
      <c r="Y212">
        <v>1.41</v>
      </c>
      <c r="Z212" cm="1">
        <f t="array" ref="Z212">numeng*InterpolateXY(Z$90,Y212,Tmax_h,Tmax_M,Tmax_table)</f>
        <v>7810.1125905917152</v>
      </c>
      <c r="AA212" cm="1">
        <f t="array" ref="AA212">1*Z$91/(S*Linterp(Z$90,atmos_h,atmos_qms)*Y212^2)</f>
        <v>2.9043777192251832E-2</v>
      </c>
      <c r="AB212" cm="1">
        <f t="array" ref="AB212">InterpolateXY(AA212,Y212,CD_CL,CD_M,CD_table)</f>
        <v>4.4733355374104361E-2</v>
      </c>
      <c r="AC212" cm="1">
        <f t="array" ref="AC212">AB212*S*Linterp(Z$90,atmos_h,atmos_qms)*Y212^2</f>
        <v>15402.044671392854</v>
      </c>
      <c r="AD212" cm="1">
        <f t="array" ref="AD212">Y212*Linterp(Z$90,atmos_h,atmos_aspeed)</f>
        <v>1519.1158229430732</v>
      </c>
      <c r="AE212" s="162">
        <f t="shared" si="31"/>
        <v>-69198.14490392484</v>
      </c>
      <c r="AG212">
        <v>1.41</v>
      </c>
      <c r="AH212" cm="1">
        <f t="array" ref="AH212">numeng*InterpolateXY(AH$90,AG212,Tmax_h,Tmax_M,Tmax_table)</f>
        <v>7009.6509866606657</v>
      </c>
      <c r="AI212" cm="1">
        <f t="array" ref="AI212">1*AH$91/(S*Linterp(AH$90,atmos_h,atmos_qms)*AG212^2)</f>
        <v>3.5392627186860572E-2</v>
      </c>
      <c r="AJ212" cm="1">
        <f t="array" ref="AJ212">InterpolateXY(AI212,AG212,CD_CL,CD_M,CD_table)</f>
        <v>4.4893663836468228E-2</v>
      </c>
      <c r="AK212" cm="1">
        <f t="array" ref="AK212">AJ212*S*Linterp(AH$90,atmos_h,atmos_qms)*AG212^2</f>
        <v>12684.467756362235</v>
      </c>
      <c r="AL212" cm="1">
        <f t="array" ref="AL212">AG212*Linterp(AH$90,atmos_h,atmos_aspeed)</f>
        <v>1490.8135910833689</v>
      </c>
      <c r="AM212" s="162">
        <f t="shared" si="32"/>
        <v>-50760.563803073521</v>
      </c>
      <c r="AO212">
        <v>1.41</v>
      </c>
      <c r="AP212" cm="1">
        <f t="array" ref="AP212">numeng*InterpolateXY(AP$90,AO212,Tmax_h,Tmax_M,Tmax_table)</f>
        <v>6235.9595959668286</v>
      </c>
      <c r="AQ212" cm="1">
        <f t="array" ref="AQ212">1*AP$91/(S*Linterp(AP$90,atmos_h,atmos_qms)*AO212^2)</f>
        <v>4.3463889159142809E-2</v>
      </c>
      <c r="AR212" cm="1">
        <f t="array" ref="AR212">InterpolateXY(AQ212,AO212,CD_CL,CD_M,CD_table)</f>
        <v>4.5097463201268354E-2</v>
      </c>
      <c r="AS212" cm="1">
        <f t="array" ref="AS212">AR212*S*Linterp(AP$90,atmos_h,atmos_qms)*AO212^2</f>
        <v>10375.846265423746</v>
      </c>
      <c r="AT212" cm="1">
        <f t="array" ref="AT212">AO212*Linterp(AP$90,atmos_h,atmos_aspeed)</f>
        <v>1461.963557412349</v>
      </c>
      <c r="AU212" s="162">
        <f t="shared" si="33"/>
        <v>-36314.180655379183</v>
      </c>
      <c r="AW212">
        <v>1.41</v>
      </c>
      <c r="AX212" cm="1">
        <f t="array" ref="AX212">numeng*InterpolateXY(AX$90,AW212,Tmax_h,Tmax_M,Tmax_table)</f>
        <v>5497.4567984195783</v>
      </c>
      <c r="AY212" cm="1">
        <f t="array" ref="AY212">1*AX$91/(S*Linterp(AX$90,atmos_h,atmos_qms)*AW212^2)</f>
        <v>5.3823696393548601E-2</v>
      </c>
      <c r="AZ212" cm="1">
        <f t="array" ref="AZ212">InterpolateXY(AY212,AW212,CD_CL,CD_M,CD_table)</f>
        <v>4.5359048333937099E-2</v>
      </c>
      <c r="BA212" cm="1">
        <f t="array" ref="BA212">AZ212*S*Linterp(AX$90,atmos_h,atmos_qms)*AW212^2</f>
        <v>8427.3380264113384</v>
      </c>
      <c r="BB212" cm="1">
        <f t="array" ref="BB212">AW212*Linterp(AX$90,atmos_h,atmos_aspeed)</f>
        <v>1432.5326254730294</v>
      </c>
      <c r="BC212" s="162">
        <f t="shared" si="34"/>
        <v>-25182.902687155074</v>
      </c>
      <c r="BE212">
        <v>1.41</v>
      </c>
      <c r="BF212" cm="1">
        <f t="array" ref="BF212">numeng*InterpolateXY(BF$90,BE212,Tmax_h,Tmax_M,Tmax_table)</f>
        <v>4800.7990929364614</v>
      </c>
      <c r="BG212" cm="1">
        <f t="array" ref="BG212">1*BF$91/(S*Linterp(BF$90,atmos_h,atmos_qms)*BE212^2)</f>
        <v>6.7259778066515452E-2</v>
      </c>
      <c r="BH212" cm="1">
        <f t="array" ref="BH212">InterpolateXY(BG212,BE212,CD_CL,CD_M,CD_table)</f>
        <v>4.5698309396179512E-2</v>
      </c>
      <c r="BI212" cm="1">
        <f t="array" ref="BI212">BH212*S*Linterp(BF$90,atmos_h,atmos_qms)*BE212^2</f>
        <v>6794.2997598039829</v>
      </c>
      <c r="BJ212" cm="1">
        <f t="array" ref="BJ212">BE212*Linterp(BF$90,atmos_h,atmos_aspeed)</f>
        <v>1402.4842255396425</v>
      </c>
      <c r="BK212" s="162">
        <f t="shared" si="35"/>
        <v>-16775.11943330674</v>
      </c>
      <c r="BM212">
        <v>1.41</v>
      </c>
      <c r="BN212" cm="1">
        <f t="array" ref="BN212">numeng*InterpolateXY(BN$90,BM212,Tmax_h,Tmax_M,Tmax_table)</f>
        <v>4151.0226798117337</v>
      </c>
      <c r="BO212" cm="1">
        <f t="array" ref="BO212">1*BN$91/(S*Linterp(BN$90,atmos_h,atmos_qms)*BM212^2)</f>
        <v>8.4883453611251505E-2</v>
      </c>
      <c r="BP212" cm="1">
        <f t="array" ref="BP212">InterpolateXY(BO212,BM212,CD_CL,CD_M,CD_table)</f>
        <v>4.6143307203684099E-2</v>
      </c>
      <c r="BQ212" cm="1">
        <f t="array" ref="BQ212">BP212*S*Linterp(BN$90,atmos_h,atmos_qms)*BM212^2</f>
        <v>5436.0779681527583</v>
      </c>
      <c r="BR212" cm="1">
        <f t="array" ref="BR212">BM212*Linterp(BN$90,atmos_h,atmos_aspeed)</f>
        <v>1371.7777818329071</v>
      </c>
      <c r="BS212" s="162">
        <f t="shared" si="36"/>
        <v>-10576.861757838586</v>
      </c>
      <c r="BU212">
        <v>1.41</v>
      </c>
      <c r="BV212" cm="1">
        <f t="array" ref="BV212">numeng*InterpolateXY(BV$90,BU212,Tmax_h,Tmax_M,Tmax_table)</f>
        <v>3436.5260414787604</v>
      </c>
      <c r="BW212" cm="1">
        <f t="array" ref="BW212">1*BV$91/(S*Linterp(BV$90,atmos_h,atmos_qms)*BU212^2)</f>
        <v>0.10791452645151456</v>
      </c>
      <c r="BX212" cm="1">
        <f t="array" ref="BX212">InterpolateXY(BW212,BU212,CD_CL,CD_M,CD_table)</f>
        <v>4.712452537870223E-2</v>
      </c>
      <c r="BY212" cm="1">
        <f t="array" ref="BY212">BX212*S*Linterp(BV$90,atmos_h,atmos_qms)*BU212^2</f>
        <v>4366.8379900527134</v>
      </c>
      <c r="BZ212" cm="1">
        <f t="array" ref="BZ212">BU212*Linterp(BV$90,atmos_h,atmos_aspeed)</f>
        <v>1365.0217196942215</v>
      </c>
      <c r="CA212" s="162">
        <f t="shared" si="37"/>
        <v>-7619.376095366998</v>
      </c>
      <c r="CC212">
        <v>1.41</v>
      </c>
      <c r="CD212" cm="1">
        <f t="array" ref="CD212">numeng*InterpolateXY(CD$90,CC212,Tmax_h,Tmax_M,Tmax_table)</f>
        <v>2593.2259651601844</v>
      </c>
      <c r="CE212" cm="1">
        <f t="array" ref="CE212">1*CD$91/(S*Linterp(CD$90,atmos_h,atmos_qms)*CC212^2)</f>
        <v>0.13722995083844811</v>
      </c>
      <c r="CF212" cm="1">
        <f t="array" ref="CF212">InterpolateXY(CE212,CC212,CD_CL,CD_M,CD_table)</f>
        <v>4.9345168776012444E-2</v>
      </c>
      <c r="CG212" cm="1">
        <f t="array" ref="CG212">CF212*S*Linterp(CD$90,atmos_h,atmos_qms)*CC212^2</f>
        <v>3595.8016799192255</v>
      </c>
      <c r="CH212" cm="1">
        <f t="array" ref="CH212">CC212*Linterp(CD$90,atmos_h,atmos_aspeed)</f>
        <v>1365.0217196942215</v>
      </c>
      <c r="CI212" s="162">
        <f t="shared" si="38"/>
        <v>-8211.2257577042983</v>
      </c>
      <c r="CK212">
        <v>1.41</v>
      </c>
      <c r="CL212" cm="1">
        <f t="array" ref="CL212">numeng*InterpolateXY(CL$90,CK212,Tmax_h,Tmax_M,Tmax_table)</f>
        <v>1867.5403390914373</v>
      </c>
      <c r="CM212" cm="1">
        <f t="array" ref="CM212">1*CL$91/(S*Linterp(CL$90,atmos_h,atmos_qms)*CK212^2)</f>
        <v>0.17450903067794152</v>
      </c>
      <c r="CN212" cm="1">
        <f t="array" ref="CN212">InterpolateXY(CM212,CK212,CD_CL,CD_M,CD_table)</f>
        <v>5.2169059073854065E-2</v>
      </c>
      <c r="CO212" cm="1">
        <f t="array" ref="CO212">CN212*S*Linterp(CL$90,atmos_h,atmos_qms)*CK212^2</f>
        <v>2989.4761819021664</v>
      </c>
      <c r="CP212" cm="1">
        <f t="array" ref="CP212">CK212*Linterp(CL$90,atmos_h,atmos_aspeed)</f>
        <v>1365.0217196942215</v>
      </c>
      <c r="CQ212" s="162">
        <f t="shared" si="39"/>
        <v>-9188.8007612405236</v>
      </c>
    </row>
    <row r="213" spans="9:95">
      <c r="I213">
        <v>1.42</v>
      </c>
      <c r="J213" cm="1">
        <f t="array" ref="J213">numeng*InterpolateXY(J$90,I213,Tmax_h,Tmax_M,Tmax_table)</f>
        <v>8908</v>
      </c>
      <c r="K213" cm="1">
        <f t="array" ref="K213">1*J$91/(S*Linterp(J$90,atmos_h,atmos_qms)*I213^2)</f>
        <v>1.9693165710250558E-2</v>
      </c>
      <c r="L213" cm="1">
        <f t="array" ref="L213">InterpolateXY(K213,I213,CD_CL,CD_M,CD_table)</f>
        <v>4.4502175725611388E-2</v>
      </c>
      <c r="M213" cm="1">
        <f t="array" ref="M213">L213*S*Linterp(J$90,atmos_h,atmos_qms)*I213^2</f>
        <v>22597.776497888</v>
      </c>
      <c r="N213" cm="1">
        <f t="array" ref="N213">I213*Linterp(J$90,atmos_h,atmos_aspeed)</f>
        <v>1585.3589999999999</v>
      </c>
      <c r="O213" s="162">
        <f t="shared" si="40"/>
        <v>-130219.26227349133</v>
      </c>
      <c r="Q213">
        <v>1.42</v>
      </c>
      <c r="R213" cm="1">
        <f t="array" ref="R213">numeng*InterpolateXY(R$90,Q213,Tmax_h,Tmax_M,Tmax_table)</f>
        <v>8409.8802017926428</v>
      </c>
      <c r="S213" cm="1">
        <f t="array" ref="S213">1*R$91/(S*Linterp(R$90,atmos_h,atmos_qms)*Q213^2)</f>
        <v>2.3668331234879599E-2</v>
      </c>
      <c r="T213" cm="1">
        <f t="array" ref="T213">InterpolateXY(S213,Q213,CD_CL,CD_M,CD_table)</f>
        <v>4.4603542446489425E-2</v>
      </c>
      <c r="U213" cm="1">
        <f t="array" ref="U213">T213*S*Linterp(R$90,atmos_h,atmos_qms)*Q213^2</f>
        <v>18845.241772160931</v>
      </c>
      <c r="V213" cm="1">
        <f t="array" ref="V213">Q213*Linterp(R$90,atmos_h,atmos_aspeed)</f>
        <v>1557.8712454457527</v>
      </c>
      <c r="W213" s="162">
        <f t="shared" si="30"/>
        <v>-97541.698357838352</v>
      </c>
      <c r="Y213">
        <v>1.42</v>
      </c>
      <c r="Z213" cm="1">
        <f t="array" ref="Z213">numeng*InterpolateXY(Z$90,Y213,Tmax_h,Tmax_M,Tmax_table)</f>
        <v>7836.6976939636234</v>
      </c>
      <c r="AA213" cm="1">
        <f t="array" ref="AA213">1*Z$91/(S*Linterp(Z$90,atmos_h,atmos_qms)*Y213^2)</f>
        <v>2.8636150285615881E-2</v>
      </c>
      <c r="AB213" cm="1">
        <f t="array" ref="AB213">InterpolateXY(AA213,Y213,CD_CL,CD_M,CD_table)</f>
        <v>4.4730221832283201E-2</v>
      </c>
      <c r="AC213" cm="1">
        <f t="array" ref="AC213">AB213*S*Linterp(Z$90,atmos_h,atmos_qms)*Y213^2</f>
        <v>15620.193841052536</v>
      </c>
      <c r="AD213" cm="1">
        <f t="array" ref="AD213">Y213*Linterp(Z$90,atmos_h,atmos_aspeed)</f>
        <v>1529.8896940277759</v>
      </c>
      <c r="AE213" s="162">
        <f t="shared" si="31"/>
        <v>-71447.343233617372</v>
      </c>
      <c r="AG213">
        <v>1.42</v>
      </c>
      <c r="AH213" cm="1">
        <f t="array" ref="AH213">numeng*InterpolateXY(AH$90,AG213,Tmax_h,Tmax_M,Tmax_table)</f>
        <v>7034.8202900239003</v>
      </c>
      <c r="AI213" cm="1">
        <f t="array" ref="AI213">1*AH$91/(S*Linterp(AH$90,atmos_h,atmos_qms)*AG213^2)</f>
        <v>3.4895894718407802E-2</v>
      </c>
      <c r="AJ213" cm="1">
        <f t="array" ref="AJ213">InterpolateXY(AI213,AG213,CD_CL,CD_M,CD_table)</f>
        <v>4.4889845315319393E-2</v>
      </c>
      <c r="AK213" cm="1">
        <f t="array" ref="AK213">AJ213*S*Linterp(AH$90,atmos_h,atmos_qms)*AG213^2</f>
        <v>12863.933043573667</v>
      </c>
      <c r="AL213" cm="1">
        <f t="array" ref="AL213">AG213*Linterp(AH$90,atmos_h,atmos_aspeed)</f>
        <v>1501.3867371194212</v>
      </c>
      <c r="AM213" s="162">
        <f t="shared" si="32"/>
        <v>-52510.515464119737</v>
      </c>
      <c r="AO213">
        <v>1.42</v>
      </c>
      <c r="AP213" cm="1">
        <f t="array" ref="AP213">numeng*InterpolateXY(AP$90,AO213,Tmax_h,Tmax_M,Tmax_table)</f>
        <v>6259.4030530945229</v>
      </c>
      <c r="AQ213" cm="1">
        <f t="array" ref="AQ213">1*AP$91/(S*Linterp(AP$90,atmos_h,atmos_qms)*AO213^2)</f>
        <v>4.285387722539765E-2</v>
      </c>
      <c r="AR213" cm="1">
        <f t="array" ref="AR213">InterpolateXY(AQ213,AO213,CD_CL,CD_M,CD_table)</f>
        <v>4.5092773869247642E-2</v>
      </c>
      <c r="AS213" cm="1">
        <f t="array" ref="AS213">AR213*S*Linterp(AP$90,atmos_h,atmos_qms)*AO213^2</f>
        <v>10522.449026507944</v>
      </c>
      <c r="AT213" cm="1">
        <f t="array" ref="AT213">AO213*Linterp(AP$90,atmos_h,atmos_aspeed)</f>
        <v>1472.3320932805218</v>
      </c>
      <c r="AU213" s="162">
        <f t="shared" si="33"/>
        <v>-37659.716410721288</v>
      </c>
      <c r="AW213">
        <v>1.42</v>
      </c>
      <c r="AX213" cm="1">
        <f t="array" ref="AX213">numeng*InterpolateXY(AX$90,AW213,Tmax_h,Tmax_M,Tmax_table)</f>
        <v>5518.9662479080143</v>
      </c>
      <c r="AY213" cm="1">
        <f t="array" ref="AY213">1*AX$91/(S*Linterp(AX$90,atmos_h,atmos_qms)*AW213^2)</f>
        <v>5.3068285459241207E-2</v>
      </c>
      <c r="AZ213" cm="1">
        <f t="array" ref="AZ213">InterpolateXY(AY213,AW213,CD_CL,CD_M,CD_table)</f>
        <v>4.535324127921065E-2</v>
      </c>
      <c r="BA213" cm="1">
        <f t="array" ref="BA213">AZ213*S*Linterp(AX$90,atmos_h,atmos_qms)*AW213^2</f>
        <v>8546.2043641948731</v>
      </c>
      <c r="BB213" cm="1">
        <f t="array" ref="BB213">AW213*Linterp(AX$90,atmos_h,atmos_aspeed)</f>
        <v>1442.692431327448</v>
      </c>
      <c r="BC213" s="162">
        <f t="shared" si="34"/>
        <v>-26204.241109158073</v>
      </c>
      <c r="BE213">
        <v>1.42</v>
      </c>
      <c r="BF213" cm="1">
        <f t="array" ref="BF213">numeng*InterpolateXY(BF$90,BE213,Tmax_h,Tmax_M,Tmax_table)</f>
        <v>4820.2537027270391</v>
      </c>
      <c r="BG213" cm="1">
        <f t="array" ref="BG213">1*BF$91/(S*Linterp(BF$90,atmos_h,atmos_qms)*BE213^2)</f>
        <v>6.6315792885359742E-2</v>
      </c>
      <c r="BH213" cm="1">
        <f t="array" ref="BH213">InterpolateXY(BG213,BE213,CD_CL,CD_M,CD_table)</f>
        <v>4.5691052718576673E-2</v>
      </c>
      <c r="BI213" cm="1">
        <f t="array" ref="BI213">BH213*S*Linterp(BF$90,atmos_h,atmos_qms)*BE213^2</f>
        <v>6889.9202935811845</v>
      </c>
      <c r="BJ213" cm="1">
        <f t="array" ref="BJ213">BE213*Linterp(BF$90,atmos_h,atmos_aspeed)</f>
        <v>1412.4309221746753</v>
      </c>
      <c r="BK213" s="162">
        <f t="shared" si="35"/>
        <v>-17539.566549085419</v>
      </c>
      <c r="BM213">
        <v>1.42</v>
      </c>
      <c r="BN213" cm="1">
        <f t="array" ref="BN213">numeng*InterpolateXY(BN$90,BM213,Tmax_h,Tmax_M,Tmax_table)</f>
        <v>4168.3754172012123</v>
      </c>
      <c r="BO213" cm="1">
        <f t="array" ref="BO213">1*BN$91/(S*Linterp(BN$90,atmos_h,atmos_qms)*BM213^2)</f>
        <v>8.3692121664614719E-2</v>
      </c>
      <c r="BP213" cm="1">
        <f t="array" ref="BP213">InterpolateXY(BO213,BM213,CD_CL,CD_M,CD_table)</f>
        <v>4.6134149102447675E-2</v>
      </c>
      <c r="BQ213" cm="1">
        <f t="array" ref="BQ213">BP213*S*Linterp(BN$90,atmos_h,atmos_qms)*BM213^2</f>
        <v>5512.3646270223944</v>
      </c>
      <c r="BR213" cm="1">
        <f t="array" ref="BR213">BM213*Linterp(BN$90,atmos_h,atmos_aspeed)</f>
        <v>1381.5067022714384</v>
      </c>
      <c r="BS213" s="162">
        <f t="shared" si="36"/>
        <v>-11140.380606890745</v>
      </c>
      <c r="BU213">
        <v>1.42</v>
      </c>
      <c r="BV213" cm="1">
        <f t="array" ref="BV213">numeng*InterpolateXY(BV$90,BU213,Tmax_h,Tmax_M,Tmax_table)</f>
        <v>3451.2962107114772</v>
      </c>
      <c r="BW213" cm="1">
        <f t="array" ref="BW213">1*BV$91/(S*Linterp(BV$90,atmos_h,atmos_qms)*BU213^2)</f>
        <v>0.10639995538497128</v>
      </c>
      <c r="BX213" cm="1">
        <f t="array" ref="BX213">InterpolateXY(BW213,BU213,CD_CL,CD_M,CD_table)</f>
        <v>4.7039596586950304E-2</v>
      </c>
      <c r="BY213" cm="1">
        <f t="array" ref="BY213">BX213*S*Linterp(BV$90,atmos_h,atmos_qms)*BU213^2</f>
        <v>4421.0165706135749</v>
      </c>
      <c r="BZ213" cm="1">
        <f t="array" ref="BZ213">BU213*Linterp(BV$90,atmos_h,atmos_aspeed)</f>
        <v>1374.7027247984358</v>
      </c>
      <c r="CA213" s="162">
        <f t="shared" si="37"/>
        <v>-7998.4633262996003</v>
      </c>
      <c r="CC213">
        <v>1.42</v>
      </c>
      <c r="CD213" cm="1">
        <f t="array" ref="CD213">numeng*InterpolateXY(CD$90,CC213,Tmax_h,Tmax_M,Tmax_table)</f>
        <v>2604.0665634021198</v>
      </c>
      <c r="CE213" cm="1">
        <f t="array" ref="CE213">1*CD$91/(S*Linterp(CD$90,atmos_h,atmos_qms)*CC213^2)</f>
        <v>0.13530394032033261</v>
      </c>
      <c r="CF213" cm="1">
        <f t="array" ref="CF213">InterpolateXY(CE213,CC213,CD_CL,CD_M,CD_table)</f>
        <v>4.9250751434505441E-2</v>
      </c>
      <c r="CG213" cm="1">
        <f t="array" ref="CG213">CF213*S*Linterp(CD$90,atmos_h,atmos_qms)*CC213^2</f>
        <v>3640.0086588686254</v>
      </c>
      <c r="CH213" cm="1">
        <f t="array" ref="CH213">CC213*Linterp(CD$90,atmos_h,atmos_aspeed)</f>
        <v>1374.7027247984358</v>
      </c>
      <c r="CI213" s="162">
        <f t="shared" si="38"/>
        <v>-8544.6745282272404</v>
      </c>
      <c r="CK213">
        <v>1.42</v>
      </c>
      <c r="CL213" cm="1">
        <f t="array" ref="CL213">numeng*InterpolateXY(CL$90,CK213,Tmax_h,Tmax_M,Tmax_table)</f>
        <v>1874.8473113995879</v>
      </c>
      <c r="CM213" cm="1">
        <f t="array" ref="CM213">1*CL$91/(S*Linterp(CL$90,atmos_h,atmos_qms)*CK213^2)</f>
        <v>0.17205981149118008</v>
      </c>
      <c r="CN213" cm="1">
        <f t="array" ref="CN213">InterpolateXY(CM213,CK213,CD_CL,CD_M,CD_table)</f>
        <v>5.2062575579075274E-2</v>
      </c>
      <c r="CO213" cm="1">
        <f t="array" ref="CO213">CN213*S*Linterp(CL$90,atmos_h,atmos_qms)*CK213^2</f>
        <v>3025.8417191015023</v>
      </c>
      <c r="CP213" cm="1">
        <f t="array" ref="CP213">CK213*Linterp(CL$90,atmos_h,atmos_aspeed)</f>
        <v>1374.7027247984358</v>
      </c>
      <c r="CQ213" s="162">
        <f t="shared" si="39"/>
        <v>-9493.6508909735003</v>
      </c>
    </row>
    <row r="214" spans="9:95">
      <c r="I214">
        <v>1.43</v>
      </c>
      <c r="J214" cm="1">
        <f t="array" ref="J214">numeng*InterpolateXY(J$90,I214,Tmax_h,Tmax_M,Tmax_table)</f>
        <v>8932</v>
      </c>
      <c r="K214" cm="1">
        <f t="array" ref="K214">1*J$91/(S*Linterp(J$90,atmos_h,atmos_qms)*I214^2)</f>
        <v>1.9418699857278707E-2</v>
      </c>
      <c r="L214" cm="1">
        <f t="array" ref="L214">InterpolateXY(K214,I214,CD_CL,CD_M,CD_table)</f>
        <v>4.4500031521324923E-2</v>
      </c>
      <c r="M214" cm="1">
        <f t="array" ref="M214">L214*S*Linterp(J$90,atmos_h,atmos_qms)*I214^2</f>
        <v>22916.071543607999</v>
      </c>
      <c r="N214" cm="1">
        <f t="array" ref="N214">I214*Linterp(J$90,atmos_h,atmos_aspeed)</f>
        <v>1596.5235</v>
      </c>
      <c r="O214" s="162">
        <f t="shared" si="40"/>
        <v>-133955.39307030867</v>
      </c>
      <c r="Q214">
        <v>1.43</v>
      </c>
      <c r="R214" cm="1">
        <f t="array" ref="R214">numeng*InterpolateXY(R$90,Q214,Tmax_h,Tmax_M,Tmax_table)</f>
        <v>8435.7302433965142</v>
      </c>
      <c r="S214" cm="1">
        <f t="array" ref="S214">1*R$91/(S*Linterp(R$90,atmos_h,atmos_qms)*Q214^2)</f>
        <v>2.3338463055411623E-2</v>
      </c>
      <c r="T214" cm="1">
        <f t="array" ref="T214">InterpolateXY(S214,Q214,CD_CL,CD_M,CD_table)</f>
        <v>4.460096542367685E-2</v>
      </c>
      <c r="U214" cm="1">
        <f t="array" ref="U214">T214*S*Linterp(R$90,atmos_h,atmos_qms)*Q214^2</f>
        <v>19110.498115399667</v>
      </c>
      <c r="V214" cm="1">
        <f t="array" ref="V214">Q214*Linterp(R$90,atmos_h,atmos_aspeed)</f>
        <v>1568.8421697094552</v>
      </c>
      <c r="W214" s="162">
        <f t="shared" si="30"/>
        <v>-100482.15593674927</v>
      </c>
      <c r="Y214">
        <v>1.43</v>
      </c>
      <c r="Z214" cm="1">
        <f t="array" ref="Z214">numeng*InterpolateXY(Z$90,Y214,Tmax_h,Tmax_M,Tmax_table)</f>
        <v>7863.2827973355315</v>
      </c>
      <c r="AA214" cm="1">
        <f t="array" ref="AA214">1*Z$91/(S*Linterp(Z$90,atmos_h,atmos_qms)*Y214^2)</f>
        <v>2.823704505644084E-2</v>
      </c>
      <c r="AB214" cm="1">
        <f t="array" ref="AB214">InterpolateXY(AA214,Y214,CD_CL,CD_M,CD_table)</f>
        <v>4.4727103910203347E-2</v>
      </c>
      <c r="AC214" cm="1">
        <f t="array" ref="AC214">AB214*S*Linterp(Z$90,atmos_h,atmos_qms)*Y214^2</f>
        <v>15839.86703311264</v>
      </c>
      <c r="AD214" cm="1">
        <f t="array" ref="AD214">Y214*Linterp(Z$90,atmos_h,atmos_aspeed)</f>
        <v>1540.6635651124786</v>
      </c>
      <c r="AE214" s="162">
        <f t="shared" si="31"/>
        <v>-73735.396236674133</v>
      </c>
      <c r="AG214">
        <v>1.43</v>
      </c>
      <c r="AH214" cm="1">
        <f t="array" ref="AH214">numeng*InterpolateXY(AH$90,AG214,Tmax_h,Tmax_M,Tmax_table)</f>
        <v>7059.9895933871339</v>
      </c>
      <c r="AI214" cm="1">
        <f t="array" ref="AI214">1*AH$91/(S*Linterp(AH$90,atmos_h,atmos_qms)*AG214^2)</f>
        <v>3.4409546730988068E-2</v>
      </c>
      <c r="AJ214" cm="1">
        <f t="array" ref="AJ214">InterpolateXY(AI214,AG214,CD_CL,CD_M,CD_table)</f>
        <v>4.4886045828322944E-2</v>
      </c>
      <c r="AK214" cm="1">
        <f t="array" ref="AK214">AJ214*S*Linterp(AH$90,atmos_h,atmos_qms)*AG214^2</f>
        <v>13044.648968857267</v>
      </c>
      <c r="AL214" cm="1">
        <f t="array" ref="AL214">AG214*Linterp(AH$90,atmos_h,atmos_aspeed)</f>
        <v>1511.9598831554736</v>
      </c>
      <c r="AM214" s="162">
        <f t="shared" si="32"/>
        <v>-54291.38934036679</v>
      </c>
      <c r="AO214">
        <v>1.43</v>
      </c>
      <c r="AP214" cm="1">
        <f t="array" ref="AP214">numeng*InterpolateXY(AP$90,AO214,Tmax_h,Tmax_M,Tmax_table)</f>
        <v>6282.8465102222181</v>
      </c>
      <c r="AQ214" cm="1">
        <f t="array" ref="AQ214">1*AP$91/(S*Linterp(AP$90,atmos_h,atmos_qms)*AO214^2)</f>
        <v>4.2256617945763519E-2</v>
      </c>
      <c r="AR214" cm="1">
        <f t="array" ref="AR214">InterpolateXY(AQ214,AO214,CD_CL,CD_M,CD_table)</f>
        <v>4.5088107912103409E-2</v>
      </c>
      <c r="AS214" cm="1">
        <f t="array" ref="AS214">AR214*S*Linterp(AP$90,atmos_h,atmos_qms)*AO214^2</f>
        <v>10670.070181663406</v>
      </c>
      <c r="AT214" cm="1">
        <f t="array" ref="AT214">AO214*Linterp(AP$90,atmos_h,atmos_aspeed)</f>
        <v>1482.7006291486946</v>
      </c>
      <c r="AU214" s="162">
        <f t="shared" si="33"/>
        <v>-39029.635787171377</v>
      </c>
      <c r="AW214">
        <v>1.43</v>
      </c>
      <c r="AX214" cm="1">
        <f t="array" ref="AX214">numeng*InterpolateXY(AX$90,AW214,Tmax_h,Tmax_M,Tmax_table)</f>
        <v>5540.4756973964513</v>
      </c>
      <c r="AY214" cm="1">
        <f t="array" ref="AY214">1*AX$91/(S*Linterp(AX$90,atmos_h,atmos_qms)*AW214^2)</f>
        <v>5.232866682968066E-2</v>
      </c>
      <c r="AZ214" cm="1">
        <f t="array" ref="AZ214">InterpolateXY(AY214,AW214,CD_CL,CD_M,CD_table)</f>
        <v>4.5347463170864272E-2</v>
      </c>
      <c r="BA214" cm="1">
        <f t="array" ref="BA214">AZ214*S*Linterp(AX$90,atmos_h,atmos_qms)*AW214^2</f>
        <v>8665.8930789238711</v>
      </c>
      <c r="BB214" cm="1">
        <f t="array" ref="BB214">AW214*Linterp(AX$90,atmos_h,atmos_aspeed)</f>
        <v>1452.8522371818667</v>
      </c>
      <c r="BC214" s="162">
        <f t="shared" si="34"/>
        <v>-27244.617809275223</v>
      </c>
      <c r="BE214">
        <v>1.43</v>
      </c>
      <c r="BF214" cm="1">
        <f t="array" ref="BF214">numeng*InterpolateXY(BF$90,BE214,Tmax_h,Tmax_M,Tmax_table)</f>
        <v>4839.7083125176177</v>
      </c>
      <c r="BG214" cm="1">
        <f t="array" ref="BG214">1*BF$91/(S*Linterp(BF$90,atmos_h,atmos_qms)*BE214^2)</f>
        <v>6.5391542263210617E-2</v>
      </c>
      <c r="BH214" cm="1">
        <f t="array" ref="BH214">InterpolateXY(BG214,BE214,CD_CL,CD_M,CD_table)</f>
        <v>4.5683832213277674E-2</v>
      </c>
      <c r="BI214" cm="1">
        <f t="array" ref="BI214">BH214*S*Linterp(BF$90,atmos_h,atmos_qms)*BE214^2</f>
        <v>6986.1989230034524</v>
      </c>
      <c r="BJ214" cm="1">
        <f t="array" ref="BJ214">BE214*Linterp(BF$90,atmos_h,atmos_aspeed)</f>
        <v>1422.3776188097083</v>
      </c>
      <c r="BK214" s="162">
        <f t="shared" si="35"/>
        <v>-18318.721220041429</v>
      </c>
      <c r="BM214">
        <v>1.43</v>
      </c>
      <c r="BN214" cm="1">
        <f t="array" ref="BN214">numeng*InterpolateXY(BN$90,BM214,Tmax_h,Tmax_M,Tmax_table)</f>
        <v>4185.7281545906917</v>
      </c>
      <c r="BO214" cm="1">
        <f t="array" ref="BO214">1*BN$91/(S*Linterp(BN$90,atmos_h,atmos_qms)*BM214^2)</f>
        <v>8.2525695204914248E-2</v>
      </c>
      <c r="BP214" cm="1">
        <f t="array" ref="BP214">InterpolateXY(BO214,BM214,CD_CL,CD_M,CD_table)</f>
        <v>4.6125036651526542E-2</v>
      </c>
      <c r="BQ214" cm="1">
        <f t="array" ref="BQ214">BP214*S*Linterp(BN$90,atmos_h,atmos_qms)*BM214^2</f>
        <v>5589.1727463787411</v>
      </c>
      <c r="BR214" cm="1">
        <f t="array" ref="BR214">BM214*Linterp(BN$90,atmos_h,atmos_aspeed)</f>
        <v>1391.2356227099697</v>
      </c>
      <c r="BS214" s="162">
        <f t="shared" si="36"/>
        <v>-11715.132663571116</v>
      </c>
      <c r="BU214">
        <v>1.43</v>
      </c>
      <c r="BV214" cm="1">
        <f t="array" ref="BV214">numeng*InterpolateXY(BV$90,BU214,Tmax_h,Tmax_M,Tmax_table)</f>
        <v>3466.0663799441936</v>
      </c>
      <c r="BW214" cm="1">
        <f t="array" ref="BW214">1*BV$91/(S*Linterp(BV$90,atmos_h,atmos_qms)*BU214^2)</f>
        <v>0.10491704730708402</v>
      </c>
      <c r="BX214" cm="1">
        <f t="array" ref="BX214">InterpolateXY(BW214,BU214,CD_CL,CD_M,CD_table)</f>
        <v>4.6954841904472237E-2</v>
      </c>
      <c r="BY214" cm="1">
        <f t="array" ref="BY214">BX214*S*Linterp(BV$90,atmos_h,atmos_qms)*BU214^2</f>
        <v>4475.4254060390276</v>
      </c>
      <c r="BZ214" cm="1">
        <f t="array" ref="BZ214">BU214*Linterp(BV$90,atmos_h,atmos_aspeed)</f>
        <v>1384.3837299026502</v>
      </c>
      <c r="CA214" s="162">
        <f t="shared" si="37"/>
        <v>-8384.0412801364364</v>
      </c>
      <c r="CC214">
        <v>1.43</v>
      </c>
      <c r="CD214" cm="1">
        <f t="array" ref="CD214">numeng*InterpolateXY(CD$90,CC214,Tmax_h,Tmax_M,Tmax_table)</f>
        <v>2614.9071616440556</v>
      </c>
      <c r="CE214" cm="1">
        <f t="array" ref="CE214">1*CD$91/(S*Linterp(CD$90,atmos_h,atmos_qms)*CC214^2)</f>
        <v>0.1334181941718024</v>
      </c>
      <c r="CF214" cm="1">
        <f t="array" ref="CF214">InterpolateXY(CE214,CC214,CD_CL,CD_M,CD_table)</f>
        <v>4.9156555499771735E-2</v>
      </c>
      <c r="CG214" cm="1">
        <f t="array" ref="CG214">CF214*S*Linterp(CD$90,atmos_h,atmos_qms)*CC214^2</f>
        <v>3684.3967050305687</v>
      </c>
      <c r="CH214" cm="1">
        <f t="array" ref="CH214">CC214*Linterp(CD$90,atmos_h,atmos_aspeed)</f>
        <v>1384.3837299026502</v>
      </c>
      <c r="CI214" s="162">
        <f t="shared" si="38"/>
        <v>-8883.5035389918194</v>
      </c>
      <c r="CK214">
        <v>1.43</v>
      </c>
      <c r="CL214" cm="1">
        <f t="array" ref="CL214">numeng*InterpolateXY(CL$90,CK214,Tmax_h,Tmax_M,Tmax_table)</f>
        <v>1882.1542837077382</v>
      </c>
      <c r="CM214" cm="1">
        <f t="array" ref="CM214">1*CL$91/(S*Linterp(CL$90,atmos_h,atmos_qms)*CK214^2)</f>
        <v>0.16966179465539416</v>
      </c>
      <c r="CN214" cm="1">
        <f t="array" ref="CN214">InterpolateXY(CM214,CK214,CD_CL,CD_M,CD_table)</f>
        <v>5.1956373637129197E-2</v>
      </c>
      <c r="CO214" cm="1">
        <f t="array" ref="CO214">CN214*S*Linterp(CL$90,atmos_h,atmos_qms)*CK214^2</f>
        <v>3062.3496434574181</v>
      </c>
      <c r="CP214" cm="1">
        <f t="array" ref="CP214">CK214*Linterp(CL$90,atmos_h,atmos_aspeed)</f>
        <v>1384.3837299026502</v>
      </c>
      <c r="CQ214" s="162">
        <f t="shared" si="39"/>
        <v>-9803.0595248643731</v>
      </c>
    </row>
    <row r="215" spans="9:95">
      <c r="I215">
        <v>1.44</v>
      </c>
      <c r="J215" cm="1">
        <f t="array" ref="J215">numeng*InterpolateXY(J$90,I215,Tmax_h,Tmax_M,Tmax_table)</f>
        <v>8956</v>
      </c>
      <c r="K215" cm="1">
        <f t="array" ref="K215">1*J$91/(S*Linterp(J$90,atmos_h,atmos_qms)*I215^2)</f>
        <v>1.9149932165388323E-2</v>
      </c>
      <c r="L215" cm="1">
        <f t="array" ref="L215">InterpolateXY(K215,I215,CD_CL,CD_M,CD_table)</f>
        <v>4.4497898236300099E-2</v>
      </c>
      <c r="M215" cm="1">
        <f t="array" ref="M215">L215*S*Linterp(J$90,atmos_h,atmos_qms)*I215^2</f>
        <v>23236.582694912002</v>
      </c>
      <c r="N215" cm="1">
        <f t="array" ref="N215">I215*Linterp(J$90,atmos_h,atmos_aspeed)</f>
        <v>1607.6880000000001</v>
      </c>
      <c r="O215" s="162">
        <f t="shared" si="40"/>
        <v>-137752.32858970613</v>
      </c>
      <c r="Q215">
        <v>1.44</v>
      </c>
      <c r="R215" cm="1">
        <f t="array" ref="R215">numeng*InterpolateXY(R$90,Q215,Tmax_h,Tmax_M,Tmax_table)</f>
        <v>8461.5802850003856</v>
      </c>
      <c r="S215" cm="1">
        <f t="array" ref="S215">1*R$91/(S*Linterp(R$90,atmos_h,atmos_qms)*Q215^2)</f>
        <v>2.3015443239781646E-2</v>
      </c>
      <c r="T215" cm="1">
        <f t="array" ref="T215">InterpolateXY(S215,Q215,CD_CL,CD_M,CD_table)</f>
        <v>4.4598401524234318E-2</v>
      </c>
      <c r="U215" cm="1">
        <f t="array" ref="U215">T215*S*Linterp(R$90,atmos_h,atmos_qms)*Q215^2</f>
        <v>19377.598362801476</v>
      </c>
      <c r="V215" cm="1">
        <f t="array" ref="V215">Q215*Linterp(R$90,atmos_h,atmos_aspeed)</f>
        <v>1579.8130939731577</v>
      </c>
      <c r="W215" s="162">
        <f t="shared" si="30"/>
        <v>-103471.60976014718</v>
      </c>
      <c r="Y215">
        <v>1.44</v>
      </c>
      <c r="Z215" cm="1">
        <f t="array" ref="Z215">numeng*InterpolateXY(Z$90,Y215,Tmax_h,Tmax_M,Tmax_table)</f>
        <v>7889.8679007074397</v>
      </c>
      <c r="AA215" cm="1">
        <f t="array" ref="AA215">1*Z$91/(S*Linterp(Z$90,atmos_h,atmos_qms)*Y215^2)</f>
        <v>2.7846225615314364E-2</v>
      </c>
      <c r="AB215" cm="1">
        <f t="array" ref="AB215">InterpolateXY(AA215,Y215,CD_CL,CD_M,CD_table)</f>
        <v>4.4724001865998175E-2</v>
      </c>
      <c r="AC215" cm="1">
        <f t="array" ref="AC215">AB215*S*Linterp(Z$90,atmos_h,atmos_qms)*Y215^2</f>
        <v>16061.064247573171</v>
      </c>
      <c r="AD215" cm="1">
        <f t="array" ref="AD215">Y215*Linterp(Z$90,atmos_h,atmos_aspeed)</f>
        <v>1551.4374361971813</v>
      </c>
      <c r="AE215" s="162">
        <f t="shared" si="31"/>
        <v>-76062.599466270869</v>
      </c>
      <c r="AG215">
        <v>1.44</v>
      </c>
      <c r="AH215" cm="1">
        <f t="array" ref="AH215">numeng*InterpolateXY(AH$90,AG215,Tmax_h,Tmax_M,Tmax_table)</f>
        <v>7085.1588967503676</v>
      </c>
      <c r="AI215" cm="1">
        <f t="array" ref="AI215">1*AH$91/(S*Linterp(AH$90,atmos_h,atmos_qms)*AG215^2)</f>
        <v>3.3933295770735672E-2</v>
      </c>
      <c r="AJ215" cm="1">
        <f t="array" ref="AJ215">InterpolateXY(AI215,AG215,CD_CL,CD_M,CD_table)</f>
        <v>4.4882265690039128E-2</v>
      </c>
      <c r="AK215" cm="1">
        <f t="array" ref="AK215">AJ215*S*Linterp(AH$90,atmos_h,atmos_qms)*AG215^2</f>
        <v>13226.615532213033</v>
      </c>
      <c r="AL215" cm="1">
        <f t="array" ref="AL215">AG215*Linterp(AH$90,atmos_h,atmos_aspeed)</f>
        <v>1522.5330291915257</v>
      </c>
      <c r="AM215" s="162">
        <f t="shared" si="32"/>
        <v>-56103.423449036207</v>
      </c>
      <c r="AO215">
        <v>1.44</v>
      </c>
      <c r="AP215" cm="1">
        <f t="array" ref="AP215">numeng*InterpolateXY(AP$90,AO215,Tmax_h,Tmax_M,Tmax_table)</f>
        <v>6306.2899673499123</v>
      </c>
      <c r="AQ215" cm="1">
        <f t="array" ref="AQ215">1*AP$91/(S*Linterp(AP$90,atmos_h,atmos_qms)*AO215^2)</f>
        <v>4.167175831273718E-2</v>
      </c>
      <c r="AR215" cm="1">
        <f t="array" ref="AR215">InterpolateXY(AQ215,AO215,CD_CL,CD_M,CD_table)</f>
        <v>4.5083465716131164E-2</v>
      </c>
      <c r="AS215" cm="1">
        <f t="array" ref="AS215">AR215*S*Linterp(AP$90,atmos_h,atmos_qms)*AO215^2</f>
        <v>10818.709730890138</v>
      </c>
      <c r="AT215" cm="1">
        <f t="array" ref="AT215">AO215*Linterp(AP$90,atmos_h,atmos_aspeed)</f>
        <v>1493.0691650168671</v>
      </c>
      <c r="AU215" s="162">
        <f t="shared" si="33"/>
        <v>-40424.128851327674</v>
      </c>
      <c r="AW215">
        <v>1.44</v>
      </c>
      <c r="AX215" cm="1">
        <f t="array" ref="AX215">numeng*InterpolateXY(AX$90,AW215,Tmax_h,Tmax_M,Tmax_table)</f>
        <v>5561.9851468848874</v>
      </c>
      <c r="AY215" cm="1">
        <f t="array" ref="AY215">1*AX$91/(S*Linterp(AX$90,atmos_h,atmos_qms)*AW215^2)</f>
        <v>5.1604403356488221E-2</v>
      </c>
      <c r="AZ215" cm="1">
        <f t="array" ref="AZ215">InterpolateXY(AY215,AW215,CD_CL,CD_M,CD_table)</f>
        <v>4.5341714487268689E-2</v>
      </c>
      <c r="BA215" cm="1">
        <f t="array" ref="BA215">AZ215*S*Linterp(AX$90,atmos_h,atmos_qms)*AW215^2</f>
        <v>8786.4041705983363</v>
      </c>
      <c r="BB215" cm="1">
        <f t="array" ref="BB215">AW215*Linterp(AX$90,atmos_h,atmos_aspeed)</f>
        <v>1463.0120430362854</v>
      </c>
      <c r="BC215" s="162">
        <f t="shared" si="34"/>
        <v>-28304.18318092847</v>
      </c>
      <c r="BE215">
        <v>1.44</v>
      </c>
      <c r="BF215" cm="1">
        <f t="array" ref="BF215">numeng*InterpolateXY(BF$90,BE215,Tmax_h,Tmax_M,Tmax_table)</f>
        <v>4859.1629223081954</v>
      </c>
      <c r="BG215" cm="1">
        <f t="array" ref="BG215">1*BF$91/(S*Linterp(BF$90,atmos_h,atmos_qms)*BE215^2)</f>
        <v>6.4486479925752002E-2</v>
      </c>
      <c r="BH215" cm="1">
        <f t="array" ref="BH215">InterpolateXY(BG215,BE215,CD_CL,CD_M,CD_table)</f>
        <v>4.5676648478069556E-2</v>
      </c>
      <c r="BI215" cm="1">
        <f t="array" ref="BI215">BH215*S*Linterp(BF$90,atmos_h,atmos_qms)*BE215^2</f>
        <v>7083.1356480707918</v>
      </c>
      <c r="BJ215" cm="1">
        <f t="array" ref="BJ215">BE215*Linterp(BF$90,atmos_h,atmos_aspeed)</f>
        <v>1432.3243154447412</v>
      </c>
      <c r="BK215" s="162">
        <f t="shared" si="35"/>
        <v>-19112.701271974118</v>
      </c>
      <c r="BM215">
        <v>1.44</v>
      </c>
      <c r="BN215" cm="1">
        <f t="array" ref="BN215">numeng*InterpolateXY(BN$90,BM215,Tmax_h,Tmax_M,Tmax_table)</f>
        <v>4203.0808919801702</v>
      </c>
      <c r="BO215" cm="1">
        <f t="array" ref="BO215">1*BN$91/(S*Linterp(BN$90,atmos_h,atmos_qms)*BM215^2)</f>
        <v>8.1383484820857013E-2</v>
      </c>
      <c r="BP215" cm="1">
        <f t="array" ref="BP215">InterpolateXY(BO215,BM215,CD_CL,CD_M,CD_table)</f>
        <v>4.6115970605342282E-2</v>
      </c>
      <c r="BQ215" cm="1">
        <f t="array" ref="BQ215">BP215*S*Linterp(BN$90,atmos_h,atmos_qms)*BM215^2</f>
        <v>5666.5023262218001</v>
      </c>
      <c r="BR215" cm="1">
        <f t="array" ref="BR215">BM215*Linterp(BN$90,atmos_h,atmos_aspeed)</f>
        <v>1400.964543148501</v>
      </c>
      <c r="BS215" s="162">
        <f t="shared" si="36"/>
        <v>-12301.209246336295</v>
      </c>
      <c r="BU215">
        <v>1.44</v>
      </c>
      <c r="BV215" cm="1">
        <f t="array" ref="BV215">numeng*InterpolateXY(BV$90,BU215,Tmax_h,Tmax_M,Tmax_table)</f>
        <v>3480.8365491769105</v>
      </c>
      <c r="BW215" cm="1">
        <f t="array" ref="BW215">1*BV$91/(S*Linterp(BV$90,atmos_h,atmos_qms)*BU215^2)</f>
        <v>0.10346492575147381</v>
      </c>
      <c r="BX215" cm="1">
        <f t="array" ref="BX215">InterpolateXY(BW215,BU215,CD_CL,CD_M,CD_table)</f>
        <v>4.6870264208614953E-2</v>
      </c>
      <c r="BY215" cm="1">
        <f t="array" ref="BY215">BX215*S*Linterp(BV$90,atmos_h,atmos_qms)*BU215^2</f>
        <v>4530.0630980201813</v>
      </c>
      <c r="BZ215" cm="1">
        <f t="array" ref="BZ215">BU215*Linterp(BV$90,atmos_h,atmos_aspeed)</f>
        <v>1394.0647350068646</v>
      </c>
      <c r="CA215" s="162">
        <f t="shared" si="37"/>
        <v>-8776.1383846521694</v>
      </c>
      <c r="CC215">
        <v>1.44</v>
      </c>
      <c r="CD215" cm="1">
        <f t="array" ref="CD215">numeng*InterpolateXY(CD$90,CC215,Tmax_h,Tmax_M,Tmax_table)</f>
        <v>2625.7477598859914</v>
      </c>
      <c r="CE215" cm="1">
        <f t="array" ref="CE215">1*CD$91/(S*Linterp(CD$90,atmos_h,atmos_qms)*CC215^2)</f>
        <v>0.1315715978307864</v>
      </c>
      <c r="CF215" cm="1">
        <f t="array" ref="CF215">InterpolateXY(CE215,CC215,CD_CL,CD_M,CD_table)</f>
        <v>4.9062584630801341E-2</v>
      </c>
      <c r="CG215" cm="1">
        <f t="array" ref="CG215">CF215*S*Linterp(CD$90,atmos_h,atmos_qms)*CC215^2</f>
        <v>3728.9647188065996</v>
      </c>
      <c r="CH215" cm="1">
        <f t="array" ref="CH215">CC215*Linterp(CD$90,atmos_h,atmos_aspeed)</f>
        <v>1394.0647350068646</v>
      </c>
      <c r="CI215" s="162">
        <f t="shared" si="38"/>
        <v>-9227.7351449564212</v>
      </c>
      <c r="CK215">
        <v>1.44</v>
      </c>
      <c r="CL215" cm="1">
        <f t="array" ref="CL215">numeng*InterpolateXY(CL$90,CK215,Tmax_h,Tmax_M,Tmax_table)</f>
        <v>1889.4612560158885</v>
      </c>
      <c r="CM215" cm="1">
        <f t="array" ref="CM215">1*CL$91/(S*Linterp(CL$90,atmos_h,atmos_qms)*CK215^2)</f>
        <v>0.16731356283314791</v>
      </c>
      <c r="CN215" cm="1">
        <f t="array" ref="CN215">InterpolateXY(CM215,CK215,CD_CL,CD_M,CD_table)</f>
        <v>5.1850457900985539E-2</v>
      </c>
      <c r="CO215" cm="1">
        <f t="array" ref="CO215">CN215*S*Linterp(CL$90,atmos_h,atmos_qms)*CK215^2</f>
        <v>3098.9990902705827</v>
      </c>
      <c r="CP215" cm="1">
        <f t="array" ref="CP215">CK215*Linterp(CL$90,atmos_h,atmos_aspeed)</f>
        <v>1394.0647350068646</v>
      </c>
      <c r="CQ215" s="162">
        <f t="shared" si="39"/>
        <v>-10117.044242346283</v>
      </c>
    </row>
    <row r="216" spans="9:95">
      <c r="I216">
        <v>1.45</v>
      </c>
      <c r="J216" cm="1">
        <f t="array" ref="J216">numeng*InterpolateXY(J$90,I216,Tmax_h,Tmax_M,Tmax_table)</f>
        <v>8980</v>
      </c>
      <c r="K216" cm="1">
        <f t="array" ref="K216">1*J$91/(S*Linterp(J$90,atmos_h,atmos_qms)*I216^2)</f>
        <v>1.8886705987229118E-2</v>
      </c>
      <c r="L216" cm="1">
        <f t="array" ref="L216">InterpolateXY(K216,I216,CD_CL,CD_M,CD_table)</f>
        <v>4.4495776032164758E-2</v>
      </c>
      <c r="M216" cm="1">
        <f t="array" ref="M216">L216*S*Linterp(J$90,atmos_h,atmos_qms)*I216^2</f>
        <v>23559.309951799998</v>
      </c>
      <c r="N216" cm="1">
        <f t="array" ref="N216">I216*Linterp(J$90,atmos_h,atmos_aspeed)</f>
        <v>1618.8525</v>
      </c>
      <c r="O216" s="162">
        <f t="shared" si="40"/>
        <v>-141610.51418247784</v>
      </c>
      <c r="Q216">
        <v>1.45</v>
      </c>
      <c r="R216" cm="1">
        <f t="array" ref="R216">numeng*InterpolateXY(R$90,Q216,Tmax_h,Tmax_M,Tmax_table)</f>
        <v>8487.4303266042552</v>
      </c>
      <c r="S216" cm="1">
        <f t="array" ref="S216">1*R$91/(S*Linterp(R$90,atmos_h,atmos_qms)*Q216^2)</f>
        <v>2.2699083520576088E-2</v>
      </c>
      <c r="T216" cm="1">
        <f t="array" ref="T216">InterpolateXY(S216,Q216,CD_CL,CD_M,CD_table)</f>
        <v>4.4595850942415124E-2</v>
      </c>
      <c r="U216" cm="1">
        <f t="array" ref="U216">T216*S*Linterp(R$90,atmos_h,atmos_qms)*Q216^2</f>
        <v>19646.542514366374</v>
      </c>
      <c r="V216" cm="1">
        <f t="array" ref="V216">Q216*Linterp(R$90,atmos_h,atmos_aspeed)</f>
        <v>1590.7840182368602</v>
      </c>
      <c r="W216" s="162">
        <f t="shared" si="30"/>
        <v>-106510.42395602487</v>
      </c>
      <c r="Y216">
        <v>1.45</v>
      </c>
      <c r="Z216" cm="1">
        <f t="array" ref="Z216">numeng*InterpolateXY(Z$90,Y216,Tmax_h,Tmax_M,Tmax_table)</f>
        <v>7916.4530040793488</v>
      </c>
      <c r="AA216" cm="1">
        <f t="array" ref="AA216">1*Z$91/(S*Linterp(Z$90,atmos_h,atmos_qms)*Y216^2)</f>
        <v>2.7463464178794701E-2</v>
      </c>
      <c r="AB216" cm="1">
        <f t="array" ref="AB216">InterpolateXY(AA216,Y216,CD_CL,CD_M,CD_table)</f>
        <v>4.4720915934693357E-2</v>
      </c>
      <c r="AC216" cm="1">
        <f t="array" ref="AC216">AB216*S*Linterp(Z$90,atmos_h,atmos_qms)*Y216^2</f>
        <v>16283.78548443412</v>
      </c>
      <c r="AD216" cm="1">
        <f t="array" ref="AD216">Y216*Linterp(Z$90,atmos_h,atmos_aspeed)</f>
        <v>1562.211307281884</v>
      </c>
      <c r="AE216" s="162">
        <f t="shared" si="31"/>
        <v>-78429.248475583168</v>
      </c>
      <c r="AG216">
        <v>1.45</v>
      </c>
      <c r="AH216" cm="1">
        <f t="array" ref="AH216">numeng*InterpolateXY(AH$90,AG216,Tmax_h,Tmax_M,Tmax_table)</f>
        <v>7110.3282001136013</v>
      </c>
      <c r="AI216" cm="1">
        <f t="array" ref="AI216">1*AH$91/(S*Linterp(AH$90,atmos_h,atmos_qms)*AG216^2)</f>
        <v>3.3466864261687268E-2</v>
      </c>
      <c r="AJ216" cm="1">
        <f t="array" ref="AJ216">InterpolateXY(AI216,AG216,CD_CL,CD_M,CD_table)</f>
        <v>4.487850518686929E-2</v>
      </c>
      <c r="AK216" cm="1">
        <f t="array" ref="AK216">AJ216*S*Linterp(AH$90,atmos_h,atmos_qms)*AG216^2</f>
        <v>13409.832733640964</v>
      </c>
      <c r="AL216" cm="1">
        <f t="array" ref="AL216">AG216*Linterp(AH$90,atmos_h,atmos_aspeed)</f>
        <v>1533.106175227578</v>
      </c>
      <c r="AM216" s="162">
        <f t="shared" si="32"/>
        <v>-57946.855807349537</v>
      </c>
      <c r="AO216">
        <v>1.45</v>
      </c>
      <c r="AP216" cm="1">
        <f t="array" ref="AP216">numeng*InterpolateXY(AP$90,AO216,Tmax_h,Tmax_M,Tmax_table)</f>
        <v>6329.7334244776075</v>
      </c>
      <c r="AQ216" cm="1">
        <f t="array" ref="AQ216">1*AP$91/(S*Linterp(AP$90,atmos_h,atmos_qms)*AO216^2)</f>
        <v>4.1098957449365904E-2</v>
      </c>
      <c r="AR216" cm="1">
        <f t="array" ref="AR216">InterpolateXY(AQ216,AO216,CD_CL,CD_M,CD_table)</f>
        <v>4.5078847633045857E-2</v>
      </c>
      <c r="AS216" cm="1">
        <f t="array" ref="AS216">AR216*S*Linterp(AP$90,atmos_h,atmos_qms)*AO216^2</f>
        <v>10968.367674188134</v>
      </c>
      <c r="AT216" cm="1">
        <f t="array" ref="AT216">AO216*Linterp(AP$90,atmos_h,atmos_aspeed)</f>
        <v>1503.4377008850399</v>
      </c>
      <c r="AU216" s="162">
        <f t="shared" si="33"/>
        <v>-41843.385669788375</v>
      </c>
      <c r="AW216">
        <v>1.45</v>
      </c>
      <c r="AX216" cm="1">
        <f t="array" ref="AX216">numeng*InterpolateXY(AX$90,AW216,Tmax_h,Tmax_M,Tmax_table)</f>
        <v>5583.4945963733244</v>
      </c>
      <c r="AY216" cm="1">
        <f t="array" ref="AY216">1*AX$91/(S*Linterp(AX$90,atmos_h,atmos_qms)*AW216^2)</f>
        <v>5.0895072913205212E-2</v>
      </c>
      <c r="AZ216" cm="1">
        <f t="array" ref="AZ216">InterpolateXY(AY216,AW216,CD_CL,CD_M,CD_table)</f>
        <v>4.5335995663971632E-2</v>
      </c>
      <c r="BA216" cm="1">
        <f t="array" ref="BA216">AZ216*S*Linterp(AX$90,atmos_h,atmos_qms)*AW216^2</f>
        <v>8907.7376392182705</v>
      </c>
      <c r="BB216" cm="1">
        <f t="array" ref="BB216">AW216*Linterp(AX$90,atmos_h,atmos_aspeed)</f>
        <v>1473.171848890704</v>
      </c>
      <c r="BC216" s="162">
        <f t="shared" si="34"/>
        <v>-29383.087617539699</v>
      </c>
      <c r="BE216">
        <v>1.45</v>
      </c>
      <c r="BF216" cm="1">
        <f t="array" ref="BF216">numeng*InterpolateXY(BF$90,BE216,Tmax_h,Tmax_M,Tmax_table)</f>
        <v>4878.6175320987732</v>
      </c>
      <c r="BG216" cm="1">
        <f t="array" ref="BG216">1*BF$91/(S*Linterp(BF$90,atmos_h,atmos_qms)*BE216^2)</f>
        <v>6.3600078370530028E-2</v>
      </c>
      <c r="BH216" cm="1">
        <f t="array" ref="BH216">InterpolateXY(BG216,BE216,CD_CL,CD_M,CD_table)</f>
        <v>4.5669502057226412E-2</v>
      </c>
      <c r="BI216" cm="1">
        <f t="array" ref="BI216">BH216*S*Linterp(BF$90,atmos_h,atmos_qms)*BE216^2</f>
        <v>7180.7304687831975</v>
      </c>
      <c r="BJ216" cm="1">
        <f t="array" ref="BJ216">BE216*Linterp(BF$90,atmos_h,atmos_aspeed)</f>
        <v>1442.2710120797742</v>
      </c>
      <c r="BK216" s="162">
        <f t="shared" si="35"/>
        <v>-19921.624530682711</v>
      </c>
      <c r="BM216">
        <v>1.45</v>
      </c>
      <c r="BN216" cm="1">
        <f t="array" ref="BN216">numeng*InterpolateXY(BN$90,BM216,Tmax_h,Tmax_M,Tmax_table)</f>
        <v>4220.4336293696488</v>
      </c>
      <c r="BO216" cm="1">
        <f t="array" ref="BO216">1*BN$91/(S*Linterp(BN$90,atmos_h,atmos_qms)*BM216^2)</f>
        <v>8.026482479169042E-2</v>
      </c>
      <c r="BP216" cm="1">
        <f t="array" ref="BP216">InterpolateXY(BO216,BM216,CD_CL,CD_M,CD_table)</f>
        <v>4.6106951650781873E-2</v>
      </c>
      <c r="BQ216" cm="1">
        <f t="array" ref="BQ216">BP216*S*Linterp(BN$90,atmos_h,atmos_qms)*BM216^2</f>
        <v>5744.3533665515697</v>
      </c>
      <c r="BR216" cm="1">
        <f t="array" ref="BR216">BM216*Linterp(BN$90,atmos_h,atmos_aspeed)</f>
        <v>1410.6934635870321</v>
      </c>
      <c r="BS216" s="162">
        <f t="shared" si="36"/>
        <v>-12898.70167364282</v>
      </c>
      <c r="BU216">
        <v>1.45</v>
      </c>
      <c r="BV216" cm="1">
        <f t="array" ref="BV216">numeng*InterpolateXY(BV$90,BU216,Tmax_h,Tmax_M,Tmax_table)</f>
        <v>3495.6067184096273</v>
      </c>
      <c r="BW216" cm="1">
        <f t="array" ref="BW216">1*BV$91/(S*Linterp(BV$90,atmos_h,atmos_qms)*BU216^2)</f>
        <v>0.10204274437015746</v>
      </c>
      <c r="BX216" cm="1">
        <f t="array" ref="BX216">InterpolateXY(BW216,BU216,CD_CL,CD_M,CD_table)</f>
        <v>4.6785866119149894E-2</v>
      </c>
      <c r="BY216" cm="1">
        <f t="array" ref="BY216">BX216*S*Linterp(BV$90,atmos_h,atmos_qms)*BU216^2</f>
        <v>4584.9282482481403</v>
      </c>
      <c r="BZ216" cm="1">
        <f t="array" ref="BZ216">BU216*Linterp(BV$90,atmos_h,atmos_aspeed)</f>
        <v>1403.7457401110789</v>
      </c>
      <c r="CA216" s="162">
        <f t="shared" si="37"/>
        <v>-9174.7827427325774</v>
      </c>
      <c r="CC216">
        <v>1.45</v>
      </c>
      <c r="CD216" cm="1">
        <f t="array" ref="CD216">numeng*InterpolateXY(CD$90,CC216,Tmax_h,Tmax_M,Tmax_table)</f>
        <v>2636.5883581279268</v>
      </c>
      <c r="CE216" cm="1">
        <f t="array" ref="CE216">1*CD$91/(S*Linterp(CD$90,atmos_h,atmos_qms)*CC216^2)</f>
        <v>0.12976307503539533</v>
      </c>
      <c r="CF216" cm="1">
        <f t="array" ref="CF216">InterpolateXY(CE216,CC216,CD_CL,CD_M,CD_table)</f>
        <v>4.8968842159037379E-2</v>
      </c>
      <c r="CG216" cm="1">
        <f t="array" ref="CG216">CF216*S*Linterp(CD$90,atmos_h,atmos_qms)*CC216^2</f>
        <v>3773.7116005982598</v>
      </c>
      <c r="CH216" cm="1">
        <f t="array" ref="CH216">CC216*Linterp(CD$90,atmos_h,atmos_aspeed)</f>
        <v>1403.7457401110789</v>
      </c>
      <c r="CI216" s="162">
        <f t="shared" si="38"/>
        <v>-9577.3914455941649</v>
      </c>
      <c r="CK216">
        <v>1.45</v>
      </c>
      <c r="CL216" cm="1">
        <f t="array" ref="CL216">numeng*InterpolateXY(CL$90,CK216,Tmax_h,Tmax_M,Tmax_table)</f>
        <v>1896.7682283240388</v>
      </c>
      <c r="CM216" cm="1">
        <f t="array" ref="CM216">1*CL$91/(S*Linterp(CL$90,atmos_h,atmos_qms)*CK216^2)</f>
        <v>0.16501374739158881</v>
      </c>
      <c r="CN216" cm="1">
        <f t="array" ref="CN216">InterpolateXY(CM216,CK216,CD_CL,CD_M,CD_table)</f>
        <v>5.1744832607087621E-2</v>
      </c>
      <c r="CO216" cm="1">
        <f t="array" ref="CO216">CN216*S*Linterp(CL$90,atmos_h,atmos_qms)*CK216^2</f>
        <v>3135.7891948416659</v>
      </c>
      <c r="CP216" cm="1">
        <f t="array" ref="CP216">CK216*Linterp(CL$90,atmos_h,atmos_aspeed)</f>
        <v>1403.7457401110789</v>
      </c>
      <c r="CQ216" s="162">
        <f t="shared" si="39"/>
        <v>-10435.622421944585</v>
      </c>
    </row>
    <row r="217" spans="9:95">
      <c r="I217">
        <v>1.46</v>
      </c>
      <c r="J217" cm="1">
        <f t="array" ref="J217">numeng*InterpolateXY(J$90,I217,Tmax_h,Tmax_M,Tmax_table)</f>
        <v>9004</v>
      </c>
      <c r="K217" cm="1">
        <f t="array" ref="K217">1*J$91/(S*Linterp(J$90,atmos_h,atmos_qms)*I217^2)</f>
        <v>1.8628870021650042E-2</v>
      </c>
      <c r="L217" cm="1">
        <f t="array" ref="L217">InterpolateXY(K217,I217,CD_CL,CD_M,CD_table)</f>
        <v>4.4493665055573721E-2</v>
      </c>
      <c r="M217" cm="1">
        <f t="array" ref="M217">L217*S*Linterp(J$90,atmos_h,atmos_qms)*I217^2</f>
        <v>23884.253314271991</v>
      </c>
      <c r="N217" cm="1">
        <f t="array" ref="N217">I217*Linterp(J$90,atmos_h,atmos_aspeed)</f>
        <v>1630.0170000000001</v>
      </c>
      <c r="O217" s="162">
        <f t="shared" si="40"/>
        <v>-145530.39519941813</v>
      </c>
      <c r="Q217">
        <v>1.46</v>
      </c>
      <c r="R217" cm="1">
        <f t="array" ref="R217">numeng*InterpolateXY(R$90,Q217,Tmax_h,Tmax_M,Tmax_table)</f>
        <v>8513.2803682081267</v>
      </c>
      <c r="S217" cm="1">
        <f t="array" ref="S217">1*R$91/(S*Linterp(R$90,atmos_h,atmos_qms)*Q217^2)</f>
        <v>2.238920205573805E-2</v>
      </c>
      <c r="T217" cm="1">
        <f t="array" ref="T217">InterpolateXY(S217,Q217,CD_CL,CD_M,CD_table)</f>
        <v>4.4593313854477054E-2</v>
      </c>
      <c r="U217" cm="1">
        <f t="array" ref="U217">T217*S*Linterp(R$90,atmos_h,atmos_qms)*Q217^2</f>
        <v>19917.330570094342</v>
      </c>
      <c r="V217" cm="1">
        <f t="array" ref="V217">Q217*Linterp(R$90,atmos_h,atmos_aspeed)</f>
        <v>1601.7549425005627</v>
      </c>
      <c r="W217" s="162">
        <f t="shared" si="30"/>
        <v>-109598.9626523747</v>
      </c>
      <c r="Y217">
        <v>1.46</v>
      </c>
      <c r="Z217" cm="1">
        <f t="array" ref="Z217">numeng*InterpolateXY(Z$90,Y217,Tmax_h,Tmax_M,Tmax_table)</f>
        <v>7943.038107451257</v>
      </c>
      <c r="AA217" cm="1">
        <f t="array" ref="AA217">1*Z$91/(S*Linterp(Z$90,atmos_h,atmos_qms)*Y217^2)</f>
        <v>2.7088540737434729E-2</v>
      </c>
      <c r="AB217" cm="1">
        <f t="array" ref="AB217">InterpolateXY(AA217,Y217,CD_CL,CD_M,CD_table)</f>
        <v>4.4717846329542017E-2</v>
      </c>
      <c r="AC217" cm="1">
        <f t="array" ref="AC217">AB217*S*Linterp(Z$90,atmos_h,atmos_qms)*Y217^2</f>
        <v>16508.03074369549</v>
      </c>
      <c r="AD217" cm="1">
        <f t="array" ref="AD217">Y217*Linterp(Z$90,atmos_h,atmos_aspeed)</f>
        <v>1572.9851783665865</v>
      </c>
      <c r="AE217" s="162">
        <f t="shared" si="31"/>
        <v>-80835.638817786807</v>
      </c>
      <c r="AG217">
        <v>1.46</v>
      </c>
      <c r="AH217" cm="1">
        <f t="array" ref="AH217">numeng*InterpolateXY(AH$90,AG217,Tmax_h,Tmax_M,Tmax_table)</f>
        <v>7135.4975034768358</v>
      </c>
      <c r="AI217" cm="1">
        <f t="array" ref="AI217">1*AH$91/(S*Linterp(AH$90,atmos_h,atmos_qms)*AG217^2)</f>
        <v>3.3009984101237337E-2</v>
      </c>
      <c r="AJ217" cm="1">
        <f t="array" ref="AJ217">InterpolateXY(AI217,AG217,CD_CL,CD_M,CD_table)</f>
        <v>4.4874764578682787E-2</v>
      </c>
      <c r="AK217" cm="1">
        <f t="array" ref="AK217">AJ217*S*Linterp(AH$90,atmos_h,atmos_qms)*AG217^2</f>
        <v>13594.300573141059</v>
      </c>
      <c r="AL217" cm="1">
        <f t="array" ref="AL217">AG217*Linterp(AH$90,atmos_h,atmos_aspeed)</f>
        <v>1543.6793212636303</v>
      </c>
      <c r="AM217" s="162">
        <f t="shared" si="32"/>
        <v>-59821.924432528329</v>
      </c>
      <c r="AO217">
        <v>1.46</v>
      </c>
      <c r="AP217" cm="1">
        <f t="array" ref="AP217">numeng*InterpolateXY(AP$90,AO217,Tmax_h,Tmax_M,Tmax_table)</f>
        <v>6353.1768816053027</v>
      </c>
      <c r="AQ217" cm="1">
        <f t="array" ref="AQ217">1*AP$91/(S*Linterp(AP$90,atmos_h,atmos_qms)*AO217^2)</f>
        <v>4.0537886112446908E-2</v>
      </c>
      <c r="AR217" cm="1">
        <f t="array" ref="AR217">InterpolateXY(AQ217,AO217,CD_CL,CD_M,CD_table)</f>
        <v>4.5074253981979839E-2</v>
      </c>
      <c r="AS217" cm="1">
        <f t="array" ref="AS217">AR217*S*Linterp(AP$90,atmos_h,atmos_qms)*AO217^2</f>
        <v>11119.044011557393</v>
      </c>
      <c r="AT217" cm="1">
        <f t="array" ref="AT217">AO217*Linterp(AP$90,atmos_h,atmos_aspeed)</f>
        <v>1513.8062367532127</v>
      </c>
      <c r="AU217" s="162">
        <f t="shared" si="33"/>
        <v>-43287.596309151646</v>
      </c>
      <c r="AW217">
        <v>1.46</v>
      </c>
      <c r="AX217" cm="1">
        <f t="array" ref="AX217">numeng*InterpolateXY(AX$90,AW217,Tmax_h,Tmax_M,Tmax_table)</f>
        <v>5605.0040458617614</v>
      </c>
      <c r="AY217" cm="1">
        <f t="array" ref="AY217">1*AX$91/(S*Linterp(AX$90,atmos_h,atmos_qms)*AW217^2)</f>
        <v>5.0200267780077863E-2</v>
      </c>
      <c r="AZ217" cm="1">
        <f t="array" ref="AZ217">InterpolateXY(AY217,AW217,CD_CL,CD_M,CD_table)</f>
        <v>4.5330307096172064E-2</v>
      </c>
      <c r="BA217" cm="1">
        <f t="array" ref="BA217">AZ217*S*Linterp(AX$90,atmos_h,atmos_qms)*AW217^2</f>
        <v>9029.8934847836681</v>
      </c>
      <c r="BB217" cm="1">
        <f t="array" ref="BB217">AW217*Linterp(AX$90,atmos_h,atmos_aspeed)</f>
        <v>1483.3316547451227</v>
      </c>
      <c r="BC217" s="162">
        <f t="shared" si="34"/>
        <v>-30481.481512530761</v>
      </c>
      <c r="BE217">
        <v>1.46</v>
      </c>
      <c r="BF217" cm="1">
        <f t="array" ref="BF217">numeng*InterpolateXY(BF$90,BE217,Tmax_h,Tmax_M,Tmax_table)</f>
        <v>4898.0721418893509</v>
      </c>
      <c r="BG217" cm="1">
        <f t="array" ref="BG217">1*BF$91/(S*Linterp(BF$90,atmos_h,atmos_qms)*BE217^2)</f>
        <v>6.2731828098160719E-2</v>
      </c>
      <c r="BH217" cm="1">
        <f t="array" ref="BH217">InterpolateXY(BG217,BE217,CD_CL,CD_M,CD_table)</f>
        <v>4.5662393444601254E-2</v>
      </c>
      <c r="BI217" cm="1">
        <f t="array" ref="BI217">BH217*S*Linterp(BF$90,atmos_h,atmos_qms)*BE217^2</f>
        <v>7278.9833851406702</v>
      </c>
      <c r="BJ217" cm="1">
        <f t="array" ref="BJ217">BE217*Linterp(BF$90,atmos_h,atmos_aspeed)</f>
        <v>1452.217708714807</v>
      </c>
      <c r="BK217" s="162">
        <f t="shared" si="35"/>
        <v>-20745.608821966522</v>
      </c>
      <c r="BM217">
        <v>1.46</v>
      </c>
      <c r="BN217" cm="1">
        <f t="array" ref="BN217">numeng*InterpolateXY(BN$90,BM217,Tmax_h,Tmax_M,Tmax_table)</f>
        <v>4237.7863667591273</v>
      </c>
      <c r="BO217" cm="1">
        <f t="array" ref="BO217">1*BN$91/(S*Linterp(BN$90,atmos_h,atmos_qms)*BM217^2)</f>
        <v>7.9169072116968067E-2</v>
      </c>
      <c r="BP217" cm="1">
        <f t="array" ref="BP217">InterpolateXY(BO217,BM217,CD_CL,CD_M,CD_table)</f>
        <v>4.6097980411099651E-2</v>
      </c>
      <c r="BQ217" cm="1">
        <f t="array" ref="BQ217">BP217*S*Linterp(BN$90,atmos_h,atmos_qms)*BM217^2</f>
        <v>5822.7258673680499</v>
      </c>
      <c r="BR217" cm="1">
        <f t="array" ref="BR217">BM217*Linterp(BN$90,atmos_h,atmos_aspeed)</f>
        <v>1420.4223840255634</v>
      </c>
      <c r="BS217" s="162">
        <f t="shared" si="36"/>
        <v>-13507.701263947272</v>
      </c>
      <c r="BU217">
        <v>1.46</v>
      </c>
      <c r="BV217" cm="1">
        <f t="array" ref="BV217">numeng*InterpolateXY(BV$90,BU217,Tmax_h,Tmax_M,Tmax_table)</f>
        <v>3510.3768876423442</v>
      </c>
      <c r="BW217" cm="1">
        <f t="array" ref="BW217">1*BV$91/(S*Linterp(BV$90,atmos_h,atmos_qms)*BU217^2)</f>
        <v>0.10064968570006384</v>
      </c>
      <c r="BX217" cm="1">
        <f t="array" ref="BX217">InterpolateXY(BW217,BU217,CD_CL,CD_M,CD_table)</f>
        <v>4.6701650013155079E-2</v>
      </c>
      <c r="BY217" cm="1">
        <f t="array" ref="BY217">BX217*S*Linterp(BV$90,atmos_h,atmos_qms)*BU217^2</f>
        <v>4640.0194584140127</v>
      </c>
      <c r="BZ217" cm="1">
        <f t="array" ref="BZ217">BU217*Linterp(BV$90,atmos_h,atmos_aspeed)</f>
        <v>1413.4267452152933</v>
      </c>
      <c r="CA217" s="162">
        <f t="shared" si="37"/>
        <v>-9580.0021323746168</v>
      </c>
      <c r="CC217">
        <v>1.46</v>
      </c>
      <c r="CD217" cm="1">
        <f t="array" ref="CD217">numeng*InterpolateXY(CD$90,CC217,Tmax_h,Tmax_M,Tmax_table)</f>
        <v>2647.4289563698626</v>
      </c>
      <c r="CE217" cm="1">
        <f t="array" ref="CE217">1*CD$91/(S*Linterp(CD$90,atmos_h,atmos_qms)*CC217^2)</f>
        <v>0.12799158625535687</v>
      </c>
      <c r="CF217" cm="1">
        <f t="array" ref="CF217">InterpolateXY(CE217,CC217,CD_CL,CD_M,CD_table)</f>
        <v>4.8875331107300871E-2</v>
      </c>
      <c r="CG217" cm="1">
        <f t="array" ref="CG217">CF217*S*Linterp(CD$90,atmos_h,atmos_qms)*CC217^2</f>
        <v>3818.6362508070943</v>
      </c>
      <c r="CH217" cm="1">
        <f t="array" ref="CH217">CC217*Linterp(CD$90,atmos_h,atmos_aspeed)</f>
        <v>1413.4267452152933</v>
      </c>
      <c r="CI217" s="162">
        <f t="shared" si="38"/>
        <v>-9932.494284892955</v>
      </c>
      <c r="CK217">
        <v>1.46</v>
      </c>
      <c r="CL217" cm="1">
        <f t="array" ref="CL217">numeng*InterpolateXY(CL$90,CK217,Tmax_h,Tmax_M,Tmax_table)</f>
        <v>1904.0752006321893</v>
      </c>
      <c r="CM217" cm="1">
        <f t="array" ref="CM217">1*CL$91/(S*Linterp(CL$90,atmos_h,atmos_qms)*CK217^2)</f>
        <v>0.16276102640777609</v>
      </c>
      <c r="CN217" cm="1">
        <f t="array" ref="CN217">InterpolateXY(CM217,CK217,CD_CL,CD_M,CD_table)</f>
        <v>5.16395015994182E-2</v>
      </c>
      <c r="CO217" cm="1">
        <f t="array" ref="CO217">CN217*S*Linterp(CL$90,atmos_h,atmos_qms)*CK217^2</f>
        <v>3172.7190924713327</v>
      </c>
      <c r="CP217" cm="1">
        <f t="array" ref="CP217">CK217*Linterp(CL$90,atmos_h,atmos_aspeed)</f>
        <v>1413.4267452152933</v>
      </c>
      <c r="CQ217" s="162">
        <f t="shared" si="39"/>
        <v>-10758.811241276779</v>
      </c>
    </row>
    <row r="218" spans="9:95">
      <c r="I218">
        <v>1.47</v>
      </c>
      <c r="J218" cm="1">
        <f t="array" ref="J218">numeng*InterpolateXY(J$90,I218,Tmax_h,Tmax_M,Tmax_table)</f>
        <v>9028</v>
      </c>
      <c r="K218" cm="1">
        <f t="array" ref="K218">1*J$91/(S*Linterp(J$90,atmos_h,atmos_qms)*I218^2)</f>
        <v>1.8376278096232695E-2</v>
      </c>
      <c r="L218" cm="1">
        <f t="array" ref="L218">InterpolateXY(K218,I218,CD_CL,CD_M,CD_table)</f>
        <v>4.4491565439074218E-2</v>
      </c>
      <c r="M218" cm="1">
        <f t="array" ref="M218">L218*S*Linterp(J$90,atmos_h,atmos_qms)*I218^2</f>
        <v>24211.412782327992</v>
      </c>
      <c r="N218" cm="1">
        <f t="array" ref="N218">I218*Linterp(J$90,atmos_h,atmos_aspeed)</f>
        <v>1641.1815000000001</v>
      </c>
      <c r="O218" s="162">
        <f t="shared" si="40"/>
        <v>-149512.41699132137</v>
      </c>
      <c r="Q218">
        <v>1.47</v>
      </c>
      <c r="R218" cm="1">
        <f t="array" ref="R218">numeng*InterpolateXY(R$90,Q218,Tmax_h,Tmax_M,Tmax_table)</f>
        <v>8539.1304098119981</v>
      </c>
      <c r="S218" cm="1">
        <f t="array" ref="S218">1*R$91/(S*Linterp(R$90,atmos_h,atmos_qms)*Q218^2)</f>
        <v>2.2085623167204044E-2</v>
      </c>
      <c r="T218" cm="1">
        <f t="array" ref="T218">InterpolateXY(S218,Q218,CD_CL,CD_M,CD_table)</f>
        <v>4.4590790419722706E-2</v>
      </c>
      <c r="U218" cm="1">
        <f t="array" ref="U218">T218*S*Linterp(R$90,atmos_h,atmos_qms)*Q218^2</f>
        <v>20189.962529985394</v>
      </c>
      <c r="V218" cm="1">
        <f t="array" ref="V218">Q218*Linterp(R$90,atmos_h,atmos_aspeed)</f>
        <v>1612.7258667642652</v>
      </c>
      <c r="W218" s="162">
        <f t="shared" si="30"/>
        <v>-112737.58997718949</v>
      </c>
      <c r="Y218">
        <v>1.47</v>
      </c>
      <c r="Z218" cm="1">
        <f t="array" ref="Z218">numeng*InterpolateXY(Z$90,Y218,Tmax_h,Tmax_M,Tmax_table)</f>
        <v>7969.6232108231652</v>
      </c>
      <c r="AA218" cm="1">
        <f t="array" ref="AA218">1*Z$91/(S*Linterp(Z$90,atmos_h,atmos_qms)*Y218^2)</f>
        <v>2.6721242739560305E-2</v>
      </c>
      <c r="AB218" cm="1">
        <f t="array" ref="AB218">InterpolateXY(AA218,Y218,CD_CL,CD_M,CD_table)</f>
        <v>4.4714793243283237E-2</v>
      </c>
      <c r="AC218" cm="1">
        <f t="array" ref="AC218">AB218*S*Linterp(Z$90,atmos_h,atmos_qms)*Y218^2</f>
        <v>16733.800025357283</v>
      </c>
      <c r="AD218" cm="1">
        <f t="array" ref="AD218">Y218*Linterp(Z$90,atmos_h,atmos_aspeed)</f>
        <v>1583.7590494512892</v>
      </c>
      <c r="AE218" s="162">
        <f t="shared" si="31"/>
        <v>-83282.066046057487</v>
      </c>
      <c r="AG218">
        <v>1.47</v>
      </c>
      <c r="AH218" cm="1">
        <f t="array" ref="AH218">numeng*InterpolateXY(AH$90,AG218,Tmax_h,Tmax_M,Tmax_table)</f>
        <v>7160.6668068400695</v>
      </c>
      <c r="AI218" cm="1">
        <f t="array" ref="AI218">1*AH$91/(S*Linterp(AH$90,atmos_h,atmos_qms)*AG218^2)</f>
        <v>3.2562396274791752E-2</v>
      </c>
      <c r="AJ218" cm="1">
        <f t="array" ref="AJ218">InterpolateXY(AI218,AG218,CD_CL,CD_M,CD_table)</f>
        <v>4.4871044100350678E-2</v>
      </c>
      <c r="AK218" cm="1">
        <f t="array" ref="AK218">AJ218*S*Linterp(AH$90,atmos_h,atmos_qms)*AG218^2</f>
        <v>13780.019050713319</v>
      </c>
      <c r="AL218" cm="1">
        <f t="array" ref="AL218">AG218*Linterp(AH$90,atmos_h,atmos_aspeed)</f>
        <v>1554.2524672996826</v>
      </c>
      <c r="AM218" s="162">
        <f t="shared" si="32"/>
        <v>-61728.867341794132</v>
      </c>
      <c r="AO218">
        <v>1.47</v>
      </c>
      <c r="AP218" cm="1">
        <f t="array" ref="AP218">numeng*InterpolateXY(AP$90,AO218,Tmax_h,Tmax_M,Tmax_table)</f>
        <v>6376.620338732997</v>
      </c>
      <c r="AQ218" cm="1">
        <f t="array" ref="AQ218">1*AP$91/(S*Linterp(AP$90,atmos_h,atmos_qms)*AO218^2)</f>
        <v>3.9988226219302987E-2</v>
      </c>
      <c r="AR218" cm="1">
        <f t="array" ref="AR218">InterpolateXY(AQ218,AO218,CD_CL,CD_M,CD_table)</f>
        <v>4.5069685051366354E-2</v>
      </c>
      <c r="AS218" cm="1">
        <f t="array" ref="AS218">AR218*S*Linterp(AP$90,atmos_h,atmos_qms)*AO218^2</f>
        <v>11270.738742997923</v>
      </c>
      <c r="AT218" cm="1">
        <f t="array" ref="AT218">AO218*Linterp(AP$90,atmos_h,atmos_aspeed)</f>
        <v>1524.1747726213853</v>
      </c>
      <c r="AU218" s="162">
        <f t="shared" si="33"/>
        <v>-44756.950836015778</v>
      </c>
      <c r="AW218">
        <v>1.47</v>
      </c>
      <c r="AX218" cm="1">
        <f t="array" ref="AX218">numeng*InterpolateXY(AX$90,AW218,Tmax_h,Tmax_M,Tmax_table)</f>
        <v>5626.5134953501974</v>
      </c>
      <c r="AY218" cm="1">
        <f t="array" ref="AY218">1*AX$91/(S*Linterp(AX$90,atmos_h,atmos_qms)*AW218^2)</f>
        <v>4.9519594058037845E-2</v>
      </c>
      <c r="AZ218" cm="1">
        <f t="array" ref="AZ218">InterpolateXY(AY218,AW218,CD_CL,CD_M,CD_table)</f>
        <v>4.5324649141052512E-2</v>
      </c>
      <c r="BA218" cm="1">
        <f t="array" ref="BA218">AZ218*S*Linterp(AX$90,atmos_h,atmos_qms)*AW218^2</f>
        <v>9152.8717072945346</v>
      </c>
      <c r="BB218" cm="1">
        <f t="array" ref="BB218">AW218*Linterp(AX$90,atmos_h,atmos_aspeed)</f>
        <v>1493.4914605995414</v>
      </c>
      <c r="BC218" s="162">
        <f t="shared" si="34"/>
        <v>-31599.515259323609</v>
      </c>
      <c r="BE218">
        <v>1.47</v>
      </c>
      <c r="BF218" cm="1">
        <f t="array" ref="BF218">numeng*InterpolateXY(BF$90,BE218,Tmax_h,Tmax_M,Tmax_table)</f>
        <v>4917.5267516799286</v>
      </c>
      <c r="BG218" cm="1">
        <f t="array" ref="BG218">1*BF$91/(S*Linterp(BF$90,atmos_h,atmos_qms)*BE218^2)</f>
        <v>6.1881236880021916E-2</v>
      </c>
      <c r="BH218" cm="1">
        <f t="array" ref="BH218">InterpolateXY(BG218,BE218,CD_CL,CD_M,CD_table)</f>
        <v>4.5655323086540585E-2</v>
      </c>
      <c r="BI218" cm="1">
        <f t="array" ref="BI218">BH218*S*Linterp(BF$90,atmos_h,atmos_qms)*BE218^2</f>
        <v>7377.8943971432154</v>
      </c>
      <c r="BJ218" cm="1">
        <f t="array" ref="BJ218">BE218*Linterp(BF$90,atmos_h,atmos_aspeed)</f>
        <v>1462.1644053498401</v>
      </c>
      <c r="BK218" s="162">
        <f t="shared" si="35"/>
        <v>-21584.771971624879</v>
      </c>
      <c r="BM218">
        <v>1.47</v>
      </c>
      <c r="BN218" cm="1">
        <f t="array" ref="BN218">numeng*InterpolateXY(BN$90,BM218,Tmax_h,Tmax_M,Tmax_table)</f>
        <v>4255.1391041486058</v>
      </c>
      <c r="BO218" cm="1">
        <f t="array" ref="BO218">1*BN$91/(S*Linterp(BN$90,atmos_h,atmos_qms)*BM218^2)</f>
        <v>7.8095605592359257E-2</v>
      </c>
      <c r="BP218" cm="1">
        <f t="array" ref="BP218">InterpolateXY(BO218,BM218,CD_CL,CD_M,CD_table)</f>
        <v>4.6089057449595607E-2</v>
      </c>
      <c r="BQ218" cm="1">
        <f t="array" ref="BQ218">BP218*S*Linterp(BN$90,atmos_h,atmos_qms)*BM218^2</f>
        <v>5901.6198286712415</v>
      </c>
      <c r="BR218" cm="1">
        <f t="array" ref="BR218">BM218*Linterp(BN$90,atmos_h,atmos_aspeed)</f>
        <v>1430.1513044640947</v>
      </c>
      <c r="BS218" s="162">
        <f t="shared" si="36"/>
        <v>-14128.29933570621</v>
      </c>
      <c r="BU218">
        <v>1.47</v>
      </c>
      <c r="BV218" cm="1">
        <f t="array" ref="BV218">numeng*InterpolateXY(BV$90,BU218,Tmax_h,Tmax_M,Tmax_table)</f>
        <v>3525.147056875061</v>
      </c>
      <c r="BW218" cm="1">
        <f t="array" ref="BW218">1*BV$91/(S*Linterp(BV$90,atmos_h,atmos_qms)*BU218^2)</f>
        <v>9.9284959988086494E-2</v>
      </c>
      <c r="BX218" cm="1">
        <f t="array" ref="BX218">InterpolateXY(BW218,BU218,CD_CL,CD_M,CD_table)</f>
        <v>4.6655872679681312E-2</v>
      </c>
      <c r="BY218" cm="1">
        <f t="array" ref="BY218">BX218*S*Linterp(BV$90,atmos_h,atmos_qms)*BU218^2</f>
        <v>4699.1883448691224</v>
      </c>
      <c r="BZ218" cm="1">
        <f t="array" ref="BZ218">BU218*Linterp(BV$90,atmos_h,atmos_aspeed)</f>
        <v>1423.1077503195077</v>
      </c>
      <c r="CA218" s="162">
        <f t="shared" si="37"/>
        <v>-10024.723536836675</v>
      </c>
      <c r="CC218">
        <v>1.47</v>
      </c>
      <c r="CD218" cm="1">
        <f t="array" ref="CD218">numeng*InterpolateXY(CD$90,CC218,Tmax_h,Tmax_M,Tmax_table)</f>
        <v>2658.2695546117984</v>
      </c>
      <c r="CE218" cm="1">
        <f t="array" ref="CE218">1*CD$91/(S*Linterp(CD$90,atmos_h,atmos_qms)*CC218^2)</f>
        <v>0.12625612719788915</v>
      </c>
      <c r="CF218" cm="1">
        <f t="array" ref="CF218">InterpolateXY(CE218,CC218,CD_CL,CD_M,CD_table)</f>
        <v>4.8782054207630605E-2</v>
      </c>
      <c r="CG218" cm="1">
        <f t="array" ref="CG218">CF218*S*Linterp(CD$90,atmos_h,atmos_qms)*CC218^2</f>
        <v>3863.7375698346445</v>
      </c>
      <c r="CH218" cm="1">
        <f t="array" ref="CH218">CC218*Linterp(CD$90,atmos_h,atmos_aspeed)</f>
        <v>1423.1077503195077</v>
      </c>
      <c r="CI218" s="162">
        <f t="shared" si="38"/>
        <v>-10293.06525135544</v>
      </c>
      <c r="CK218">
        <v>1.47</v>
      </c>
      <c r="CL218" cm="1">
        <f t="array" ref="CL218">numeng*InterpolateXY(CL$90,CK218,Tmax_h,Tmax_M,Tmax_table)</f>
        <v>1911.3821729403396</v>
      </c>
      <c r="CM218" cm="1">
        <f t="array" ref="CM218">1*CL$91/(S*Linterp(CL$90,atmos_h,atmos_qms)*CK218^2)</f>
        <v>0.16055412276866837</v>
      </c>
      <c r="CN218" cm="1">
        <f t="array" ref="CN218">InterpolateXY(CM218,CK218,CD_CL,CD_M,CD_table)</f>
        <v>5.1534468352185635E-2</v>
      </c>
      <c r="CO218" cm="1">
        <f t="array" ref="CO218">CN218*S*Linterp(CL$90,atmos_h,atmos_qms)*CK218^2</f>
        <v>3209.7879184602552</v>
      </c>
      <c r="CP218" cm="1">
        <f t="array" ref="CP218">CK218*Linterp(CL$90,atmos_h,atmos_aspeed)</f>
        <v>1423.1077503195077</v>
      </c>
      <c r="CQ218" s="162">
        <f t="shared" si="39"/>
        <v>-11086.627677052622</v>
      </c>
    </row>
    <row r="219" spans="9:95">
      <c r="I219">
        <v>1.48</v>
      </c>
      <c r="J219" cm="1">
        <f t="array" ref="J219">numeng*InterpolateXY(J$90,I219,Tmax_h,Tmax_M,Tmax_table)</f>
        <v>9052</v>
      </c>
      <c r="K219" cm="1">
        <f t="array" ref="K219">1*J$91/(S*Linterp(J$90,atmos_h,atmos_qms)*I219^2)</f>
        <v>1.8128788960075432E-2</v>
      </c>
      <c r="L219" cm="1">
        <f t="array" ref="L219">InterpolateXY(K219,I219,CD_CL,CD_M,CD_table)</f>
        <v>4.4489477301922035E-2</v>
      </c>
      <c r="M219" cm="1">
        <f t="array" ref="M219">L219*S*Linterp(J$90,atmos_h,atmos_qms)*I219^2</f>
        <v>24540.788355967998</v>
      </c>
      <c r="N219" cm="1">
        <f t="array" ref="N219">I219*Linterp(J$90,atmos_h,atmos_aspeed)</f>
        <v>1652.346</v>
      </c>
      <c r="O219" s="162">
        <f t="shared" si="40"/>
        <v>-153557.02490898178</v>
      </c>
      <c r="Q219">
        <v>1.48</v>
      </c>
      <c r="R219" cm="1">
        <f t="array" ref="R219">numeng*InterpolateXY(R$90,Q219,Tmax_h,Tmax_M,Tmax_table)</f>
        <v>8564.9804514158695</v>
      </c>
      <c r="S219" cm="1">
        <f t="array" ref="S219">1*R$91/(S*Linterp(R$90,atmos_h,atmos_qms)*Q219^2)</f>
        <v>2.178817709186049E-2</v>
      </c>
      <c r="T219" cm="1">
        <f t="array" ref="T219">InterpolateXY(S219,Q219,CD_CL,CD_M,CD_table)</f>
        <v>4.4588280781480229E-2</v>
      </c>
      <c r="U219" cm="1">
        <f t="array" ref="U219">T219*S*Linterp(R$90,atmos_h,atmos_qms)*Q219^2</f>
        <v>20464.438394039524</v>
      </c>
      <c r="V219" cm="1">
        <f t="array" ref="V219">Q219*Linterp(R$90,atmos_h,atmos_aspeed)</f>
        <v>1623.6967910279677</v>
      </c>
      <c r="W219" s="162">
        <f t="shared" si="30"/>
        <v>-115926.67005846174</v>
      </c>
      <c r="Y219">
        <v>1.48</v>
      </c>
      <c r="Z219" cm="1">
        <f t="array" ref="Z219">numeng*InterpolateXY(Z$90,Y219,Tmax_h,Tmax_M,Tmax_table)</f>
        <v>7996.2083141950734</v>
      </c>
      <c r="AA219" cm="1">
        <f t="array" ref="AA219">1*Z$91/(S*Linterp(Z$90,atmos_h,atmos_qms)*Y219^2)</f>
        <v>2.6361364789954284E-2</v>
      </c>
      <c r="AB219" cm="1">
        <f t="array" ref="AB219">InterpolateXY(AA219,Y219,CD_CL,CD_M,CD_table)</f>
        <v>4.4711756849328765E-2</v>
      </c>
      <c r="AC219" cm="1">
        <f t="array" ref="AC219">AB219*S*Linterp(Z$90,atmos_h,atmos_qms)*Y219^2</f>
        <v>16961.093329419498</v>
      </c>
      <c r="AD219" cm="1">
        <f t="array" ref="AD219">Y219*Linterp(Z$90,atmos_h,atmos_aspeed)</f>
        <v>1594.5329205359919</v>
      </c>
      <c r="AE219" s="162">
        <f t="shared" si="31"/>
        <v>-85768.825713570914</v>
      </c>
      <c r="AG219">
        <v>1.48</v>
      </c>
      <c r="AH219" cm="1">
        <f t="array" ref="AH219">numeng*InterpolateXY(AH$90,AG219,Tmax_h,Tmax_M,Tmax_table)</f>
        <v>7185.8361102033032</v>
      </c>
      <c r="AI219" cm="1">
        <f t="array" ref="AI219">1*AH$91/(S*Linterp(AH$90,atmos_h,atmos_qms)*AG219^2)</f>
        <v>3.2123850488585418E-2</v>
      </c>
      <c r="AJ219" cm="1">
        <f t="array" ref="AJ219">InterpolateXY(AI219,AG219,CD_CL,CD_M,CD_table)</f>
        <v>4.4867343963191801E-2</v>
      </c>
      <c r="AK219" cm="1">
        <f t="array" ref="AK219">AJ219*S*Linterp(AH$90,atmos_h,atmos_qms)*AG219^2</f>
        <v>13966.988166357747</v>
      </c>
      <c r="AL219" cm="1">
        <f t="array" ref="AL219">AG219*Linterp(AH$90,atmos_h,atmos_aspeed)</f>
        <v>1564.8256133357347</v>
      </c>
      <c r="AM219" s="162">
        <f t="shared" si="32"/>
        <v>-63667.922552368545</v>
      </c>
      <c r="AO219">
        <v>1.48</v>
      </c>
      <c r="AP219" cm="1">
        <f t="array" ref="AP219">numeng*InterpolateXY(AP$90,AO219,Tmax_h,Tmax_M,Tmax_table)</f>
        <v>6400.0637958606922</v>
      </c>
      <c r="AQ219" cm="1">
        <f t="array" ref="AQ219">1*AP$91/(S*Linterp(AP$90,atmos_h,atmos_qms)*AO219^2)</f>
        <v>3.9449670396864416E-2</v>
      </c>
      <c r="AR219" cm="1">
        <f t="array" ref="AR219">InterpolateXY(AQ219,AO219,CD_CL,CD_M,CD_table)</f>
        <v>4.5065141100715342E-2</v>
      </c>
      <c r="AS219" cm="1">
        <f t="array" ref="AS219">AR219*S*Linterp(AP$90,atmos_h,atmos_qms)*AO219^2</f>
        <v>11423.451868509721</v>
      </c>
      <c r="AT219" cm="1">
        <f t="array" ref="AT219">AO219*Linterp(AP$90,atmos_h,atmos_aspeed)</f>
        <v>1534.5433084895581</v>
      </c>
      <c r="AU219" s="162">
        <f t="shared" si="33"/>
        <v>-46251.639316978952</v>
      </c>
      <c r="AW219">
        <v>1.48</v>
      </c>
      <c r="AX219" cm="1">
        <f t="array" ref="AX219">numeng*InterpolateXY(AX$90,AW219,Tmax_h,Tmax_M,Tmax_table)</f>
        <v>5648.0229448386344</v>
      </c>
      <c r="AY219" cm="1">
        <f t="array" ref="AY219">1*AX$91/(S*Linterp(AX$90,atmos_h,atmos_qms)*AW219^2)</f>
        <v>4.8852671110305869E-2</v>
      </c>
      <c r="AZ219" cm="1">
        <f t="array" ref="AZ219">InterpolateXY(AY219,AW219,CD_CL,CD_M,CD_table)</f>
        <v>4.5319022119978257E-2</v>
      </c>
      <c r="BA219" cm="1">
        <f t="array" ref="BA219">AZ219*S*Linterp(AX$90,atmos_h,atmos_qms)*AW219^2</f>
        <v>9276.6723067508665</v>
      </c>
      <c r="BB219" cm="1">
        <f t="array" ref="BB219">AW219*Linterp(AX$90,atmos_h,atmos_aspeed)</f>
        <v>1503.65126645396</v>
      </c>
      <c r="BC219" s="162">
        <f t="shared" si="34"/>
        <v>-32737.33925134009</v>
      </c>
      <c r="BE219">
        <v>1.48</v>
      </c>
      <c r="BF219" cm="1">
        <f t="array" ref="BF219">numeng*InterpolateXY(BF$90,BE219,Tmax_h,Tmax_M,Tmax_table)</f>
        <v>4936.9813614705072</v>
      </c>
      <c r="BG219" cm="1">
        <f t="array" ref="BG219">1*BF$91/(S*Linterp(BF$90,atmos_h,atmos_qms)*BE219^2)</f>
        <v>6.1047829060463556E-2</v>
      </c>
      <c r="BH219" cm="1">
        <f t="array" ref="BH219">InterpolateXY(BG219,BE219,CD_CL,CD_M,CD_table)</f>
        <v>4.5648291384632514E-2</v>
      </c>
      <c r="BI219" cm="1">
        <f t="array" ref="BI219">BH219*S*Linterp(BF$90,atmos_h,atmos_qms)*BE219^2</f>
        <v>7477.4635047908278</v>
      </c>
      <c r="BJ219" cm="1">
        <f t="array" ref="BJ219">BE219*Linterp(BF$90,atmos_h,atmos_aspeed)</f>
        <v>1472.1111019848729</v>
      </c>
      <c r="BK219" s="162">
        <f t="shared" si="35"/>
        <v>-22439.231805457013</v>
      </c>
      <c r="BM219">
        <v>1.48</v>
      </c>
      <c r="BN219" cm="1">
        <f t="array" ref="BN219">numeng*InterpolateXY(BN$90,BM219,Tmax_h,Tmax_M,Tmax_table)</f>
        <v>4272.4918415380853</v>
      </c>
      <c r="BO219" cm="1">
        <f t="array" ref="BO219">1*BN$91/(S*Linterp(BN$90,atmos_h,atmos_qms)*BM219^2)</f>
        <v>7.704382492902169E-2</v>
      </c>
      <c r="BP219" cm="1">
        <f t="array" ref="BP219">InterpolateXY(BO219,BM219,CD_CL,CD_M,CD_table)</f>
        <v>4.608018327308358E-2</v>
      </c>
      <c r="BQ219" cm="1">
        <f t="array" ref="BQ219">BP219*S*Linterp(BN$90,atmos_h,atmos_qms)*BM219^2</f>
        <v>5981.0352504611437</v>
      </c>
      <c r="BR219" cm="1">
        <f t="array" ref="BR219">BM219*Linterp(BN$90,atmos_h,atmos_aspeed)</f>
        <v>1439.880224902626</v>
      </c>
      <c r="BS219" s="162">
        <f t="shared" si="36"/>
        <v>-14760.587207376195</v>
      </c>
      <c r="BU219">
        <v>1.48</v>
      </c>
      <c r="BV219" cm="1">
        <f t="array" ref="BV219">numeng*InterpolateXY(BV$90,BU219,Tmax_h,Tmax_M,Tmax_table)</f>
        <v>3539.9172261077774</v>
      </c>
      <c r="BW219" cm="1">
        <f t="array" ref="BW219">1*BV$91/(S*Linterp(BV$90,atmos_h,atmos_qms)*BU219^2)</f>
        <v>9.7947804071519401E-2</v>
      </c>
      <c r="BX219" cm="1">
        <f t="array" ref="BX219">InterpolateXY(BW219,BU219,CD_CL,CD_M,CD_table)</f>
        <v>4.6644590709931023E-2</v>
      </c>
      <c r="BY219" cm="1">
        <f t="array" ref="BY219">BX219*S*Linterp(BV$90,atmos_h,atmos_qms)*BU219^2</f>
        <v>4762.1885096956476</v>
      </c>
      <c r="BZ219" cm="1">
        <f t="array" ref="BZ219">BU219*Linterp(BV$90,atmos_h,atmos_aspeed)</f>
        <v>1432.788755423722</v>
      </c>
      <c r="CA219" s="162">
        <f t="shared" si="37"/>
        <v>-10507.539307212117</v>
      </c>
      <c r="CC219">
        <v>1.48</v>
      </c>
      <c r="CD219" cm="1">
        <f t="array" ref="CD219">numeng*InterpolateXY(CD$90,CC219,Tmax_h,Tmax_M,Tmax_table)</f>
        <v>2669.1101528537342</v>
      </c>
      <c r="CE219" cm="1">
        <f t="array" ref="CE219">1*CD$91/(S*Linterp(CD$90,atmos_h,atmos_qms)*CC219^2)</f>
        <v>0.12455572738400232</v>
      </c>
      <c r="CF219" cm="1">
        <f t="array" ref="CF219">InterpolateXY(CE219,CC219,CD_CL,CD_M,CD_table)</f>
        <v>4.8689013918104186E-2</v>
      </c>
      <c r="CG219" cm="1">
        <f t="array" ref="CG219">CF219*S*Linterp(CD$90,atmos_h,atmos_qms)*CC219^2</f>
        <v>3909.0144580824558</v>
      </c>
      <c r="CH219" cm="1">
        <f t="array" ref="CH219">CC219*Linterp(CD$90,atmos_h,atmos_aspeed)</f>
        <v>1432.788755423722</v>
      </c>
      <c r="CI219" s="162">
        <f t="shared" si="38"/>
        <v>-10659.125677999049</v>
      </c>
      <c r="CK219">
        <v>1.48</v>
      </c>
      <c r="CL219" cm="1">
        <f t="array" ref="CL219">numeng*InterpolateXY(CL$90,CK219,Tmax_h,Tmax_M,Tmax_table)</f>
        <v>1918.6891452484899</v>
      </c>
      <c r="CM219" cm="1">
        <f t="array" ref="CM219">1*CL$91/(S*Linterp(CL$90,atmos_h,atmos_qms)*CK219^2)</f>
        <v>0.1583918023606718</v>
      </c>
      <c r="CN219" cm="1">
        <f t="array" ref="CN219">InterpolateXY(CM219,CK219,CD_CL,CD_M,CD_table)</f>
        <v>5.1429735991214413E-2</v>
      </c>
      <c r="CO219" cm="1">
        <f t="array" ref="CO219">CN219*S*Linterp(CL$90,atmos_h,atmos_qms)*CK219^2</f>
        <v>3246.9948081091011</v>
      </c>
      <c r="CP219" cm="1">
        <f t="array" ref="CP219">CK219*Linterp(CL$90,atmos_h,atmos_aspeed)</f>
        <v>1432.788755423722</v>
      </c>
      <c r="CQ219" s="162">
        <f t="shared" si="39"/>
        <v>-11419.088505074023</v>
      </c>
    </row>
    <row r="220" spans="9:95">
      <c r="I220">
        <v>1.49</v>
      </c>
      <c r="J220" cm="1">
        <f t="array" ref="J220">numeng*InterpolateXY(J$90,I220,Tmax_h,Tmax_M,Tmax_table)</f>
        <v>9076</v>
      </c>
      <c r="K220" cm="1">
        <f t="array" ref="K220">1*J$91/(S*Linterp(J$90,atmos_h,atmos_qms)*I220^2)</f>
        <v>1.7886266086279547E-2</v>
      </c>
      <c r="L220" cm="1">
        <f t="array" ref="L220">InterpolateXY(K220,I220,CD_CL,CD_M,CD_table)</f>
        <v>4.4487400750851114E-2</v>
      </c>
      <c r="M220" cm="1">
        <f t="array" ref="M220">L220*S*Linterp(J$90,atmos_h,atmos_qms)*I220^2</f>
        <v>24872.380035192</v>
      </c>
      <c r="N220" cm="1">
        <f t="array" ref="N220">I220*Linterp(J$90,atmos_h,atmos_aspeed)</f>
        <v>1663.5105000000001</v>
      </c>
      <c r="O220" s="162">
        <f t="shared" si="40"/>
        <v>-157664.66430319357</v>
      </c>
      <c r="Q220">
        <v>1.49</v>
      </c>
      <c r="R220" cm="1">
        <f t="array" ref="R220">numeng*InterpolateXY(R$90,Q220,Tmax_h,Tmax_M,Tmax_table)</f>
        <v>8590.8304930197392</v>
      </c>
      <c r="S220" cm="1">
        <f t="array" ref="S220">1*R$91/(S*Linterp(R$90,atmos_h,atmos_qms)*Q220^2)</f>
        <v>2.149669974416072E-2</v>
      </c>
      <c r="T220" cm="1">
        <f t="array" ref="T220">InterpolateXY(S220,Q220,CD_CL,CD_M,CD_table)</f>
        <v>4.4585785068028377E-2</v>
      </c>
      <c r="U220" cm="1">
        <f t="array" ref="U220">T220*S*Linterp(R$90,atmos_h,atmos_qms)*Q220^2</f>
        <v>20740.758162256738</v>
      </c>
      <c r="V220" cm="1">
        <f t="array" ref="V220">Q220*Linterp(R$90,atmos_h,atmos_aspeed)</f>
        <v>1634.6677152916702</v>
      </c>
      <c r="W220" s="162">
        <f t="shared" si="30"/>
        <v>-119166.56702418416</v>
      </c>
      <c r="Y220">
        <v>1.49</v>
      </c>
      <c r="Z220" cm="1">
        <f t="array" ref="Z220">numeng*InterpolateXY(Z$90,Y220,Tmax_h,Tmax_M,Tmax_table)</f>
        <v>8022.7934175669816</v>
      </c>
      <c r="AA220" cm="1">
        <f t="array" ref="AA220">1*Z$91/(S*Linterp(Z$90,atmos_h,atmos_qms)*Y220^2)</f>
        <v>2.6008708362648465E-2</v>
      </c>
      <c r="AB220" cm="1">
        <f t="array" ref="AB220">InterpolateXY(AA220,Y220,CD_CL,CD_M,CD_table)</f>
        <v>4.4708737302882169E-2</v>
      </c>
      <c r="AC220" cm="1">
        <f t="array" ref="AC220">AB220*S*Linterp(Z$90,atmos_h,atmos_qms)*Y220^2</f>
        <v>17189.910655882137</v>
      </c>
      <c r="AD220" cm="1">
        <f t="array" ref="AD220">Y220*Linterp(Z$90,atmos_h,atmos_aspeed)</f>
        <v>1605.3067916206946</v>
      </c>
      <c r="AE220" s="162">
        <f t="shared" si="31"/>
        <v>-88296.213373502789</v>
      </c>
      <c r="AG220">
        <v>1.49</v>
      </c>
      <c r="AH220" cm="1">
        <f t="array" ref="AH220">numeng*InterpolateXY(AH$90,AG220,Tmax_h,Tmax_M,Tmax_table)</f>
        <v>7211.0054135665378</v>
      </c>
      <c r="AI220" cm="1">
        <f t="array" ref="AI220">1*AH$91/(S*Linterp(AH$90,atmos_h,atmos_qms)*AG220^2)</f>
        <v>3.1694104819691676E-2</v>
      </c>
      <c r="AJ220" cm="1">
        <f t="array" ref="AJ220">InterpolateXY(AI220,AG220,CD_CL,CD_M,CD_table)</f>
        <v>4.4863664356336597E-2</v>
      </c>
      <c r="AK220" cm="1">
        <f t="array" ref="AK220">AJ220*S*Linterp(AH$90,atmos_h,atmos_qms)*AG220^2</f>
        <v>14155.207920074341</v>
      </c>
      <c r="AL220" cm="1">
        <f t="array" ref="AL220">AG220*Linterp(AH$90,atmos_h,atmos_aspeed)</f>
        <v>1575.398759371787</v>
      </c>
      <c r="AM220" s="162">
        <f t="shared" si="32"/>
        <v>-65639.328081473082</v>
      </c>
      <c r="AO220">
        <v>1.49</v>
      </c>
      <c r="AP220" cm="1">
        <f t="array" ref="AP220">numeng*InterpolateXY(AP$90,AO220,Tmax_h,Tmax_M,Tmax_table)</f>
        <v>6423.5072529883864</v>
      </c>
      <c r="AQ220" cm="1">
        <f t="array" ref="AQ220">1*AP$91/(S*Linterp(AP$90,atmos_h,atmos_qms)*AO220^2)</f>
        <v>3.8921921551863345E-2</v>
      </c>
      <c r="AR220" cm="1">
        <f t="array" ref="AR220">InterpolateXY(AQ220,AO220,CD_CL,CD_M,CD_table)</f>
        <v>4.5060622362288277E-2</v>
      </c>
      <c r="AS220" cm="1">
        <f t="array" ref="AS220">AR220*S*Linterp(AP$90,atmos_h,atmos_qms)*AO220^2</f>
        <v>11577.183388092782</v>
      </c>
      <c r="AT220" cm="1">
        <f t="array" ref="AT220">AO220*Linterp(AP$90,atmos_h,atmos_aspeed)</f>
        <v>1544.9118443577306</v>
      </c>
      <c r="AU220" s="162">
        <f t="shared" si="33"/>
        <v>-47771.851818639319</v>
      </c>
      <c r="AW220">
        <v>1.49</v>
      </c>
      <c r="AX220" cm="1">
        <f t="array" ref="AX220">numeng*InterpolateXY(AX$90,AW220,Tmax_h,Tmax_M,Tmax_table)</f>
        <v>5669.5323943270705</v>
      </c>
      <c r="AY220" cm="1">
        <f t="array" ref="AY220">1*AX$91/(S*Linterp(AX$90,atmos_h,atmos_qms)*AW220^2)</f>
        <v>4.8199131030140063E-2</v>
      </c>
      <c r="AZ220" cm="1">
        <f t="array" ref="AZ220">InterpolateXY(AY220,AW220,CD_CL,CD_M,CD_table)</f>
        <v>4.5313426320571316E-2</v>
      </c>
      <c r="BA220" cm="1">
        <f t="array" ref="BA220">AZ220*S*Linterp(AX$90,atmos_h,atmos_qms)*AW220^2</f>
        <v>9401.2952831526654</v>
      </c>
      <c r="BB220" cm="1">
        <f t="array" ref="BB220">AW220*Linterp(AX$90,atmos_h,atmos_aspeed)</f>
        <v>1513.8110723083787</v>
      </c>
      <c r="BC220" s="162">
        <f t="shared" si="34"/>
        <v>-33895.10388200212</v>
      </c>
      <c r="BE220">
        <v>1.49</v>
      </c>
      <c r="BF220" cm="1">
        <f t="array" ref="BF220">numeng*InterpolateXY(BF$90,BE220,Tmax_h,Tmax_M,Tmax_table)</f>
        <v>4956.4359712610849</v>
      </c>
      <c r="BG220" cm="1">
        <f t="array" ref="BG220">1*BF$91/(S*Linterp(BF$90,atmos_h,atmos_qms)*BE220^2)</f>
        <v>6.0231144891689278E-2</v>
      </c>
      <c r="BH220" cm="1">
        <f t="array" ref="BH220">InterpolateXY(BG220,BE220,CD_CL,CD_M,CD_table)</f>
        <v>4.5641298698298534E-2</v>
      </c>
      <c r="BI220" cm="1">
        <f t="array" ref="BI220">BH220*S*Linterp(BF$90,atmos_h,atmos_qms)*BE220^2</f>
        <v>7577.690708083509</v>
      </c>
      <c r="BJ220" cm="1">
        <f t="array" ref="BJ220">BE220*Linterp(BF$90,atmos_h,atmos_aspeed)</f>
        <v>1482.057798619906</v>
      </c>
      <c r="BK220" s="162">
        <f t="shared" si="35"/>
        <v>-23309.106149262258</v>
      </c>
      <c r="BM220">
        <v>1.49</v>
      </c>
      <c r="BN220" cm="1">
        <f t="array" ref="BN220">numeng*InterpolateXY(BN$90,BM220,Tmax_h,Tmax_M,Tmax_table)</f>
        <v>4289.8445789275638</v>
      </c>
      <c r="BO220" cm="1">
        <f t="array" ref="BO220">1*BN$91/(S*Linterp(BN$90,atmos_h,atmos_qms)*BM220^2)</f>
        <v>7.6013149914206157E-2</v>
      </c>
      <c r="BP220" cm="1">
        <f t="array" ref="BP220">InterpolateXY(BO220,BM220,CD_CL,CD_M,CD_table)</f>
        <v>4.607135833516212E-2</v>
      </c>
      <c r="BQ220" cm="1">
        <f t="array" ref="BQ220">BP220*S*Linterp(BN$90,atmos_h,atmos_qms)*BM220^2</f>
        <v>6060.9721327377601</v>
      </c>
      <c r="BR220" cm="1">
        <f t="array" ref="BR220">BM220*Linterp(BN$90,atmos_h,atmos_aspeed)</f>
        <v>1449.6091453411573</v>
      </c>
      <c r="BS220" s="162">
        <f t="shared" si="36"/>
        <v>-15404.65619741384</v>
      </c>
      <c r="BU220">
        <v>1.49</v>
      </c>
      <c r="BV220" cm="1">
        <f t="array" ref="BV220">numeng*InterpolateXY(BV$90,BU220,Tmax_h,Tmax_M,Tmax_table)</f>
        <v>3554.6873953404943</v>
      </c>
      <c r="BW220" cm="1">
        <f t="array" ref="BW220">1*BV$91/(S*Linterp(BV$90,atmos_h,atmos_qms)*BU220^2)</f>
        <v>9.6637480310912169E-2</v>
      </c>
      <c r="BX220" cm="1">
        <f t="array" ref="BX220">InterpolateXY(BW220,BU220,CD_CL,CD_M,CD_table)</f>
        <v>4.6633371338472354E-2</v>
      </c>
      <c r="BY220" cm="1">
        <f t="array" ref="BY220">BX220*S*Linterp(BV$90,atmos_h,atmos_qms)*BU220^2</f>
        <v>4825.5988451311659</v>
      </c>
      <c r="BZ220" cm="1">
        <f t="array" ref="BZ220">BU220*Linterp(BV$90,atmos_h,atmos_aspeed)</f>
        <v>1442.4697605279364</v>
      </c>
      <c r="CA220" s="162">
        <f t="shared" si="37"/>
        <v>-10999.508007790577</v>
      </c>
      <c r="CC220">
        <v>1.49</v>
      </c>
      <c r="CD220" cm="1">
        <f t="array" ref="CD220">numeng*InterpolateXY(CD$90,CC220,Tmax_h,Tmax_M,Tmax_table)</f>
        <v>2679.9507510956696</v>
      </c>
      <c r="CE220" cm="1">
        <f t="array" ref="CE220">1*CD$91/(S*Linterp(CD$90,atmos_h,atmos_qms)*CC220^2)</f>
        <v>0.12288944879145924</v>
      </c>
      <c r="CF220" cm="1">
        <f t="array" ref="CF220">InterpolateXY(CE220,CC220,CD_CL,CD_M,CD_table)</f>
        <v>4.859621243870179E-2</v>
      </c>
      <c r="CG220" cm="1">
        <f t="array" ref="CG220">CF220*S*Linterp(CD$90,atmos_h,atmos_qms)*CC220^2</f>
        <v>3954.4658159520691</v>
      </c>
      <c r="CH220" cm="1">
        <f t="array" ref="CH220">CC220*Linterp(CD$90,atmos_h,atmos_aspeed)</f>
        <v>1442.4697605279364</v>
      </c>
      <c r="CI220" s="162">
        <f t="shared" si="38"/>
        <v>-11030.696642355948</v>
      </c>
      <c r="CK220">
        <v>1.49</v>
      </c>
      <c r="CL220" cm="1">
        <f t="array" ref="CL220">numeng*InterpolateXY(CL$90,CK220,Tmax_h,Tmax_M,Tmax_table)</f>
        <v>1925.9961175566405</v>
      </c>
      <c r="CM220" cm="1">
        <f t="array" ref="CM220">1*CL$91/(S*Linterp(CL$90,atmos_h,atmos_qms)*CK220^2)</f>
        <v>0.15627287234395543</v>
      </c>
      <c r="CN220" cm="1">
        <f t="array" ref="CN220">InterpolateXY(CM220,CK220,CD_CL,CD_M,CD_table)</f>
        <v>5.132530731411835E-2</v>
      </c>
      <c r="CO220" cm="1">
        <f t="array" ref="CO220">CN220*S*Linterp(CL$90,atmos_h,atmos_qms)*CK220^2</f>
        <v>3284.3388967185374</v>
      </c>
      <c r="CP220" cm="1">
        <f t="array" ref="CP220">CK220*Linterp(CL$90,atmos_h,atmos_aspeed)</f>
        <v>1442.4697605279364</v>
      </c>
      <c r="CQ220" s="162">
        <f t="shared" si="39"/>
        <v>-11756.21030023508</v>
      </c>
    </row>
    <row r="221" spans="9:95">
      <c r="I221">
        <v>1.5</v>
      </c>
      <c r="J221" cm="1">
        <f t="array" ref="J221">numeng*InterpolateXY(J$90,I221,Tmax_h,Tmax_M,Tmax_table)</f>
        <v>9100</v>
      </c>
      <c r="K221" cm="1">
        <f t="array" ref="K221">1*J$91/(S*Linterp(J$90,atmos_h,atmos_qms)*I221^2)</f>
        <v>1.7648577483621877E-2</v>
      </c>
      <c r="L221" cm="1">
        <f t="array" ref="L221">InterpolateXY(K221,I221,CD_CL,CD_M,CD_table)</f>
        <v>4.4485335880799601E-2</v>
      </c>
      <c r="M221" cm="1">
        <f t="array" ref="M221">L221*S*Linterp(J$90,atmos_h,atmos_qms)*I221^2</f>
        <v>25206.187820000003</v>
      </c>
      <c r="N221" cm="1">
        <f t="array" ref="N221">I221*Linterp(J$90,atmos_h,atmos_aspeed)</f>
        <v>1674.6750000000002</v>
      </c>
      <c r="O221" s="162">
        <f t="shared" si="40"/>
        <v>-161835.78052475106</v>
      </c>
      <c r="Q221">
        <v>1.5</v>
      </c>
      <c r="R221" cm="1">
        <f t="array" ref="R221">numeng*InterpolateXY(R$90,Q221,Tmax_h,Tmax_M,Tmax_table)</f>
        <v>8616.6805346236106</v>
      </c>
      <c r="S221" cm="1">
        <f t="array" ref="S221">1*R$91/(S*Linterp(R$90,atmos_h,atmos_qms)*Q221^2)</f>
        <v>2.1211032489782764E-2</v>
      </c>
      <c r="T221" cm="1">
        <f t="array" ref="T221">InterpolateXY(S221,Q221,CD_CL,CD_M,CD_table)</f>
        <v>4.4583303393469026E-2</v>
      </c>
      <c r="U221" cm="1">
        <f t="array" ref="U221">T221*S*Linterp(R$90,atmos_h,atmos_qms)*Q221^2</f>
        <v>21018.921834637025</v>
      </c>
      <c r="V221" cm="1">
        <f t="array" ref="V221">Q221*Linterp(R$90,atmos_h,atmos_aspeed)</f>
        <v>1645.6386395553727</v>
      </c>
      <c r="W221" s="162">
        <f t="shared" si="30"/>
        <v>-122457.64500234919</v>
      </c>
      <c r="Y221">
        <v>1.5</v>
      </c>
      <c r="Z221" cm="1">
        <f t="array" ref="Z221">numeng*InterpolateXY(Z$90,Y221,Tmax_h,Tmax_M,Tmax_table)</f>
        <v>8049.3785209388898</v>
      </c>
      <c r="AA221" cm="1">
        <f t="array" ref="AA221">1*Z$91/(S*Linterp(Z$90,atmos_h,atmos_qms)*Y221^2)</f>
        <v>2.5663081527073715E-2</v>
      </c>
      <c r="AB221" cm="1">
        <f t="array" ref="AB221">InterpolateXY(AA221,Y221,CD_CL,CD_M,CD_table)</f>
        <v>4.4705734741994525E-2</v>
      </c>
      <c r="AC221" cm="1">
        <f t="array" ref="AC221">AB221*S*Linterp(Z$90,atmos_h,atmos_qms)*Y221^2</f>
        <v>17420.252004745194</v>
      </c>
      <c r="AD221" cm="1">
        <f t="array" ref="AD221">Y221*Linterp(Z$90,atmos_h,atmos_aspeed)</f>
        <v>1616.0806627053971</v>
      </c>
      <c r="AE221" s="162">
        <f t="shared" si="31"/>
        <v>-90864.524579028759</v>
      </c>
      <c r="AG221">
        <v>1.5</v>
      </c>
      <c r="AH221" cm="1">
        <f t="array" ref="AH221">numeng*InterpolateXY(AH$90,AG221,Tmax_h,Tmax_M,Tmax_table)</f>
        <v>7236.1747169297714</v>
      </c>
      <c r="AI221" cm="1">
        <f t="array" ref="AI221">1*AH$91/(S*Linterp(AH$90,atmos_h,atmos_qms)*AG221^2)</f>
        <v>3.1272925382309996E-2</v>
      </c>
      <c r="AJ221" cm="1">
        <f t="array" ref="AJ221">InterpolateXY(AI221,AG221,CD_CL,CD_M,CD_table)</f>
        <v>4.4860005448013524E-2</v>
      </c>
      <c r="AK221" cm="1">
        <f t="array" ref="AK221">AJ221*S*Linterp(AH$90,atmos_h,atmos_qms)*AG221^2</f>
        <v>14344.678311863099</v>
      </c>
      <c r="AL221" cm="1">
        <f t="array" ref="AL221">AG221*Linterp(AH$90,atmos_h,atmos_aspeed)</f>
        <v>1585.9719054078394</v>
      </c>
      <c r="AM221" s="162">
        <f t="shared" si="32"/>
        <v>-67643.321946329306</v>
      </c>
      <c r="AO221">
        <v>1.5</v>
      </c>
      <c r="AP221" cm="1">
        <f t="array" ref="AP221">numeng*InterpolateXY(AP$90,AO221,Tmax_h,Tmax_M,Tmax_table)</f>
        <v>6446.9507101160816</v>
      </c>
      <c r="AQ221" cm="1">
        <f t="array" ref="AQ221">1*AP$91/(S*Linterp(AP$90,atmos_h,atmos_qms)*AO221^2)</f>
        <v>3.8404692461018582E-2</v>
      </c>
      <c r="AR221" cm="1">
        <f t="array" ref="AR221">InterpolateXY(AQ221,AO221,CD_CL,CD_M,CD_table)</f>
        <v>4.5056129042678007E-2</v>
      </c>
      <c r="AS221" cm="1">
        <f t="array" ref="AS221">AR221*S*Linterp(AP$90,atmos_h,atmos_qms)*AO221^2</f>
        <v>11731.933301747109</v>
      </c>
      <c r="AT221" cm="1">
        <f t="array" ref="AT221">AO221*Linterp(AP$90,atmos_h,atmos_aspeed)</f>
        <v>1555.2803802259034</v>
      </c>
      <c r="AU221" s="162">
        <f t="shared" si="33"/>
        <v>-49317.778407595106</v>
      </c>
      <c r="AW221">
        <v>1.5</v>
      </c>
      <c r="AX221" cm="1">
        <f t="array" ref="AX221">numeng*InterpolateXY(AX$90,AW221,Tmax_h,Tmax_M,Tmax_table)</f>
        <v>5691.0418438155075</v>
      </c>
      <c r="AY221" cm="1">
        <f t="array" ref="AY221">1*AX$91/(S*Linterp(AX$90,atmos_h,atmos_qms)*AW221^2)</f>
        <v>4.7558618133339545E-2</v>
      </c>
      <c r="AZ221" cm="1">
        <f t="array" ref="AZ221">InterpolateXY(AY221,AW221,CD_CL,CD_M,CD_table)</f>
        <v>4.5307861998666835E-2</v>
      </c>
      <c r="BA221" cm="1">
        <f t="array" ref="BA221">AZ221*S*Linterp(AX$90,atmos_h,atmos_qms)*AW221^2</f>
        <v>9526.7406364999333</v>
      </c>
      <c r="BB221" cm="1">
        <f t="array" ref="BB221">AW221*Linterp(AX$90,atmos_h,atmos_aspeed)</f>
        <v>1523.9708781627974</v>
      </c>
      <c r="BC221" s="162">
        <f t="shared" si="34"/>
        <v>-35072.959544731602</v>
      </c>
      <c r="BE221">
        <v>1.5</v>
      </c>
      <c r="BF221" cm="1">
        <f t="array" ref="BF221">numeng*InterpolateXY(BF$90,BE221,Tmax_h,Tmax_M,Tmax_table)</f>
        <v>4975.8905810516626</v>
      </c>
      <c r="BG221" cm="1">
        <f t="array" ref="BG221">1*BF$91/(S*Linterp(BF$90,atmos_h,atmos_qms)*BE221^2)</f>
        <v>5.9430739899573051E-2</v>
      </c>
      <c r="BH221" cm="1">
        <f t="array" ref="BH221">InterpolateXY(BG221,BE221,CD_CL,CD_M,CD_table)</f>
        <v>4.5634345347238259E-2</v>
      </c>
      <c r="BI221" cm="1">
        <f t="array" ref="BI221">BH221*S*Linterp(BF$90,atmos_h,atmos_qms)*BE221^2</f>
        <v>7678.5760070212582</v>
      </c>
      <c r="BJ221" cm="1">
        <f t="array" ref="BJ221">BE221*Linterp(BF$90,atmos_h,atmos_aspeed)</f>
        <v>1492.0044952549388</v>
      </c>
      <c r="BK221" s="162">
        <f t="shared" si="35"/>
        <v>-24194.512828839874</v>
      </c>
      <c r="BM221">
        <v>1.5</v>
      </c>
      <c r="BN221" cm="1">
        <f t="array" ref="BN221">numeng*InterpolateXY(BN$90,BM221,Tmax_h,Tmax_M,Tmax_table)</f>
        <v>4307.1973163170424</v>
      </c>
      <c r="BO221" cm="1">
        <f t="array" ref="BO221">1*BN$91/(S*Linterp(BN$90,atmos_h,atmos_qms)*BM221^2)</f>
        <v>7.5003019610901833E-2</v>
      </c>
      <c r="BP221" cm="1">
        <f t="array" ref="BP221">InterpolateXY(BO221,BM221,CD_CL,CD_M,CD_table)</f>
        <v>4.6062583039299797E-2</v>
      </c>
      <c r="BQ221" cm="1">
        <f t="array" ref="BQ221">BP221*S*Linterp(BN$90,atmos_h,atmos_qms)*BM221^2</f>
        <v>6141.4304755010844</v>
      </c>
      <c r="BR221" cm="1">
        <f t="array" ref="BR221">BM221*Linterp(BN$90,atmos_h,atmos_aspeed)</f>
        <v>1459.3380657796883</v>
      </c>
      <c r="BS221" s="162">
        <f t="shared" si="36"/>
        <v>-16060.597624275642</v>
      </c>
      <c r="BU221">
        <v>1.5</v>
      </c>
      <c r="BV221" cm="1">
        <f t="array" ref="BV221">numeng*InterpolateXY(BV$90,BU221,Tmax_h,Tmax_M,Tmax_table)</f>
        <v>3569.4575645732111</v>
      </c>
      <c r="BW221" cm="1">
        <f t="array" ref="BW221">1*BV$91/(S*Linterp(BV$90,atmos_h,atmos_qms)*BU221^2)</f>
        <v>9.5353275572558266E-2</v>
      </c>
      <c r="BX221" cm="1">
        <f t="array" ref="BX221">InterpolateXY(BW221,BU221,CD_CL,CD_M,CD_table)</f>
        <v>4.6622215078245349E-2</v>
      </c>
      <c r="BY221" cm="1">
        <f t="array" ref="BY221">BX221*S*Linterp(BV$90,atmos_h,atmos_qms)*BU221^2</f>
        <v>4889.4193511756785</v>
      </c>
      <c r="BZ221" cm="1">
        <f t="array" ref="BZ221">BU221*Linterp(BV$90,atmos_h,atmos_aspeed)</f>
        <v>1452.1507656321508</v>
      </c>
      <c r="CA221" s="162">
        <f t="shared" si="37"/>
        <v>-11500.701114119727</v>
      </c>
      <c r="CC221">
        <v>1.5</v>
      </c>
      <c r="CD221" cm="1">
        <f t="array" ref="CD221">numeng*InterpolateXY(CD$90,CC221,Tmax_h,Tmax_M,Tmax_table)</f>
        <v>2690.7913493376054</v>
      </c>
      <c r="CE221" cm="1">
        <f t="array" ref="CE221">1*CD$91/(S*Linterp(CD$90,atmos_h,atmos_qms)*CC221^2)</f>
        <v>0.12125638456085273</v>
      </c>
      <c r="CF221" cm="1">
        <f t="array" ref="CF221">InterpolateXY(CE221,CC221,CD_CL,CD_M,CD_table)</f>
        <v>4.8503651726270351E-2</v>
      </c>
      <c r="CG221" cm="1">
        <f t="array" ref="CG221">CF221*S*Linterp(CD$90,atmos_h,atmos_qms)*CC221^2</f>
        <v>4000.09054384503</v>
      </c>
      <c r="CH221" cm="1">
        <f t="array" ref="CH221">CC221*Linterp(CD$90,atmos_h,atmos_aspeed)</f>
        <v>1452.1507656321508</v>
      </c>
      <c r="CI221" s="162">
        <f t="shared" si="38"/>
        <v>-11407.798966473089</v>
      </c>
      <c r="CK221">
        <v>1.5</v>
      </c>
      <c r="CL221" cm="1">
        <f t="array" ref="CL221">numeng*InterpolateXY(CL$90,CK221,Tmax_h,Tmax_M,Tmax_table)</f>
        <v>1933.3030898647908</v>
      </c>
      <c r="CM221" cm="1">
        <f t="array" ref="CM221">1*CL$91/(S*Linterp(CL$90,atmos_h,atmos_qms)*CK221^2)</f>
        <v>0.1541961795070291</v>
      </c>
      <c r="CN221" cm="1">
        <f t="array" ref="CN221">InterpolateXY(CM221,CK221,CD_CL,CD_M,CD_table)</f>
        <v>5.1221184809329898E-2</v>
      </c>
      <c r="CO221" cm="1">
        <f t="array" ref="CO221">CN221*S*Linterp(CL$90,atmos_h,atmos_qms)*CK221^2</f>
        <v>3321.8193195892354</v>
      </c>
      <c r="CP221" cm="1">
        <f t="array" ref="CP221">CK221*Linterp(CL$90,atmos_h,atmos_aspeed)</f>
        <v>1452.1507656321508</v>
      </c>
      <c r="CQ221" s="162">
        <f t="shared" si="39"/>
        <v>-12098.009436522119</v>
      </c>
    </row>
    <row r="222" spans="9:95">
      <c r="I222">
        <v>1.51</v>
      </c>
      <c r="J222" cm="1">
        <f t="array" ref="J222">numeng*InterpolateXY(J$90,I222,Tmax_h,Tmax_M,Tmax_table)</f>
        <v>9124</v>
      </c>
      <c r="K222" cm="1">
        <f t="array" ref="K222">1*J$91/(S*Linterp(J$90,atmos_h,atmos_qms)*I222^2)</f>
        <v>1.7415595516928745E-2</v>
      </c>
      <c r="L222" cm="1">
        <f t="array" ref="L222">InterpolateXY(K222,I222,CD_CL,CD_M,CD_table)</f>
        <v>4.4483282775594775E-2</v>
      </c>
      <c r="M222" cm="1">
        <f t="array" ref="M222">L222*S*Linterp(J$90,atmos_h,atmos_qms)*I222^2</f>
        <v>25542.211710391999</v>
      </c>
      <c r="N222" cm="1">
        <f t="array" ref="N222">I222*Linterp(J$90,atmos_h,atmos_aspeed)</f>
        <v>1685.8395</v>
      </c>
      <c r="O222" s="162">
        <f t="shared" si="40"/>
        <v>-166070.81892444834</v>
      </c>
      <c r="Q222">
        <v>1.51</v>
      </c>
      <c r="R222" cm="1">
        <f t="array" ref="R222">numeng*InterpolateXY(R$90,Q222,Tmax_h,Tmax_M,Tmax_table)</f>
        <v>8642.530576227482</v>
      </c>
      <c r="S222" cm="1">
        <f t="array" ref="S222">1*R$91/(S*Linterp(R$90,atmos_h,atmos_qms)*Q222^2)</f>
        <v>2.0931021929744845E-2</v>
      </c>
      <c r="T222" cm="1">
        <f t="array" ref="T222">InterpolateXY(S222,Q222,CD_CL,CD_M,CD_table)</f>
        <v>4.4580835858550417E-2</v>
      </c>
      <c r="U222" cm="1">
        <f t="array" ref="U222">T222*S*Linterp(R$90,atmos_h,atmos_qms)*Q222^2</f>
        <v>21298.92941118039</v>
      </c>
      <c r="V222" cm="1">
        <f t="array" ref="V222">Q222*Linterp(R$90,atmos_h,atmos_aspeed)</f>
        <v>1656.609563819075</v>
      </c>
      <c r="W222" s="162">
        <f t="shared" ref="W222:W231" si="41">(R222-U222)*V222*(60/1)/R$91</f>
        <v>-125800.26812094951</v>
      </c>
      <c r="Y222">
        <v>1.51</v>
      </c>
      <c r="Z222" cm="1">
        <f t="array" ref="Z222">numeng*InterpolateXY(Z$90,Y222,Tmax_h,Tmax_M,Tmax_table)</f>
        <v>8075.963624310798</v>
      </c>
      <c r="AA222" cm="1">
        <f t="array" ref="AA222">1*Z$91/(S*Linterp(Z$90,atmos_h,atmos_qms)*Y222^2)</f>
        <v>2.5324298686862794E-2</v>
      </c>
      <c r="AB222" cm="1">
        <f t="array" ref="AB222">InterpolateXY(AA222,Y222,CD_CL,CD_M,CD_table)</f>
        <v>4.4702749288560446E-2</v>
      </c>
      <c r="AC222" cm="1">
        <f t="array" ref="AC222">AB222*S*Linterp(Z$90,atmos_h,atmos_qms)*Y222^2</f>
        <v>17652.117376008679</v>
      </c>
      <c r="AD222" cm="1">
        <f t="array" ref="AD222">Y222*Linterp(Z$90,atmos_h,atmos_aspeed)</f>
        <v>1626.8545337900998</v>
      </c>
      <c r="AE222" s="162">
        <f t="shared" ref="AE222:AE231" si="42">(Z222-AC222)*AD222*(60/1)/Z$91</f>
        <v>-93474.054883324628</v>
      </c>
      <c r="AG222">
        <v>1.51</v>
      </c>
      <c r="AH222" cm="1">
        <f t="array" ref="AH222">numeng*InterpolateXY(AH$90,AG222,Tmax_h,Tmax_M,Tmax_table)</f>
        <v>7261.3440202930051</v>
      </c>
      <c r="AI222" cm="1">
        <f t="array" ref="AI222">1*AH$91/(S*Linterp(AH$90,atmos_h,atmos_qms)*AG222^2)</f>
        <v>3.0860086009472168E-2</v>
      </c>
      <c r="AJ222" cm="1">
        <f t="array" ref="AJ222">InterpolateXY(AI222,AG222,CD_CL,CD_M,CD_table)</f>
        <v>4.4856367386762852E-2</v>
      </c>
      <c r="AK222" cm="1">
        <f t="array" ref="AK222">AJ222*S*Linterp(AH$90,atmos_h,atmos_qms)*AG222^2</f>
        <v>14535.399341724024</v>
      </c>
      <c r="AL222" cm="1">
        <f t="array" ref="AL222">AG222*Linterp(AH$90,atmos_h,atmos_aspeed)</f>
        <v>1596.5450514438917</v>
      </c>
      <c r="AM222" s="162">
        <f t="shared" ref="AM222:AM231" si="43">(AH222-AK222)*AL222*(60/1)/AH$91</f>
        <v>-69680.142164158795</v>
      </c>
      <c r="AO222">
        <v>1.51</v>
      </c>
      <c r="AP222" cm="1">
        <f t="array" ref="AP222">numeng*InterpolateXY(AP$90,AO222,Tmax_h,Tmax_M,Tmax_table)</f>
        <v>6470.3941672437768</v>
      </c>
      <c r="AQ222" cm="1">
        <f t="array" ref="AQ222">1*AP$91/(S*Linterp(AP$90,atmos_h,atmos_qms)*AO222^2)</f>
        <v>3.7897705380155175E-2</v>
      </c>
      <c r="AR222" cm="1">
        <f t="array" ref="AR222">InterpolateXY(AQ222,AO222,CD_CL,CD_M,CD_table)</f>
        <v>4.5051661324299302E-2</v>
      </c>
      <c r="AS222" cm="1">
        <f t="array" ref="AS222">AR222*S*Linterp(AP$90,atmos_h,atmos_qms)*AO222^2</f>
        <v>11887.701609472704</v>
      </c>
      <c r="AT222" cm="1">
        <f t="array" ref="AT222">AO222*Linterp(AP$90,atmos_h,atmos_aspeed)</f>
        <v>1565.6489160940762</v>
      </c>
      <c r="AU222" s="162">
        <f t="shared" ref="AU222:AU231" si="44">(AP222-AS222)*AT222*(60/1)/AP$91</f>
        <v>-50889.609150444558</v>
      </c>
      <c r="AW222">
        <v>1.51</v>
      </c>
      <c r="AX222" cm="1">
        <f t="array" ref="AX222">numeng*InterpolateXY(AX$90,AW222,Tmax_h,Tmax_M,Tmax_table)</f>
        <v>5712.5512933039445</v>
      </c>
      <c r="AY222" cm="1">
        <f t="array" ref="AY222">1*AX$91/(S*Linterp(AX$90,atmos_h,atmos_qms)*AW222^2)</f>
        <v>4.693078847419585E-2</v>
      </c>
      <c r="AZ222" cm="1">
        <f t="array" ref="AZ222">InterpolateXY(AY222,AW222,CD_CL,CD_M,CD_table)</f>
        <v>4.5302329380158934E-2</v>
      </c>
      <c r="BA222" cm="1">
        <f t="array" ref="BA222">AZ222*S*Linterp(AX$90,atmos_h,atmos_qms)*AW222^2</f>
        <v>9653.0083667926665</v>
      </c>
      <c r="BB222" cm="1">
        <f t="array" ref="BB222">AW222*Linterp(AX$90,atmos_h,atmos_aspeed)</f>
        <v>1534.1306840172158</v>
      </c>
      <c r="BC222" s="162">
        <f t="shared" ref="BC222:BC231" si="45">(AX222-BA222)*BB222*(60/1)/AX$91</f>
        <v>-36271.056632950378</v>
      </c>
      <c r="BE222">
        <v>1.51</v>
      </c>
      <c r="BF222" cm="1">
        <f t="array" ref="BF222">numeng*InterpolateXY(BF$90,BE222,Tmax_h,Tmax_M,Tmax_table)</f>
        <v>4995.3451908422403</v>
      </c>
      <c r="BG222" cm="1">
        <f t="array" ref="BG222">1*BF$91/(S*Linterp(BF$90,atmos_h,atmos_qms)*BE222^2)</f>
        <v>5.8646184278776964E-2</v>
      </c>
      <c r="BH222" cm="1">
        <f t="array" ref="BH222">InterpolateXY(BG222,BE222,CD_CL,CD_M,CD_table)</f>
        <v>4.5627431613736058E-2</v>
      </c>
      <c r="BI222" cm="1">
        <f t="array" ref="BI222">BH222*S*Linterp(BF$90,atmos_h,atmos_qms)*BE222^2</f>
        <v>7780.1194016040745</v>
      </c>
      <c r="BJ222" cm="1">
        <f t="array" ref="BJ222">BE222*Linterp(BF$90,atmos_h,atmos_aspeed)</f>
        <v>1501.9511918899718</v>
      </c>
      <c r="BK222" s="162">
        <f t="shared" ref="BK222:BK231" si="46">(BF222-BI222)*BJ222*(60/1)/BF$91</f>
        <v>-25095.569669989156</v>
      </c>
      <c r="BM222">
        <v>1.51</v>
      </c>
      <c r="BN222" cm="1">
        <f t="array" ref="BN222">numeng*InterpolateXY(BN$90,BM222,Tmax_h,Tmax_M,Tmax_table)</f>
        <v>4324.5500537065209</v>
      </c>
      <c r="BO222" cm="1">
        <f t="array" ref="BO222">1*BN$91/(S*Linterp(BN$90,atmos_h,atmos_qms)*BM222^2)</f>
        <v>7.4012891594460367E-2</v>
      </c>
      <c r="BP222" cm="1">
        <f t="array" ref="BP222">InterpolateXY(BO222,BM222,CD_CL,CD_M,CD_table)</f>
        <v>4.6053857741746272E-2</v>
      </c>
      <c r="BQ222" cm="1">
        <f t="array" ref="BQ222">BP222*S*Linterp(BN$90,atmos_h,atmos_qms)*BM222^2</f>
        <v>6222.410278751122</v>
      </c>
      <c r="BR222" cm="1">
        <f t="array" ref="BR222">BM222*Linterp(BN$90,atmos_h,atmos_aspeed)</f>
        <v>1469.0669862182197</v>
      </c>
      <c r="BS222" s="162">
        <f t="shared" ref="BS222:BS231" si="47">(BN222-BQ222)*BR222*(60/1)/BN$91</f>
        <v>-16728.502806418226</v>
      </c>
      <c r="BU222">
        <v>1.51</v>
      </c>
      <c r="BV222" cm="1">
        <f t="array" ref="BV222">numeng*InterpolateXY(BV$90,BU222,Tmax_h,Tmax_M,Tmax_table)</f>
        <v>3584.227733805928</v>
      </c>
      <c r="BW222" cm="1">
        <f t="array" ref="BW222">1*BV$91/(S*Linterp(BV$90,atmos_h,atmos_qms)*BU222^2)</f>
        <v>9.4094500257995747E-2</v>
      </c>
      <c r="BX222" cm="1">
        <f t="array" ref="BX222">InterpolateXY(BW222,BU222,CD_CL,CD_M,CD_table)</f>
        <v>4.6611122382159378E-2</v>
      </c>
      <c r="BY222" cm="1">
        <f t="array" ref="BY222">BX222*S*Linterp(BV$90,atmos_h,atmos_qms)*BU222^2</f>
        <v>4953.6500278291842</v>
      </c>
      <c r="BZ222" cm="1">
        <f t="array" ref="BZ222">BU222*Linterp(BV$90,atmos_h,atmos_aspeed)</f>
        <v>1461.8317707363651</v>
      </c>
      <c r="CA222" s="162">
        <f t="shared" ref="CA222:CA231" si="48">(BV222-BY222)*BZ222*(60/1)/BV$91</f>
        <v>-12011.190101747232</v>
      </c>
      <c r="CC222">
        <v>1.51</v>
      </c>
      <c r="CD222" cm="1">
        <f t="array" ref="CD222">numeng*InterpolateXY(CD$90,CC222,Tmax_h,Tmax_M,Tmax_table)</f>
        <v>2701.6319475795412</v>
      </c>
      <c r="CE222" cm="1">
        <f t="array" ref="CE222">1*CD$91/(S*Linterp(CD$90,atmos_h,atmos_qms)*CC222^2)</f>
        <v>0.119655657761466</v>
      </c>
      <c r="CF222" cm="1">
        <f t="array" ref="CF222">InterpolateXY(CE222,CC222,CD_CL,CD_M,CD_table)</f>
        <v>4.8411333508642046E-2</v>
      </c>
      <c r="CG222" cm="1">
        <f t="array" ref="CG222">CF222*S*Linterp(CD$90,atmos_h,atmos_qms)*CC222^2</f>
        <v>4045.8875421628804</v>
      </c>
      <c r="CH222" cm="1">
        <f t="array" ref="CH222">CC222*Linterp(CD$90,atmos_h,atmos_aspeed)</f>
        <v>1461.8317707363651</v>
      </c>
      <c r="CI222" s="162">
        <f t="shared" ref="CI222:CI231" si="49">(CD222-CG222)*CH222*(60/1)/CD$91</f>
        <v>-11790.453216912169</v>
      </c>
      <c r="CK222">
        <v>1.51</v>
      </c>
      <c r="CL222" cm="1">
        <f t="array" ref="CL222">numeng*InterpolateXY(CL$90,CK222,Tmax_h,Tmax_M,Tmax_table)</f>
        <v>1940.6100621729411</v>
      </c>
      <c r="CM222" cm="1">
        <f t="array" ref="CM222">1*CL$91/(S*Linterp(CL$90,atmos_h,atmos_qms)*CK222^2)</f>
        <v>0.1521606086973446</v>
      </c>
      <c r="CN222" cm="1">
        <f t="array" ref="CN222">InterpolateXY(CM222,CK222,CD_CL,CD_M,CD_table)</f>
        <v>5.111737067405394E-2</v>
      </c>
      <c r="CO222" cm="1">
        <f t="array" ref="CO222">CN222*S*Linterp(CL$90,atmos_h,atmos_qms)*CK222^2</f>
        <v>3359.4352120218614</v>
      </c>
      <c r="CP222" cm="1">
        <f t="array" ref="CP222">CK222*Linterp(CL$90,atmos_h,atmos_aspeed)</f>
        <v>1461.8317707363651</v>
      </c>
      <c r="CQ222" s="162">
        <f t="shared" ref="CQ222:CQ231" si="50">(CL222-CO222)*CP222*(60/1)/CL$91</f>
        <v>-12444.502087013614</v>
      </c>
    </row>
    <row r="223" spans="9:95">
      <c r="I223">
        <v>1.52</v>
      </c>
      <c r="J223" cm="1">
        <f t="array" ref="J223">numeng*InterpolateXY(J$90,I223,Tmax_h,Tmax_M,Tmax_table)</f>
        <v>9148</v>
      </c>
      <c r="K223" cm="1">
        <f t="array" ref="K223">1*J$91/(S*Linterp(J$90,atmos_h,atmos_qms)*I223^2)</f>
        <v>1.7187196735694785E-2</v>
      </c>
      <c r="L223" cm="1">
        <f t="array" ref="L223">InterpolateXY(K223,I223,CD_CL,CD_M,CD_table)</f>
        <v>4.4481241508599452E-2</v>
      </c>
      <c r="M223" cm="1">
        <f t="array" ref="M223">L223*S*Linterp(J$90,atmos_h,atmos_qms)*I223^2</f>
        <v>25880.451706367996</v>
      </c>
      <c r="N223" cm="1">
        <f t="array" ref="N223">I223*Linterp(J$90,atmos_h,atmos_aspeed)</f>
        <v>1697.0040000000001</v>
      </c>
      <c r="O223" s="162">
        <f t="shared" si="40"/>
        <v>-170370.22485307988</v>
      </c>
      <c r="Q223">
        <v>1.52</v>
      </c>
      <c r="R223" cm="1">
        <f t="array" ref="R223">numeng*InterpolateXY(R$90,Q223,Tmax_h,Tmax_M,Tmax_table)</f>
        <v>8668.3806178313516</v>
      </c>
      <c r="S223" cm="1">
        <f t="array" ref="S223">1*R$91/(S*Linterp(R$90,atmos_h,atmos_qms)*Q223^2)</f>
        <v>2.0656519694430064E-2</v>
      </c>
      <c r="T223" cm="1">
        <f t="array" ref="T223">InterpolateXY(S223,Q223,CD_CL,CD_M,CD_table)</f>
        <v>4.4578382551444043E-2</v>
      </c>
      <c r="U223" cm="1">
        <f t="array" ref="U223">T223*S*Linterp(R$90,atmos_h,atmos_qms)*Q223^2</f>
        <v>21580.780891886836</v>
      </c>
      <c r="V223" cm="1">
        <f t="array" ref="V223">Q223*Linterp(R$90,atmos_h,atmos_aspeed)</f>
        <v>1667.5804880827775</v>
      </c>
      <c r="W223" s="162">
        <f t="shared" si="41"/>
        <v>-129194.80050797779</v>
      </c>
      <c r="Y223">
        <v>1.52</v>
      </c>
      <c r="Z223" cm="1">
        <f t="array" ref="Z223">numeng*InterpolateXY(Z$90,Y223,Tmax_h,Tmax_M,Tmax_table)</f>
        <v>8102.5487276827062</v>
      </c>
      <c r="AA223" cm="1">
        <f t="array" ref="AA223">1*Z$91/(S*Linterp(Z$90,atmos_h,atmos_qms)*Y223^2)</f>
        <v>2.4992180330642252E-2</v>
      </c>
      <c r="AB223" cm="1">
        <f t="array" ref="AB223">InterpolateXY(AA223,Y223,CD_CL,CD_M,CD_table)</f>
        <v>4.4699781049257981E-2</v>
      </c>
      <c r="AC223" cm="1">
        <f t="array" ref="AC223">AB223*S*Linterp(Z$90,atmos_h,atmos_qms)*Y223^2</f>
        <v>17885.506769672575</v>
      </c>
      <c r="AD223" cm="1">
        <f t="array" ref="AD223">Y223*Linterp(Z$90,atmos_h,atmos_aspeed)</f>
        <v>1637.6284048748025</v>
      </c>
      <c r="AE223" s="162">
        <f t="shared" si="42"/>
        <v>-96125.099839565926</v>
      </c>
      <c r="AG223">
        <v>1.52</v>
      </c>
      <c r="AH223" cm="1">
        <f t="array" ref="AH223">numeng*InterpolateXY(AH$90,AG223,Tmax_h,Tmax_M,Tmax_table)</f>
        <v>7286.5133236562397</v>
      </c>
      <c r="AI223" cm="1">
        <f t="array" ref="AI223">1*AH$91/(S*Linterp(AH$90,atmos_h,atmos_qms)*AG223^2)</f>
        <v>3.0455367949358332E-2</v>
      </c>
      <c r="AJ223" cm="1">
        <f t="array" ref="AJ223">InterpolateXY(AI223,AG223,CD_CL,CD_M,CD_table)</f>
        <v>4.4852750302582033E-2</v>
      </c>
      <c r="AK223" cm="1">
        <f t="array" ref="AK223">AJ223*S*Linterp(AH$90,atmos_h,atmos_qms)*AG223^2</f>
        <v>14727.371009657114</v>
      </c>
      <c r="AL223" cm="1">
        <f t="array" ref="AL223">AG223*Linterp(AH$90,atmos_h,atmos_aspeed)</f>
        <v>1607.118197479944</v>
      </c>
      <c r="AM223" s="162">
        <f t="shared" si="43"/>
        <v>-71750.026752183068</v>
      </c>
      <c r="AO223">
        <v>1.52</v>
      </c>
      <c r="AP223" cm="1">
        <f t="array" ref="AP223">numeng*InterpolateXY(AP$90,AO223,Tmax_h,Tmax_M,Tmax_table)</f>
        <v>6493.8376243714711</v>
      </c>
      <c r="AQ223" cm="1">
        <f t="array" ref="AQ223">1*AP$91/(S*Linterp(AP$90,atmos_h,atmos_qms)*AO223^2)</f>
        <v>3.7400691671265501E-2</v>
      </c>
      <c r="AR223" cm="1">
        <f t="array" ref="AR223">InterpolateXY(AQ223,AO223,CD_CL,CD_M,CD_table)</f>
        <v>4.5047219366795434E-2</v>
      </c>
      <c r="AS223" cm="1">
        <f t="array" ref="AS223">AR223*S*Linterp(AP$90,atmos_h,atmos_qms)*AO223^2</f>
        <v>12044.488311269566</v>
      </c>
      <c r="AT223" cm="1">
        <f t="array" ref="AT223">AO223*Linterp(AP$90,atmos_h,atmos_aspeed)</f>
        <v>1576.0174519622487</v>
      </c>
      <c r="AU223" s="162">
        <f t="shared" si="44"/>
        <v>-52487.534113785849</v>
      </c>
      <c r="AW223">
        <v>1.52</v>
      </c>
      <c r="AX223" cm="1">
        <f t="array" ref="AX223">numeng*InterpolateXY(AX$90,AW223,Tmax_h,Tmax_M,Tmax_table)</f>
        <v>5734.0607427923806</v>
      </c>
      <c r="AY223" cm="1">
        <f t="array" ref="AY223">1*AX$91/(S*Linterp(AX$90,atmos_h,atmos_qms)*AW223^2)</f>
        <v>4.6315309383662552E-2</v>
      </c>
      <c r="AZ223" cm="1">
        <f t="array" ref="AZ223">InterpolateXY(AY223,AW223,CD_CL,CD_M,CD_table)</f>
        <v>4.5296828662742553E-2</v>
      </c>
      <c r="BA223" cm="1">
        <f t="array" ref="BA223">AZ223*S*Linterp(AX$90,atmos_h,atmos_qms)*AW223^2</f>
        <v>9780.098474030865</v>
      </c>
      <c r="BB223" cm="1">
        <f t="array" ref="BB223">AW223*Linterp(AX$90,atmos_h,atmos_aspeed)</f>
        <v>1544.2904898716345</v>
      </c>
      <c r="BC223" s="162">
        <f t="shared" si="45"/>
        <v>-37489.545540080377</v>
      </c>
      <c r="BE223">
        <v>1.52</v>
      </c>
      <c r="BF223" cm="1">
        <f t="array" ref="BF223">numeng*InterpolateXY(BF$90,BE223,Tmax_h,Tmax_M,Tmax_table)</f>
        <v>5014.7998006328189</v>
      </c>
      <c r="BG223" cm="1">
        <f t="array" ref="BG223">1*BF$91/(S*Linterp(BF$90,atmos_h,atmos_qms)*BE223^2)</f>
        <v>5.787706231563338E-2</v>
      </c>
      <c r="BH223" cm="1">
        <f t="array" ref="BH223">InterpolateXY(BG223,BE223,CD_CL,CD_M,CD_table)</f>
        <v>4.5620557744837732E-2</v>
      </c>
      <c r="BI223" cm="1">
        <f t="array" ref="BI223">BH223*S*Linterp(BF$90,atmos_h,atmos_qms)*BE223^2</f>
        <v>7882.3208918319624</v>
      </c>
      <c r="BJ223" cm="1">
        <f t="array" ref="BJ223">BE223*Linterp(BF$90,atmos_h,atmos_aspeed)</f>
        <v>1511.8978885250046</v>
      </c>
      <c r="BK223" s="162">
        <f t="shared" si="46"/>
        <v>-26012.394498509417</v>
      </c>
      <c r="BM223">
        <v>1.52</v>
      </c>
      <c r="BN223" cm="1">
        <f t="array" ref="BN223">numeng*InterpolateXY(BN$90,BM223,Tmax_h,Tmax_M,Tmax_table)</f>
        <v>4341.9027910960003</v>
      </c>
      <c r="BO223" cm="1">
        <f t="array" ref="BO223">1*BN$91/(S*Linterp(BN$90,atmos_h,atmos_qms)*BM223^2)</f>
        <v>7.304224122425948E-2</v>
      </c>
      <c r="BP223" cm="1">
        <f t="array" ref="BP223">InterpolateXY(BO223,BM223,CD_CL,CD_M,CD_table)</f>
        <v>4.6045182754279261E-2</v>
      </c>
      <c r="BQ223" cm="1">
        <f t="array" ref="BQ223">BP223*S*Linterp(BN$90,atmos_h,atmos_qms)*BM223^2</f>
        <v>6303.9115424878692</v>
      </c>
      <c r="BR223" cm="1">
        <f t="array" ref="BR223">BM223*Linterp(BN$90,atmos_h,atmos_aspeed)</f>
        <v>1478.795906656751</v>
      </c>
      <c r="BS223" s="162">
        <f t="shared" si="47"/>
        <v>-17408.463062298113</v>
      </c>
      <c r="BU223">
        <v>1.52</v>
      </c>
      <c r="BV223" cm="1">
        <f t="array" ref="BV223">numeng*InterpolateXY(BV$90,BU223,Tmax_h,Tmax_M,Tmax_table)</f>
        <v>3598.9979030386444</v>
      </c>
      <c r="BW223" cm="1">
        <f t="array" ref="BW223">1*BV$91/(S*Linterp(BV$90,atmos_h,atmos_qms)*BU223^2)</f>
        <v>9.2860487378054052E-2</v>
      </c>
      <c r="BX223" cm="1">
        <f t="array" ref="BX223">InterpolateXY(BW223,BU223,CD_CL,CD_M,CD_table)</f>
        <v>4.6600093646585516E-2</v>
      </c>
      <c r="BY223" cm="1">
        <f t="array" ref="BY223">BX223*S*Linterp(BV$90,atmos_h,atmos_qms)*BU223^2</f>
        <v>5018.290875091684</v>
      </c>
      <c r="BZ223" cm="1">
        <f t="array" ref="BZ223">BU223*Linterp(BV$90,atmos_h,atmos_aspeed)</f>
        <v>1471.5127758405795</v>
      </c>
      <c r="CA223" s="162">
        <f t="shared" si="48"/>
        <v>-12531.046446220766</v>
      </c>
      <c r="CC223">
        <v>1.52</v>
      </c>
      <c r="CD223" cm="1">
        <f t="array" ref="CD223">numeng*InterpolateXY(CD$90,CC223,Tmax_h,Tmax_M,Tmax_table)</f>
        <v>2712.4725458214766</v>
      </c>
      <c r="CE223" cm="1">
        <f t="array" ref="CE223">1*CD$91/(S*Linterp(CD$90,atmos_h,atmos_qms)*CC223^2)</f>
        <v>0.11808642021378059</v>
      </c>
      <c r="CF223" cm="1">
        <f t="array" ref="CF223">InterpolateXY(CE223,CC223,CD_CL,CD_M,CD_table)</f>
        <v>4.8319259297957572E-2</v>
      </c>
      <c r="CG223" cm="1">
        <f t="array" ref="CG223">CF223*S*Linterp(CD$90,atmos_h,atmos_qms)*CC223^2</f>
        <v>4091.8557113071633</v>
      </c>
      <c r="CH223" cm="1">
        <f t="array" ref="CH223">CC223*Linterp(CD$90,atmos_h,atmos_aspeed)</f>
        <v>1471.5127758405795</v>
      </c>
      <c r="CI223" s="162">
        <f t="shared" si="49"/>
        <v>-12178.679704749649</v>
      </c>
      <c r="CK223">
        <v>1.52</v>
      </c>
      <c r="CL223" cm="1">
        <f t="array" ref="CL223">numeng*InterpolateXY(CL$90,CK223,Tmax_h,Tmax_M,Tmax_table)</f>
        <v>1947.9170344810916</v>
      </c>
      <c r="CM223" cm="1">
        <f t="array" ref="CM223">1*CL$91/(S*Linterp(CL$90,atmos_h,atmos_qms)*CK223^2)</f>
        <v>0.15016508132393327</v>
      </c>
      <c r="CN223" cm="1">
        <f t="array" ref="CN223">InterpolateXY(CM223,CK223,CD_CL,CD_M,CD_table)</f>
        <v>5.1013866831210397E-2</v>
      </c>
      <c r="CO223" cm="1">
        <f t="array" ref="CO223">CN223*S*Linterp(CL$90,atmos_h,atmos_qms)*CK223^2</f>
        <v>3397.1857093170843</v>
      </c>
      <c r="CP223" cm="1">
        <f t="array" ref="CP223">CK223*Linterp(CL$90,atmos_h,atmos_aspeed)</f>
        <v>1471.5127758405795</v>
      </c>
      <c r="CQ223" s="162">
        <f t="shared" si="50"/>
        <v>-12795.704223880259</v>
      </c>
    </row>
    <row r="224" spans="9:95">
      <c r="I224">
        <v>1.53</v>
      </c>
      <c r="J224" cm="1">
        <f t="array" ref="J224">numeng*InterpolateXY(J$90,I224,Tmax_h,Tmax_M,Tmax_table)</f>
        <v>9172</v>
      </c>
      <c r="K224" cm="1">
        <f t="array" ref="K224">1*J$91/(S*Linterp(J$90,atmos_h,atmos_qms)*I224^2)</f>
        <v>1.6963261710516989E-2</v>
      </c>
      <c r="L224" cm="1">
        <f t="array" ref="L224">InterpolateXY(K224,I224,CD_CL,CD_M,CD_table)</f>
        <v>4.4479212143322101E-2</v>
      </c>
      <c r="M224" cm="1">
        <f t="array" ref="M224">L224*S*Linterp(J$90,atmos_h,atmos_qms)*I224^2</f>
        <v>26220.907807928001</v>
      </c>
      <c r="N224" cm="1">
        <f t="array" ref="N224">I224*Linterp(J$90,atmos_h,atmos_aspeed)</f>
        <v>1708.1685</v>
      </c>
      <c r="O224" s="162">
        <f t="shared" si="40"/>
        <v>-174734.44366143996</v>
      </c>
      <c r="Q224">
        <v>1.53</v>
      </c>
      <c r="R224" cm="1">
        <f t="array" ref="R224">numeng*InterpolateXY(R$90,Q224,Tmax_h,Tmax_M,Tmax_table)</f>
        <v>8694.2306594352231</v>
      </c>
      <c r="S224" cm="1">
        <f t="array" ref="S224">1*R$91/(S*Linterp(R$90,atmos_h,atmos_qms)*Q224^2)</f>
        <v>2.0387382247003809E-2</v>
      </c>
      <c r="T224" cm="1">
        <f t="array" ref="T224">InterpolateXY(S224,Q224,CD_CL,CD_M,CD_table)</f>
        <v>4.4575943548477853E-2</v>
      </c>
      <c r="U224" cm="1">
        <f t="array" ref="U224">T224*S*Linterp(R$90,atmos_h,atmos_qms)*Q224^2</f>
        <v>21864.476276756359</v>
      </c>
      <c r="V224" cm="1">
        <f t="array" ref="V224">Q224*Linterp(R$90,atmos_h,atmos_aspeed)</f>
        <v>1678.55141234648</v>
      </c>
      <c r="W224" s="162">
        <f t="shared" si="41"/>
        <v>-132641.60629142658</v>
      </c>
      <c r="Y224">
        <v>1.53</v>
      </c>
      <c r="Z224" cm="1">
        <f t="array" ref="Z224">numeng*InterpolateXY(Z$90,Y224,Tmax_h,Tmax_M,Tmax_table)</f>
        <v>8129.1338310546143</v>
      </c>
      <c r="AA224" cm="1">
        <f t="array" ref="AA224">1*Z$91/(S*Linterp(Z$90,atmos_h,atmos_qms)*Y224^2)</f>
        <v>2.4666552794188501E-2</v>
      </c>
      <c r="AB224" cm="1">
        <f t="array" ref="AB224">InterpolateXY(AA224,Y224,CD_CL,CD_M,CD_table)</f>
        <v>4.4696830116435819E-2</v>
      </c>
      <c r="AC224" cm="1">
        <f t="array" ref="AC224">AB224*S*Linterp(Z$90,atmos_h,atmos_qms)*Y224^2</f>
        <v>18120.420185736901</v>
      </c>
      <c r="AD224" cm="1">
        <f t="array" ref="AD224">Y224*Linterp(Z$90,atmos_h,atmos_aspeed)</f>
        <v>1648.4022759595052</v>
      </c>
      <c r="AE224" s="162">
        <f t="shared" si="42"/>
        <v>-98817.955000928574</v>
      </c>
      <c r="AG224">
        <v>1.53</v>
      </c>
      <c r="AH224" cm="1">
        <f t="array" ref="AH224">numeng*InterpolateXY(AH$90,AG224,Tmax_h,Tmax_M,Tmax_table)</f>
        <v>7311.6826270194733</v>
      </c>
      <c r="AI224" cm="1">
        <f t="array" ref="AI224">1*AH$91/(S*Linterp(AH$90,atmos_h,atmos_qms)*AG224^2)</f>
        <v>3.0058559575461358E-2</v>
      </c>
      <c r="AJ224" cm="1">
        <f t="array" ref="AJ224">InterpolateXY(AI224,AG224,CD_CL,CD_M,CD_table)</f>
        <v>4.4849154308006782E-2</v>
      </c>
      <c r="AK224" cm="1">
        <f t="array" ref="AK224">AJ224*S*Linterp(AH$90,atmos_h,atmos_qms)*AG224^2</f>
        <v>14920.593315662371</v>
      </c>
      <c r="AL224" cm="1">
        <f t="array" ref="AL224">AG224*Linterp(AH$90,atmos_h,atmos_aspeed)</f>
        <v>1617.6913435159961</v>
      </c>
      <c r="AM224" s="162">
        <f t="shared" si="43"/>
        <v>-73853.213727623719</v>
      </c>
      <c r="AO224">
        <v>1.53</v>
      </c>
      <c r="AP224" cm="1">
        <f t="array" ref="AP224">numeng*InterpolateXY(AP$90,AO224,Tmax_h,Tmax_M,Tmax_table)</f>
        <v>6517.2810814991662</v>
      </c>
      <c r="AQ224" cm="1">
        <f t="array" ref="AQ224">1*AP$91/(S*Linterp(AP$90,atmos_h,atmos_qms)*AO224^2)</f>
        <v>3.6913391446576876E-2</v>
      </c>
      <c r="AR224" cm="1">
        <f t="array" ref="AR224">InterpolateXY(AQ224,AO224,CD_CL,CD_M,CD_table)</f>
        <v>4.5042803308365797E-2</v>
      </c>
      <c r="AS224" cm="1">
        <f t="array" ref="AS224">AR224*S*Linterp(AP$90,atmos_h,atmos_qms)*AO224^2</f>
        <v>12202.293407137695</v>
      </c>
      <c r="AT224" cm="1">
        <f t="array" ref="AT224">AO224*Linterp(AP$90,atmos_h,atmos_aspeed)</f>
        <v>1586.3859878304215</v>
      </c>
      <c r="AU224" s="162">
        <f t="shared" si="44"/>
        <v>-54111.743364217196</v>
      </c>
      <c r="AW224">
        <v>1.53</v>
      </c>
      <c r="AX224" cm="1">
        <f t="array" ref="AX224">numeng*InterpolateXY(AX$90,AW224,Tmax_h,Tmax_M,Tmax_table)</f>
        <v>5755.5701922808166</v>
      </c>
      <c r="AY224" cm="1">
        <f t="array" ref="AY224">1*AX$91/(S*Linterp(AX$90,atmos_h,atmos_qms)*AW224^2)</f>
        <v>4.5711859028584718E-2</v>
      </c>
      <c r="AZ224" cm="1">
        <f t="array" ref="AZ224">InterpolateXY(AY224,AW224,CD_CL,CD_M,CD_table)</f>
        <v>4.5291360017557514E-2</v>
      </c>
      <c r="BA224" cm="1">
        <f t="array" ref="BA224">AZ224*S*Linterp(AX$90,atmos_h,atmos_qms)*AW224^2</f>
        <v>9908.0109582145305</v>
      </c>
      <c r="BB224" cm="1">
        <f t="array" ref="BB224">AW224*Linterp(AX$90,atmos_h,atmos_aspeed)</f>
        <v>1554.4502957260531</v>
      </c>
      <c r="BC224" s="162">
        <f t="shared" si="45"/>
        <v>-38728.576659543476</v>
      </c>
      <c r="BE224">
        <v>1.53</v>
      </c>
      <c r="BF224" cm="1">
        <f t="array" ref="BF224">numeng*InterpolateXY(BF$90,BE224,Tmax_h,Tmax_M,Tmax_table)</f>
        <v>5034.2544104233966</v>
      </c>
      <c r="BG224" cm="1">
        <f t="array" ref="BG224">1*BF$91/(S*Linterp(BF$90,atmos_h,atmos_qms)*BE224^2)</f>
        <v>5.7122971837344334E-2</v>
      </c>
      <c r="BH224" cm="1">
        <f t="array" ref="BH224">InterpolateXY(BG224,BE224,CD_CL,CD_M,CD_table)</f>
        <v>4.5613723954404974E-2</v>
      </c>
      <c r="BI224" cm="1">
        <f t="array" ref="BI224">BH224*S*Linterp(BF$90,atmos_h,atmos_qms)*BE224^2</f>
        <v>7985.1804777049174</v>
      </c>
      <c r="BJ224" cm="1">
        <f t="array" ref="BJ224">BE224*Linterp(BF$90,atmos_h,atmos_aspeed)</f>
        <v>1521.8445851600377</v>
      </c>
      <c r="BK224" s="162">
        <f t="shared" si="46"/>
        <v>-26945.105140199925</v>
      </c>
      <c r="BM224">
        <v>1.53</v>
      </c>
      <c r="BN224" cm="1">
        <f t="array" ref="BN224">numeng*InterpolateXY(BN$90,BM224,Tmax_h,Tmax_M,Tmax_table)</f>
        <v>4359.2555284854789</v>
      </c>
      <c r="BO224" cm="1">
        <f t="array" ref="BO224">1*BN$91/(S*Linterp(BN$90,atmos_h,atmos_qms)*BM224^2)</f>
        <v>7.2090560948579213E-2</v>
      </c>
      <c r="BP224" cm="1">
        <f t="array" ref="BP224">InterpolateXY(BO224,BM224,CD_CL,CD_M,CD_table)</f>
        <v>4.603655834679736E-2</v>
      </c>
      <c r="BQ224" cm="1">
        <f t="array" ref="BQ224">BP224*S*Linterp(BN$90,atmos_h,atmos_qms)*BM224^2</f>
        <v>6385.9342667113278</v>
      </c>
      <c r="BR224" cm="1">
        <f t="array" ref="BR224">BM224*Linterp(BN$90,atmos_h,atmos_aspeed)</f>
        <v>1488.5248270952823</v>
      </c>
      <c r="BS224" s="162">
        <f t="shared" si="47"/>
        <v>-18100.569710371903</v>
      </c>
      <c r="BU224">
        <v>1.53</v>
      </c>
      <c r="BV224" cm="1">
        <f t="array" ref="BV224">numeng*InterpolateXY(BV$90,BU224,Tmax_h,Tmax_M,Tmax_table)</f>
        <v>3613.7680722713612</v>
      </c>
      <c r="BW224" cm="1">
        <f t="array" ref="BW224">1*BV$91/(S*Linterp(BV$90,atmos_h,atmos_qms)*BU224^2)</f>
        <v>9.1650591669125592E-2</v>
      </c>
      <c r="BX224" cm="1">
        <f t="array" ref="BX224">InterpolateXY(BW224,BU224,CD_CL,CD_M,CD_table)</f>
        <v>4.6589129214652795E-2</v>
      </c>
      <c r="BY224" cm="1">
        <f t="array" ref="BY224">BX224*S*Linterp(BV$90,atmos_h,atmos_qms)*BU224^2</f>
        <v>5083.3418929631762</v>
      </c>
      <c r="BZ224" cm="1">
        <f t="array" ref="BZ224">BU224*Linterp(BV$90,atmos_h,atmos_aspeed)</f>
        <v>1481.1937809447938</v>
      </c>
      <c r="CA224" s="162">
        <f t="shared" si="48"/>
        <v>-13060.341623087976</v>
      </c>
      <c r="CC224">
        <v>1.53</v>
      </c>
      <c r="CD224" cm="1">
        <f t="array" ref="CD224">numeng*InterpolateXY(CD$90,CC224,Tmax_h,Tmax_M,Tmax_table)</f>
        <v>2723.3131440634124</v>
      </c>
      <c r="CE224" cm="1">
        <f t="array" ref="CE224">1*CD$91/(S*Linterp(CD$90,atmos_h,atmos_qms)*CC224^2)</f>
        <v>0.1165478513656793</v>
      </c>
      <c r="CF224" cm="1">
        <f t="array" ref="CF224">InterpolateXY(CE224,CC224,CD_CL,CD_M,CD_table)</f>
        <v>4.8227430403241317E-2</v>
      </c>
      <c r="CG224" cm="1">
        <f t="array" ref="CG224">CF224*S*Linterp(CD$90,atmos_h,atmos_qms)*CC224^2</f>
        <v>4137.993951679422</v>
      </c>
      <c r="CH224" cm="1">
        <f t="array" ref="CH224">CC224*Linterp(CD$90,atmos_h,atmos_aspeed)</f>
        <v>1481.1937809447938</v>
      </c>
      <c r="CI224" s="162">
        <f t="shared" si="49"/>
        <v>-12572.498485576753</v>
      </c>
      <c r="CK224">
        <v>1.53</v>
      </c>
      <c r="CL224" cm="1">
        <f t="array" ref="CL224">numeng*InterpolateXY(CL$90,CK224,Tmax_h,Tmax_M,Tmax_table)</f>
        <v>1955.2240067892419</v>
      </c>
      <c r="CM224" cm="1">
        <f t="array" ref="CM224">1*CL$91/(S*Linterp(CL$90,atmos_h,atmos_qms)*CK224^2)</f>
        <v>0.14820855392832477</v>
      </c>
      <c r="CN224" cm="1">
        <f t="array" ref="CN224">InterpolateXY(CM224,CK224,CD_CL,CD_M,CD_table)</f>
        <v>5.0910674945425519E-2</v>
      </c>
      <c r="CO224" cm="1">
        <f t="array" ref="CO224">CN224*S*Linterp(CL$90,atmos_h,atmos_qms)*CK224^2</f>
        <v>3435.0699467755726</v>
      </c>
      <c r="CP224" cm="1">
        <f t="array" ref="CP224">CK224*Linterp(CL$90,atmos_h,atmos_aspeed)</f>
        <v>1481.1937809447938</v>
      </c>
      <c r="CQ224" s="162">
        <f t="shared" si="50"/>
        <v>-13151.631618384934</v>
      </c>
    </row>
    <row r="225" spans="9:95">
      <c r="I225">
        <v>1.54</v>
      </c>
      <c r="J225" cm="1">
        <f t="array" ref="J225">numeng*InterpolateXY(J$90,I225,Tmax_h,Tmax_M,Tmax_table)</f>
        <v>9196</v>
      </c>
      <c r="K225" cm="1">
        <f t="array" ref="K225">1*J$91/(S*Linterp(J$90,atmos_h,atmos_qms)*I225^2)</f>
        <v>1.6743674876939296E-2</v>
      </c>
      <c r="L225" cm="1">
        <f t="array" ref="L225">InterpolateXY(K225,I225,CD_CL,CD_M,CD_table)</f>
        <v>4.4477194733992767E-2</v>
      </c>
      <c r="M225" cm="1">
        <f t="array" ref="M225">L225*S*Linterp(J$90,atmos_h,atmos_qms)*I225^2</f>
        <v>26563.580015072002</v>
      </c>
      <c r="N225" cm="1">
        <f t="array" ref="N225">I225*Linterp(J$90,atmos_h,atmos_aspeed)</f>
        <v>1719.3330000000001</v>
      </c>
      <c r="O225" s="162">
        <f t="shared" si="40"/>
        <v>-179163.92070032275</v>
      </c>
      <c r="Q225">
        <v>1.54</v>
      </c>
      <c r="R225" cm="1">
        <f t="array" ref="R225">numeng*InterpolateXY(R$90,Q225,Tmax_h,Tmax_M,Tmax_table)</f>
        <v>8720.0807010390945</v>
      </c>
      <c r="S225" cm="1">
        <f t="array" ref="S225">1*R$91/(S*Linterp(R$90,atmos_h,atmos_qms)*Q225^2)</f>
        <v>2.0123470695737569E-2</v>
      </c>
      <c r="T225" cm="1">
        <f t="array" ref="T225">InterpolateXY(S225,Q225,CD_CL,CD_M,CD_table)</f>
        <v>4.4573518914828518E-2</v>
      </c>
      <c r="U225" cm="1">
        <f t="array" ref="U225">T225*S*Linterp(R$90,atmos_h,atmos_qms)*Q225^2</f>
        <v>22150.015565788959</v>
      </c>
      <c r="V225" cm="1">
        <f t="array" ref="V225">Q225*Linterp(R$90,atmos_h,atmos_aspeed)</f>
        <v>1689.5223366101825</v>
      </c>
      <c r="W225" s="162">
        <f t="shared" si="41"/>
        <v>-136141.0495992885</v>
      </c>
      <c r="Y225">
        <v>1.54</v>
      </c>
      <c r="Z225" cm="1">
        <f t="array" ref="Z225">numeng*InterpolateXY(Z$90,Y225,Tmax_h,Tmax_M,Tmax_table)</f>
        <v>8155.7189344265225</v>
      </c>
      <c r="AA225" cm="1">
        <f t="array" ref="AA225">1*Z$91/(S*Linterp(Z$90,atmos_h,atmos_qms)*Y225^2)</f>
        <v>2.4347248033359699E-2</v>
      </c>
      <c r="AB225" cm="1">
        <f t="array" ref="AB225">InterpolateXY(AA225,Y225,CD_CL,CD_M,CD_table)</f>
        <v>4.4693896568950751E-2</v>
      </c>
      <c r="AC225" cm="1">
        <f t="array" ref="AC225">AB225*S*Linterp(Z$90,atmos_h,atmos_qms)*Y225^2</f>
        <v>18356.857624201646</v>
      </c>
      <c r="AD225" cm="1">
        <f t="array" ref="AD225">Y225*Linterp(Z$90,atmos_h,atmos_aspeed)</f>
        <v>1659.1761470442079</v>
      </c>
      <c r="AE225" s="162">
        <f t="shared" si="42"/>
        <v>-101552.91592058813</v>
      </c>
      <c r="AG225">
        <v>1.54</v>
      </c>
      <c r="AH225" cm="1">
        <f t="array" ref="AH225">numeng*InterpolateXY(AH$90,AG225,Tmax_h,Tmax_M,Tmax_table)</f>
        <v>7336.8519303827079</v>
      </c>
      <c r="AI225" cm="1">
        <f t="array" ref="AI225">1*AH$91/(S*Linterp(AH$90,atmos_h,atmos_qms)*AG225^2)</f>
        <v>2.9669456109882569E-2</v>
      </c>
      <c r="AJ225" cm="1">
        <f t="array" ref="AJ225">InterpolateXY(AI225,AG225,CD_CL,CD_M,CD_table)</f>
        <v>4.4845579499131649E-2</v>
      </c>
      <c r="AK225" cm="1">
        <f t="array" ref="AK225">AJ225*S*Linterp(AH$90,atmos_h,atmos_qms)*AG225^2</f>
        <v>15115.06625973979</v>
      </c>
      <c r="AL225" cm="1">
        <f t="array" ref="AL225">AG225*Linterp(AH$90,atmos_h,atmos_aspeed)</f>
        <v>1628.2644895520484</v>
      </c>
      <c r="AM225" s="162">
        <f t="shared" si="43"/>
        <v>-75989.941107702223</v>
      </c>
      <c r="AO225">
        <v>1.54</v>
      </c>
      <c r="AP225" cm="1">
        <f t="array" ref="AP225">numeng*InterpolateXY(AP$90,AO225,Tmax_h,Tmax_M,Tmax_table)</f>
        <v>6540.7245386268605</v>
      </c>
      <c r="AQ225" cm="1">
        <f t="array" ref="AQ225">1*AP$91/(S*Linterp(AP$90,atmos_h,atmos_qms)*AO225^2)</f>
        <v>3.6435553228745074E-2</v>
      </c>
      <c r="AR225" cm="1">
        <f t="array" ref="AR225">InterpolateXY(AQ225,AO225,CD_CL,CD_M,CD_table)</f>
        <v>4.5038413267019232E-2</v>
      </c>
      <c r="AS225" cm="1">
        <f t="array" ref="AS225">AR225*S*Linterp(AP$90,atmos_h,atmos_qms)*AO225^2</f>
        <v>12361.116897077087</v>
      </c>
      <c r="AT225" cm="1">
        <f t="array" ref="AT225">AO225*Linterp(AP$90,atmos_h,atmos_aspeed)</f>
        <v>1596.7545236985941</v>
      </c>
      <c r="AU225" s="162">
        <f t="shared" si="44"/>
        <v>-55762.426968336775</v>
      </c>
      <c r="AW225">
        <v>1.54</v>
      </c>
      <c r="AX225" cm="1">
        <f t="array" ref="AX225">numeng*InterpolateXY(AX$90,AW225,Tmax_h,Tmax_M,Tmax_table)</f>
        <v>5777.0796417692536</v>
      </c>
      <c r="AY225" cm="1">
        <f t="array" ref="AY225">1*AX$91/(S*Linterp(AX$90,atmos_h,atmos_qms)*AW225^2)</f>
        <v>4.5120125990898111E-2</v>
      </c>
      <c r="AZ225" cm="1">
        <f t="array" ref="AZ225">InterpolateXY(AY225,AW225,CD_CL,CD_M,CD_table)</f>
        <v>4.5285923590740594E-2</v>
      </c>
      <c r="BA225" cm="1">
        <f t="array" ref="BA225">AZ225*S*Linterp(AX$90,atmos_h,atmos_qms)*AW225^2</f>
        <v>10036.745819343663</v>
      </c>
      <c r="BB225" cm="1">
        <f t="array" ref="BB225">AW225*Linterp(AX$90,atmos_h,atmos_aspeed)</f>
        <v>1564.6101015804718</v>
      </c>
      <c r="BC225" s="162">
        <f t="shared" si="45"/>
        <v>-39988.300384761584</v>
      </c>
      <c r="BE225">
        <v>1.54</v>
      </c>
      <c r="BF225" cm="1">
        <f t="array" ref="BF225">numeng*InterpolateXY(BF$90,BE225,Tmax_h,Tmax_M,Tmax_table)</f>
        <v>5053.7090202139743</v>
      </c>
      <c r="BG225" cm="1">
        <f t="array" ref="BG225">1*BF$91/(S*Linterp(BF$90,atmos_h,atmos_qms)*BE225^2)</f>
        <v>5.6383523686135674E-2</v>
      </c>
      <c r="BH225" cm="1">
        <f t="array" ref="BH225">InterpolateXY(BG225,BE225,CD_CL,CD_M,CD_table)</f>
        <v>4.5606930425054863E-2</v>
      </c>
      <c r="BI225" cm="1">
        <f t="array" ref="BI225">BH225*S*Linterp(BF$90,atmos_h,atmos_qms)*BE225^2</f>
        <v>8088.6981592229395</v>
      </c>
      <c r="BJ225" cm="1">
        <f t="array" ref="BJ225">BE225*Linterp(BF$90,atmos_h,atmos_aspeed)</f>
        <v>1531.7912817950705</v>
      </c>
      <c r="BK225" s="162">
        <f t="shared" si="46"/>
        <v>-27893.819420859963</v>
      </c>
      <c r="BM225">
        <v>1.54</v>
      </c>
      <c r="BN225" cm="1">
        <f t="array" ref="BN225">numeng*InterpolateXY(BN$90,BM225,Tmax_h,Tmax_M,Tmax_table)</f>
        <v>4376.6082658749574</v>
      </c>
      <c r="BO225" cm="1">
        <f t="array" ref="BO225">1*BN$91/(S*Linterp(BN$90,atmos_h,atmos_qms)*BM225^2)</f>
        <v>7.1157359640971973E-2</v>
      </c>
      <c r="BP225" cm="1">
        <f t="array" ref="BP225">InterpolateXY(BO225,BM225,CD_CL,CD_M,CD_table)</f>
        <v>4.60279847497677E-2</v>
      </c>
      <c r="BQ225" cm="1">
        <f t="array" ref="BQ225">BP225*S*Linterp(BN$90,atmos_h,atmos_qms)*BM225^2</f>
        <v>6468.4784514214989</v>
      </c>
      <c r="BR225" cm="1">
        <f t="array" ref="BR225">BM225*Linterp(BN$90,atmos_h,atmos_aspeed)</f>
        <v>1498.2537475338136</v>
      </c>
      <c r="BS225" s="162">
        <f t="shared" si="47"/>
        <v>-18804.914069096158</v>
      </c>
      <c r="BU225">
        <v>1.54</v>
      </c>
      <c r="BV225" cm="1">
        <f t="array" ref="BV225">numeng*InterpolateXY(BV$90,BU225,Tmax_h,Tmax_M,Tmax_table)</f>
        <v>3628.5382415040781</v>
      </c>
      <c r="BW225" cm="1">
        <f t="array" ref="BW225">1*BV$91/(S*Linterp(BV$90,atmos_h,atmos_qms)*BU225^2)</f>
        <v>9.0464188749475496E-2</v>
      </c>
      <c r="BX225" cm="1">
        <f t="array" ref="BX225">InterpolateXY(BW225,BU225,CD_CL,CD_M,CD_table)</f>
        <v>4.6578229379360049E-2</v>
      </c>
      <c r="BY225" cm="1">
        <f t="array" ref="BY225">BX225*S*Linterp(BV$90,atmos_h,atmos_qms)*BU225^2</f>
        <v>5148.8030814436624</v>
      </c>
      <c r="BZ225" cm="1">
        <f t="array" ref="BZ225">BU225*Linterp(BV$90,atmos_h,atmos_aspeed)</f>
        <v>1490.874786049008</v>
      </c>
      <c r="CA225" s="162">
        <f t="shared" si="48"/>
        <v>-13599.147107896542</v>
      </c>
      <c r="CC225">
        <v>1.54</v>
      </c>
      <c r="CD225" cm="1">
        <f t="array" ref="CD225">numeng*InterpolateXY(CD$90,CC225,Tmax_h,Tmax_M,Tmax_table)</f>
        <v>2734.1537423053483</v>
      </c>
      <c r="CE225" cm="1">
        <f t="array" ref="CE225">1*CD$91/(S*Linterp(CD$90,atmos_h,atmos_qms)*CC225^2)</f>
        <v>0.1150391572195643</v>
      </c>
      <c r="CF225" cm="1">
        <f t="array" ref="CF225">InterpolateXY(CE225,CC225,CD_CL,CD_M,CD_table)</f>
        <v>4.8135847942272748E-2</v>
      </c>
      <c r="CG225" cm="1">
        <f t="array" ref="CG225">CF225*S*Linterp(CD$90,atmos_h,atmos_qms)*CC225^2</f>
        <v>4184.3011636812007</v>
      </c>
      <c r="CH225" cm="1">
        <f t="array" ref="CH225">CC225*Linterp(CD$90,atmos_h,atmos_aspeed)</f>
        <v>1490.874786049008</v>
      </c>
      <c r="CI225" s="162">
        <f t="shared" si="49"/>
        <v>-12971.929359499469</v>
      </c>
      <c r="CK225">
        <v>1.54</v>
      </c>
      <c r="CL225" cm="1">
        <f t="array" ref="CL225">numeng*InterpolateXY(CL$90,CK225,Tmax_h,Tmax_M,Tmax_table)</f>
        <v>1962.5309790973924</v>
      </c>
      <c r="CM225" cm="1">
        <f t="array" ref="CM225">1*CL$91/(S*Linterp(CL$90,atmos_h,atmos_qms)*CK225^2)</f>
        <v>0.14629001682021231</v>
      </c>
      <c r="CN225" cm="1">
        <f t="array" ref="CN225">InterpolateXY(CM225,CK225,CD_CL,CD_M,CD_table)</f>
        <v>5.0807796438128154E-2</v>
      </c>
      <c r="CO225" cm="1">
        <f t="array" ref="CO225">CN225*S*Linterp(CL$90,atmos_h,atmos_qms)*CK225^2</f>
        <v>3473.0870596979962</v>
      </c>
      <c r="CP225" cm="1">
        <f t="array" ref="CP225">CK225*Linterp(CL$90,atmos_h,atmos_aspeed)</f>
        <v>1490.874786049008</v>
      </c>
      <c r="CQ225" s="162">
        <f t="shared" si="50"/>
        <v>-13512.299840882719</v>
      </c>
    </row>
    <row r="226" spans="9:95">
      <c r="I226">
        <v>1.55</v>
      </c>
      <c r="J226" cm="1">
        <f t="array" ref="J226">numeng*InterpolateXY(J$90,I226,Tmax_h,Tmax_M,Tmax_table)</f>
        <v>9220</v>
      </c>
      <c r="K226" cm="1">
        <f t="array" ref="K226">1*J$91/(S*Linterp(J$90,atmos_h,atmos_qms)*I226^2)</f>
        <v>1.6528324386326419E-2</v>
      </c>
      <c r="L226" cm="1">
        <f t="array" ref="L226">InterpolateXY(K226,I226,CD_CL,CD_M,CD_table)</f>
        <v>4.4475189326106883E-2</v>
      </c>
      <c r="M226" cm="1">
        <f t="array" ref="M226">L226*S*Linterp(J$90,atmos_h,atmos_qms)*I226^2</f>
        <v>26908.468327800001</v>
      </c>
      <c r="N226" cm="1">
        <f t="array" ref="N226">I226*Linterp(J$90,atmos_h,atmos_aspeed)</f>
        <v>1730.4975000000002</v>
      </c>
      <c r="O226" s="162">
        <f t="shared" si="40"/>
        <v>-183659.10132052249</v>
      </c>
      <c r="Q226">
        <v>1.55</v>
      </c>
      <c r="R226" cm="1">
        <f t="array" ref="R226">numeng*InterpolateXY(R$90,Q226,Tmax_h,Tmax_M,Tmax_table)</f>
        <v>8745.9307426429659</v>
      </c>
      <c r="S226" cm="1">
        <f t="array" ref="S226">1*R$91/(S*Linterp(R$90,atmos_h,atmos_qms)*Q226^2)</f>
        <v>1.9864650614780942E-2</v>
      </c>
      <c r="T226" cm="1">
        <f t="array" ref="T226">InterpolateXY(S226,Q226,CD_CL,CD_M,CD_table)</f>
        <v>4.4571108705174951E-2</v>
      </c>
      <c r="U226" cm="1">
        <f t="array" ref="U226">T226*S*Linterp(R$90,atmos_h,atmos_qms)*Q226^2</f>
        <v>22437.398758984651</v>
      </c>
      <c r="V226" cm="1">
        <f t="array" ref="V226">Q226*Linterp(R$90,atmos_h,atmos_aspeed)</f>
        <v>1700.493260873885</v>
      </c>
      <c r="W226" s="162">
        <f t="shared" si="41"/>
        <v>-139693.49455955625</v>
      </c>
      <c r="Y226">
        <v>1.55</v>
      </c>
      <c r="Z226" cm="1">
        <f t="array" ref="Z226">numeng*InterpolateXY(Z$90,Y226,Tmax_h,Tmax_M,Tmax_table)</f>
        <v>8182.3040377984307</v>
      </c>
      <c r="AA226" cm="1">
        <f t="array" ref="AA226">1*Z$91/(S*Linterp(Z$90,atmos_h,atmos_qms)*Y226^2)</f>
        <v>2.4034103407249055E-2</v>
      </c>
      <c r="AB226" cm="1">
        <f t="array" ref="AB226">InterpolateXY(AA226,Y226,CD_CL,CD_M,CD_table)</f>
        <v>4.4690980472958407E-2</v>
      </c>
      <c r="AC226" cm="1">
        <f t="array" ref="AC226">AB226*S*Linterp(Z$90,atmos_h,atmos_qms)*Y226^2</f>
        <v>18594.819085066814</v>
      </c>
      <c r="AD226" cm="1">
        <f t="array" ref="AD226">Y226*Linterp(Z$90,atmos_h,atmos_aspeed)</f>
        <v>1669.9500181289104</v>
      </c>
      <c r="AE226" s="162">
        <f t="shared" si="42"/>
        <v>-104330.27815172034</v>
      </c>
      <c r="AG226">
        <v>1.55</v>
      </c>
      <c r="AH226" cm="1">
        <f t="array" ref="AH226">numeng*InterpolateXY(AH$90,AG226,Tmax_h,Tmax_M,Tmax_table)</f>
        <v>7362.0212337459416</v>
      </c>
      <c r="AI226" cm="1">
        <f t="array" ref="AI226">1*AH$91/(S*Linterp(AH$90,atmos_h,atmos_qms)*AG226^2)</f>
        <v>2.9287859359083238E-2</v>
      </c>
      <c r="AJ226" cm="1">
        <f t="array" ref="AJ226">InterpolateXY(AI226,AG226,CD_CL,CD_M,CD_table)</f>
        <v>4.484202595657364E-2</v>
      </c>
      <c r="AK226" cm="1">
        <f t="array" ref="AK226">AJ226*S*Linterp(AH$90,atmos_h,atmos_qms)*AG226^2</f>
        <v>15310.789841889378</v>
      </c>
      <c r="AL226" cm="1">
        <f t="array" ref="AL226">AG226*Linterp(AH$90,atmos_h,atmos_aspeed)</f>
        <v>1638.8376355881007</v>
      </c>
      <c r="AM226" s="162">
        <f t="shared" si="43"/>
        <v>-78160.446909640246</v>
      </c>
      <c r="AO226">
        <v>1.55</v>
      </c>
      <c r="AP226" cm="1">
        <f t="array" ref="AP226">numeng*InterpolateXY(AP$90,AO226,Tmax_h,Tmax_M,Tmax_table)</f>
        <v>6564.1679957545557</v>
      </c>
      <c r="AQ226" cm="1">
        <f t="array" ref="AQ226">1*AP$91/(S*Linterp(AP$90,atmos_h,atmos_qms)*AO226^2)</f>
        <v>3.5966933626344143E-2</v>
      </c>
      <c r="AR226" cm="1">
        <f t="array" ref="AR226">InterpolateXY(AQ226,AO226,CD_CL,CD_M,CD_table)</f>
        <v>4.5034049341757393E-2</v>
      </c>
      <c r="AS226" cm="1">
        <f t="array" ref="AS226">AR226*S*Linterp(AP$90,atmos_h,atmos_qms)*AO226^2</f>
        <v>12520.958781087749</v>
      </c>
      <c r="AT226" cm="1">
        <f t="array" ref="AT226">AO226*Linterp(AP$90,atmos_h,atmos_aspeed)</f>
        <v>1607.1230595667669</v>
      </c>
      <c r="AU226" s="162">
        <f t="shared" si="44"/>
        <v>-57439.774992742838</v>
      </c>
      <c r="AW226">
        <v>1.55</v>
      </c>
      <c r="AX226" cm="1">
        <f t="array" ref="AX226">numeng*InterpolateXY(AX$90,AW226,Tmax_h,Tmax_M,Tmax_table)</f>
        <v>5798.5890912576906</v>
      </c>
      <c r="AY226" cm="1">
        <f t="array" ref="AY226">1*AX$91/(S*Linterp(AX$90,atmos_h,atmos_qms)*AW226^2)</f>
        <v>4.4539808865770636E-2</v>
      </c>
      <c r="AZ226" cm="1">
        <f t="array" ref="AZ226">InterpolateXY(AY226,AW226,CD_CL,CD_M,CD_table)</f>
        <v>4.5280519504890898E-2</v>
      </c>
      <c r="BA226" cm="1">
        <f t="array" ref="BA226">AZ226*S*Linterp(AX$90,atmos_h,atmos_qms)*AW226^2</f>
        <v>10166.303057418261</v>
      </c>
      <c r="BB226" cm="1">
        <f t="array" ref="BB226">AW226*Linterp(AX$90,atmos_h,atmos_aspeed)</f>
        <v>1574.7699074348905</v>
      </c>
      <c r="BC226" s="162">
        <f t="shared" si="45"/>
        <v>-41268.867109156563</v>
      </c>
      <c r="BE226">
        <v>1.55</v>
      </c>
      <c r="BF226" cm="1">
        <f t="array" ref="BF226">numeng*InterpolateXY(BF$90,BE226,Tmax_h,Tmax_M,Tmax_table)</f>
        <v>5073.163630004552</v>
      </c>
      <c r="BG226" cm="1">
        <f t="array" ref="BG226">1*BF$91/(S*Linterp(BF$90,atmos_h,atmos_qms)*BE226^2)</f>
        <v>5.5658341217081936E-2</v>
      </c>
      <c r="BH226" cm="1">
        <f t="array" ref="BH226">InterpolateXY(BG226,BE226,CD_CL,CD_M,CD_table)</f>
        <v>4.5600177309991108E-2</v>
      </c>
      <c r="BI226" cm="1">
        <f t="array" ref="BI226">BH226*S*Linterp(BF$90,atmos_h,atmos_qms)*BE226^2</f>
        <v>8192.8739363860332</v>
      </c>
      <c r="BJ226" cm="1">
        <f t="array" ref="BJ226">BE226*Linterp(BF$90,atmos_h,atmos_aspeed)</f>
        <v>1541.7379784301036</v>
      </c>
      <c r="BK226" s="162">
        <f t="shared" si="46"/>
        <v>-28858.65516628886</v>
      </c>
      <c r="BM226">
        <v>1.55</v>
      </c>
      <c r="BN226" cm="1">
        <f t="array" ref="BN226">numeng*InterpolateXY(BN$90,BM226,Tmax_h,Tmax_M,Tmax_table)</f>
        <v>4393.9610032644359</v>
      </c>
      <c r="BO226" cm="1">
        <f t="array" ref="BO226">1*BN$91/(S*Linterp(BN$90,atmos_h,atmos_qms)*BM226^2)</f>
        <v>7.0242161966505345E-2</v>
      </c>
      <c r="BP226" cm="1">
        <f t="array" ref="BP226">InterpolateXY(BO226,BM226,CD_CL,CD_M,CD_table)</f>
        <v>4.601946215653703E-2</v>
      </c>
      <c r="BQ226" cm="1">
        <f t="array" ref="BQ226">BP226*S*Linterp(BN$90,atmos_h,atmos_qms)*BM226^2</f>
        <v>6551.5440966183824</v>
      </c>
      <c r="BR226" cm="1">
        <f t="array" ref="BR226">BM226*Linterp(BN$90,atmos_h,atmos_aspeed)</f>
        <v>1507.9826679723449</v>
      </c>
      <c r="BS226" s="162">
        <f t="shared" si="47"/>
        <v>-19521.587456927453</v>
      </c>
      <c r="BU226">
        <v>1.55</v>
      </c>
      <c r="BV226" cm="1">
        <f t="array" ref="BV226">numeng*InterpolateXY(BV$90,BU226,Tmax_h,Tmax_M,Tmax_table)</f>
        <v>3643.3084107367949</v>
      </c>
      <c r="BW226" cm="1">
        <f t="array" ref="BW226">1*BV$91/(S*Linterp(BV$90,atmos_h,atmos_qms)*BU226^2)</f>
        <v>8.9300674313530101E-2</v>
      </c>
      <c r="BX226" cm="1">
        <f t="array" ref="BX226">InterpolateXY(BW226,BU226,CD_CL,CD_M,CD_table)</f>
        <v>4.6567394386513992E-2</v>
      </c>
      <c r="BY226" cm="1">
        <f t="array" ref="BY226">BX226*S*Linterp(BV$90,atmos_h,atmos_qms)*BU226^2</f>
        <v>5214.6744405331428</v>
      </c>
      <c r="BZ226" cm="1">
        <f t="array" ref="BZ226">BU226*Linterp(BV$90,atmos_h,atmos_aspeed)</f>
        <v>1500.5557911532223</v>
      </c>
      <c r="CA226" s="162">
        <f t="shared" si="48"/>
        <v>-14147.53437619414</v>
      </c>
      <c r="CC226">
        <v>1.55</v>
      </c>
      <c r="CD226" cm="1">
        <f t="array" ref="CD226">numeng*InterpolateXY(CD$90,CC226,Tmax_h,Tmax_M,Tmax_table)</f>
        <v>2744.9943405472841</v>
      </c>
      <c r="CE226" cm="1">
        <f t="array" ref="CE226">1*CD$91/(S*Linterp(CD$90,atmos_h,atmos_qms)*CC226^2)</f>
        <v>0.11355956930777049</v>
      </c>
      <c r="CF226" cm="1">
        <f t="array" ref="CF226">InterpolateXY(CE226,CC226,CD_CL,CD_M,CD_table)</f>
        <v>4.8044512852795207E-2</v>
      </c>
      <c r="CG226" cm="1">
        <f t="array" ref="CG226">CF226*S*Linterp(CD$90,atmos_h,atmos_qms)*CC226^2</f>
        <v>4230.7762477140432</v>
      </c>
      <c r="CH226" cm="1">
        <f t="array" ref="CH226">CC226*Linterp(CD$90,atmos_h,atmos_aspeed)</f>
        <v>1500.5557911532223</v>
      </c>
      <c r="CI226" s="162">
        <f t="shared" si="49"/>
        <v>-13376.99187113856</v>
      </c>
      <c r="CK226">
        <v>1.55</v>
      </c>
      <c r="CL226" cm="1">
        <f t="array" ref="CL226">numeng*InterpolateXY(CL$90,CK226,Tmax_h,Tmax_M,Tmax_table)</f>
        <v>1969.8379514055428</v>
      </c>
      <c r="CM226" cm="1">
        <f t="array" ref="CM226">1*CL$91/(S*Linterp(CL$90,atmos_h,atmos_qms)*CK226^2)</f>
        <v>0.14440849277453296</v>
      </c>
      <c r="CN226" cm="1">
        <f t="array" ref="CN226">InterpolateXY(CM226,CK226,CD_CL,CD_M,CD_table)</f>
        <v>5.0705232501803463E-2</v>
      </c>
      <c r="CO226" cm="1">
        <f t="array" ref="CO226">CN226*S*Linterp(CL$90,atmos_h,atmos_qms)*CK226^2</f>
        <v>3511.2361833850218</v>
      </c>
      <c r="CP226" cm="1">
        <f t="array" ref="CP226">CK226*Linterp(CL$90,atmos_h,atmos_aspeed)</f>
        <v>1500.5557911532223</v>
      </c>
      <c r="CQ226" s="162">
        <f t="shared" si="50"/>
        <v>-13877.724260820871</v>
      </c>
    </row>
    <row r="227" spans="9:95">
      <c r="I227">
        <v>1.56</v>
      </c>
      <c r="J227" cm="1">
        <f t="array" ref="J227">numeng*InterpolateXY(J$90,I227,Tmax_h,Tmax_M,Tmax_table)</f>
        <v>9244</v>
      </c>
      <c r="K227" cm="1">
        <f t="array" ref="K227">1*J$91/(S*Linterp(J$90,atmos_h,atmos_qms)*I227^2)</f>
        <v>1.6317101963407802E-2</v>
      </c>
      <c r="L227" cm="1">
        <f t="array" ref="L227">InterpolateXY(K227,I227,CD_CL,CD_M,CD_table)</f>
        <v>4.447319595693882E-2</v>
      </c>
      <c r="M227" cm="1">
        <f t="array" ref="M227">L227*S*Linterp(J$90,atmos_h,atmos_qms)*I227^2</f>
        <v>27255.572746112</v>
      </c>
      <c r="N227" cm="1">
        <f t="array" ref="N227">I227*Linterp(J$90,atmos_h,atmos_aspeed)</f>
        <v>1741.662</v>
      </c>
      <c r="O227" s="162">
        <f t="shared" si="40"/>
        <v>-188220.4308728335</v>
      </c>
      <c r="Q227">
        <v>1.56</v>
      </c>
      <c r="R227" cm="1">
        <f t="array" ref="R227">numeng*InterpolateXY(R$90,Q227,Tmax_h,Tmax_M,Tmax_table)</f>
        <v>8771.7807842468355</v>
      </c>
      <c r="S227" cm="1">
        <f t="array" ref="S227">1*R$91/(S*Linterp(R$90,atmos_h,atmos_qms)*Q227^2)</f>
        <v>1.9610791872950041E-2</v>
      </c>
      <c r="T227" cm="1">
        <f t="array" ref="T227">InterpolateXY(S227,Q227,CD_CL,CD_M,CD_table)</f>
        <v>4.4568712964315547E-2</v>
      </c>
      <c r="U227" cm="1">
        <f t="array" ref="U227">T227*S*Linterp(R$90,atmos_h,atmos_qms)*Q227^2</f>
        <v>22726.625856343406</v>
      </c>
      <c r="V227" cm="1">
        <f t="array" ref="V227">Q227*Linterp(R$90,atmos_h,atmos_aspeed)</f>
        <v>1711.4641851375875</v>
      </c>
      <c r="W227" s="162">
        <f t="shared" si="41"/>
        <v>-143299.30530022222</v>
      </c>
      <c r="Y227">
        <v>1.56</v>
      </c>
      <c r="Z227" cm="1">
        <f t="array" ref="Z227">numeng*InterpolateXY(Z$90,Y227,Tmax_h,Tmax_M,Tmax_table)</f>
        <v>8208.8891411703389</v>
      </c>
      <c r="AA227" cm="1">
        <f t="array" ref="AA227">1*Z$91/(S*Linterp(Z$90,atmos_h,atmos_qms)*Y227^2)</f>
        <v>2.3726961471037089E-2</v>
      </c>
      <c r="AB227" cm="1">
        <f t="array" ref="AB227">InterpolateXY(AA227,Y227,CD_CL,CD_M,CD_table)</f>
        <v>4.4688081882660075E-2</v>
      </c>
      <c r="AC227" cm="1">
        <f t="array" ref="AC227">AB227*S*Linterp(Z$90,atmos_h,atmos_qms)*Y227^2</f>
        <v>18834.304568332402</v>
      </c>
      <c r="AD227" cm="1">
        <f t="array" ref="AD227">Y227*Linterp(Z$90,atmos_h,atmos_aspeed)</f>
        <v>1680.7238892136131</v>
      </c>
      <c r="AE227" s="162">
        <f t="shared" si="42"/>
        <v>-107150.33724750088</v>
      </c>
      <c r="AG227">
        <v>1.56</v>
      </c>
      <c r="AH227" cm="1">
        <f t="array" ref="AH227">numeng*InterpolateXY(AH$90,AG227,Tmax_h,Tmax_M,Tmax_table)</f>
        <v>7387.1905371091752</v>
      </c>
      <c r="AI227" cm="1">
        <f t="array" ref="AI227">1*AH$91/(S*Linterp(AH$90,atmos_h,atmos_qms)*AG227^2)</f>
        <v>2.8913577461455245E-2</v>
      </c>
      <c r="AJ227" cm="1">
        <f t="array" ref="AJ227">InterpolateXY(AI227,AG227,CD_CL,CD_M,CD_table)</f>
        <v>4.4838493746382199E-2</v>
      </c>
      <c r="AK227" cm="1">
        <f t="array" ref="AK227">AJ227*S*Linterp(AH$90,atmos_h,atmos_qms)*AG227^2</f>
        <v>15507.76406211113</v>
      </c>
      <c r="AL227" cm="1">
        <f t="array" ref="AL227">AG227*Linterp(AH$90,atmos_h,atmos_aspeed)</f>
        <v>1649.4107816241531</v>
      </c>
      <c r="AM227" s="162">
        <f t="shared" si="43"/>
        <v>-80364.969150659264</v>
      </c>
      <c r="AO227">
        <v>1.56</v>
      </c>
      <c r="AP227" cm="1">
        <f t="array" ref="AP227">numeng*InterpolateXY(AP$90,AO227,Tmax_h,Tmax_M,Tmax_table)</f>
        <v>6587.6114528822509</v>
      </c>
      <c r="AQ227" cm="1">
        <f t="array" ref="AQ227">1*AP$91/(S*Linterp(AP$90,atmos_h,atmos_qms)*AO227^2)</f>
        <v>3.5507297023870725E-2</v>
      </c>
      <c r="AR227" cm="1">
        <f t="array" ref="AR227">InterpolateXY(AQ227,AO227,CD_CL,CD_M,CD_table)</f>
        <v>4.502971161369225E-2</v>
      </c>
      <c r="AS227" cm="1">
        <f t="array" ref="AS227">AR227*S*Linterp(AP$90,atmos_h,atmos_qms)*AO227^2</f>
        <v>12681.819059169677</v>
      </c>
      <c r="AT227" cm="1">
        <f t="array" ref="AT227">AO227*Linterp(AP$90,atmos_h,atmos_aspeed)</f>
        <v>1617.4915954349397</v>
      </c>
      <c r="AU227" s="162">
        <f t="shared" si="44"/>
        <v>-59143.977504033552</v>
      </c>
      <c r="AW227">
        <v>1.56</v>
      </c>
      <c r="AX227" cm="1">
        <f t="array" ref="AX227">numeng*InterpolateXY(AX$90,AW227,Tmax_h,Tmax_M,Tmax_table)</f>
        <v>5820.0985407461267</v>
      </c>
      <c r="AY227" cm="1">
        <f t="array" ref="AY227">1*AX$91/(S*Linterp(AX$90,atmos_h,atmos_qms)*AW227^2)</f>
        <v>4.3970615877717764E-2</v>
      </c>
      <c r="AZ227" cm="1">
        <f t="array" ref="AZ227">InterpolateXY(AY227,AW227,CD_CL,CD_M,CD_table)</f>
        <v>4.5275147860453814E-2</v>
      </c>
      <c r="BA227" cm="1">
        <f t="array" ref="BA227">AZ227*S*Linterp(AX$90,atmos_h,atmos_qms)*AW227^2</f>
        <v>10296.682672438328</v>
      </c>
      <c r="BB227" cm="1">
        <f t="array" ref="BB227">AW227*Linterp(AX$90,atmos_h,atmos_aspeed)</f>
        <v>1584.9297132893091</v>
      </c>
      <c r="BC227" s="162">
        <f t="shared" si="45"/>
        <v>-42570.427226150343</v>
      </c>
      <c r="BE227">
        <v>1.56</v>
      </c>
      <c r="BF227" cm="1">
        <f t="array" ref="BF227">numeng*InterpolateXY(BF$90,BE227,Tmax_h,Tmax_M,Tmax_table)</f>
        <v>5092.6182397951306</v>
      </c>
      <c r="BG227" cm="1">
        <f t="array" ref="BG227">1*BF$91/(S*Linterp(BF$90,atmos_h,atmos_qms)*BE227^2)</f>
        <v>5.4947059818392242E-2</v>
      </c>
      <c r="BH227" cm="1">
        <f t="array" ref="BH227">InterpolateXY(BG227,BE227,CD_CL,CD_M,CD_table)</f>
        <v>4.5593464734733372E-2</v>
      </c>
      <c r="BI227" cm="1">
        <f t="array" ref="BI227">BH227*S*Linterp(BF$90,atmos_h,atmos_qms)*BE227^2</f>
        <v>8297.707809194193</v>
      </c>
      <c r="BJ227" cm="1">
        <f t="array" ref="BJ227">BE227*Linterp(BF$90,atmos_h,atmos_aspeed)</f>
        <v>1551.6846750651364</v>
      </c>
      <c r="BK227" s="162">
        <f t="shared" si="46"/>
        <v>-29839.730202285857</v>
      </c>
      <c r="BM227">
        <v>1.56</v>
      </c>
      <c r="BN227" cm="1">
        <f t="array" ref="BN227">numeng*InterpolateXY(BN$90,BM227,Tmax_h,Tmax_M,Tmax_table)</f>
        <v>4411.3137406539154</v>
      </c>
      <c r="BO227" cm="1">
        <f t="array" ref="BO227">1*BN$91/(S*Linterp(BN$90,atmos_h,atmos_qms)*BM227^2)</f>
        <v>6.9344507776351524E-2</v>
      </c>
      <c r="BP227" cm="1">
        <f t="array" ref="BP227">InterpolateXY(BO227,BM227,CD_CL,CD_M,CD_table)</f>
        <v>4.6010990725514192E-2</v>
      </c>
      <c r="BQ227" cm="1">
        <f t="array" ref="BQ227">BP227*S*Linterp(BN$90,atmos_h,atmos_qms)*BM227^2</f>
        <v>6635.1312023019736</v>
      </c>
      <c r="BR227" cm="1">
        <f t="array" ref="BR227">BM227*Linterp(BN$90,atmos_h,atmos_aspeed)</f>
        <v>1517.7115884108759</v>
      </c>
      <c r="BS227" s="162">
        <f t="shared" si="47"/>
        <v>-20250.681192322303</v>
      </c>
      <c r="BU227">
        <v>1.56</v>
      </c>
      <c r="BV227" cm="1">
        <f t="array" ref="BV227">numeng*InterpolateXY(BV$90,BU227,Tmax_h,Tmax_M,Tmax_table)</f>
        <v>3658.0785799695113</v>
      </c>
      <c r="BW227" cm="1">
        <f t="array" ref="BW227">1*BV$91/(S*Linterp(BV$90,atmos_h,atmos_qms)*BU227^2)</f>
        <v>8.8159463362202525E-2</v>
      </c>
      <c r="BX227" cm="1">
        <f t="array" ref="BX227">InterpolateXY(BW227,BU227,CD_CL,CD_M,CD_table)</f>
        <v>4.6556624437503878E-2</v>
      </c>
      <c r="BY227" cm="1">
        <f t="array" ref="BY227">BX227*S*Linterp(BV$90,atmos_h,atmos_qms)*BU227^2</f>
        <v>5280.9559702316155</v>
      </c>
      <c r="BZ227" cm="1">
        <f t="array" ref="BZ227">BU227*Linterp(BV$90,atmos_h,atmos_aspeed)</f>
        <v>1510.2367962574367</v>
      </c>
      <c r="CA227" s="162">
        <f t="shared" si="48"/>
        <v>-14705.574903528419</v>
      </c>
      <c r="CC227">
        <v>1.56</v>
      </c>
      <c r="CD227" cm="1">
        <f t="array" ref="CD227">numeng*InterpolateXY(CD$90,CC227,Tmax_h,Tmax_M,Tmax_table)</f>
        <v>2755.8349387892194</v>
      </c>
      <c r="CE227" cm="1">
        <f t="array" ref="CE227">1*CD$91/(S*Linterp(CD$90,atmos_h,atmos_qms)*CC227^2)</f>
        <v>0.11210834371380615</v>
      </c>
      <c r="CF227" cm="1">
        <f t="array" ref="CF227">InterpolateXY(CE227,CC227,CD_CL,CD_M,CD_table)</f>
        <v>4.7953425903101136E-2</v>
      </c>
      <c r="CG227" cm="1">
        <f t="array" ref="CG227">CF227*S*Linterp(CD$90,atmos_h,atmos_qms)*CC227^2</f>
        <v>4277.4181041794909</v>
      </c>
      <c r="CH227" cm="1">
        <f t="array" ref="CH227">CC227*Linterp(CD$90,atmos_h,atmos_aspeed)</f>
        <v>1510.2367962574367</v>
      </c>
      <c r="CI227" s="162">
        <f t="shared" si="49"/>
        <v>-13787.705309629519</v>
      </c>
      <c r="CK227">
        <v>1.56</v>
      </c>
      <c r="CL227" cm="1">
        <f t="array" ref="CL227">numeng*InterpolateXY(CL$90,CK227,Tmax_h,Tmax_M,Tmax_table)</f>
        <v>1977.1449237136931</v>
      </c>
      <c r="CM227" cm="1">
        <f t="array" ref="CM227">1*CL$91/(S*Linterp(CL$90,atmos_h,atmos_qms)*CK227^2)</f>
        <v>0.14256303578682425</v>
      </c>
      <c r="CN227" cm="1">
        <f t="array" ref="CN227">InterpolateXY(CM227,CK227,CD_CL,CD_M,CD_table)</f>
        <v>5.0602984113453708E-2</v>
      </c>
      <c r="CO227" cm="1">
        <f t="array" ref="CO227">CN227*S*Linterp(CL$90,atmos_h,atmos_qms)*CK227^2</f>
        <v>3549.5164531373202</v>
      </c>
      <c r="CP227" cm="1">
        <f t="array" ref="CP227">CK227*Linterp(CL$90,atmos_h,atmos_aspeed)</f>
        <v>1510.2367962574367</v>
      </c>
      <c r="CQ227" s="162">
        <f t="shared" si="50"/>
        <v>-14247.920046738869</v>
      </c>
    </row>
    <row r="228" spans="9:95">
      <c r="I228">
        <v>1.57</v>
      </c>
      <c r="J228" cm="1">
        <f t="array" ref="J228">numeng*InterpolateXY(J$90,I228,Tmax_h,Tmax_M,Tmax_table)</f>
        <v>9268</v>
      </c>
      <c r="K228" cm="1">
        <f t="array" ref="K228">1*J$91/(S*Linterp(J$90,atmos_h,atmos_qms)*I228^2)</f>
        <v>1.6109902770152632E-2</v>
      </c>
      <c r="L228" cm="1">
        <f t="array" ref="L228">InterpolateXY(K228,I228,CD_CL,CD_M,CD_table)</f>
        <v>4.4471214656026964E-2</v>
      </c>
      <c r="M228" cm="1">
        <f t="array" ref="M228">L228*S*Linterp(J$90,atmos_h,atmos_qms)*I228^2</f>
        <v>27604.893270008</v>
      </c>
      <c r="N228" cm="1">
        <f t="array" ref="N228">I228*Linterp(J$90,atmos_h,atmos_aspeed)</f>
        <v>1752.8265000000001</v>
      </c>
      <c r="O228" s="162">
        <f t="shared" si="40"/>
        <v>-192848.35470805009</v>
      </c>
      <c r="Q228">
        <v>1.57</v>
      </c>
      <c r="R228" cm="1">
        <f t="array" ref="R228">numeng*InterpolateXY(R$90,Q228,Tmax_h,Tmax_M,Tmax_table)</f>
        <v>8797.630825850707</v>
      </c>
      <c r="S228" cm="1">
        <f t="array" ref="S228">1*R$91/(S*Linterp(R$90,atmos_h,atmos_qms)*Q228^2)</f>
        <v>1.9361768470125044E-2</v>
      </c>
      <c r="T228" cm="1">
        <f t="array" ref="T228">InterpolateXY(S228,Q228,CD_CL,CD_M,CD_table)</f>
        <v>4.4566331727751152E-2</v>
      </c>
      <c r="U228" cm="1">
        <f t="array" ref="U228">T228*S*Linterp(R$90,atmos_h,atmos_qms)*Q228^2</f>
        <v>23017.696857865241</v>
      </c>
      <c r="V228" cm="1">
        <f t="array" ref="V228">Q228*Linterp(R$90,atmos_h,atmos_aspeed)</f>
        <v>1722.43510940129</v>
      </c>
      <c r="W228" s="162">
        <f t="shared" si="41"/>
        <v>-146958.84594927914</v>
      </c>
      <c r="Y228">
        <v>1.57</v>
      </c>
      <c r="Z228" cm="1">
        <f t="array" ref="Z228">numeng*InterpolateXY(Z$90,Y228,Tmax_h,Tmax_M,Tmax_table)</f>
        <v>8235.4742445422471</v>
      </c>
      <c r="AA228" cm="1">
        <f t="array" ref="AA228">1*Z$91/(S*Linterp(Z$90,atmos_h,atmos_qms)*Y228^2)</f>
        <v>2.3425669778050169E-2</v>
      </c>
      <c r="AB228" cm="1">
        <f t="array" ref="AB228">InterpolateXY(AA228,Y228,CD_CL,CD_M,CD_table)</f>
        <v>4.4685200841007966E-2</v>
      </c>
      <c r="AC228" cm="1">
        <f t="array" ref="AC228">AB228*S*Linterp(Z$90,atmos_h,atmos_qms)*Y228^2</f>
        <v>19075.314073998412</v>
      </c>
      <c r="AD228" cm="1">
        <f t="array" ref="AD228">Y228*Linterp(Z$90,atmos_h,atmos_aspeed)</f>
        <v>1691.4977602983158</v>
      </c>
      <c r="AE228" s="162">
        <f t="shared" si="42"/>
        <v>-110013.3887611055</v>
      </c>
      <c r="AG228">
        <v>1.57</v>
      </c>
      <c r="AH228" cm="1">
        <f t="array" ref="AH228">numeng*InterpolateXY(AH$90,AG228,Tmax_h,Tmax_M,Tmax_table)</f>
        <v>7412.3598404724098</v>
      </c>
      <c r="AI228" cm="1">
        <f t="array" ref="AI228">1*AH$91/(S*Linterp(AH$90,atmos_h,atmos_qms)*AG228^2)</f>
        <v>2.8546424646110388E-2</v>
      </c>
      <c r="AJ228" cm="1">
        <f t="array" ref="AJ228">InterpolateXY(AI228,AG228,CD_CL,CD_M,CD_table)</f>
        <v>4.4834982920898728E-2</v>
      </c>
      <c r="AK228" cm="1">
        <f t="array" ref="AK228">AJ228*S*Linterp(AH$90,atmos_h,atmos_qms)*AG228^2</f>
        <v>15705.988920405049</v>
      </c>
      <c r="AL228" cm="1">
        <f t="array" ref="AL228">AG228*Linterp(AH$90,atmos_h,atmos_aspeed)</f>
        <v>1659.9839276602052</v>
      </c>
      <c r="AM228" s="162">
        <f t="shared" si="43"/>
        <v>-82603.745847980841</v>
      </c>
      <c r="AO228">
        <v>1.57</v>
      </c>
      <c r="AP228" cm="1">
        <f t="array" ref="AP228">numeng*InterpolateXY(AP$90,AO228,Tmax_h,Tmax_M,Tmax_table)</f>
        <v>6611.0549100099452</v>
      </c>
      <c r="AQ228" cm="1">
        <f t="array" ref="AQ228">1*AP$91/(S*Linterp(AP$90,atmos_h,atmos_qms)*AO228^2)</f>
        <v>3.5056415285525507E-2</v>
      </c>
      <c r="AR228" cm="1">
        <f t="array" ref="AR228">InterpolateXY(AQ228,AO228,CD_CL,CD_M,CD_table)</f>
        <v>4.5025400147101623E-2</v>
      </c>
      <c r="AS228" cm="1">
        <f t="array" ref="AS228">AR228*S*Linterp(AP$90,atmos_h,atmos_qms)*AO228^2</f>
        <v>12843.697731322869</v>
      </c>
      <c r="AT228" cm="1">
        <f t="array" ref="AT228">AO228*Linterp(AP$90,atmos_h,atmos_aspeed)</f>
        <v>1627.8601313031122</v>
      </c>
      <c r="AU228" s="162">
        <f t="shared" si="44"/>
        <v>-60875.224568807134</v>
      </c>
      <c r="AW228">
        <v>1.57</v>
      </c>
      <c r="AX228" cm="1">
        <f t="array" ref="AX228">numeng*InterpolateXY(AX$90,AW228,Tmax_h,Tmax_M,Tmax_table)</f>
        <v>5841.6079902345627</v>
      </c>
      <c r="AY228" cm="1">
        <f t="array" ref="AY228">1*AX$91/(S*Linterp(AX$90,atmos_h,atmos_qms)*AW228^2)</f>
        <v>4.3412264513779039E-2</v>
      </c>
      <c r="AZ228" cm="1">
        <f t="array" ref="AZ228">InterpolateXY(AY228,AW228,CD_CL,CD_M,CD_table)</f>
        <v>4.5269808737028031E-2</v>
      </c>
      <c r="BA228" cm="1">
        <f t="array" ref="BA228">AZ228*S*Linterp(AX$90,atmos_h,atmos_qms)*AW228^2</f>
        <v>10427.884664403859</v>
      </c>
      <c r="BB228" cm="1">
        <f t="array" ref="BB228">AW228*Linterp(AX$90,atmos_h,atmos_aspeed)</f>
        <v>1595.0895191437278</v>
      </c>
      <c r="BC228" s="162">
        <f t="shared" si="45"/>
        <v>-43893.131129164787</v>
      </c>
      <c r="BE228">
        <v>1.57</v>
      </c>
      <c r="BF228" cm="1">
        <f t="array" ref="BF228">numeng*InterpolateXY(BF$90,BE228,Tmax_h,Tmax_M,Tmax_table)</f>
        <v>5112.0728495857084</v>
      </c>
      <c r="BG228" cm="1">
        <f t="array" ref="BG228">1*BF$91/(S*Linterp(BF$90,atmos_h,atmos_qms)*BE228^2)</f>
        <v>5.4249326453016083E-2</v>
      </c>
      <c r="BH228" cm="1">
        <f t="array" ref="BH228">InterpolateXY(BG228,BE228,CD_CL,CD_M,CD_table)</f>
        <v>4.5586792798750719E-2</v>
      </c>
      <c r="BI228" cm="1">
        <f t="array" ref="BI228">BH228*S*Linterp(BF$90,atmos_h,atmos_qms)*BE228^2</f>
        <v>8403.1997776474218</v>
      </c>
      <c r="BJ228" cm="1">
        <f t="array" ref="BJ228">BE228*Linterp(BF$90,atmos_h,atmos_aspeed)</f>
        <v>1561.6313717001694</v>
      </c>
      <c r="BK228" s="162">
        <f t="shared" si="46"/>
        <v>-30837.162354650271</v>
      </c>
      <c r="BM228">
        <v>1.57</v>
      </c>
      <c r="BN228" cm="1">
        <f t="array" ref="BN228">numeng*InterpolateXY(BN$90,BM228,Tmax_h,Tmax_M,Tmax_table)</f>
        <v>4428.6664780433939</v>
      </c>
      <c r="BO228" cm="1">
        <f t="array" ref="BO228">1*BN$91/(S*Linterp(BN$90,atmos_h,atmos_qms)*BM228^2)</f>
        <v>6.8463951529282779E-2</v>
      </c>
      <c r="BP228" cm="1">
        <f t="array" ref="BP228">InterpolateXY(BO228,BM228,CD_CL,CD_M,CD_table)</f>
        <v>4.600257058223152E-2</v>
      </c>
      <c r="BQ228" cm="1">
        <f t="array" ref="BQ228">BP228*S*Linterp(BN$90,atmos_h,atmos_qms)*BM228^2</f>
        <v>6719.2397684722773</v>
      </c>
      <c r="BR228" cm="1">
        <f t="array" ref="BR228">BM228*Linterp(BN$90,atmos_h,atmos_aspeed)</f>
        <v>1527.4405088494073</v>
      </c>
      <c r="BS228" s="162">
        <f t="shared" si="47"/>
        <v>-20992.286593737328</v>
      </c>
      <c r="BU228">
        <v>1.57</v>
      </c>
      <c r="BV228" cm="1">
        <f t="array" ref="BV228">numeng*InterpolateXY(BV$90,BU228,Tmax_h,Tmax_M,Tmax_table)</f>
        <v>3672.8487492022282</v>
      </c>
      <c r="BW228" cm="1">
        <f t="array" ref="BW228">1*BV$91/(S*Linterp(BV$90,atmos_h,atmos_qms)*BU228^2)</f>
        <v>8.7039989467425069E-2</v>
      </c>
      <c r="BX228" cm="1">
        <f t="array" ref="BX228">InterpolateXY(BW228,BU228,CD_CL,CD_M,CD_table)</f>
        <v>4.6545919691922184E-2</v>
      </c>
      <c r="BY228" cm="1">
        <f t="array" ref="BY228">BX228*S*Linterp(BV$90,atmos_h,atmos_qms)*BU228^2</f>
        <v>5347.6476705390805</v>
      </c>
      <c r="BZ228" cm="1">
        <f t="array" ref="BZ228">BU228*Linterp(BV$90,atmos_h,atmos_aspeed)</f>
        <v>1519.9178013616511</v>
      </c>
      <c r="CA228" s="162">
        <f t="shared" si="48"/>
        <v>-15273.340165447042</v>
      </c>
      <c r="CC228">
        <v>1.57</v>
      </c>
      <c r="CD228" cm="1">
        <f t="array" ref="CD228">numeng*InterpolateXY(CD$90,CC228,Tmax_h,Tmax_M,Tmax_table)</f>
        <v>2766.6755370311553</v>
      </c>
      <c r="CE228" cm="1">
        <f t="array" ref="CE228">1*CD$91/(S*Linterp(CD$90,atmos_h,atmos_qms)*CC228^2)</f>
        <v>0.11068476013709223</v>
      </c>
      <c r="CF228" cm="1">
        <f t="array" ref="CF228">InterpolateXY(CE228,CC228,CD_CL,CD_M,CD_table)</f>
        <v>4.7862587702029842E-2</v>
      </c>
      <c r="CG228" cm="1">
        <f t="array" ref="CG228">CF228*S*Linterp(CD$90,atmos_h,atmos_qms)*CC228^2</f>
        <v>4324.2256334790864</v>
      </c>
      <c r="CH228" cm="1">
        <f t="array" ref="CH228">CC228*Linterp(CD$90,atmos_h,atmos_aspeed)</f>
        <v>1519.9178013616511</v>
      </c>
      <c r="CI228" s="162">
        <f t="shared" si="49"/>
        <v>-14204.088708622601</v>
      </c>
      <c r="CK228">
        <v>1.57</v>
      </c>
      <c r="CL228" cm="1">
        <f t="array" ref="CL228">numeng*InterpolateXY(CL$90,CK228,Tmax_h,Tmax_M,Tmax_table)</f>
        <v>1984.4518960218436</v>
      </c>
      <c r="CM228" cm="1">
        <f t="array" ref="CM228">1*CL$91/(S*Linterp(CL$90,atmos_h,atmos_qms)*CK228^2)</f>
        <v>0.14075272988389609</v>
      </c>
      <c r="CN228" cm="1">
        <f t="array" ref="CN228">InterpolateXY(CM228,CK228,CD_CL,CD_M,CD_table)</f>
        <v>5.0501052047311881E-2</v>
      </c>
      <c r="CO228" cm="1">
        <f t="array" ref="CO228">CN228*S*Linterp(CL$90,atmos_h,atmos_qms)*CK228^2</f>
        <v>3587.9270042555568</v>
      </c>
      <c r="CP228" cm="1">
        <f t="array" ref="CP228">CK228*Linterp(CL$90,atmos_h,atmos_aspeed)</f>
        <v>1519.9178013616511</v>
      </c>
      <c r="CQ228" s="162">
        <f t="shared" si="50"/>
        <v>-14622.902166268324</v>
      </c>
    </row>
    <row r="229" spans="9:95">
      <c r="I229">
        <v>1.58</v>
      </c>
      <c r="J229" cm="1">
        <f t="array" ref="J229">numeng*InterpolateXY(J$90,I229,Tmax_h,Tmax_M,Tmax_table)</f>
        <v>9292</v>
      </c>
      <c r="K229" cm="1">
        <f t="array" ref="K229">1*J$91/(S*Linterp(J$90,atmos_h,atmos_qms)*I229^2)</f>
        <v>1.5906625275656634E-2</v>
      </c>
      <c r="L229" cm="1">
        <f t="array" ref="L229">InterpolateXY(K229,I229,CD_CL,CD_M,CD_table)</f>
        <v>4.4469245445631869E-2</v>
      </c>
      <c r="M229" cm="1">
        <f t="array" ref="M229">L229*S*Linterp(J$90,atmos_h,atmos_qms)*I229^2</f>
        <v>27956.429899488005</v>
      </c>
      <c r="N229" cm="1">
        <f t="array" ref="N229">I229*Linterp(J$90,atmos_h,atmos_aspeed)</f>
        <v>1763.9910000000002</v>
      </c>
      <c r="O229" s="162">
        <f t="shared" si="40"/>
        <v>-197543.31817696648</v>
      </c>
      <c r="Q229">
        <v>1.58</v>
      </c>
      <c r="R229" cm="1">
        <f t="array" ref="R229">numeng*InterpolateXY(R$90,Q229,Tmax_h,Tmax_M,Tmax_table)</f>
        <v>8823.4808674545784</v>
      </c>
      <c r="S229" cm="1">
        <f t="array" ref="S229">1*R$91/(S*Linterp(R$90,atmos_h,atmos_qms)*Q229^2)</f>
        <v>1.9117458380872941E-2</v>
      </c>
      <c r="T229" cm="1">
        <f t="array" ref="T229">InterpolateXY(S229,Q229,CD_CL,CD_M,CD_table)</f>
        <v>4.4563965022235752E-2</v>
      </c>
      <c r="U229" cm="1">
        <f t="array" ref="U229">T229*S*Linterp(R$90,atmos_h,atmos_qms)*Q229^2</f>
        <v>23310.611763550169</v>
      </c>
      <c r="V229" cm="1">
        <f t="array" ref="V229">Q229*Linterp(R$90,atmos_h,atmos_aspeed)</f>
        <v>1733.4060336649925</v>
      </c>
      <c r="W229" s="162">
        <f t="shared" si="41"/>
        <v>-150672.48063471974</v>
      </c>
      <c r="Y229">
        <v>1.58</v>
      </c>
      <c r="Z229" cm="1">
        <f t="array" ref="Z229">numeng*InterpolateXY(Z$90,Y229,Tmax_h,Tmax_M,Tmax_table)</f>
        <v>8262.0593479141553</v>
      </c>
      <c r="AA229" cm="1">
        <f t="array" ref="AA229">1*Z$91/(S*Linterp(Z$90,atmos_h,atmos_qms)*Y229^2)</f>
        <v>2.3130080690560748E-2</v>
      </c>
      <c r="AB229" cm="1">
        <f t="array" ref="AB229">InterpolateXY(AA229,Y229,CD_CL,CD_M,CD_table)</f>
        <v>4.4682337380371542E-2</v>
      </c>
      <c r="AC229" cm="1">
        <f t="array" ref="AC229">AB229*S*Linterp(Z$90,atmos_h,atmos_qms)*Y229^2</f>
        <v>19317.847602064849</v>
      </c>
      <c r="AD229" cm="1">
        <f t="array" ref="AD229">Y229*Linterp(Z$90,atmos_h,atmos_aspeed)</f>
        <v>1702.2716313830185</v>
      </c>
      <c r="AE229" s="162">
        <f t="shared" si="42"/>
        <v>-112919.72824570989</v>
      </c>
      <c r="AG229">
        <v>1.58</v>
      </c>
      <c r="AH229" cm="1">
        <f t="array" ref="AH229">numeng*InterpolateXY(AH$90,AG229,Tmax_h,Tmax_M,Tmax_table)</f>
        <v>7437.5291438356435</v>
      </c>
      <c r="AI229" cm="1">
        <f t="array" ref="AI229">1*AH$91/(S*Linterp(AH$90,atmos_h,atmos_qms)*AG229^2)</f>
        <v>2.8186221002322338E-2</v>
      </c>
      <c r="AJ229" cm="1">
        <f t="array" ref="AJ229">InterpolateXY(AI229,AG229,CD_CL,CD_M,CD_table)</f>
        <v>4.4831493519568506E-2</v>
      </c>
      <c r="AK229" cm="1">
        <f t="array" ref="AK229">AJ229*S*Linterp(AH$90,atmos_h,atmos_qms)*AG229^2</f>
        <v>15905.46441677113</v>
      </c>
      <c r="AL229" cm="1">
        <f t="array" ref="AL229">AG229*Linterp(AH$90,atmos_h,atmos_aspeed)</f>
        <v>1670.5570736962575</v>
      </c>
      <c r="AM229" s="162">
        <f t="shared" si="43"/>
        <v>-84877.015018826554</v>
      </c>
      <c r="AO229">
        <v>1.58</v>
      </c>
      <c r="AP229" cm="1">
        <f t="array" ref="AP229">numeng*InterpolateXY(AP$90,AO229,Tmax_h,Tmax_M,Tmax_table)</f>
        <v>6634.4983671376403</v>
      </c>
      <c r="AQ229" cm="1">
        <f t="array" ref="AQ229">1*AP$91/(S*Linterp(AP$90,atmos_h,atmos_qms)*AO229^2)</f>
        <v>3.4614067472076515E-2</v>
      </c>
      <c r="AR229" cm="1">
        <f t="array" ref="AR229">InterpolateXY(AQ229,AO229,CD_CL,CD_M,CD_table)</f>
        <v>4.5021114990426256E-2</v>
      </c>
      <c r="AS229" cm="1">
        <f t="array" ref="AS229">AR229*S*Linterp(AP$90,atmos_h,atmos_qms)*AO229^2</f>
        <v>13006.59479754733</v>
      </c>
      <c r="AT229" cm="1">
        <f t="array" ref="AT229">AO229*Linterp(AP$90,atmos_h,atmos_aspeed)</f>
        <v>1638.228667171285</v>
      </c>
      <c r="AU229" s="162">
        <f t="shared" si="44"/>
        <v>-62633.70625366181</v>
      </c>
      <c r="AW229">
        <v>1.58</v>
      </c>
      <c r="AX229" cm="1">
        <f t="array" ref="AX229">numeng*InterpolateXY(AX$90,AW229,Tmax_h,Tmax_M,Tmax_table)</f>
        <v>5863.1174397229997</v>
      </c>
      <c r="AY229" cm="1">
        <f t="array" ref="AY229">1*AX$91/(S*Linterp(AX$90,atmos_h,atmos_qms)*AW229^2)</f>
        <v>4.2864481172894542E-2</v>
      </c>
      <c r="AZ229" cm="1">
        <f t="array" ref="AZ229">InterpolateXY(AY229,AW229,CD_CL,CD_M,CD_table)</f>
        <v>4.5264502194600389E-2</v>
      </c>
      <c r="BA229" cm="1">
        <f t="array" ref="BA229">AZ229*S*Linterp(AX$90,atmos_h,atmos_qms)*AW229^2</f>
        <v>10559.90903331486</v>
      </c>
      <c r="BB229" cm="1">
        <f t="array" ref="BB229">AW229*Linterp(AX$90,atmos_h,atmos_aspeed)</f>
        <v>1605.2493249981464</v>
      </c>
      <c r="BC229" s="162">
        <f t="shared" si="45"/>
        <v>-45237.12921162181</v>
      </c>
      <c r="BE229">
        <v>1.58</v>
      </c>
      <c r="BF229" cm="1">
        <f t="array" ref="BF229">numeng*InterpolateXY(BF$90,BE229,Tmax_h,Tmax_M,Tmax_table)</f>
        <v>5131.5274593762861</v>
      </c>
      <c r="BG229" cm="1">
        <f t="array" ref="BG229">1*BF$91/(S*Linterp(BF$90,atmos_h,atmos_qms)*BE229^2)</f>
        <v>5.3564799220493252E-2</v>
      </c>
      <c r="BH229" cm="1">
        <f t="array" ref="BH229">InterpolateXY(BG229,BE229,CD_CL,CD_M,CD_table)</f>
        <v>4.5580161577004549E-2</v>
      </c>
      <c r="BI229" cm="1">
        <f t="array" ref="BI229">BH229*S*Linterp(BF$90,atmos_h,atmos_qms)*BE229^2</f>
        <v>8509.3498417457213</v>
      </c>
      <c r="BJ229" cm="1">
        <f t="array" ref="BJ229">BE229*Linterp(BF$90,atmos_h,atmos_aspeed)</f>
        <v>1571.5780683352023</v>
      </c>
      <c r="BK229" s="162">
        <f t="shared" si="46"/>
        <v>-31851.069449181407</v>
      </c>
      <c r="BM229">
        <v>1.58</v>
      </c>
      <c r="BN229" cm="1">
        <f t="array" ref="BN229">numeng*InterpolateXY(BN$90,BM229,Tmax_h,Tmax_M,Tmax_table)</f>
        <v>4446.0192154328724</v>
      </c>
      <c r="BO229" cm="1">
        <f t="array" ref="BO229">1*BN$91/(S*Linterp(BN$90,atmos_h,atmos_qms)*BM229^2)</f>
        <v>6.7600061738715383E-2</v>
      </c>
      <c r="BP229" cm="1">
        <f t="array" ref="BP229">InterpolateXY(BO229,BM229,CD_CL,CD_M,CD_table)</f>
        <v>4.5994201821292102E-2</v>
      </c>
      <c r="BQ229" cm="1">
        <f t="array" ref="BQ229">BP229*S*Linterp(BN$90,atmos_h,atmos_qms)*BM229^2</f>
        <v>6803.8697951292943</v>
      </c>
      <c r="BR229" cm="1">
        <f t="array" ref="BR229">BM229*Linterp(BN$90,atmos_h,atmos_aspeed)</f>
        <v>1537.1694292879386</v>
      </c>
      <c r="BS229" s="162">
        <f t="shared" si="47"/>
        <v>-21746.494979629104</v>
      </c>
      <c r="BU229">
        <v>1.58</v>
      </c>
      <c r="BV229" cm="1">
        <f t="array" ref="BV229">numeng*InterpolateXY(BV$90,BU229,Tmax_h,Tmax_M,Tmax_table)</f>
        <v>3687.618918434945</v>
      </c>
      <c r="BW229" cm="1">
        <f t="array" ref="BW229">1*BV$91/(S*Linterp(BV$90,atmos_h,atmos_qms)*BU229^2)</f>
        <v>8.5941704069162003E-2</v>
      </c>
      <c r="BX229" cm="1">
        <f t="array" ref="BX229">InterpolateXY(BW229,BU229,CD_CL,CD_M,CD_table)</f>
        <v>4.653528027004028E-2</v>
      </c>
      <c r="BY229" cm="1">
        <f t="array" ref="BY229">BX229*S*Linterp(BV$90,atmos_h,atmos_qms)*BU229^2</f>
        <v>5414.7495414555415</v>
      </c>
      <c r="BZ229" cm="1">
        <f t="array" ref="BZ229">BU229*Linterp(BV$90,atmos_h,atmos_aspeed)</f>
        <v>1529.5988064658654</v>
      </c>
      <c r="CA229" s="162">
        <f t="shared" si="48"/>
        <v>-15850.901637497705</v>
      </c>
      <c r="CC229">
        <v>1.58</v>
      </c>
      <c r="CD229" cm="1">
        <f t="array" ref="CD229">numeng*InterpolateXY(CD$90,CC229,Tmax_h,Tmax_M,Tmax_table)</f>
        <v>2777.5161352730911</v>
      </c>
      <c r="CE229" cm="1">
        <f t="array" ref="CE229">1*CD$91/(S*Linterp(CD$90,atmos_h,atmos_qms)*CC229^2)</f>
        <v>0.10928812099900601</v>
      </c>
      <c r="CF229" cm="1">
        <f t="array" ref="CF229">InterpolateXY(CE229,CC229,CD_CL,CD_M,CD_table)</f>
        <v>4.7771998708412033E-2</v>
      </c>
      <c r="CG229" cm="1">
        <f t="array" ref="CG229">CF229*S*Linterp(CD$90,atmos_h,atmos_qms)*CC229^2</f>
        <v>4371.1977360143765</v>
      </c>
      <c r="CH229" cm="1">
        <f t="array" ref="CH229">CC229*Linterp(CD$90,atmos_h,atmos_aspeed)</f>
        <v>1529.5988064658654</v>
      </c>
      <c r="CI229" s="162">
        <f t="shared" si="49"/>
        <v>-14626.160846282881</v>
      </c>
      <c r="CK229">
        <v>1.58</v>
      </c>
      <c r="CL229" cm="1">
        <f t="array" ref="CL229">numeng*InterpolateXY(CL$90,CK229,Tmax_h,Tmax_M,Tmax_table)</f>
        <v>1991.7588683299939</v>
      </c>
      <c r="CM229" cm="1">
        <f t="array" ref="CM229">1*CL$91/(S*Linterp(CL$90,atmos_h,atmos_qms)*CK229^2)</f>
        <v>0.1389766879870275</v>
      </c>
      <c r="CN229" cm="1">
        <f t="array" ref="CN229">InterpolateXY(CM229,CK229,CD_CL,CD_M,CD_table)</f>
        <v>5.0399436886851931E-2</v>
      </c>
      <c r="CO229" cm="1">
        <f t="array" ref="CO229">CN229*S*Linterp(CL$90,atmos_h,atmos_qms)*CK229^2</f>
        <v>3626.4669720404022</v>
      </c>
      <c r="CP229" cm="1">
        <f t="array" ref="CP229">CK229*Linterp(CL$90,atmos_h,atmos_aspeed)</f>
        <v>1529.5988064658654</v>
      </c>
      <c r="CQ229" s="162">
        <f t="shared" si="50"/>
        <v>-15002.685386133111</v>
      </c>
    </row>
    <row r="230" spans="9:95">
      <c r="I230">
        <v>1.59</v>
      </c>
      <c r="J230" cm="1">
        <f t="array" ref="J230">numeng*InterpolateXY(J$90,I230,Tmax_h,Tmax_M,Tmax_table)</f>
        <v>9316</v>
      </c>
      <c r="K230" cm="1">
        <f t="array" ref="K230">1*J$91/(S*Linterp(J$90,atmos_h,atmos_qms)*I230^2)</f>
        <v>1.5707171131738945E-2</v>
      </c>
      <c r="L230" cm="1">
        <f t="array" ref="L230">InterpolateXY(K230,I230,CD_CL,CD_M,CD_table)</f>
        <v>4.4467288341169225E-2</v>
      </c>
      <c r="M230" cm="1">
        <f t="array" ref="M230">L230*S*Linterp(J$90,atmos_h,atmos_qms)*I230^2</f>
        <v>28310.182634551998</v>
      </c>
      <c r="N230" cm="1">
        <f t="array" ref="N230">I230*Linterp(J$90,atmos_h,atmos_aspeed)</f>
        <v>1775.1555000000001</v>
      </c>
      <c r="O230" s="162">
        <f t="shared" si="40"/>
        <v>-202305.76663037681</v>
      </c>
      <c r="Q230">
        <v>1.59</v>
      </c>
      <c r="R230" cm="1">
        <f t="array" ref="R230">numeng*InterpolateXY(R$90,Q230,Tmax_h,Tmax_M,Tmax_table)</f>
        <v>8849.330909058448</v>
      </c>
      <c r="S230" cm="1">
        <f t="array" ref="S230">1*R$91/(S*Linterp(R$90,atmos_h,atmos_qms)*Q230^2)</f>
        <v>1.8877743404933037E-2</v>
      </c>
      <c r="T230" cm="1">
        <f t="array" ref="T230">InterpolateXY(S230,Q230,CD_CL,CD_M,CD_table)</f>
        <v>4.4561612866296757E-2</v>
      </c>
      <c r="U230" cm="1">
        <f t="array" ref="U230">T230*S*Linterp(R$90,atmos_h,atmos_qms)*Q230^2</f>
        <v>23605.370573398159</v>
      </c>
      <c r="V230" cm="1">
        <f t="array" ref="V230">Q230*Linterp(R$90,atmos_h,atmos_aspeed)</f>
        <v>1744.376957928695</v>
      </c>
      <c r="W230" s="162">
        <f t="shared" si="41"/>
        <v>-154440.57348453638</v>
      </c>
      <c r="Y230">
        <v>1.59</v>
      </c>
      <c r="Z230" cm="1">
        <f t="array" ref="Z230">numeng*InterpolateXY(Z$90,Y230,Tmax_h,Tmax_M,Tmax_table)</f>
        <v>8288.6444512860635</v>
      </c>
      <c r="AA230" cm="1">
        <f t="array" ref="AA230">1*Z$91/(S*Linterp(Z$90,atmos_h,atmos_qms)*Y230^2)</f>
        <v>2.284005119889081E-2</v>
      </c>
      <c r="AB230" cm="1">
        <f t="array" ref="AB230">InterpolateXY(AA230,Y230,CD_CL,CD_M,CD_table)</f>
        <v>4.4679491523166998E-2</v>
      </c>
      <c r="AC230" cm="1">
        <f t="array" ref="AC230">AB230*S*Linterp(Z$90,atmos_h,atmos_qms)*Y230^2</f>
        <v>19561.905152531701</v>
      </c>
      <c r="AD230" cm="1">
        <f t="array" ref="AD230">Y230*Linterp(Z$90,atmos_h,atmos_aspeed)</f>
        <v>1713.0455024677212</v>
      </c>
      <c r="AE230" s="162">
        <f t="shared" si="42"/>
        <v>-115869.65125448968</v>
      </c>
      <c r="AG230">
        <v>1.59</v>
      </c>
      <c r="AH230" cm="1">
        <f t="array" ref="AH230">numeng*InterpolateXY(AH$90,AG230,Tmax_h,Tmax_M,Tmax_table)</f>
        <v>7462.6984471988781</v>
      </c>
      <c r="AI230" cm="1">
        <f t="array" ref="AI230">1*AH$91/(S*Linterp(AH$90,atmos_h,atmos_qms)*AG230^2)</f>
        <v>2.7832792259086858E-2</v>
      </c>
      <c r="AJ230" cm="1">
        <f t="array" ref="AJ230">InterpolateXY(AI230,AG230,CD_CL,CD_M,CD_table)</f>
        <v>4.482802556970783E-2</v>
      </c>
      <c r="AK230" cm="1">
        <f t="array" ref="AK230">AJ230*S*Linterp(AH$90,atmos_h,atmos_qms)*AG230^2</f>
        <v>16106.19055120938</v>
      </c>
      <c r="AL230" cm="1">
        <f t="array" ref="AL230">AG230*Linterp(AH$90,atmos_h,atmos_aspeed)</f>
        <v>1681.1302197323098</v>
      </c>
      <c r="AM230" s="162">
        <f t="shared" si="43"/>
        <v>-87185.014680417968</v>
      </c>
      <c r="AO230">
        <v>1.59</v>
      </c>
      <c r="AP230" cm="1">
        <f t="array" ref="AP230">numeng*InterpolateXY(AP$90,AO230,Tmax_h,Tmax_M,Tmax_table)</f>
        <v>6657.9418242653346</v>
      </c>
      <c r="AQ230" cm="1">
        <f t="array" ref="AQ230">1*AP$91/(S*Linterp(AP$90,atmos_h,atmos_qms)*AO230^2)</f>
        <v>3.4180039570148257E-2</v>
      </c>
      <c r="AR230" cm="1">
        <f t="array" ref="AR230">InterpolateXY(AQ230,AO230,CD_CL,CD_M,CD_table)</f>
        <v>4.5016856177211906E-2</v>
      </c>
      <c r="AS230" cm="1">
        <f t="array" ref="AS230">AR230*S*Linterp(AP$90,atmos_h,atmos_qms)*AO230^2</f>
        <v>13170.510257843054</v>
      </c>
      <c r="AT230" cm="1">
        <f t="array" ref="AT230">AO230*Linterp(AP$90,atmos_h,atmos_aspeed)</f>
        <v>1648.5972030394578</v>
      </c>
      <c r="AU230" s="162">
        <f t="shared" si="44"/>
        <v>-64419.612625195754</v>
      </c>
      <c r="AW230">
        <v>1.59</v>
      </c>
      <c r="AX230" cm="1">
        <f t="array" ref="AX230">numeng*InterpolateXY(AX$90,AW230,Tmax_h,Tmax_M,Tmax_table)</f>
        <v>5884.6268892114367</v>
      </c>
      <c r="AY230" cm="1">
        <f t="array" ref="AY230">1*AX$91/(S*Linterp(AX$90,atmos_h,atmos_qms)*AW230^2)</f>
        <v>4.2327000830668864E-2</v>
      </c>
      <c r="AZ230" cm="1">
        <f t="array" ref="AZ230">InterpolateXY(AY230,AW230,CD_CL,CD_M,CD_table)</f>
        <v>4.5259228274712397E-2</v>
      </c>
      <c r="BA230" cm="1">
        <f t="array" ref="BA230">AZ230*S*Linterp(AX$90,atmos_h,atmos_qms)*AW230^2</f>
        <v>10692.755779171324</v>
      </c>
      <c r="BB230" cm="1">
        <f t="array" ref="BB230">AW230*Linterp(AX$90,atmos_h,atmos_aspeed)</f>
        <v>1615.4091308525651</v>
      </c>
      <c r="BC230" s="162">
        <f t="shared" si="45"/>
        <v>-46602.571866943261</v>
      </c>
      <c r="BE230">
        <v>1.59</v>
      </c>
      <c r="BF230" cm="1">
        <f t="array" ref="BF230">numeng*InterpolateXY(BF$90,BE230,Tmax_h,Tmax_M,Tmax_table)</f>
        <v>5150.9820691668647</v>
      </c>
      <c r="BG230" cm="1">
        <f t="array" ref="BG230">1*BF$91/(S*Linterp(BF$90,atmos_h,atmos_qms)*BE230^2)</f>
        <v>5.2893146938032258E-2</v>
      </c>
      <c r="BH230" cm="1">
        <f t="array" ref="BH230">InterpolateXY(BG230,BE230,CD_CL,CD_M,CD_table)</f>
        <v>4.5573571121406455E-2</v>
      </c>
      <c r="BI230" cm="1">
        <f t="array" ref="BI230">BH230*S*Linterp(BF$90,atmos_h,atmos_qms)*BE230^2</f>
        <v>8616.158001489086</v>
      </c>
      <c r="BJ230" cm="1">
        <f t="array" ref="BJ230">BE230*Linterp(BF$90,atmos_h,atmos_aspeed)</f>
        <v>1581.5247649702353</v>
      </c>
      <c r="BK230" s="162">
        <f t="shared" si="46"/>
        <v>-32881.569311678504</v>
      </c>
      <c r="BM230">
        <v>1.59</v>
      </c>
      <c r="BN230" cm="1">
        <f t="array" ref="BN230">numeng*InterpolateXY(BN$90,BM230,Tmax_h,Tmax_M,Tmax_table)</f>
        <v>4463.3719528223519</v>
      </c>
      <c r="BO230" cm="1">
        <f t="array" ref="BO230">1*BN$91/(S*Linterp(BN$90,atmos_h,atmos_qms)*BM230^2)</f>
        <v>6.6752420444020841E-2</v>
      </c>
      <c r="BP230" cm="1">
        <f t="array" ref="BP230">InterpolateXY(BO230,BM230,CD_CL,CD_M,CD_table)</f>
        <v>4.5985884508209618E-2</v>
      </c>
      <c r="BQ230" cm="1">
        <f t="array" ref="BQ230">BP230*S*Linterp(BN$90,atmos_h,atmos_qms)*BM230^2</f>
        <v>6889.0212822730191</v>
      </c>
      <c r="BR230" cm="1">
        <f t="array" ref="BR230">BM230*Linterp(BN$90,atmos_h,atmos_aspeed)</f>
        <v>1546.8983497264699</v>
      </c>
      <c r="BS230" s="162">
        <f t="shared" si="47"/>
        <v>-22513.397668454134</v>
      </c>
      <c r="BU230">
        <v>1.59</v>
      </c>
      <c r="BV230" cm="1">
        <f t="array" ref="BV230">numeng*InterpolateXY(BV$90,BU230,Tmax_h,Tmax_M,Tmax_table)</f>
        <v>3702.3890876676614</v>
      </c>
      <c r="BW230" cm="1">
        <f t="array" ref="BW230">1*BV$91/(S*Linterp(BV$90,atmos_h,atmos_qms)*BU230^2)</f>
        <v>8.4864075803273625E-2</v>
      </c>
      <c r="BX230" cm="1">
        <f t="array" ref="BX230">InterpolateXY(BW230,BU230,CD_CL,CD_M,CD_table)</f>
        <v>4.6524706255147388E-2</v>
      </c>
      <c r="BY230" cm="1">
        <f t="array" ref="BY230">BX230*S*Linterp(BV$90,atmos_h,atmos_qms)*BU230^2</f>
        <v>5482.2615829809929</v>
      </c>
      <c r="BZ230" cm="1">
        <f t="array" ref="BZ230">BU230*Linterp(BV$90,atmos_h,atmos_aspeed)</f>
        <v>1539.2798115700798</v>
      </c>
      <c r="CA230" s="162">
        <f t="shared" si="48"/>
        <v>-16438.330795228037</v>
      </c>
      <c r="CC230">
        <v>1.59</v>
      </c>
      <c r="CD230" cm="1">
        <f t="array" ref="CD230">numeng*InterpolateXY(CD$90,CC230,Tmax_h,Tmax_M,Tmax_table)</f>
        <v>2788.3567335150265</v>
      </c>
      <c r="CE230" cm="1">
        <f t="array" ref="CE230">1*CD$91/(S*Linterp(CD$90,atmos_h,atmos_qms)*CC230^2)</f>
        <v>0.10791775058815657</v>
      </c>
      <c r="CF230" cm="1">
        <f t="array" ref="CF230">InterpolateXY(CE230,CC230,CD_CL,CD_M,CD_table)</f>
        <v>4.7681659239992971E-2</v>
      </c>
      <c r="CG230" cm="1">
        <f t="array" ref="CG230">CF230*S*Linterp(CD$90,atmos_h,atmos_qms)*CC230^2</f>
        <v>4418.3333121869009</v>
      </c>
      <c r="CH230" cm="1">
        <f t="array" ref="CH230">CC230*Linterp(CD$90,atmos_h,atmos_aspeed)</f>
        <v>1539.2798115700798</v>
      </c>
      <c r="CI230" s="162">
        <f t="shared" si="49"/>
        <v>-15053.940245290118</v>
      </c>
      <c r="CK230">
        <v>1.59</v>
      </c>
      <c r="CL230" cm="1">
        <f t="array" ref="CL230">numeng*InterpolateXY(CL$90,CK230,Tmax_h,Tmax_M,Tmax_table)</f>
        <v>1999.0658406381444</v>
      </c>
      <c r="CM230" cm="1">
        <f t="array" ref="CM230">1*CL$91/(S*Linterp(CL$90,atmos_h,atmos_qms)*CK230^2)</f>
        <v>0.13723405082505258</v>
      </c>
      <c r="CN230" cm="1">
        <f t="array" ref="CN230">InterpolateXY(CM230,CK230,CD_CL,CD_M,CD_table)</f>
        <v>5.029813903613594E-2</v>
      </c>
      <c r="CO230" cm="1">
        <f t="array" ref="CO230">CN230*S*Linterp(CL$90,atmos_h,atmos_qms)*CK230^2</f>
        <v>3665.1354917925241</v>
      </c>
      <c r="CP230" cm="1">
        <f t="array" ref="CP230">CK230*Linterp(CL$90,atmos_h,atmos_aspeed)</f>
        <v>1539.2798115700798</v>
      </c>
      <c r="CQ230" s="162">
        <f t="shared" si="50"/>
        <v>-15387.284272149253</v>
      </c>
    </row>
    <row r="231" spans="9:95">
      <c r="I231">
        <v>1.6</v>
      </c>
      <c r="J231" cm="1">
        <f t="array" ref="J231">numeng*InterpolateXY(J$90,I231,Tmax_h,Tmax_M,Tmax_table)</f>
        <v>9340</v>
      </c>
      <c r="K231" cm="1">
        <f t="array" ref="K231">1*J$91/(S*Linterp(J$90,atmos_h,atmos_qms)*I231^2)</f>
        <v>1.5511445053964536E-2</v>
      </c>
      <c r="L231" cm="1">
        <f t="array" ref="L231">InterpolateXY(K231,I231,CD_CL,CD_M,CD_table)</f>
        <v>4.4465343351618933E-2</v>
      </c>
      <c r="M231" cm="1">
        <f t="array" ref="M231">L231*S*Linterp(J$90,atmos_h,atmos_qms)*I231^2</f>
        <v>28666.1514752</v>
      </c>
      <c r="N231" cm="1">
        <f t="array" ref="N231">I231*Linterp(J$90,atmos_h,atmos_aspeed)</f>
        <v>1786.3200000000002</v>
      </c>
      <c r="O231" s="162">
        <f t="shared" si="40"/>
        <v>-207136.14541907559</v>
      </c>
      <c r="Q231">
        <v>1.6</v>
      </c>
      <c r="R231" cm="1">
        <f t="array" ref="R231">numeng*InterpolateXY(R$90,Q231,Tmax_h,Tmax_M,Tmax_table)</f>
        <v>8875.1809506623194</v>
      </c>
      <c r="S231" cm="1">
        <f t="array" ref="S231">1*R$91/(S*Linterp(R$90,atmos_h,atmos_qms)*Q231^2)</f>
        <v>1.8642509024223129E-2</v>
      </c>
      <c r="T231" cm="1">
        <f t="array" ref="T231">InterpolateXY(S231,Q231,CD_CL,CD_M,CD_table)</f>
        <v>4.4559275270726693E-2</v>
      </c>
      <c r="U231" cm="1">
        <f t="array" ref="U231">T231*S*Linterp(R$90,atmos_h,atmos_qms)*Q231^2</f>
        <v>23901.973287409241</v>
      </c>
      <c r="V231" cm="1">
        <f t="array" ref="V231">Q231*Linterp(R$90,atmos_h,atmos_aspeed)</f>
        <v>1755.3478821923975</v>
      </c>
      <c r="W231" s="162">
        <f t="shared" si="41"/>
        <v>-158263.48862672193</v>
      </c>
      <c r="Y231">
        <v>1.6</v>
      </c>
      <c r="Z231" cm="1">
        <f t="array" ref="Z231">numeng*InterpolateXY(Z$90,Y231,Tmax_h,Tmax_M,Tmax_table)</f>
        <v>8315.2295546579717</v>
      </c>
      <c r="AA231" cm="1">
        <f t="array" ref="AA231">1*Z$91/(S*Linterp(Z$90,atmos_h,atmos_qms)*Y231^2)</f>
        <v>2.2555442748404628E-2</v>
      </c>
      <c r="AB231" cm="1">
        <f t="array" ref="AB231">InterpolateXY(AA231,Y231,CD_CL,CD_M,CD_table)</f>
        <v>4.4676663282452136E-2</v>
      </c>
      <c r="AC231" cm="1">
        <f t="array" ref="AC231">AB231*S*Linterp(Z$90,atmos_h,atmos_qms)*Y231^2</f>
        <v>19807.48672539898</v>
      </c>
      <c r="AD231" cm="1">
        <f t="array" ref="AD231">Y231*Linterp(Z$90,atmos_h,atmos_aspeed)</f>
        <v>1723.8193735524237</v>
      </c>
      <c r="AE231" s="162">
        <f t="shared" si="42"/>
        <v>-118863.45334062069</v>
      </c>
      <c r="AG231">
        <v>1.6</v>
      </c>
      <c r="AH231" cm="1">
        <f t="array" ref="AH231">numeng*InterpolateXY(AH$90,AG231,Tmax_h,Tmax_M,Tmax_table)</f>
        <v>7487.8677505621117</v>
      </c>
      <c r="AI231" cm="1">
        <f t="array" ref="AI231">1*AH$91/(S*Linterp(AH$90,atmos_h,atmos_qms)*AG231^2)</f>
        <v>2.7485969574295891E-2</v>
      </c>
      <c r="AJ231" cm="1">
        <f t="array" ref="AJ231">InterpolateXY(AI231,AG231,CD_CL,CD_M,CD_table)</f>
        <v>4.4824579087228873E-2</v>
      </c>
      <c r="AK231" cm="1">
        <f t="array" ref="AK231">AJ231*S*Linterp(AH$90,atmos_h,atmos_qms)*AG231^2</f>
        <v>16308.167323719796</v>
      </c>
      <c r="AL231" cm="1">
        <f t="array" ref="AL231">AG231*Linterp(AH$90,atmos_h,atmos_aspeed)</f>
        <v>1691.7033657683621</v>
      </c>
      <c r="AM231" s="162">
        <f t="shared" si="43"/>
        <v>-89527.98284997663</v>
      </c>
      <c r="AO231">
        <v>1.6</v>
      </c>
      <c r="AP231" cm="1">
        <f t="array" ref="AP231">numeng*InterpolateXY(AP$90,AO231,Tmax_h,Tmax_M,Tmax_table)</f>
        <v>6681.3852813930298</v>
      </c>
      <c r="AQ231" cm="1">
        <f t="array" ref="AQ231">1*AP$91/(S*Linterp(AP$90,atmos_h,atmos_qms)*AO231^2)</f>
        <v>3.3754124233317112E-2</v>
      </c>
      <c r="AR231" cm="1">
        <f t="array" ref="AR231">InterpolateXY(AQ231,AO231,CD_CL,CD_M,CD_table)</f>
        <v>4.5012623726999511E-2</v>
      </c>
      <c r="AS231" cm="1">
        <f t="array" ref="AS231">AR231*S*Linterp(AP$90,atmos_h,atmos_qms)*AO231^2</f>
        <v>13335.444112210049</v>
      </c>
      <c r="AT231" cm="1">
        <f t="array" ref="AT231">AO231*Linterp(AP$90,atmos_h,atmos_aspeed)</f>
        <v>1658.9657389076303</v>
      </c>
      <c r="AU231" s="162">
        <f t="shared" si="44"/>
        <v>-66233.133750007197</v>
      </c>
      <c r="AW231">
        <v>1.6</v>
      </c>
      <c r="AX231" cm="1">
        <f t="array" ref="AX231">numeng*InterpolateXY(AX$90,AW231,Tmax_h,Tmax_M,Tmax_table)</f>
        <v>5906.1363386998728</v>
      </c>
      <c r="AY231" cm="1">
        <f t="array" ref="AY231">1*AX$91/(S*Linterp(AX$90,atmos_h,atmos_qms)*AW231^2)</f>
        <v>4.1799566718755447E-2</v>
      </c>
      <c r="AZ231" cm="1">
        <f t="array" ref="AZ231">InterpolateXY(AY231,AW231,CD_CL,CD_M,CD_table)</f>
        <v>4.5253987001562662E-2</v>
      </c>
      <c r="BA231" cm="1">
        <f t="array" ref="BA231">AZ231*S*Linterp(AX$90,atmos_h,atmos_qms)*AW231^2</f>
        <v>10826.424901973258</v>
      </c>
      <c r="BB231" cm="1">
        <f t="array" ref="BB231">AW231*Linterp(AX$90,atmos_h,atmos_aspeed)</f>
        <v>1625.5689367069838</v>
      </c>
      <c r="BC231" s="162">
        <f t="shared" si="45"/>
        <v>-47989.609488551097</v>
      </c>
      <c r="BE231">
        <v>1.6</v>
      </c>
      <c r="BF231" cm="1">
        <f t="array" ref="BF231">numeng*InterpolateXY(BF$90,BE231,Tmax_h,Tmax_M,Tmax_table)</f>
        <v>5170.4366789574424</v>
      </c>
      <c r="BG231" cm="1">
        <f t="array" ref="BG231">1*BF$91/(S*Linterp(BF$90,atmos_h,atmos_qms)*BE231^2)</f>
        <v>5.223404873985911E-2</v>
      </c>
      <c r="BH231" cm="1">
        <f t="array" ref="BH231">InterpolateXY(BG231,BE231,CD_CL,CD_M,CD_table)</f>
        <v>4.5567021462195774E-2</v>
      </c>
      <c r="BI231" cm="1">
        <f t="array" ref="BI231">BH231*S*Linterp(BF$90,atmos_h,atmos_qms)*BE231^2</f>
        <v>8723.6242568775233</v>
      </c>
      <c r="BJ231" cm="1">
        <f t="array" ref="BJ231">BE231*Linterp(BF$90,atmos_h,atmos_aspeed)</f>
        <v>1591.4714616052681</v>
      </c>
      <c r="BK231" s="162">
        <f t="shared" si="46"/>
        <v>-33928.77976794092</v>
      </c>
      <c r="BM231">
        <v>1.6</v>
      </c>
      <c r="BN231" cm="1">
        <f t="array" ref="BN231">numeng*InterpolateXY(BN$90,BM231,Tmax_h,Tmax_M,Tmax_table)</f>
        <v>4480.7246902118304</v>
      </c>
      <c r="BO231" cm="1">
        <f t="array" ref="BO231">1*BN$91/(S*Linterp(BN$90,atmos_h,atmos_qms)*BM231^2)</f>
        <v>6.5920622704894169E-2</v>
      </c>
      <c r="BP231" cm="1">
        <f t="array" ref="BP231">InterpolateXY(BO231,BM231,CD_CL,CD_M,CD_table)</f>
        <v>4.5977618681146824E-2</v>
      </c>
      <c r="BQ231" cm="1">
        <f t="array" ref="BQ231">BP231*S*Linterp(BN$90,atmos_h,atmos_qms)*BM231^2</f>
        <v>6974.6942299034572</v>
      </c>
      <c r="BR231" cm="1">
        <f t="array" ref="BR231">BM231*Linterp(BN$90,atmos_h,atmos_aspeed)</f>
        <v>1556.6272701650012</v>
      </c>
      <c r="BS231" s="162">
        <f t="shared" si="47"/>
        <v>-23293.085978669049</v>
      </c>
      <c r="BU231">
        <v>1.6</v>
      </c>
      <c r="BV231" cm="1">
        <f t="array" ref="BV231">numeng*InterpolateXY(BV$90,BU231,Tmax_h,Tmax_M,Tmax_table)</f>
        <v>3717.1592569003783</v>
      </c>
      <c r="BW231" cm="1">
        <f t="array" ref="BW231">1*BV$91/(S*Linterp(BV$90,atmos_h,atmos_qms)*BU231^2)</f>
        <v>8.380658985869377E-2</v>
      </c>
      <c r="BX231" cm="1">
        <f t="array" ref="BX231">InterpolateXY(BW231,BU231,CD_CL,CD_M,CD_table)</f>
        <v>4.651419769576081E-2</v>
      </c>
      <c r="BY231" cm="1">
        <f t="array" ref="BY231">BX231*S*Linterp(BV$90,atmos_h,atmos_qms)*BU231^2</f>
        <v>5550.1837951154403</v>
      </c>
      <c r="BZ231" cm="1">
        <f t="array" ref="BZ231">BU231*Linterp(BV$90,atmos_h,atmos_aspeed)</f>
        <v>1548.9608166742942</v>
      </c>
      <c r="CA231" s="162">
        <f t="shared" si="48"/>
        <v>-17035.69911418574</v>
      </c>
      <c r="CC231">
        <v>1.6</v>
      </c>
      <c r="CD231" cm="1">
        <f t="array" ref="CD231">numeng*InterpolateXY(CD$90,CC231,Tmax_h,Tmax_M,Tmax_table)</f>
        <v>2799.1973317569623</v>
      </c>
      <c r="CE231" cm="1">
        <f t="array" ref="CE231">1*CD$91/(S*Linterp(CD$90,atmos_h,atmos_qms)*CC231^2)</f>
        <v>0.10657299424293695</v>
      </c>
      <c r="CF231" cm="1">
        <f t="array" ref="CF231">InterpolateXY(CE231,CC231,CD_CL,CD_M,CD_table)</f>
        <v>4.7591569481864326E-2</v>
      </c>
      <c r="CG231" cm="1">
        <f t="array" ref="CG231">CF231*S*Linterp(CD$90,atmos_h,atmos_qms)*CC231^2</f>
        <v>4465.6312623982067</v>
      </c>
      <c r="CH231" cm="1">
        <f t="array" ref="CH231">CC231*Linterp(CD$90,atmos_h,atmos_aspeed)</f>
        <v>1548.9608166742942</v>
      </c>
      <c r="CI231" s="162">
        <f t="shared" si="49"/>
        <v>-15487.445172838896</v>
      </c>
      <c r="CK231">
        <v>1.6</v>
      </c>
      <c r="CL231" cm="1">
        <f t="array" ref="CL231">numeng*InterpolateXY(CL$90,CK231,Tmax_h,Tmax_M,Tmax_table)</f>
        <v>2006.3728129462947</v>
      </c>
      <c r="CM231" cm="1">
        <f t="array" ref="CM231">1*CL$91/(S*Linterp(CL$90,atmos_h,atmos_qms)*CK231^2)</f>
        <v>0.13552398589484979</v>
      </c>
      <c r="CN231" cm="1">
        <f t="array" ref="CN231">InterpolateXY(CM231,CK231,CD_CL,CD_M,CD_table)</f>
        <v>5.0197158730536477E-2</v>
      </c>
      <c r="CO231" cm="1">
        <f t="array" ref="CO231">CN231*S*Linterp(CL$90,atmos_h,atmos_qms)*CK231^2</f>
        <v>3703.9316988125934</v>
      </c>
      <c r="CP231" cm="1">
        <f t="array" ref="CP231">CK231*Linterp(CL$90,atmos_h,atmos_aspeed)</f>
        <v>1548.9608166742942</v>
      </c>
      <c r="CQ231" s="162">
        <f t="shared" si="50"/>
        <v>-15776.713189225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DC7F4-BB2D-4F94-935C-04C36204A605}">
  <sheetPr codeName="Sheet39">
    <tabColor theme="9" tint="0.39997558519241921"/>
  </sheetPr>
  <dimension ref="B1:E19"/>
  <sheetViews>
    <sheetView topLeftCell="D1" workbookViewId="0">
      <selection activeCell="V14" sqref="V14"/>
    </sheetView>
  </sheetViews>
  <sheetFormatPr defaultRowHeight="14.5"/>
  <cols>
    <col min="1" max="1" width="2.7265625" customWidth="1"/>
    <col min="2" max="2" width="41.81640625" customWidth="1"/>
    <col min="3" max="5" width="16.7265625" customWidth="1"/>
  </cols>
  <sheetData>
    <row r="1" spans="2:5" ht="15" thickBot="1"/>
    <row r="2" spans="2:5">
      <c r="B2" s="332" t="s">
        <v>412</v>
      </c>
    </row>
    <row r="3" spans="2:5" ht="15" thickBot="1">
      <c r="B3" s="333" t="s">
        <v>418</v>
      </c>
    </row>
    <row r="4" spans="2:5" ht="15" thickBot="1"/>
    <row r="5" spans="2:5" ht="16" thickBot="1">
      <c r="B5" s="292"/>
      <c r="C5" s="293" t="s">
        <v>108</v>
      </c>
      <c r="D5" s="293" t="s">
        <v>111</v>
      </c>
      <c r="E5" s="293" t="s">
        <v>182</v>
      </c>
    </row>
    <row r="6" spans="2:5" ht="16" thickBot="1">
      <c r="B6" s="294"/>
      <c r="C6" s="295" t="s">
        <v>200</v>
      </c>
      <c r="D6" s="295" t="s">
        <v>78</v>
      </c>
      <c r="E6" s="295" t="s">
        <v>203</v>
      </c>
    </row>
    <row r="7" spans="2:5" ht="16" thickBot="1">
      <c r="B7" s="294"/>
      <c r="C7" s="296" t="s">
        <v>81</v>
      </c>
      <c r="D7" s="296" t="s">
        <v>125</v>
      </c>
      <c r="E7" s="296" t="s">
        <v>81</v>
      </c>
    </row>
    <row r="8" spans="2:5" ht="19" thickBot="1">
      <c r="B8" s="286" t="s">
        <v>419</v>
      </c>
      <c r="C8" s="255">
        <f>'12 - Descent'!J2</f>
        <v>13.173412858291647</v>
      </c>
      <c r="D8" s="254">
        <f>'12 - Descent'!J3</f>
        <v>94.848572579699862</v>
      </c>
      <c r="E8" s="255">
        <f>'12 - Descent'!J4</f>
        <v>70.777173846606701</v>
      </c>
    </row>
    <row r="9" spans="2:5" ht="15" thickBot="1"/>
    <row r="10" spans="2:5" ht="15" thickBot="1">
      <c r="C10" s="454" t="s">
        <v>584</v>
      </c>
      <c r="D10" s="459" t="s">
        <v>72</v>
      </c>
      <c r="E10" s="455" t="s">
        <v>586</v>
      </c>
    </row>
    <row r="11" spans="2:5">
      <c r="C11" s="452">
        <v>11.353992743944019</v>
      </c>
      <c r="D11" s="11">
        <v>0.34351968051788229</v>
      </c>
      <c r="E11" s="456">
        <v>0</v>
      </c>
    </row>
    <row r="12" spans="2:5">
      <c r="C12" s="452">
        <v>11.399870711296671</v>
      </c>
      <c r="D12" s="11">
        <v>0.37395429886123693</v>
      </c>
      <c r="E12" s="456">
        <v>5000</v>
      </c>
    </row>
    <row r="13" spans="2:5">
      <c r="C13" s="452">
        <v>11.402236614556671</v>
      </c>
      <c r="D13" s="11">
        <v>0.41354230143706827</v>
      </c>
      <c r="E13" s="456">
        <v>10000</v>
      </c>
    </row>
    <row r="14" spans="2:5">
      <c r="C14" s="452">
        <v>11.450201096523188</v>
      </c>
      <c r="D14" s="11">
        <v>0.45399460003774728</v>
      </c>
      <c r="E14" s="456">
        <v>15000</v>
      </c>
    </row>
    <row r="15" spans="2:5">
      <c r="C15" s="452">
        <v>11.477158926653942</v>
      </c>
      <c r="D15" s="11">
        <v>0.50388938697630759</v>
      </c>
      <c r="E15" s="456">
        <v>20000</v>
      </c>
    </row>
    <row r="16" spans="2:5">
      <c r="C16" s="452">
        <v>11.500069716214199</v>
      </c>
      <c r="D16" s="11">
        <v>0.56271397325226369</v>
      </c>
      <c r="E16" s="456">
        <v>25000</v>
      </c>
    </row>
    <row r="17" spans="3:5">
      <c r="C17" s="452">
        <v>11.576301811494375</v>
      </c>
      <c r="D17" s="11">
        <v>0.62427768439285669</v>
      </c>
      <c r="E17" s="456">
        <v>30000</v>
      </c>
    </row>
    <row r="18" spans="3:5">
      <c r="C18" s="452">
        <v>11.620460201037844</v>
      </c>
      <c r="D18" s="11">
        <v>0.70393716407108065</v>
      </c>
      <c r="E18" s="456">
        <v>35000</v>
      </c>
    </row>
    <row r="19" spans="3:5" ht="15" thickBot="1">
      <c r="C19" s="453">
        <v>11.68696752558796</v>
      </c>
      <c r="D19" s="457">
        <v>0.79386214348448114</v>
      </c>
      <c r="E19" s="458">
        <v>40000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7AFA2-FBE7-4142-B4E3-08F16746ECF6}">
  <sheetPr codeName="Sheet27">
    <tabColor theme="9" tint="0.39997558519241921"/>
  </sheetPr>
  <dimension ref="B1:AC50"/>
  <sheetViews>
    <sheetView topLeftCell="H1" workbookViewId="0">
      <selection activeCell="R9" sqref="R9"/>
    </sheetView>
  </sheetViews>
  <sheetFormatPr defaultRowHeight="14.5"/>
  <cols>
    <col min="1" max="1" width="2.7265625" customWidth="1"/>
    <col min="2" max="15" width="10.7265625" customWidth="1"/>
    <col min="16" max="16" width="12.7265625" customWidth="1"/>
    <col min="17" max="25" width="10.7265625" customWidth="1"/>
  </cols>
  <sheetData>
    <row r="1" spans="2:29" ht="15" thickBot="1"/>
    <row r="2" spans="2:29">
      <c r="B2" s="615" t="s">
        <v>412</v>
      </c>
      <c r="C2" s="616"/>
      <c r="D2" s="617"/>
      <c r="E2" s="55"/>
      <c r="F2" t="s">
        <v>6</v>
      </c>
      <c r="G2" s="8">
        <v>10000</v>
      </c>
      <c r="H2" t="s">
        <v>5</v>
      </c>
      <c r="I2" s="123" t="s">
        <v>108</v>
      </c>
      <c r="J2" s="124">
        <f>S48/60</f>
        <v>13.173412858291647</v>
      </c>
      <c r="K2" s="125" t="s">
        <v>181</v>
      </c>
      <c r="V2" s="8"/>
    </row>
    <row r="3" spans="2:29" ht="15" thickBot="1">
      <c r="B3" s="618" t="s">
        <v>413</v>
      </c>
      <c r="C3" s="619"/>
      <c r="D3" s="620"/>
      <c r="E3" s="55"/>
      <c r="G3" s="10"/>
      <c r="H3" s="10"/>
      <c r="I3" s="126" t="s">
        <v>111</v>
      </c>
      <c r="J3" s="122">
        <f>V48</f>
        <v>94.848572579699862</v>
      </c>
      <c r="K3" s="127" t="s">
        <v>5</v>
      </c>
      <c r="V3" s="8"/>
    </row>
    <row r="4" spans="2:29" ht="15" thickBot="1">
      <c r="B4" s="55"/>
      <c r="C4" s="55"/>
      <c r="D4" s="55"/>
      <c r="E4" s="55"/>
      <c r="G4" s="8"/>
      <c r="H4" s="8"/>
      <c r="I4" s="128" t="s">
        <v>182</v>
      </c>
      <c r="J4" s="129">
        <f>Z48</f>
        <v>70.777173846606701</v>
      </c>
      <c r="K4" s="130" t="s">
        <v>183</v>
      </c>
      <c r="V4" s="8"/>
    </row>
    <row r="5" spans="2:29" ht="15" thickBot="1">
      <c r="B5" s="55"/>
      <c r="C5" s="55"/>
      <c r="D5" s="55"/>
      <c r="E5" s="55"/>
      <c r="G5" s="8"/>
      <c r="H5" s="8"/>
      <c r="J5" s="9"/>
      <c r="K5" s="9"/>
      <c r="W5" s="8"/>
    </row>
    <row r="6" spans="2:29">
      <c r="B6" s="6" t="s">
        <v>1</v>
      </c>
      <c r="C6" s="6" t="s">
        <v>17</v>
      </c>
      <c r="D6" s="6" t="s">
        <v>0</v>
      </c>
      <c r="E6" s="6" t="s">
        <v>184</v>
      </c>
      <c r="F6" s="6" t="s">
        <v>72</v>
      </c>
      <c r="G6" s="6" t="s">
        <v>185</v>
      </c>
      <c r="H6" s="6" t="s">
        <v>6</v>
      </c>
      <c r="I6" s="6" t="s">
        <v>74</v>
      </c>
      <c r="J6" s="6" t="s">
        <v>75</v>
      </c>
      <c r="K6" s="308" t="s">
        <v>420</v>
      </c>
      <c r="L6" s="6" t="s">
        <v>186</v>
      </c>
      <c r="M6" s="312" t="s">
        <v>407</v>
      </c>
      <c r="N6" s="301" t="s">
        <v>188</v>
      </c>
      <c r="O6" s="301" t="s">
        <v>189</v>
      </c>
      <c r="P6" s="310" t="s">
        <v>190</v>
      </c>
      <c r="Q6" s="6" t="s">
        <v>191</v>
      </c>
      <c r="R6" s="308" t="s">
        <v>192</v>
      </c>
      <c r="S6" s="183" t="s">
        <v>108</v>
      </c>
      <c r="T6" s="312" t="s">
        <v>193</v>
      </c>
      <c r="U6" s="310" t="s">
        <v>110</v>
      </c>
      <c r="V6" s="185" t="s">
        <v>111</v>
      </c>
      <c r="W6" s="6" t="s">
        <v>194</v>
      </c>
      <c r="X6" s="308" t="s">
        <v>195</v>
      </c>
      <c r="Y6" s="6" t="s">
        <v>182</v>
      </c>
      <c r="Z6" s="187" t="s">
        <v>182</v>
      </c>
      <c r="AC6" s="183" t="s">
        <v>108</v>
      </c>
    </row>
    <row r="7" spans="2:29">
      <c r="B7" s="6" t="s">
        <v>30</v>
      </c>
      <c r="C7" s="6" t="s">
        <v>69</v>
      </c>
      <c r="D7" s="6" t="s">
        <v>196</v>
      </c>
      <c r="E7" s="6" t="s">
        <v>197</v>
      </c>
      <c r="F7" s="5"/>
      <c r="G7" s="6" t="s">
        <v>69</v>
      </c>
      <c r="H7" s="6" t="s">
        <v>78</v>
      </c>
      <c r="I7" s="5"/>
      <c r="J7" s="5"/>
      <c r="K7" s="331"/>
      <c r="L7" s="6" t="s">
        <v>78</v>
      </c>
      <c r="M7" s="317" t="s">
        <v>78</v>
      </c>
      <c r="N7" s="316" t="s">
        <v>69</v>
      </c>
      <c r="O7" s="316" t="s">
        <v>198</v>
      </c>
      <c r="P7" s="318" t="s">
        <v>69</v>
      </c>
      <c r="Q7" s="6" t="s">
        <v>199</v>
      </c>
      <c r="R7" s="330" t="s">
        <v>112</v>
      </c>
      <c r="S7" s="183" t="s">
        <v>112</v>
      </c>
      <c r="T7" s="317" t="s">
        <v>227</v>
      </c>
      <c r="U7" s="318" t="s">
        <v>78</v>
      </c>
      <c r="V7" s="185" t="s">
        <v>78</v>
      </c>
      <c r="W7" s="6" t="s">
        <v>69</v>
      </c>
      <c r="X7" s="330" t="s">
        <v>30</v>
      </c>
      <c r="Y7" s="6" t="s">
        <v>30</v>
      </c>
      <c r="Z7" s="187" t="s">
        <v>203</v>
      </c>
      <c r="AC7" s="183" t="s">
        <v>200</v>
      </c>
    </row>
    <row r="8" spans="2:29">
      <c r="B8" s="120">
        <v>40000</v>
      </c>
      <c r="C8" s="7" cm="1">
        <f t="array" ref="C8">Linterp(B8,atmos_h,atmos_aspeed)</f>
        <v>968.1005104214338</v>
      </c>
      <c r="D8" s="7" cm="1">
        <f t="array" ref="D8">Linterp(B8,atmos_h,atmos_qms)</f>
        <v>274.17821456777654</v>
      </c>
      <c r="E8" s="16">
        <f>F8*C8*3600/6076.4</f>
        <v>455.06013460044039</v>
      </c>
      <c r="F8" s="11">
        <v>0.79339999999999999</v>
      </c>
      <c r="G8" s="7">
        <f t="shared" ref="G8:G48" si="0">F8*C8</f>
        <v>768.09094496836553</v>
      </c>
      <c r="H8" s="121">
        <f>G2</f>
        <v>10000</v>
      </c>
      <c r="I8" s="11">
        <f>H8/(D8*F8*F8*_xlfn.SINGLE(S))</f>
        <v>0.34082680417937533</v>
      </c>
      <c r="J8" s="11">
        <f>InterpolateXY(I8,F8,CD_CL,CD_M,CD_table)</f>
        <v>2.9180377839574247E-2</v>
      </c>
      <c r="K8" s="176">
        <f>I8/J8</f>
        <v>11.679999692024143</v>
      </c>
      <c r="L8" s="12">
        <f t="shared" ref="L8:L48" si="1">J8*D8*F8*F8*_xlfn.SINGLE(S)</f>
        <v>856.1644061368122</v>
      </c>
      <c r="M8" s="314">
        <f t="shared" ref="M8:M48" si="2">numeng*(-100)</f>
        <v>-200</v>
      </c>
      <c r="N8" s="16">
        <f>(M8-L8)*G8/H8</f>
        <v>-81.123031675157677</v>
      </c>
      <c r="O8" s="322"/>
      <c r="P8" s="170">
        <f>N8/(1+(G8/32.174)*O8)</f>
        <v>-81.123031675157677</v>
      </c>
      <c r="Q8" s="7">
        <f t="shared" ref="Q8:Q48" si="3">ASIN(P8/G8)*180/PI()</f>
        <v>-6.0626834934724148</v>
      </c>
      <c r="R8" s="176">
        <v>0</v>
      </c>
      <c r="S8" s="7">
        <v>0</v>
      </c>
      <c r="T8" s="277">
        <f t="shared" ref="T8:T48" si="4">numeng*216/3600</f>
        <v>0.12</v>
      </c>
      <c r="U8" s="170">
        <f>R8*AVERAGE(T8:T9)</f>
        <v>0</v>
      </c>
      <c r="V8" s="16">
        <v>0</v>
      </c>
      <c r="W8" s="16">
        <f t="shared" ref="W8:W48" si="5">G8*COS(Q8*PI()/180)</f>
        <v>763.79496821740588</v>
      </c>
      <c r="X8" s="172">
        <f>AVERAGE(W8:W9)*R8</f>
        <v>0</v>
      </c>
      <c r="Y8" s="16">
        <v>0</v>
      </c>
      <c r="Z8" s="7">
        <f>Y8/6076.4</f>
        <v>0</v>
      </c>
      <c r="AC8">
        <f>S8/60</f>
        <v>0</v>
      </c>
    </row>
    <row r="9" spans="2:29">
      <c r="B9" s="120">
        <v>39000</v>
      </c>
      <c r="C9" s="7" cm="1">
        <f t="array" ref="C9">Linterp(B9,atmos_h,atmos_aspeed)</f>
        <v>968.1005104214338</v>
      </c>
      <c r="D9" s="7" cm="1">
        <f t="array" ref="D9">Linterp(B9,atmos_h,atmos_qms)</f>
        <v>287.67806156264714</v>
      </c>
      <c r="E9" s="16">
        <f t="shared" ref="E9:E48" si="6">F9*C9*3600/6076.4</f>
        <v>445.95204922426825</v>
      </c>
      <c r="F9" s="11">
        <v>0.77751999999999999</v>
      </c>
      <c r="G9" s="7">
        <f t="shared" si="0"/>
        <v>752.71750886287316</v>
      </c>
      <c r="H9" s="121">
        <f t="shared" ref="H9:H48" si="7">H8-U8</f>
        <v>10000</v>
      </c>
      <c r="I9" s="11">
        <f t="shared" ref="I9:I48" si="8">H9/(D9*F9*F9*_xlfn.SINGLE(S))</f>
        <v>0.3382370646684637</v>
      </c>
      <c r="J9" s="11">
        <f t="shared" ref="J9:J48" si="9">InterpolateXY(I9,F9,CD_CL,CD_M,CD_table)</f>
        <v>2.9001721504312676E-2</v>
      </c>
      <c r="K9" s="176">
        <f t="shared" ref="K9:K48" si="10">I9/J9</f>
        <v>11.662654736484056</v>
      </c>
      <c r="L9" s="12">
        <f t="shared" si="1"/>
        <v>857.43771259190191</v>
      </c>
      <c r="M9" s="314">
        <f t="shared" si="2"/>
        <v>-200</v>
      </c>
      <c r="N9" s="16">
        <f>(M9-L9)*G9/H9</f>
        <v>-79.595188079983117</v>
      </c>
      <c r="O9" s="11">
        <f>(G9-G8)/(B9-B8)</f>
        <v>1.5373436105492374E-2</v>
      </c>
      <c r="P9" s="170">
        <f>N9/(1+(G9/32.174)*O9)</f>
        <v>-58.540303050816064</v>
      </c>
      <c r="Q9" s="7">
        <f t="shared" si="3"/>
        <v>-4.4605083630580395</v>
      </c>
      <c r="R9" s="176">
        <f>(B9-B8)/AVERAGE(P8:P9)</f>
        <v>14.320150696130069</v>
      </c>
      <c r="S9" s="7">
        <f>S8+R9</f>
        <v>14.320150696130069</v>
      </c>
      <c r="T9" s="277">
        <f t="shared" si="4"/>
        <v>0.12</v>
      </c>
      <c r="U9" s="170">
        <f>R9*AVERAGE(T8:T9)</f>
        <v>1.7184180835356082</v>
      </c>
      <c r="V9" s="16">
        <f>V8+U9</f>
        <v>1.7184180835356082</v>
      </c>
      <c r="W9" s="16">
        <f t="shared" si="5"/>
        <v>750.43765968096784</v>
      </c>
      <c r="X9" s="172">
        <f>AVERAGE(W8:W9)*R9</f>
        <v>10842.019710250881</v>
      </c>
      <c r="Y9" s="16">
        <f>Y8+X9</f>
        <v>10842.019710250881</v>
      </c>
      <c r="Z9" s="7">
        <f t="shared" ref="Z9:Z48" si="11">Y9/6076.4</f>
        <v>1.7842834096259104</v>
      </c>
      <c r="AC9">
        <f t="shared" ref="AC9:AC48" si="12">S9/60</f>
        <v>0.23866917826883449</v>
      </c>
    </row>
    <row r="10" spans="2:29">
      <c r="B10" s="120">
        <v>38000</v>
      </c>
      <c r="C10" s="7" cm="1">
        <f t="array" ref="C10">Linterp(B10,atmos_h,atmos_aspeed)</f>
        <v>968.1005104214338</v>
      </c>
      <c r="D10" s="7" cm="1">
        <f t="array" ref="D10">Linterp(B10,atmos_h,atmos_qms)</f>
        <v>301.84260713385146</v>
      </c>
      <c r="E10" s="16">
        <f t="shared" si="6"/>
        <v>436.84396384809605</v>
      </c>
      <c r="F10" s="11">
        <v>0.76163999999999998</v>
      </c>
      <c r="G10" s="7">
        <f t="shared" si="0"/>
        <v>737.34407275738079</v>
      </c>
      <c r="H10" s="121">
        <f t="shared" si="7"/>
        <v>9998.2815819164643</v>
      </c>
      <c r="I10" s="11">
        <f t="shared" si="8"/>
        <v>0.33588948628562582</v>
      </c>
      <c r="J10" s="11">
        <f t="shared" si="9"/>
        <v>2.88427407607071E-2</v>
      </c>
      <c r="K10" s="176">
        <f t="shared" si="10"/>
        <v>11.645546762435737</v>
      </c>
      <c r="L10" s="12">
        <f t="shared" si="1"/>
        <v>858.54977751386093</v>
      </c>
      <c r="M10" s="314">
        <f t="shared" si="2"/>
        <v>-200</v>
      </c>
      <c r="N10" s="16">
        <f t="shared" ref="N10:N48" si="13">(M10-L10)*G10/H10</f>
        <v>-78.064955239926434</v>
      </c>
      <c r="O10" s="11">
        <f t="shared" ref="O10:O48" si="14">(G10-G9)/(B10-B9)</f>
        <v>1.5373436105492374E-2</v>
      </c>
      <c r="P10" s="170">
        <f t="shared" ref="P10:P48" si="15">N10/(1+(G10/32.174)*O10)</f>
        <v>-57.726730431943103</v>
      </c>
      <c r="Q10" s="7">
        <f t="shared" si="3"/>
        <v>-4.4902865432409591</v>
      </c>
      <c r="R10" s="176">
        <f t="shared" ref="R10:R48" si="16">(B10-B9)/AVERAGE(P9:P10)</f>
        <v>17.201780591542942</v>
      </c>
      <c r="S10" s="7">
        <f t="shared" ref="S10:S47" si="17">S9+R10</f>
        <v>31.521931287673013</v>
      </c>
      <c r="T10" s="277">
        <f t="shared" si="4"/>
        <v>0.12</v>
      </c>
      <c r="U10" s="170">
        <f t="shared" ref="U10:U48" si="18">R10*AVERAGE(T9:T10)</f>
        <v>2.0642136709851528</v>
      </c>
      <c r="V10" s="16">
        <f t="shared" ref="V10:V48" si="19">V9+U10</f>
        <v>3.7826317545207608</v>
      </c>
      <c r="W10" s="16">
        <f t="shared" si="5"/>
        <v>735.0808841373032</v>
      </c>
      <c r="X10" s="172">
        <f t="shared" ref="X10:X48" si="20">AVERAGE(W9:W10)*R10</f>
        <v>12776.782027715135</v>
      </c>
      <c r="Y10" s="16">
        <f t="shared" ref="Y10:Y48" si="21">Y9+X10</f>
        <v>23618.801737966016</v>
      </c>
      <c r="Z10" s="7">
        <f t="shared" si="11"/>
        <v>3.8869728355549369</v>
      </c>
      <c r="AC10">
        <f t="shared" si="12"/>
        <v>0.52536552146121684</v>
      </c>
    </row>
    <row r="11" spans="2:29">
      <c r="B11" s="120">
        <v>37000</v>
      </c>
      <c r="C11" s="7" cm="1">
        <f t="array" ref="C11">Linterp(B11,atmos_h,atmos_aspeed)</f>
        <v>968.1005104214338</v>
      </c>
      <c r="D11" s="7" cm="1">
        <f t="array" ref="D11">Linterp(B11,atmos_h,atmos_qms)</f>
        <v>316.70457937064464</v>
      </c>
      <c r="E11" s="16">
        <f t="shared" si="6"/>
        <v>427.73587847192385</v>
      </c>
      <c r="F11" s="11">
        <v>0.74575999999999998</v>
      </c>
      <c r="G11" s="7">
        <f t="shared" si="0"/>
        <v>721.97063665188841</v>
      </c>
      <c r="H11" s="121">
        <f t="shared" si="7"/>
        <v>9996.2173682454795</v>
      </c>
      <c r="I11" s="11">
        <f t="shared" si="8"/>
        <v>0.33383683605197406</v>
      </c>
      <c r="J11" s="11">
        <f t="shared" si="9"/>
        <v>2.8707722929222895E-2</v>
      </c>
      <c r="K11" s="176">
        <f t="shared" si="10"/>
        <v>11.628816290133077</v>
      </c>
      <c r="L11" s="12">
        <f t="shared" si="1"/>
        <v>859.6074715469673</v>
      </c>
      <c r="M11" s="314">
        <f t="shared" si="2"/>
        <v>-200</v>
      </c>
      <c r="N11" s="16">
        <f t="shared" si="13"/>
        <v>-76.529496373700226</v>
      </c>
      <c r="O11" s="11">
        <f t="shared" si="14"/>
        <v>1.5373436105492374E-2</v>
      </c>
      <c r="P11" s="170">
        <f t="shared" si="15"/>
        <v>-56.900385330544623</v>
      </c>
      <c r="Q11" s="7">
        <f t="shared" si="3"/>
        <v>-4.520317402762891</v>
      </c>
      <c r="R11" s="176">
        <f t="shared" si="16"/>
        <v>17.447878599197114</v>
      </c>
      <c r="S11" s="7">
        <f t="shared" si="17"/>
        <v>48.969809886870124</v>
      </c>
      <c r="T11" s="277">
        <f t="shared" si="4"/>
        <v>0.12</v>
      </c>
      <c r="U11" s="170">
        <f t="shared" si="18"/>
        <v>2.0937454319036535</v>
      </c>
      <c r="V11" s="16">
        <f t="shared" si="19"/>
        <v>5.8763771864244143</v>
      </c>
      <c r="W11" s="16">
        <f t="shared" si="5"/>
        <v>719.724910182195</v>
      </c>
      <c r="X11" s="172">
        <f t="shared" si="20"/>
        <v>12691.637442347565</v>
      </c>
      <c r="Y11" s="16">
        <f t="shared" si="21"/>
        <v>36310.43918031358</v>
      </c>
      <c r="Z11" s="7">
        <f t="shared" si="11"/>
        <v>5.9756499210574656</v>
      </c>
      <c r="AC11">
        <f t="shared" si="12"/>
        <v>0.81616349811450206</v>
      </c>
    </row>
    <row r="12" spans="2:29">
      <c r="B12" s="120">
        <v>36000</v>
      </c>
      <c r="C12" s="7" cm="1">
        <f t="array" ref="C12">Linterp(B12,atmos_h,atmos_aspeed)</f>
        <v>968.47775756209501</v>
      </c>
      <c r="D12" s="7" cm="1">
        <f t="array" ref="D12">Linterp(B12,atmos_h,atmos_qms)</f>
        <v>332.29821090292938</v>
      </c>
      <c r="E12" s="16">
        <f t="shared" si="6"/>
        <v>418.79092299419375</v>
      </c>
      <c r="F12" s="11">
        <v>0.72987999999999997</v>
      </c>
      <c r="G12" s="7">
        <f t="shared" si="0"/>
        <v>706.87254568942183</v>
      </c>
      <c r="H12" s="121">
        <f t="shared" si="7"/>
        <v>9994.1236228135767</v>
      </c>
      <c r="I12" s="11">
        <f t="shared" si="8"/>
        <v>0.33209693391521894</v>
      </c>
      <c r="J12" s="11">
        <f t="shared" si="9"/>
        <v>2.8598115880611542E-2</v>
      </c>
      <c r="K12" s="176">
        <f t="shared" si="10"/>
        <v>11.612545920913913</v>
      </c>
      <c r="L12" s="12">
        <f t="shared" si="1"/>
        <v>860.6315695866831</v>
      </c>
      <c r="M12" s="314">
        <f t="shared" si="2"/>
        <v>-200</v>
      </c>
      <c r="N12" s="16">
        <f t="shared" si="13"/>
        <v>-75.017216709316543</v>
      </c>
      <c r="O12" s="11">
        <f t="shared" si="14"/>
        <v>1.5098090962466585E-2</v>
      </c>
      <c r="P12" s="170">
        <f t="shared" si="15"/>
        <v>-56.331511308808977</v>
      </c>
      <c r="Q12" s="7">
        <f t="shared" si="3"/>
        <v>-4.5708153072072051</v>
      </c>
      <c r="R12" s="176">
        <f t="shared" si="16"/>
        <v>17.662867613796575</v>
      </c>
      <c r="S12" s="7">
        <f t="shared" si="17"/>
        <v>66.632677500666702</v>
      </c>
      <c r="T12" s="277">
        <f t="shared" si="4"/>
        <v>0.12</v>
      </c>
      <c r="U12" s="170">
        <f t="shared" si="18"/>
        <v>2.1195441136555888</v>
      </c>
      <c r="V12" s="16">
        <f t="shared" si="19"/>
        <v>7.9959213000800027</v>
      </c>
      <c r="W12" s="16">
        <f t="shared" si="5"/>
        <v>704.6244082368346</v>
      </c>
      <c r="X12" s="172">
        <f t="shared" si="20"/>
        <v>12579.046723518353</v>
      </c>
      <c r="Y12" s="16">
        <f t="shared" si="21"/>
        <v>48889.485903831934</v>
      </c>
      <c r="Z12" s="7">
        <f t="shared" si="11"/>
        <v>8.045797825000319</v>
      </c>
      <c r="AC12">
        <f t="shared" si="12"/>
        <v>1.1105446250111117</v>
      </c>
    </row>
    <row r="13" spans="2:29">
      <c r="B13" s="120">
        <v>35000</v>
      </c>
      <c r="C13" s="7" cm="1">
        <f t="array" ref="C13">Linterp(B13,atmos_h,atmos_aspeed)</f>
        <v>972.89204385312564</v>
      </c>
      <c r="D13" s="7" cm="1">
        <f t="array" ref="D13">Linterp(B13,atmos_h,atmos_qms)</f>
        <v>348.56984405829382</v>
      </c>
      <c r="E13" s="16">
        <f t="shared" si="6"/>
        <v>411.54659165296459</v>
      </c>
      <c r="F13" s="11">
        <v>0.71399999999999997</v>
      </c>
      <c r="G13" s="7">
        <f t="shared" si="0"/>
        <v>694.64491931113173</v>
      </c>
      <c r="H13" s="121">
        <f t="shared" si="7"/>
        <v>9992.0040786999216</v>
      </c>
      <c r="I13" s="11">
        <f t="shared" si="8"/>
        <v>0.33076339853600617</v>
      </c>
      <c r="J13" s="11">
        <f t="shared" si="9"/>
        <v>2.8521526131050502E-2</v>
      </c>
      <c r="K13" s="176">
        <f t="shared" si="10"/>
        <v>11.596974054481407</v>
      </c>
      <c r="L13" s="12">
        <f t="shared" si="1"/>
        <v>861.60441782127828</v>
      </c>
      <c r="M13" s="314">
        <f t="shared" si="2"/>
        <v>-200</v>
      </c>
      <c r="N13" s="16">
        <f t="shared" si="13"/>
        <v>-73.802823672761377</v>
      </c>
      <c r="O13" s="11">
        <f t="shared" si="14"/>
        <v>1.2227626378290097E-2</v>
      </c>
      <c r="P13" s="170">
        <f t="shared" si="15"/>
        <v>-58.388421081363262</v>
      </c>
      <c r="Q13" s="7">
        <f t="shared" si="3"/>
        <v>-4.8216893933722611</v>
      </c>
      <c r="R13" s="176">
        <f t="shared" si="16"/>
        <v>17.43376201790139</v>
      </c>
      <c r="S13" s="7">
        <f t="shared" si="17"/>
        <v>84.066439518568089</v>
      </c>
      <c r="T13" s="277">
        <f t="shared" si="4"/>
        <v>0.12</v>
      </c>
      <c r="U13" s="170">
        <f t="shared" si="18"/>
        <v>2.0920514421481666</v>
      </c>
      <c r="V13" s="16">
        <f t="shared" si="19"/>
        <v>10.087972742228169</v>
      </c>
      <c r="W13" s="16">
        <f t="shared" si="5"/>
        <v>692.1866483892868</v>
      </c>
      <c r="X13" s="172">
        <f t="shared" si="20"/>
        <v>12175.835772596593</v>
      </c>
      <c r="Y13" s="16">
        <f t="shared" si="21"/>
        <v>61065.321676428524</v>
      </c>
      <c r="Z13" s="7">
        <f t="shared" si="11"/>
        <v>10.049588848072629</v>
      </c>
      <c r="AC13">
        <f t="shared" si="12"/>
        <v>1.4011073253094681</v>
      </c>
    </row>
    <row r="14" spans="2:29">
      <c r="B14" s="120">
        <v>34000</v>
      </c>
      <c r="C14" s="7" cm="1">
        <f t="array" ref="C14">Linterp(B14,atmos_h,atmos_aspeed)</f>
        <v>977.28639154186544</v>
      </c>
      <c r="D14" s="7" cm="1">
        <f t="array" ref="D14">Linterp(B14,atmos_h,atmos_qms)</f>
        <v>365.48073433747794</v>
      </c>
      <c r="E14" s="16">
        <f t="shared" si="6"/>
        <v>405.19525131719143</v>
      </c>
      <c r="F14" s="11">
        <v>0.69982</v>
      </c>
      <c r="G14" s="7">
        <f t="shared" si="0"/>
        <v>683.92456252882823</v>
      </c>
      <c r="H14" s="121">
        <f t="shared" si="7"/>
        <v>9989.9120272577729</v>
      </c>
      <c r="I14" s="11">
        <f t="shared" si="8"/>
        <v>0.3283035309852177</v>
      </c>
      <c r="J14" s="11">
        <f t="shared" si="9"/>
        <v>2.8350021892548941E-2</v>
      </c>
      <c r="K14" s="176">
        <f t="shared" si="10"/>
        <v>11.580362520690105</v>
      </c>
      <c r="L14" s="12">
        <f t="shared" si="1"/>
        <v>862.6596973461975</v>
      </c>
      <c r="M14" s="314">
        <f t="shared" si="2"/>
        <v>-200</v>
      </c>
      <c r="N14" s="16">
        <f t="shared" si="13"/>
        <v>-72.75129817374534</v>
      </c>
      <c r="O14" s="11">
        <f t="shared" si="14"/>
        <v>1.0720356782303497E-2</v>
      </c>
      <c r="P14" s="170">
        <f t="shared" si="15"/>
        <v>-59.249361730636117</v>
      </c>
      <c r="Q14" s="7">
        <f t="shared" si="3"/>
        <v>-4.9698449385814296</v>
      </c>
      <c r="R14" s="176">
        <f t="shared" si="16"/>
        <v>17.001340489358444</v>
      </c>
      <c r="S14" s="7">
        <f t="shared" si="17"/>
        <v>101.06778000792653</v>
      </c>
      <c r="T14" s="277">
        <f t="shared" si="4"/>
        <v>0.12</v>
      </c>
      <c r="U14" s="170">
        <f t="shared" si="18"/>
        <v>2.0401608587230133</v>
      </c>
      <c r="V14" s="16">
        <f t="shared" si="19"/>
        <v>12.128133600951182</v>
      </c>
      <c r="W14" s="16">
        <f t="shared" si="5"/>
        <v>681.35330069264455</v>
      </c>
      <c r="X14" s="172">
        <f t="shared" si="20"/>
        <v>11676.010175038988</v>
      </c>
      <c r="Y14" s="16">
        <f t="shared" si="21"/>
        <v>72741.331851467519</v>
      </c>
      <c r="Z14" s="7">
        <f t="shared" si="11"/>
        <v>11.971123008930867</v>
      </c>
      <c r="AC14">
        <f t="shared" si="12"/>
        <v>1.6844630001321088</v>
      </c>
    </row>
    <row r="15" spans="2:29">
      <c r="B15" s="120">
        <v>33000</v>
      </c>
      <c r="C15" s="7" cm="1">
        <f t="array" ref="C15">Linterp(B15,atmos_h,atmos_aspeed)</f>
        <v>981.66106839027111</v>
      </c>
      <c r="D15" s="7" cm="1">
        <f t="array" ref="D15">Linterp(B15,atmos_h,atmos_qms)</f>
        <v>383.0499203883931</v>
      </c>
      <c r="E15" s="16">
        <f t="shared" si="6"/>
        <v>398.76208639193936</v>
      </c>
      <c r="F15" s="11">
        <v>0.68564000000000003</v>
      </c>
      <c r="G15" s="7">
        <f t="shared" si="0"/>
        <v>673.06609493110557</v>
      </c>
      <c r="H15" s="121">
        <f t="shared" si="7"/>
        <v>9987.8718663990494</v>
      </c>
      <c r="I15" s="11">
        <f t="shared" si="8"/>
        <v>0.32626942074549053</v>
      </c>
      <c r="J15" s="11">
        <f t="shared" si="9"/>
        <v>2.8213110435571107E-2</v>
      </c>
      <c r="K15" s="176">
        <f t="shared" si="10"/>
        <v>11.564461192273569</v>
      </c>
      <c r="L15" s="12">
        <f t="shared" si="1"/>
        <v>863.66945250091999</v>
      </c>
      <c r="M15" s="314">
        <f t="shared" si="2"/>
        <v>-200</v>
      </c>
      <c r="N15" s="16">
        <f t="shared" si="13"/>
        <v>-71.678917618154586</v>
      </c>
      <c r="O15" s="11">
        <f t="shared" si="14"/>
        <v>1.0858467597722665E-2</v>
      </c>
      <c r="P15" s="170">
        <f t="shared" si="15"/>
        <v>-58.410674578406677</v>
      </c>
      <c r="Q15" s="7">
        <f t="shared" si="3"/>
        <v>-4.9785604475462435</v>
      </c>
      <c r="R15" s="176">
        <f t="shared" si="16"/>
        <v>16.998124960176384</v>
      </c>
      <c r="S15" s="7">
        <f t="shared" si="17"/>
        <v>118.06590496810291</v>
      </c>
      <c r="T15" s="277">
        <f t="shared" si="4"/>
        <v>0.12</v>
      </c>
      <c r="U15" s="170">
        <f t="shared" si="18"/>
        <v>2.0397749952211659</v>
      </c>
      <c r="V15" s="16">
        <f t="shared" si="19"/>
        <v>14.167908596172348</v>
      </c>
      <c r="W15" s="16">
        <f t="shared" si="5"/>
        <v>670.52677891423809</v>
      </c>
      <c r="X15" s="172">
        <f t="shared" si="20"/>
        <v>11489.713262165495</v>
      </c>
      <c r="Y15" s="16">
        <f t="shared" si="21"/>
        <v>84231.045113633008</v>
      </c>
      <c r="Z15" s="7">
        <f t="shared" si="11"/>
        <v>13.861998076761408</v>
      </c>
      <c r="AC15">
        <f t="shared" si="12"/>
        <v>1.9677650828017152</v>
      </c>
    </row>
    <row r="16" spans="2:29">
      <c r="B16" s="120">
        <v>32000</v>
      </c>
      <c r="C16" s="7" cm="1">
        <f t="array" ref="C16">Linterp(B16,atmos_h,atmos_aspeed)</f>
        <v>986.01633622031693</v>
      </c>
      <c r="D16" s="7" cm="1">
        <f t="array" ref="D16">Linterp(B16,atmos_h,atmos_qms)</f>
        <v>401.29683019506137</v>
      </c>
      <c r="E16" s="16">
        <f t="shared" si="6"/>
        <v>392.24769679852852</v>
      </c>
      <c r="F16" s="11">
        <v>0.67146000000000006</v>
      </c>
      <c r="G16" s="7">
        <f t="shared" si="0"/>
        <v>662.07052911849405</v>
      </c>
      <c r="H16" s="121">
        <f t="shared" si="7"/>
        <v>9985.8320914038286</v>
      </c>
      <c r="I16" s="11">
        <f t="shared" si="8"/>
        <v>0.32466039771404231</v>
      </c>
      <c r="J16" s="11">
        <f t="shared" si="9"/>
        <v>2.811073731426594E-2</v>
      </c>
      <c r="K16" s="176">
        <f t="shared" si="10"/>
        <v>11.549337681344991</v>
      </c>
      <c r="L16" s="12">
        <f t="shared" si="1"/>
        <v>864.62378769419774</v>
      </c>
      <c r="M16" s="314">
        <f t="shared" si="2"/>
        <v>-200</v>
      </c>
      <c r="N16" s="16">
        <f t="shared" si="13"/>
        <v>-70.585608488009598</v>
      </c>
      <c r="O16" s="11">
        <f t="shared" si="14"/>
        <v>1.0995565812611517E-2</v>
      </c>
      <c r="P16" s="170">
        <f t="shared" si="15"/>
        <v>-57.561478506188116</v>
      </c>
      <c r="Q16" s="7">
        <f t="shared" si="3"/>
        <v>-4.9876844147777613</v>
      </c>
      <c r="R16" s="176">
        <f t="shared" si="16"/>
        <v>17.245519263069291</v>
      </c>
      <c r="S16" s="7">
        <f t="shared" si="17"/>
        <v>135.3114242311722</v>
      </c>
      <c r="T16" s="277">
        <f t="shared" si="4"/>
        <v>0.12</v>
      </c>
      <c r="U16" s="170">
        <f t="shared" si="18"/>
        <v>2.0694623115683148</v>
      </c>
      <c r="V16" s="16">
        <f t="shared" si="19"/>
        <v>16.237370907740662</v>
      </c>
      <c r="W16" s="16">
        <f t="shared" si="5"/>
        <v>659.5635388038246</v>
      </c>
      <c r="X16" s="172">
        <f t="shared" si="20"/>
        <v>11469.049097914402</v>
      </c>
      <c r="Y16" s="16">
        <f t="shared" si="21"/>
        <v>95700.094211547403</v>
      </c>
      <c r="Z16" s="7">
        <f t="shared" si="11"/>
        <v>15.749472419779377</v>
      </c>
      <c r="AC16">
        <f t="shared" si="12"/>
        <v>2.2551904038528701</v>
      </c>
    </row>
    <row r="17" spans="2:29">
      <c r="B17" s="120">
        <v>31000</v>
      </c>
      <c r="C17" s="7" cm="1">
        <f t="array" ref="C17">Linterp(B17,atmos_h,atmos_aspeed)</f>
        <v>990.35245109685331</v>
      </c>
      <c r="D17" s="7" cm="1">
        <f t="array" ref="D17">Linterp(B17,atmos_h,atmos_qms)</f>
        <v>420.24128547087412</v>
      </c>
      <c r="E17" s="16">
        <f t="shared" si="6"/>
        <v>385.65267141810671</v>
      </c>
      <c r="F17" s="11">
        <v>0.65728000000000009</v>
      </c>
      <c r="G17" s="7">
        <f t="shared" si="0"/>
        <v>650.9388590569398</v>
      </c>
      <c r="H17" s="121">
        <f t="shared" si="7"/>
        <v>9983.7626290922599</v>
      </c>
      <c r="I17" s="11">
        <f t="shared" si="8"/>
        <v>0.32347876324963176</v>
      </c>
      <c r="J17" s="11">
        <f t="shared" si="9"/>
        <v>2.8043089514032581E-2</v>
      </c>
      <c r="K17" s="176">
        <f t="shared" si="10"/>
        <v>11.535061537629979</v>
      </c>
      <c r="L17" s="12">
        <f t="shared" si="1"/>
        <v>865.51446617973988</v>
      </c>
      <c r="M17" s="314">
        <f t="shared" si="2"/>
        <v>-200</v>
      </c>
      <c r="N17" s="16">
        <f t="shared" si="13"/>
        <v>-69.471280186753205</v>
      </c>
      <c r="O17" s="11">
        <f t="shared" si="14"/>
        <v>1.1131670061554246E-2</v>
      </c>
      <c r="P17" s="170">
        <f t="shared" si="15"/>
        <v>-56.701341779149431</v>
      </c>
      <c r="Q17" s="7">
        <f t="shared" si="3"/>
        <v>-4.9971975195076315</v>
      </c>
      <c r="R17" s="176">
        <f t="shared" si="16"/>
        <v>17.50350634620774</v>
      </c>
      <c r="S17" s="7">
        <f t="shared" si="17"/>
        <v>152.81493057737993</v>
      </c>
      <c r="T17" s="277">
        <f t="shared" si="4"/>
        <v>0.12</v>
      </c>
      <c r="U17" s="170">
        <f t="shared" si="18"/>
        <v>2.1004207615449286</v>
      </c>
      <c r="V17" s="16">
        <f t="shared" si="19"/>
        <v>18.33779166928559</v>
      </c>
      <c r="W17" s="16">
        <f t="shared" si="5"/>
        <v>648.4646143551663</v>
      </c>
      <c r="X17" s="172">
        <f t="shared" si="20"/>
        <v>11447.539539918393</v>
      </c>
      <c r="Y17" s="16">
        <f t="shared" si="21"/>
        <v>107147.63375146579</v>
      </c>
      <c r="Z17" s="7">
        <f t="shared" si="11"/>
        <v>17.633406910582877</v>
      </c>
      <c r="AC17">
        <f t="shared" si="12"/>
        <v>2.5469155096229987</v>
      </c>
    </row>
    <row r="18" spans="2:29">
      <c r="B18" s="120">
        <v>30000</v>
      </c>
      <c r="C18" s="7" cm="1">
        <f t="array" ref="C18">Linterp(B18,atmos_h,atmos_aspeed)</f>
        <v>994.66966350329255</v>
      </c>
      <c r="D18" s="7" cm="1">
        <f t="array" ref="D18">Linterp(B18,atmos_h,atmos_qms)</f>
        <v>439.90350606186917</v>
      </c>
      <c r="E18" s="16">
        <f t="shared" si="6"/>
        <v>378.97758840041513</v>
      </c>
      <c r="F18" s="11">
        <v>0.6431</v>
      </c>
      <c r="G18" s="7">
        <f t="shared" si="0"/>
        <v>639.67206059896739</v>
      </c>
      <c r="H18" s="121">
        <f t="shared" si="7"/>
        <v>9981.6622083307157</v>
      </c>
      <c r="I18" s="11">
        <f t="shared" si="8"/>
        <v>0.32273012399161949</v>
      </c>
      <c r="J18" s="11">
        <f t="shared" si="9"/>
        <v>2.8010622574319084E-2</v>
      </c>
      <c r="K18" s="176">
        <f t="shared" si="10"/>
        <v>11.521704779511307</v>
      </c>
      <c r="L18" s="12">
        <f t="shared" si="1"/>
        <v>866.335529276952</v>
      </c>
      <c r="M18" s="314">
        <f t="shared" si="2"/>
        <v>-200</v>
      </c>
      <c r="N18" s="16">
        <f t="shared" si="13"/>
        <v>-68.335817328419722</v>
      </c>
      <c r="O18" s="11">
        <f t="shared" si="14"/>
        <v>1.1266798457972413E-2</v>
      </c>
      <c r="P18" s="170">
        <f t="shared" si="15"/>
        <v>-55.829802439584554</v>
      </c>
      <c r="Q18" s="7">
        <f t="shared" si="3"/>
        <v>-5.0070769662083032</v>
      </c>
      <c r="R18" s="176">
        <f t="shared" si="16"/>
        <v>17.77285758431881</v>
      </c>
      <c r="S18" s="7">
        <f t="shared" si="17"/>
        <v>170.58778816169874</v>
      </c>
      <c r="T18" s="277">
        <f t="shared" si="4"/>
        <v>0.12</v>
      </c>
      <c r="U18" s="170">
        <f t="shared" si="18"/>
        <v>2.1327429101182571</v>
      </c>
      <c r="V18" s="16">
        <f t="shared" si="19"/>
        <v>20.470534579403846</v>
      </c>
      <c r="W18" s="16">
        <f t="shared" si="5"/>
        <v>637.23102425296747</v>
      </c>
      <c r="X18" s="172">
        <f t="shared" si="20"/>
        <v>11425.242740881093</v>
      </c>
      <c r="Y18" s="16">
        <f t="shared" si="21"/>
        <v>118572.87649234688</v>
      </c>
      <c r="Z18" s="7">
        <f t="shared" si="11"/>
        <v>19.513671992026016</v>
      </c>
      <c r="AC18">
        <f t="shared" si="12"/>
        <v>2.8431298026949792</v>
      </c>
    </row>
    <row r="19" spans="2:29">
      <c r="B19" s="120">
        <v>29000</v>
      </c>
      <c r="C19" s="7" cm="1">
        <f t="array" ref="C19">Linterp(B19,atmos_h,atmos_aspeed)</f>
        <v>998.96821851045968</v>
      </c>
      <c r="D19" s="7" cm="1">
        <f t="array" ref="D19">Linterp(B19,atmos_h,atmos_qms)</f>
        <v>460.30411435996132</v>
      </c>
      <c r="E19" s="16">
        <f t="shared" si="6"/>
        <v>373.22915157748633</v>
      </c>
      <c r="F19" s="11">
        <v>0.63061999999999996</v>
      </c>
      <c r="G19" s="7">
        <f t="shared" si="0"/>
        <v>629.96933795706605</v>
      </c>
      <c r="H19" s="121">
        <f t="shared" si="7"/>
        <v>9979.5294654205973</v>
      </c>
      <c r="I19" s="11">
        <f t="shared" si="8"/>
        <v>0.32068659487731532</v>
      </c>
      <c r="J19" s="11">
        <f t="shared" si="9"/>
        <v>2.7869545833781869E-2</v>
      </c>
      <c r="K19" s="176">
        <f t="shared" si="10"/>
        <v>11.506703295056836</v>
      </c>
      <c r="L19" s="12">
        <f t="shared" si="1"/>
        <v>867.2796377488678</v>
      </c>
      <c r="M19" s="314">
        <f t="shared" si="2"/>
        <v>-200</v>
      </c>
      <c r="N19" s="16">
        <f t="shared" si="13"/>
        <v>-67.373261348387075</v>
      </c>
      <c r="O19" s="11">
        <f t="shared" si="14"/>
        <v>9.7027226419013467E-3</v>
      </c>
      <c r="P19" s="170">
        <f t="shared" si="15"/>
        <v>-56.617135723224223</v>
      </c>
      <c r="Q19" s="7">
        <f t="shared" si="3"/>
        <v>-5.1562919156616704</v>
      </c>
      <c r="R19" s="176">
        <f t="shared" si="16"/>
        <v>17.786166815002609</v>
      </c>
      <c r="S19" s="7">
        <f t="shared" si="17"/>
        <v>188.37395497670136</v>
      </c>
      <c r="T19" s="277">
        <f t="shared" si="4"/>
        <v>0.12</v>
      </c>
      <c r="U19" s="170">
        <f t="shared" si="18"/>
        <v>2.1343400178003131</v>
      </c>
      <c r="V19" s="16">
        <f t="shared" si="19"/>
        <v>22.604874597204159</v>
      </c>
      <c r="W19" s="16">
        <f t="shared" si="5"/>
        <v>627.42000821504098</v>
      </c>
      <c r="X19" s="172">
        <f t="shared" si="20"/>
        <v>11246.64711312064</v>
      </c>
      <c r="Y19" s="16">
        <f t="shared" si="21"/>
        <v>129819.52360546752</v>
      </c>
      <c r="Z19" s="7">
        <f t="shared" si="11"/>
        <v>21.364545389616801</v>
      </c>
      <c r="AC19">
        <f t="shared" si="12"/>
        <v>3.139565916278356</v>
      </c>
    </row>
    <row r="20" spans="2:29">
      <c r="B20" s="120">
        <v>28000</v>
      </c>
      <c r="C20" s="7" cm="1">
        <f t="array" ref="C20">Linterp(B20,atmos_h,atmos_aspeed)</f>
        <v>1003.2483559389319</v>
      </c>
      <c r="D20" s="7" cm="1">
        <f t="array" ref="D20">Linterp(B20,atmos_h,atmos_qms)</f>
        <v>481.46413972606013</v>
      </c>
      <c r="E20" s="16">
        <f t="shared" si="6"/>
        <v>367.41040409853343</v>
      </c>
      <c r="F20" s="11">
        <v>0.61813999999999991</v>
      </c>
      <c r="G20" s="7">
        <f t="shared" si="0"/>
        <v>620.14793874009126</v>
      </c>
      <c r="H20" s="121">
        <f t="shared" si="7"/>
        <v>9977.3951254027961</v>
      </c>
      <c r="I20" s="11">
        <f t="shared" si="8"/>
        <v>0.31902932782606108</v>
      </c>
      <c r="J20" s="11">
        <f t="shared" si="9"/>
        <v>2.7759852885867464E-2</v>
      </c>
      <c r="K20" s="176">
        <f t="shared" si="10"/>
        <v>11.492471849102589</v>
      </c>
      <c r="L20" s="12">
        <f t="shared" si="1"/>
        <v>868.16789776882524</v>
      </c>
      <c r="M20" s="314">
        <f t="shared" si="2"/>
        <v>-200</v>
      </c>
      <c r="N20" s="16">
        <f t="shared" si="13"/>
        <v>-66.39229094406852</v>
      </c>
      <c r="O20" s="11">
        <f t="shared" si="14"/>
        <v>9.8213992169747834E-3</v>
      </c>
      <c r="P20" s="170">
        <f t="shared" si="15"/>
        <v>-55.824413246497237</v>
      </c>
      <c r="Q20" s="7">
        <f t="shared" si="3"/>
        <v>-5.1646366900343033</v>
      </c>
      <c r="R20" s="176">
        <f t="shared" si="16"/>
        <v>17.787019285358344</v>
      </c>
      <c r="S20" s="7">
        <f t="shared" si="17"/>
        <v>206.16097426205971</v>
      </c>
      <c r="T20" s="277">
        <f t="shared" si="4"/>
        <v>0.12</v>
      </c>
      <c r="U20" s="170">
        <f t="shared" si="18"/>
        <v>2.1344423142430013</v>
      </c>
      <c r="V20" s="16">
        <f t="shared" si="19"/>
        <v>24.739316911447162</v>
      </c>
      <c r="W20" s="16">
        <f t="shared" si="5"/>
        <v>617.63022983761755</v>
      </c>
      <c r="X20" s="172">
        <f t="shared" si="20"/>
        <v>11072.866297741319</v>
      </c>
      <c r="Y20" s="16">
        <f t="shared" si="21"/>
        <v>140892.38990320882</v>
      </c>
      <c r="Z20" s="7">
        <f t="shared" si="11"/>
        <v>23.186819482458173</v>
      </c>
      <c r="AC20">
        <f t="shared" si="12"/>
        <v>3.4360162377009953</v>
      </c>
    </row>
    <row r="21" spans="2:29">
      <c r="B21" s="120">
        <v>27000</v>
      </c>
      <c r="C21" s="7" cm="1">
        <f t="array" ref="C21">Linterp(B21,atmos_h,atmos_aspeed)</f>
        <v>1007.5103105151719</v>
      </c>
      <c r="D21" s="7" cm="1">
        <f t="array" ref="D21">Linterp(B21,atmos_h,atmos_qms)</f>
        <v>503.40502292301625</v>
      </c>
      <c r="E21" s="16">
        <f t="shared" si="6"/>
        <v>361.52183872026666</v>
      </c>
      <c r="F21" s="11">
        <v>0.60565999999999987</v>
      </c>
      <c r="G21" s="7">
        <f t="shared" si="0"/>
        <v>610.20869466661884</v>
      </c>
      <c r="H21" s="121">
        <f t="shared" si="7"/>
        <v>9975.2606830885525</v>
      </c>
      <c r="I21" s="11">
        <f t="shared" si="8"/>
        <v>0.31776056829079524</v>
      </c>
      <c r="J21" s="11">
        <f t="shared" si="9"/>
        <v>2.7681726173627116E-2</v>
      </c>
      <c r="K21" s="176">
        <f t="shared" si="10"/>
        <v>11.479073461594007</v>
      </c>
      <c r="L21" s="12">
        <f t="shared" si="1"/>
        <v>868.99528228155168</v>
      </c>
      <c r="M21" s="314">
        <f t="shared" si="2"/>
        <v>-200</v>
      </c>
      <c r="N21" s="16">
        <f t="shared" si="13"/>
        <v>-65.392798898146722</v>
      </c>
      <c r="O21" s="11">
        <f t="shared" si="14"/>
        <v>9.9392440734724224E-3</v>
      </c>
      <c r="P21" s="170">
        <f t="shared" si="15"/>
        <v>-55.020978271150035</v>
      </c>
      <c r="Q21" s="7">
        <f t="shared" si="3"/>
        <v>-5.1732419736816118</v>
      </c>
      <c r="R21" s="176">
        <f t="shared" si="16"/>
        <v>18.043149765785145</v>
      </c>
      <c r="S21" s="7">
        <f t="shared" si="17"/>
        <v>224.20412402784484</v>
      </c>
      <c r="T21" s="277">
        <f t="shared" si="4"/>
        <v>0.12</v>
      </c>
      <c r="U21" s="170">
        <f t="shared" si="18"/>
        <v>2.1651779718942175</v>
      </c>
      <c r="V21" s="16">
        <f t="shared" si="19"/>
        <v>26.904494883341378</v>
      </c>
      <c r="W21" s="16">
        <f t="shared" si="5"/>
        <v>607.7230808491845</v>
      </c>
      <c r="X21" s="172">
        <f t="shared" si="20"/>
        <v>11054.616650361313</v>
      </c>
      <c r="Y21" s="16">
        <f t="shared" si="21"/>
        <v>151947.00655357013</v>
      </c>
      <c r="Z21" s="7">
        <f t="shared" si="11"/>
        <v>25.006090210251159</v>
      </c>
      <c r="AC21">
        <f t="shared" si="12"/>
        <v>3.7367354004640805</v>
      </c>
    </row>
    <row r="22" spans="2:29">
      <c r="B22" s="120">
        <v>26000</v>
      </c>
      <c r="C22" s="7" cm="1">
        <f t="array" ref="C22">Linterp(B22,atmos_h,atmos_aspeed)</f>
        <v>1011.7543120217408</v>
      </c>
      <c r="D22" s="7" cm="1">
        <f t="array" ref="D22">Linterp(B22,atmos_h,atmos_qms)</f>
        <v>526.14862055832521</v>
      </c>
      <c r="E22" s="16">
        <f t="shared" si="6"/>
        <v>355.56393951981471</v>
      </c>
      <c r="F22" s="11">
        <v>0.59317999999999982</v>
      </c>
      <c r="G22" s="7">
        <f t="shared" si="0"/>
        <v>600.15242280505606</v>
      </c>
      <c r="H22" s="121">
        <f t="shared" si="7"/>
        <v>9973.0955051166584</v>
      </c>
      <c r="I22" s="11">
        <f t="shared" si="8"/>
        <v>0.31688349627692081</v>
      </c>
      <c r="J22" s="11">
        <f t="shared" si="9"/>
        <v>2.7635424072499814E-2</v>
      </c>
      <c r="K22" s="176">
        <f t="shared" si="10"/>
        <v>11.466568974863447</v>
      </c>
      <c r="L22" s="12">
        <f t="shared" si="1"/>
        <v>869.75411101431291</v>
      </c>
      <c r="M22" s="314">
        <f t="shared" si="2"/>
        <v>-200</v>
      </c>
      <c r="N22" s="16">
        <f t="shared" si="13"/>
        <v>-64.374749164040907</v>
      </c>
      <c r="O22" s="11">
        <f t="shared" si="14"/>
        <v>1.0056271861562778E-2</v>
      </c>
      <c r="P22" s="170">
        <f t="shared" si="15"/>
        <v>-54.206525653505011</v>
      </c>
      <c r="Q22" s="7">
        <f t="shared" si="3"/>
        <v>-5.1820894588040467</v>
      </c>
      <c r="R22" s="176">
        <f t="shared" si="16"/>
        <v>18.310406519768105</v>
      </c>
      <c r="S22" s="7">
        <f t="shared" si="17"/>
        <v>242.51453054761294</v>
      </c>
      <c r="T22" s="277">
        <f t="shared" si="4"/>
        <v>0.12</v>
      </c>
      <c r="U22" s="170">
        <f t="shared" si="18"/>
        <v>2.1972487823721725</v>
      </c>
      <c r="V22" s="16">
        <f t="shared" si="19"/>
        <v>29.101743665713549</v>
      </c>
      <c r="W22" s="16">
        <f t="shared" si="5"/>
        <v>597.69940871256904</v>
      </c>
      <c r="X22" s="172">
        <f t="shared" si="20"/>
        <v>11035.887905973315</v>
      </c>
      <c r="Y22" s="16">
        <f t="shared" si="21"/>
        <v>162982.89445954346</v>
      </c>
      <c r="Z22" s="7">
        <f t="shared" si="11"/>
        <v>26.822278727460908</v>
      </c>
      <c r="AC22">
        <f t="shared" si="12"/>
        <v>4.0419088424602156</v>
      </c>
    </row>
    <row r="23" spans="2:29">
      <c r="B23" s="120">
        <v>25000</v>
      </c>
      <c r="C23" s="7" cm="1">
        <f t="array" ref="C23">Linterp(B23,atmos_h,atmos_aspeed)</f>
        <v>1015.9805854418648</v>
      </c>
      <c r="D23" s="7" cm="1">
        <f t="array" ref="D23">Linterp(B23,atmos_h,atmos_qms)</f>
        <v>549.71720953653789</v>
      </c>
      <c r="E23" s="16">
        <f t="shared" si="6"/>
        <v>349.53718212723447</v>
      </c>
      <c r="F23" s="11">
        <v>0.58069999999999999</v>
      </c>
      <c r="G23" s="7">
        <f t="shared" si="0"/>
        <v>589.97992596609095</v>
      </c>
      <c r="H23" s="121">
        <f t="shared" si="7"/>
        <v>9970.898256334287</v>
      </c>
      <c r="I23" s="11">
        <f t="shared" si="8"/>
        <v>0.31640430071069214</v>
      </c>
      <c r="J23" s="11">
        <f t="shared" si="9"/>
        <v>2.7621449432743736E-2</v>
      </c>
      <c r="K23" s="176">
        <f t="shared" si="10"/>
        <v>11.455021630241168</v>
      </c>
      <c r="L23" s="12">
        <f t="shared" si="1"/>
        <v>870.43905967066814</v>
      </c>
      <c r="M23" s="314">
        <f t="shared" si="2"/>
        <v>-200</v>
      </c>
      <c r="N23" s="16">
        <f t="shared" si="13"/>
        <v>-63.338080576091649</v>
      </c>
      <c r="O23" s="11">
        <f t="shared" si="14"/>
        <v>1.0172496838965117E-2</v>
      </c>
      <c r="P23" s="170">
        <f t="shared" si="15"/>
        <v>-53.380721269357053</v>
      </c>
      <c r="Q23" s="7">
        <f t="shared" si="3"/>
        <v>-5.1911571347803456</v>
      </c>
      <c r="R23" s="176">
        <f t="shared" si="16"/>
        <v>18.589563886079922</v>
      </c>
      <c r="S23" s="7">
        <f t="shared" si="17"/>
        <v>261.10409443369286</v>
      </c>
      <c r="T23" s="277">
        <f t="shared" si="4"/>
        <v>0.12</v>
      </c>
      <c r="U23" s="170">
        <f t="shared" si="18"/>
        <v>2.2307476663295907</v>
      </c>
      <c r="V23" s="16">
        <f t="shared" si="19"/>
        <v>31.332491332043141</v>
      </c>
      <c r="W23" s="16">
        <f t="shared" si="5"/>
        <v>587.56004939045795</v>
      </c>
      <c r="X23" s="172">
        <f t="shared" si="20"/>
        <v>11016.728208993345</v>
      </c>
      <c r="Y23" s="16">
        <f t="shared" si="21"/>
        <v>173999.62266853682</v>
      </c>
      <c r="Z23" s="7">
        <f t="shared" si="11"/>
        <v>28.6353141117334</v>
      </c>
      <c r="AC23">
        <f t="shared" si="12"/>
        <v>4.3517349072282148</v>
      </c>
    </row>
    <row r="24" spans="2:29">
      <c r="B24" s="120">
        <v>24000</v>
      </c>
      <c r="C24" s="7" cm="1">
        <f t="array" ref="C24">Linterp(B24,atmos_h,atmos_aspeed)</f>
        <v>1020.1893510986098</v>
      </c>
      <c r="D24" s="7" cm="1">
        <f t="array" ref="D24">Linterp(B24,atmos_h,atmos_qms)</f>
        <v>574.13349152130138</v>
      </c>
      <c r="E24" s="16">
        <f t="shared" si="6"/>
        <v>344.33657164688975</v>
      </c>
      <c r="F24" s="11">
        <v>0.56969999999999998</v>
      </c>
      <c r="G24" s="7">
        <f t="shared" si="0"/>
        <v>581.20187332087801</v>
      </c>
      <c r="H24" s="121">
        <f t="shared" si="7"/>
        <v>9968.667508667957</v>
      </c>
      <c r="I24" s="11">
        <f t="shared" si="8"/>
        <v>0.3146899467187429</v>
      </c>
      <c r="J24" s="11">
        <f t="shared" si="9"/>
        <v>2.7504158170897863E-2</v>
      </c>
      <c r="K24" s="176">
        <f t="shared" si="10"/>
        <v>11.441540757706818</v>
      </c>
      <c r="L24" s="12">
        <f t="shared" si="1"/>
        <v>871.26967597901887</v>
      </c>
      <c r="M24" s="314">
        <f t="shared" si="2"/>
        <v>-200</v>
      </c>
      <c r="N24" s="16">
        <f t="shared" si="13"/>
        <v>-62.458091010606154</v>
      </c>
      <c r="O24" s="11">
        <f t="shared" si="14"/>
        <v>8.7780526452129384E-3</v>
      </c>
      <c r="P24" s="170">
        <f t="shared" si="15"/>
        <v>-53.909654719649865</v>
      </c>
      <c r="Q24" s="7">
        <f t="shared" si="3"/>
        <v>-5.3221474056471649</v>
      </c>
      <c r="R24" s="176">
        <f t="shared" si="16"/>
        <v>18.641000943131395</v>
      </c>
      <c r="S24" s="7">
        <f t="shared" si="17"/>
        <v>279.74509537682428</v>
      </c>
      <c r="T24" s="277">
        <f t="shared" si="4"/>
        <v>0.12</v>
      </c>
      <c r="U24" s="170">
        <f t="shared" si="18"/>
        <v>2.2369201131757674</v>
      </c>
      <c r="V24" s="16">
        <f t="shared" si="19"/>
        <v>33.569411445218911</v>
      </c>
      <c r="W24" s="16">
        <f t="shared" si="5"/>
        <v>578.69626461530413</v>
      </c>
      <c r="X24" s="172">
        <f t="shared" si="20"/>
        <v>10870.092524657177</v>
      </c>
      <c r="Y24" s="16">
        <f t="shared" si="21"/>
        <v>184869.71519319399</v>
      </c>
      <c r="Z24" s="7">
        <f t="shared" si="11"/>
        <v>30.424217496082221</v>
      </c>
      <c r="AC24">
        <f t="shared" si="12"/>
        <v>4.6624182562804046</v>
      </c>
    </row>
    <row r="25" spans="2:29">
      <c r="B25" s="120">
        <v>23000</v>
      </c>
      <c r="C25" s="7" cm="1">
        <f t="array" ref="C25">Linterp(B25,atmos_h,atmos_aspeed)</f>
        <v>1024.3808247889115</v>
      </c>
      <c r="D25" s="7" cm="1">
        <f t="array" ref="D25">Linterp(B25,atmos_h,atmos_qms)</f>
        <v>599.42059740698846</v>
      </c>
      <c r="E25" s="16">
        <f t="shared" si="6"/>
        <v>339.07538024396575</v>
      </c>
      <c r="F25" s="11">
        <v>0.55869999999999997</v>
      </c>
      <c r="G25" s="7">
        <f t="shared" si="0"/>
        <v>572.32156680956484</v>
      </c>
      <c r="H25" s="121">
        <f t="shared" si="7"/>
        <v>9966.4305885547819</v>
      </c>
      <c r="I25" s="11">
        <f t="shared" si="8"/>
        <v>0.31332981348107913</v>
      </c>
      <c r="J25" s="11">
        <f t="shared" si="9"/>
        <v>2.741564734533768E-2</v>
      </c>
      <c r="K25" s="176">
        <f t="shared" si="10"/>
        <v>11.428867957566728</v>
      </c>
      <c r="L25" s="12">
        <f t="shared" si="1"/>
        <v>872.04005029704558</v>
      </c>
      <c r="M25" s="314">
        <f t="shared" si="2"/>
        <v>-200</v>
      </c>
      <c r="N25" s="16">
        <f t="shared" si="13"/>
        <v>-61.561823545251826</v>
      </c>
      <c r="O25" s="11">
        <f t="shared" si="14"/>
        <v>8.8803065113131647E-3</v>
      </c>
      <c r="P25" s="170">
        <f t="shared" si="15"/>
        <v>-53.163767637376772</v>
      </c>
      <c r="Q25" s="7">
        <f t="shared" si="3"/>
        <v>-5.3299708273978839</v>
      </c>
      <c r="R25" s="176">
        <f t="shared" si="16"/>
        <v>18.678771594048627</v>
      </c>
      <c r="S25" s="7">
        <f t="shared" si="17"/>
        <v>298.42386697087289</v>
      </c>
      <c r="T25" s="277">
        <f t="shared" si="4"/>
        <v>0.12</v>
      </c>
      <c r="U25" s="170">
        <f t="shared" si="18"/>
        <v>2.2414525912858352</v>
      </c>
      <c r="V25" s="16">
        <f t="shared" si="19"/>
        <v>35.810864036504746</v>
      </c>
      <c r="W25" s="16">
        <f t="shared" si="5"/>
        <v>569.84698792391123</v>
      </c>
      <c r="X25" s="172">
        <f t="shared" si="20"/>
        <v>10726.688540032856</v>
      </c>
      <c r="Y25" s="16">
        <f t="shared" si="21"/>
        <v>195596.40373322685</v>
      </c>
      <c r="Z25" s="7">
        <f t="shared" si="11"/>
        <v>32.18952072497315</v>
      </c>
      <c r="AC25">
        <f t="shared" si="12"/>
        <v>4.9737311161812148</v>
      </c>
    </row>
    <row r="26" spans="2:29">
      <c r="B26" s="120">
        <v>22000</v>
      </c>
      <c r="C26" s="7" cm="1">
        <f t="array" ref="C26">Linterp(B26,atmos_h,atmos_aspeed)</f>
        <v>1028.5552179126889</v>
      </c>
      <c r="D26" s="7" cm="1">
        <f t="array" ref="D26">Linterp(B26,atmos_h,atmos_qms)</f>
        <v>625.60209179984054</v>
      </c>
      <c r="E26" s="16">
        <f t="shared" si="6"/>
        <v>333.75401459133809</v>
      </c>
      <c r="F26" s="11">
        <v>0.54769999999999996</v>
      </c>
      <c r="G26" s="7">
        <f t="shared" si="0"/>
        <v>563.33969285077967</v>
      </c>
      <c r="H26" s="121">
        <f t="shared" si="7"/>
        <v>9964.1891359634956</v>
      </c>
      <c r="I26" s="11">
        <f t="shared" si="8"/>
        <v>0.31232688308705758</v>
      </c>
      <c r="J26" s="11">
        <f t="shared" si="9"/>
        <v>2.7356159250823429E-2</v>
      </c>
      <c r="K26" s="176">
        <f t="shared" si="10"/>
        <v>11.417058960045951</v>
      </c>
      <c r="L26" s="12">
        <f t="shared" si="1"/>
        <v>872.74570192141618</v>
      </c>
      <c r="M26" s="314">
        <f t="shared" si="2"/>
        <v>-200</v>
      </c>
      <c r="N26" s="16">
        <f t="shared" si="13"/>
        <v>-60.649213496585169</v>
      </c>
      <c r="O26" s="11">
        <f t="shared" si="14"/>
        <v>8.9818739587851724E-3</v>
      </c>
      <c r="P26" s="170">
        <f t="shared" si="15"/>
        <v>-52.40736583856382</v>
      </c>
      <c r="Q26" s="7">
        <f t="shared" si="3"/>
        <v>-5.3379320965255914</v>
      </c>
      <c r="R26" s="176">
        <f t="shared" si="16"/>
        <v>18.944572575379187</v>
      </c>
      <c r="S26" s="7">
        <f t="shared" si="17"/>
        <v>317.36843954625209</v>
      </c>
      <c r="T26" s="277">
        <f t="shared" si="4"/>
        <v>0.12</v>
      </c>
      <c r="U26" s="170">
        <f t="shared" si="18"/>
        <v>2.2733487090455022</v>
      </c>
      <c r="V26" s="16">
        <f t="shared" si="19"/>
        <v>38.084212745550246</v>
      </c>
      <c r="W26" s="16">
        <f t="shared" si="5"/>
        <v>560.89667279016169</v>
      </c>
      <c r="X26" s="172">
        <f t="shared" si="20"/>
        <v>10710.727672273848</v>
      </c>
      <c r="Y26" s="16">
        <f t="shared" si="21"/>
        <v>206307.1314055007</v>
      </c>
      <c r="Z26" s="7">
        <f t="shared" si="11"/>
        <v>33.952197255858849</v>
      </c>
      <c r="AC26">
        <f t="shared" si="12"/>
        <v>5.2894739924375349</v>
      </c>
    </row>
    <row r="27" spans="2:29">
      <c r="B27" s="120">
        <v>21000</v>
      </c>
      <c r="C27" s="7" cm="1">
        <f t="array" ref="C27">Linterp(B27,atmos_h,atmos_aspeed)</f>
        <v>1032.7127375972602</v>
      </c>
      <c r="D27" s="7" cm="1">
        <f t="array" ref="D27">Linterp(B27,atmos_h,atmos_qms)</f>
        <v>652.70197750857403</v>
      </c>
      <c r="E27" s="16">
        <f t="shared" si="6"/>
        <v>328.37287449253154</v>
      </c>
      <c r="F27" s="11">
        <v>0.53669999999999995</v>
      </c>
      <c r="G27" s="7">
        <f t="shared" si="0"/>
        <v>554.25692626844955</v>
      </c>
      <c r="H27" s="121">
        <f t="shared" si="7"/>
        <v>9961.9157872544492</v>
      </c>
      <c r="I27" s="11">
        <f t="shared" si="8"/>
        <v>0.31168494512419964</v>
      </c>
      <c r="J27" s="11">
        <f t="shared" si="9"/>
        <v>2.7326001791341221E-2</v>
      </c>
      <c r="K27" s="176">
        <f t="shared" si="10"/>
        <v>11.406167192119673</v>
      </c>
      <c r="L27" s="12">
        <f t="shared" si="1"/>
        <v>873.37977950533366</v>
      </c>
      <c r="M27" s="314">
        <f t="shared" si="2"/>
        <v>-200</v>
      </c>
      <c r="N27" s="16">
        <f t="shared" si="13"/>
        <v>-59.720257630414821</v>
      </c>
      <c r="O27" s="11">
        <f t="shared" si="14"/>
        <v>9.0827665823301224E-3</v>
      </c>
      <c r="P27" s="170">
        <f t="shared" si="15"/>
        <v>-51.640237288963213</v>
      </c>
      <c r="Q27" s="7">
        <f t="shared" si="3"/>
        <v>-5.3460137496358486</v>
      </c>
      <c r="R27" s="176">
        <f t="shared" si="16"/>
        <v>19.221970904497233</v>
      </c>
      <c r="S27" s="7">
        <f t="shared" si="17"/>
        <v>336.59041045074935</v>
      </c>
      <c r="T27" s="277">
        <f t="shared" si="4"/>
        <v>0.12</v>
      </c>
      <c r="U27" s="170">
        <f t="shared" si="18"/>
        <v>2.3066365085396678</v>
      </c>
      <c r="V27" s="16">
        <f t="shared" si="19"/>
        <v>40.390849254089915</v>
      </c>
      <c r="W27" s="16">
        <f t="shared" si="5"/>
        <v>551.84601675584202</v>
      </c>
      <c r="X27" s="172">
        <f t="shared" si="20"/>
        <v>10694.55380132264</v>
      </c>
      <c r="Y27" s="16">
        <f t="shared" si="21"/>
        <v>217001.68520682334</v>
      </c>
      <c r="Z27" s="7">
        <f t="shared" si="11"/>
        <v>35.712212034563784</v>
      </c>
      <c r="AC27">
        <f t="shared" si="12"/>
        <v>5.6098401741791557</v>
      </c>
    </row>
    <row r="28" spans="2:29">
      <c r="B28" s="120">
        <v>20000</v>
      </c>
      <c r="C28" s="7" cm="1">
        <f t="array" ref="C28">Linterp(B28,atmos_h,atmos_aspeed)</f>
        <v>1036.8535868172689</v>
      </c>
      <c r="D28" s="7" cm="1">
        <f t="array" ref="D28">Linterp(B28,atmos_h,atmos_qms)</f>
        <v>680.74470004439161</v>
      </c>
      <c r="E28" s="16">
        <f t="shared" si="6"/>
        <v>322.93235305829398</v>
      </c>
      <c r="F28" s="11">
        <v>0.52569999999999995</v>
      </c>
      <c r="G28" s="7">
        <f t="shared" si="0"/>
        <v>545.07393058983826</v>
      </c>
      <c r="H28" s="121">
        <f t="shared" si="7"/>
        <v>9959.6091507459096</v>
      </c>
      <c r="I28" s="11">
        <f t="shared" si="8"/>
        <v>0.31141042793391782</v>
      </c>
      <c r="J28" s="11">
        <f t="shared" si="9"/>
        <v>2.7325697269630824E-2</v>
      </c>
      <c r="K28" s="176">
        <f t="shared" si="10"/>
        <v>11.396248185769535</v>
      </c>
      <c r="L28" s="12">
        <f t="shared" si="1"/>
        <v>873.93754404036633</v>
      </c>
      <c r="M28" s="314">
        <f t="shared" si="2"/>
        <v>-200</v>
      </c>
      <c r="N28" s="16">
        <f t="shared" si="13"/>
        <v>-58.774932778786741</v>
      </c>
      <c r="O28" s="11">
        <f t="shared" si="14"/>
        <v>9.1829956786112915E-3</v>
      </c>
      <c r="P28" s="170">
        <f t="shared" si="15"/>
        <v>-50.86214677512632</v>
      </c>
      <c r="Q28" s="7">
        <f t="shared" si="3"/>
        <v>-5.3541949226139369</v>
      </c>
      <c r="R28" s="176">
        <f t="shared" si="16"/>
        <v>19.511741295202476</v>
      </c>
      <c r="S28" s="7">
        <f t="shared" si="17"/>
        <v>356.1021517459518</v>
      </c>
      <c r="T28" s="277">
        <f t="shared" si="4"/>
        <v>0.12</v>
      </c>
      <c r="U28" s="170">
        <f t="shared" si="18"/>
        <v>2.3414089554242969</v>
      </c>
      <c r="V28" s="16">
        <f t="shared" si="19"/>
        <v>42.732258209514214</v>
      </c>
      <c r="W28" s="16">
        <f t="shared" si="5"/>
        <v>542.69570832473084</v>
      </c>
      <c r="X28" s="172">
        <f t="shared" si="20"/>
        <v>10678.207488288384</v>
      </c>
      <c r="Y28" s="16">
        <f t="shared" si="21"/>
        <v>227679.89269511172</v>
      </c>
      <c r="Z28" s="7">
        <f t="shared" si="11"/>
        <v>37.469536682099886</v>
      </c>
      <c r="AC28">
        <f t="shared" si="12"/>
        <v>5.9350358624325299</v>
      </c>
    </row>
    <row r="29" spans="2:29">
      <c r="B29" s="120">
        <v>19000</v>
      </c>
      <c r="C29" s="7" cm="1">
        <f t="array" ref="C29">Linterp(B29,atmos_h,atmos_aspeed)</f>
        <v>1040.9779645103174</v>
      </c>
      <c r="D29" s="7" cm="1">
        <f t="array" ref="D29">Linterp(B29,atmos_h,atmos_qms)</f>
        <v>709.75515213034032</v>
      </c>
      <c r="E29" s="16">
        <f t="shared" si="6"/>
        <v>318.24692536498753</v>
      </c>
      <c r="F29" s="11">
        <v>0.51601999999999992</v>
      </c>
      <c r="G29" s="7">
        <f t="shared" si="0"/>
        <v>537.16544924661389</v>
      </c>
      <c r="H29" s="121">
        <f t="shared" si="7"/>
        <v>9957.2677417904852</v>
      </c>
      <c r="I29" s="11">
        <f t="shared" si="8"/>
        <v>0.30992002690855297</v>
      </c>
      <c r="J29" s="11">
        <f t="shared" si="9"/>
        <v>2.7223962186319929E-2</v>
      </c>
      <c r="K29" s="176">
        <f t="shared" si="10"/>
        <v>11.384089677596164</v>
      </c>
      <c r="L29" s="12">
        <f t="shared" si="1"/>
        <v>874.66525860089996</v>
      </c>
      <c r="M29" s="314">
        <f t="shared" si="2"/>
        <v>-200</v>
      </c>
      <c r="N29" s="16">
        <f t="shared" si="13"/>
        <v>-57.975045102310105</v>
      </c>
      <c r="O29" s="11">
        <f t="shared" si="14"/>
        <v>7.9084813432243658E-3</v>
      </c>
      <c r="P29" s="170">
        <f t="shared" si="15"/>
        <v>-51.213023908621274</v>
      </c>
      <c r="Q29" s="7">
        <f t="shared" si="3"/>
        <v>-5.4708538399961002</v>
      </c>
      <c r="R29" s="176">
        <f t="shared" si="16"/>
        <v>19.593403435948797</v>
      </c>
      <c r="S29" s="7">
        <f t="shared" si="17"/>
        <v>375.6955551819006</v>
      </c>
      <c r="T29" s="277">
        <f t="shared" si="4"/>
        <v>0.12</v>
      </c>
      <c r="U29" s="170">
        <f t="shared" si="18"/>
        <v>2.3512084123138557</v>
      </c>
      <c r="V29" s="16">
        <f t="shared" si="19"/>
        <v>45.083466621828066</v>
      </c>
      <c r="W29" s="16">
        <f t="shared" si="5"/>
        <v>534.71856714205421</v>
      </c>
      <c r="X29" s="172">
        <f t="shared" si="20"/>
        <v>10555.106283435594</v>
      </c>
      <c r="Y29" s="16">
        <f t="shared" si="21"/>
        <v>238234.99897854732</v>
      </c>
      <c r="Z29" s="7">
        <f t="shared" si="11"/>
        <v>39.206602425539351</v>
      </c>
      <c r="AC29">
        <f t="shared" si="12"/>
        <v>6.2615925863650101</v>
      </c>
    </row>
    <row r="30" spans="2:29">
      <c r="B30" s="120">
        <v>18000</v>
      </c>
      <c r="C30" s="7" cm="1">
        <f t="array" ref="C30">Linterp(B30,atmos_h,atmos_aspeed)</f>
        <v>1045.0860656884925</v>
      </c>
      <c r="D30" s="7" cm="1">
        <f t="array" ref="D30">Linterp(B30,atmos_h,atmos_qms)</f>
        <v>739.75867821996189</v>
      </c>
      <c r="E30" s="16">
        <f t="shared" si="6"/>
        <v>313.50930857128566</v>
      </c>
      <c r="F30" s="11">
        <v>0.5063399999999999</v>
      </c>
      <c r="G30" s="7">
        <f t="shared" si="0"/>
        <v>529.16887850071112</v>
      </c>
      <c r="H30" s="121">
        <f t="shared" si="7"/>
        <v>9954.9165333781712</v>
      </c>
      <c r="I30" s="11">
        <f t="shared" si="8"/>
        <v>0.30875511316780335</v>
      </c>
      <c r="J30" s="11">
        <f t="shared" si="9"/>
        <v>2.7148672944884024E-2</v>
      </c>
      <c r="K30" s="176">
        <f t="shared" si="10"/>
        <v>11.372751581435441</v>
      </c>
      <c r="L30" s="12">
        <f t="shared" si="1"/>
        <v>875.33051804528088</v>
      </c>
      <c r="M30" s="314">
        <f t="shared" si="2"/>
        <v>-200</v>
      </c>
      <c r="N30" s="16">
        <f t="shared" si="13"/>
        <v>-57.16084533141845</v>
      </c>
      <c r="O30" s="11">
        <f t="shared" si="14"/>
        <v>7.9965707459027733E-3</v>
      </c>
      <c r="P30" s="170">
        <f t="shared" si="15"/>
        <v>-50.516850481942789</v>
      </c>
      <c r="Q30" s="7">
        <f t="shared" si="3"/>
        <v>-5.4780560913839</v>
      </c>
      <c r="R30" s="176">
        <f t="shared" si="16"/>
        <v>19.659908281431139</v>
      </c>
      <c r="S30" s="7">
        <f t="shared" si="17"/>
        <v>395.35546346333172</v>
      </c>
      <c r="T30" s="277">
        <f t="shared" si="4"/>
        <v>0.12</v>
      </c>
      <c r="U30" s="170">
        <f t="shared" si="18"/>
        <v>2.3591889937717365</v>
      </c>
      <c r="V30" s="16">
        <f t="shared" si="19"/>
        <v>47.442655615599804</v>
      </c>
      <c r="W30" s="16">
        <f t="shared" si="5"/>
        <v>526.75207620956314</v>
      </c>
      <c r="X30" s="172">
        <f t="shared" si="20"/>
        <v>10434.207745862252</v>
      </c>
      <c r="Y30" s="16">
        <f t="shared" si="21"/>
        <v>248669.20672440957</v>
      </c>
      <c r="Z30" s="7">
        <f t="shared" si="11"/>
        <v>40.923771760320186</v>
      </c>
      <c r="AC30">
        <f t="shared" si="12"/>
        <v>6.5892577243888617</v>
      </c>
    </row>
    <row r="31" spans="2:29">
      <c r="B31" s="120">
        <v>17000</v>
      </c>
      <c r="C31" s="7" cm="1">
        <f t="array" ref="C31">Linterp(B31,atmos_h,atmos_aspeed)</f>
        <v>1049.1780815459595</v>
      </c>
      <c r="D31" s="7" cm="1">
        <f t="array" ref="D31">Linterp(B31,atmos_h,atmos_qms)</f>
        <v>770.78107902517468</v>
      </c>
      <c r="E31" s="16">
        <f t="shared" si="6"/>
        <v>308.71983897212471</v>
      </c>
      <c r="F31" s="11">
        <v>0.49665999999999993</v>
      </c>
      <c r="G31" s="7">
        <f t="shared" si="0"/>
        <v>521.08478598061618</v>
      </c>
      <c r="H31" s="121">
        <f t="shared" si="7"/>
        <v>9952.5573443843987</v>
      </c>
      <c r="I31" s="11">
        <f t="shared" si="8"/>
        <v>0.30791890498072344</v>
      </c>
      <c r="J31" s="11">
        <f t="shared" si="9"/>
        <v>2.710009102968378E-2</v>
      </c>
      <c r="K31" s="176">
        <f t="shared" si="10"/>
        <v>11.36228305076348</v>
      </c>
      <c r="L31" s="12">
        <f t="shared" si="1"/>
        <v>875.92936207619346</v>
      </c>
      <c r="M31" s="314">
        <f t="shared" si="2"/>
        <v>-200</v>
      </c>
      <c r="N31" s="16">
        <f t="shared" si="13"/>
        <v>-56.332297515881578</v>
      </c>
      <c r="O31" s="11">
        <f t="shared" si="14"/>
        <v>8.0840925200949421E-3</v>
      </c>
      <c r="P31" s="170">
        <f t="shared" si="15"/>
        <v>-49.810656666384702</v>
      </c>
      <c r="Q31" s="7">
        <f t="shared" si="3"/>
        <v>-5.4852967597244424</v>
      </c>
      <c r="R31" s="176">
        <f t="shared" si="16"/>
        <v>19.934712391917941</v>
      </c>
      <c r="S31" s="7">
        <f t="shared" si="17"/>
        <v>415.29017585524969</v>
      </c>
      <c r="T31" s="277">
        <f t="shared" si="4"/>
        <v>0.12</v>
      </c>
      <c r="U31" s="170">
        <f t="shared" si="18"/>
        <v>2.392165487030153</v>
      </c>
      <c r="V31" s="16">
        <f t="shared" si="19"/>
        <v>49.834821102629959</v>
      </c>
      <c r="W31" s="16">
        <f t="shared" si="5"/>
        <v>518.69861447947596</v>
      </c>
      <c r="X31" s="172">
        <f t="shared" si="20"/>
        <v>10420.379419408981</v>
      </c>
      <c r="Y31" s="16">
        <f t="shared" si="21"/>
        <v>259089.58614381854</v>
      </c>
      <c r="Z31" s="7">
        <f t="shared" si="11"/>
        <v>42.638665351823207</v>
      </c>
      <c r="AC31">
        <f t="shared" si="12"/>
        <v>6.9215029309208278</v>
      </c>
    </row>
    <row r="32" spans="2:29">
      <c r="B32" s="120">
        <v>16000</v>
      </c>
      <c r="C32" s="7" cm="1">
        <f t="array" ref="C32">Linterp(B32,atmos_h,atmos_aspeed)</f>
        <v>1053.2541995627971</v>
      </c>
      <c r="D32" s="7" cm="1">
        <f t="array" ref="D32">Linterp(B32,atmos_h,atmos_qms)</f>
        <v>802.84861605334584</v>
      </c>
      <c r="E32" s="16">
        <f t="shared" si="6"/>
        <v>303.87884740489886</v>
      </c>
      <c r="F32" s="11">
        <v>0.48697999999999997</v>
      </c>
      <c r="G32" s="7">
        <f t="shared" si="0"/>
        <v>512.91373010309087</v>
      </c>
      <c r="H32" s="121">
        <f t="shared" si="7"/>
        <v>9950.1651788973686</v>
      </c>
      <c r="I32" s="11">
        <f t="shared" si="8"/>
        <v>0.3074152835529062</v>
      </c>
      <c r="J32" s="11">
        <f t="shared" si="9"/>
        <v>2.7078531788673633E-2</v>
      </c>
      <c r="K32" s="176">
        <f t="shared" si="10"/>
        <v>11.352730862664105</v>
      </c>
      <c r="L32" s="12">
        <f t="shared" si="1"/>
        <v>876.45565628800591</v>
      </c>
      <c r="M32" s="314">
        <f t="shared" si="2"/>
        <v>-200</v>
      </c>
      <c r="N32" s="16">
        <f t="shared" si="13"/>
        <v>-55.489419123234711</v>
      </c>
      <c r="O32" s="11">
        <f t="shared" si="14"/>
        <v>8.1710558775253041E-3</v>
      </c>
      <c r="P32" s="170">
        <f t="shared" si="15"/>
        <v>-49.094301547101779</v>
      </c>
      <c r="Q32" s="7">
        <f t="shared" si="3"/>
        <v>-5.4925595536234475</v>
      </c>
      <c r="R32" s="176">
        <f t="shared" si="16"/>
        <v>20.221433142744953</v>
      </c>
      <c r="S32" s="7">
        <f t="shared" si="17"/>
        <v>435.51160899799464</v>
      </c>
      <c r="T32" s="277">
        <f t="shared" si="4"/>
        <v>0.12</v>
      </c>
      <c r="U32" s="170">
        <f t="shared" si="18"/>
        <v>2.4265719771293943</v>
      </c>
      <c r="V32" s="16">
        <f t="shared" si="19"/>
        <v>52.261393079759351</v>
      </c>
      <c r="W32" s="16">
        <f t="shared" si="5"/>
        <v>510.55875673997463</v>
      </c>
      <c r="X32" s="172">
        <f t="shared" si="20"/>
        <v>10406.529559395771</v>
      </c>
      <c r="Y32" s="16">
        <f t="shared" si="21"/>
        <v>269496.11570321431</v>
      </c>
      <c r="Z32" s="7">
        <f t="shared" si="11"/>
        <v>44.351279656246184</v>
      </c>
      <c r="AC32">
        <f t="shared" si="12"/>
        <v>7.2585268166332444</v>
      </c>
    </row>
    <row r="33" spans="2:29">
      <c r="B33" s="120">
        <v>15000</v>
      </c>
      <c r="C33" s="7" cm="1">
        <f t="array" ref="C33">Linterp(B33,atmos_h,atmos_aspeed)</f>
        <v>1057.3146036052262</v>
      </c>
      <c r="D33" s="7" cm="1">
        <f t="array" ref="D33">Linterp(B33,atmos_h,atmos_qms)</f>
        <v>835.98801615348191</v>
      </c>
      <c r="E33" s="16">
        <f t="shared" si="6"/>
        <v>298.98665938430457</v>
      </c>
      <c r="F33" s="11">
        <v>0.4773</v>
      </c>
      <c r="G33" s="7">
        <f t="shared" si="0"/>
        <v>504.65626030077448</v>
      </c>
      <c r="H33" s="121">
        <f t="shared" si="7"/>
        <v>9947.7386069202385</v>
      </c>
      <c r="I33" s="11">
        <f t="shared" si="8"/>
        <v>0.30725044668780455</v>
      </c>
      <c r="J33" s="11">
        <f t="shared" si="9"/>
        <v>2.7084498793384121E-2</v>
      </c>
      <c r="K33" s="176">
        <f t="shared" si="10"/>
        <v>11.344143712301445</v>
      </c>
      <c r="L33" s="12">
        <f t="shared" si="1"/>
        <v>876.90519965231397</v>
      </c>
      <c r="M33" s="314">
        <f t="shared" si="2"/>
        <v>-200</v>
      </c>
      <c r="N33" s="16">
        <f t="shared" si="13"/>
        <v>-54.632210618896615</v>
      </c>
      <c r="O33" s="11">
        <f t="shared" si="14"/>
        <v>8.2574698023163938E-3</v>
      </c>
      <c r="P33" s="170">
        <f t="shared" si="15"/>
        <v>-48.367624804840446</v>
      </c>
      <c r="Q33" s="7">
        <f t="shared" si="3"/>
        <v>-5.499825006968976</v>
      </c>
      <c r="R33" s="176">
        <f t="shared" si="16"/>
        <v>20.520833876993688</v>
      </c>
      <c r="S33" s="7">
        <f t="shared" si="17"/>
        <v>456.03244287498831</v>
      </c>
      <c r="T33" s="277">
        <f t="shared" si="4"/>
        <v>0.12</v>
      </c>
      <c r="U33" s="170">
        <f t="shared" si="18"/>
        <v>2.4625000652392424</v>
      </c>
      <c r="V33" s="16">
        <f t="shared" si="19"/>
        <v>54.723893144998591</v>
      </c>
      <c r="W33" s="16">
        <f t="shared" si="5"/>
        <v>502.33307071255149</v>
      </c>
      <c r="X33" s="172">
        <f t="shared" si="20"/>
        <v>10392.692463258922</v>
      </c>
      <c r="Y33" s="16">
        <f t="shared" si="21"/>
        <v>279888.80816647323</v>
      </c>
      <c r="Z33" s="7">
        <f t="shared" si="11"/>
        <v>46.061616774154636</v>
      </c>
      <c r="AC33">
        <f t="shared" si="12"/>
        <v>7.6005407145831381</v>
      </c>
    </row>
    <row r="34" spans="2:29">
      <c r="B34" s="120">
        <v>14000</v>
      </c>
      <c r="C34" s="7" cm="1">
        <f t="array" ref="C34">Linterp(B34,atmos_h,atmos_aspeed)</f>
        <v>1061.3594740223903</v>
      </c>
      <c r="D34" s="7" cm="1">
        <f t="array" ref="D34">Linterp(B34,atmos_h,atmos_qms)</f>
        <v>870.22647607150509</v>
      </c>
      <c r="E34" s="16">
        <f t="shared" si="6"/>
        <v>294.73528496965133</v>
      </c>
      <c r="F34" s="11">
        <v>0.46872000000000003</v>
      </c>
      <c r="G34" s="7">
        <f t="shared" si="0"/>
        <v>497.48041266377481</v>
      </c>
      <c r="H34" s="121">
        <f t="shared" si="7"/>
        <v>9945.2761068549989</v>
      </c>
      <c r="I34" s="11">
        <f t="shared" si="8"/>
        <v>0.30599100577074823</v>
      </c>
      <c r="J34" s="11">
        <f t="shared" si="9"/>
        <v>2.6999329218873293E-2</v>
      </c>
      <c r="K34" s="176">
        <f t="shared" si="10"/>
        <v>11.333281774898758</v>
      </c>
      <c r="L34" s="12">
        <f t="shared" si="1"/>
        <v>877.52835448616918</v>
      </c>
      <c r="M34" s="314">
        <f t="shared" si="2"/>
        <v>-200</v>
      </c>
      <c r="N34" s="16">
        <f t="shared" si="13"/>
        <v>-53.899886205996225</v>
      </c>
      <c r="O34" s="11">
        <f t="shared" si="14"/>
        <v>7.175847636999663E-3</v>
      </c>
      <c r="P34" s="170">
        <f t="shared" si="15"/>
        <v>-48.516744759736568</v>
      </c>
      <c r="Q34" s="7">
        <f t="shared" si="3"/>
        <v>-5.5966629297511439</v>
      </c>
      <c r="R34" s="176">
        <f t="shared" si="16"/>
        <v>20.643164722942497</v>
      </c>
      <c r="S34" s="7">
        <f t="shared" si="17"/>
        <v>476.67560759793082</v>
      </c>
      <c r="T34" s="277">
        <f t="shared" si="4"/>
        <v>0.12</v>
      </c>
      <c r="U34" s="170">
        <f t="shared" si="18"/>
        <v>2.4771797667530997</v>
      </c>
      <c r="V34" s="16">
        <f t="shared" si="19"/>
        <v>57.201072911751695</v>
      </c>
      <c r="W34" s="16">
        <f t="shared" si="5"/>
        <v>495.10896423114605</v>
      </c>
      <c r="X34" s="172">
        <f t="shared" si="20"/>
        <v>10295.180114464858</v>
      </c>
      <c r="Y34" s="16">
        <f t="shared" si="21"/>
        <v>290183.98828093807</v>
      </c>
      <c r="Z34" s="7">
        <f t="shared" si="11"/>
        <v>47.755906174863092</v>
      </c>
      <c r="AC34">
        <f t="shared" si="12"/>
        <v>7.9445934599655139</v>
      </c>
    </row>
    <row r="35" spans="2:29">
      <c r="B35" s="120">
        <v>13000</v>
      </c>
      <c r="C35" s="7" cm="1">
        <f t="array" ref="C35">Linterp(B35,atmos_h,atmos_aspeed)</f>
        <v>1065.3889877398271</v>
      </c>
      <c r="D35" s="7" cm="1">
        <f t="array" ref="D35">Linterp(B35,atmos_h,atmos_qms)</f>
        <v>905.59166701454205</v>
      </c>
      <c r="E35" s="16">
        <f t="shared" si="6"/>
        <v>290.43860176205897</v>
      </c>
      <c r="F35" s="11">
        <v>0.46014000000000005</v>
      </c>
      <c r="G35" s="7">
        <f t="shared" si="0"/>
        <v>490.22808881860414</v>
      </c>
      <c r="H35" s="121">
        <f t="shared" si="7"/>
        <v>9942.7989270882463</v>
      </c>
      <c r="I35" s="11">
        <f t="shared" si="8"/>
        <v>0.30503336202499687</v>
      </c>
      <c r="J35" s="11">
        <f t="shared" si="9"/>
        <v>2.6938680664530996E-2</v>
      </c>
      <c r="K35" s="176">
        <f t="shared" si="10"/>
        <v>11.323248002513397</v>
      </c>
      <c r="L35" s="12">
        <f t="shared" si="1"/>
        <v>878.08718177693027</v>
      </c>
      <c r="M35" s="314">
        <f t="shared" si="2"/>
        <v>-200</v>
      </c>
      <c r="N35" s="16">
        <f t="shared" si="13"/>
        <v>-53.154913679534062</v>
      </c>
      <c r="O35" s="11">
        <f t="shared" si="14"/>
        <v>7.2523238451706789E-3</v>
      </c>
      <c r="P35" s="170">
        <f t="shared" si="15"/>
        <v>-47.86566024457607</v>
      </c>
      <c r="Q35" s="7">
        <f t="shared" si="3"/>
        <v>-5.6032625984098177</v>
      </c>
      <c r="R35" s="176">
        <f t="shared" si="16"/>
        <v>20.75067539464812</v>
      </c>
      <c r="S35" s="7">
        <f t="shared" si="17"/>
        <v>497.42628299257893</v>
      </c>
      <c r="T35" s="277">
        <f t="shared" si="4"/>
        <v>0.12</v>
      </c>
      <c r="U35" s="170">
        <f t="shared" si="18"/>
        <v>2.4900810473577741</v>
      </c>
      <c r="V35" s="16">
        <f t="shared" si="19"/>
        <v>59.691153959109471</v>
      </c>
      <c r="W35" s="16">
        <f t="shared" si="5"/>
        <v>487.88570140565918</v>
      </c>
      <c r="X35" s="172">
        <f t="shared" si="20"/>
        <v>10198.901610650004</v>
      </c>
      <c r="Y35" s="16">
        <f t="shared" si="21"/>
        <v>300382.88989158807</v>
      </c>
      <c r="Z35" s="7">
        <f t="shared" si="11"/>
        <v>49.434350913631114</v>
      </c>
      <c r="AC35">
        <f t="shared" si="12"/>
        <v>8.2904380498763164</v>
      </c>
    </row>
    <row r="36" spans="2:29">
      <c r="B36" s="120">
        <v>12000</v>
      </c>
      <c r="C36" s="7" cm="1">
        <f t="array" ref="C36">Linterp(B36,atmos_h,atmos_aspeed)</f>
        <v>1069.4033183497709</v>
      </c>
      <c r="D36" s="7" cm="1">
        <f t="array" ref="D36">Linterp(B36,atmos_h,atmos_qms)</f>
        <v>942.11173922419323</v>
      </c>
      <c r="E36" s="16">
        <f t="shared" si="6"/>
        <v>286.09689038945453</v>
      </c>
      <c r="F36" s="11">
        <v>0.45156000000000007</v>
      </c>
      <c r="G36" s="7">
        <f t="shared" si="0"/>
        <v>482.89976243402259</v>
      </c>
      <c r="H36" s="121">
        <f t="shared" si="7"/>
        <v>9940.308846040889</v>
      </c>
      <c r="I36" s="11">
        <f t="shared" si="8"/>
        <v>0.30438105127718029</v>
      </c>
      <c r="J36" s="11">
        <f t="shared" si="9"/>
        <v>2.69028404162709E-2</v>
      </c>
      <c r="K36" s="176">
        <f t="shared" si="10"/>
        <v>11.314086043237648</v>
      </c>
      <c r="L36" s="12">
        <f t="shared" si="1"/>
        <v>878.57815541204445</v>
      </c>
      <c r="M36" s="314">
        <f t="shared" si="2"/>
        <v>-200</v>
      </c>
      <c r="N36" s="16">
        <f t="shared" si="13"/>
        <v>-52.397278905720242</v>
      </c>
      <c r="O36" s="11">
        <f t="shared" si="14"/>
        <v>7.3283263845815442E-3</v>
      </c>
      <c r="P36" s="170">
        <f t="shared" si="15"/>
        <v>-47.205142961608225</v>
      </c>
      <c r="Q36" s="7">
        <f t="shared" si="3"/>
        <v>-5.6098217540288893</v>
      </c>
      <c r="R36" s="176">
        <f t="shared" si="16"/>
        <v>21.036952803086251</v>
      </c>
      <c r="S36" s="7">
        <f t="shared" si="17"/>
        <v>518.46323579566524</v>
      </c>
      <c r="T36" s="277">
        <f t="shared" si="4"/>
        <v>0.12</v>
      </c>
      <c r="U36" s="170">
        <f t="shared" si="18"/>
        <v>2.5244343363703501</v>
      </c>
      <c r="V36" s="16">
        <f t="shared" si="19"/>
        <v>62.215588295479819</v>
      </c>
      <c r="W36" s="16">
        <f t="shared" si="5"/>
        <v>480.58699008276284</v>
      </c>
      <c r="X36" s="172">
        <f t="shared" si="20"/>
        <v>10186.857150959922</v>
      </c>
      <c r="Y36" s="16">
        <f t="shared" si="21"/>
        <v>310569.74704254797</v>
      </c>
      <c r="Z36" s="7">
        <f t="shared" si="11"/>
        <v>51.110813482086101</v>
      </c>
      <c r="AC36">
        <f t="shared" si="12"/>
        <v>8.6410539299277538</v>
      </c>
    </row>
    <row r="37" spans="2:29">
      <c r="B37" s="120">
        <v>11000</v>
      </c>
      <c r="C37" s="7" cm="1">
        <f t="array" ref="C37">Linterp(B37,atmos_h,atmos_aspeed)</f>
        <v>1073.4026361984163</v>
      </c>
      <c r="D37" s="7" cm="1">
        <f t="array" ref="D37">Linterp(B37,atmos_h,atmos_qms)</f>
        <v>979.81532655871706</v>
      </c>
      <c r="E37" s="16">
        <f t="shared" si="6"/>
        <v>281.71042709818778</v>
      </c>
      <c r="F37" s="11">
        <v>0.4429800000000001</v>
      </c>
      <c r="G37" s="7">
        <f t="shared" si="0"/>
        <v>475.49589978317454</v>
      </c>
      <c r="H37" s="121">
        <f t="shared" si="7"/>
        <v>9937.7844117045188</v>
      </c>
      <c r="I37" s="11">
        <f t="shared" si="8"/>
        <v>0.30403822154715388</v>
      </c>
      <c r="J37" s="11">
        <f t="shared" si="9"/>
        <v>2.6892145500706253E-2</v>
      </c>
      <c r="K37" s="176">
        <f t="shared" si="10"/>
        <v>11.305837295100501</v>
      </c>
      <c r="L37" s="12">
        <f t="shared" si="1"/>
        <v>878.99588082796481</v>
      </c>
      <c r="M37" s="314">
        <f t="shared" si="2"/>
        <v>-200</v>
      </c>
      <c r="N37" s="16">
        <f t="shared" si="13"/>
        <v>-51.627012215354839</v>
      </c>
      <c r="O37" s="11">
        <f t="shared" si="14"/>
        <v>7.4038626508480549E-3</v>
      </c>
      <c r="P37" s="170">
        <f t="shared" si="15"/>
        <v>-46.535101943110256</v>
      </c>
      <c r="Q37" s="7">
        <f t="shared" si="3"/>
        <v>-5.6163251246572985</v>
      </c>
      <c r="R37" s="176">
        <f t="shared" si="16"/>
        <v>21.335553390466217</v>
      </c>
      <c r="S37" s="7">
        <f t="shared" si="17"/>
        <v>539.79878918613144</v>
      </c>
      <c r="T37" s="277">
        <f t="shared" si="4"/>
        <v>0.12</v>
      </c>
      <c r="U37" s="170">
        <f t="shared" si="18"/>
        <v>2.5602664068559458</v>
      </c>
      <c r="V37" s="16">
        <f t="shared" si="19"/>
        <v>64.775854702335764</v>
      </c>
      <c r="W37" s="16">
        <f t="shared" si="5"/>
        <v>473.21330813678003</v>
      </c>
      <c r="X37" s="172">
        <f t="shared" si="20"/>
        <v>10174.928593252827</v>
      </c>
      <c r="Y37" s="16">
        <f t="shared" si="21"/>
        <v>320744.67563580081</v>
      </c>
      <c r="Z37" s="7">
        <f t="shared" si="11"/>
        <v>52.785312954348107</v>
      </c>
      <c r="AC37">
        <f t="shared" si="12"/>
        <v>8.9966464864355249</v>
      </c>
    </row>
    <row r="38" spans="2:29">
      <c r="B38" s="120">
        <v>10000</v>
      </c>
      <c r="C38" s="7" cm="1">
        <f t="array" ref="C38">Linterp(B38,atmos_h,atmos_aspeed)</f>
        <v>1077.3871084702648</v>
      </c>
      <c r="D38" s="7" cm="1">
        <f t="array" ref="D38">Linterp(B38,atmos_h,atmos_qms)</f>
        <v>1018.7315510840876</v>
      </c>
      <c r="E38" s="16">
        <f t="shared" si="6"/>
        <v>277.27948385724096</v>
      </c>
      <c r="F38" s="11">
        <v>0.43440000000000001</v>
      </c>
      <c r="G38" s="7">
        <f t="shared" si="0"/>
        <v>468.01695991948304</v>
      </c>
      <c r="H38" s="121">
        <f t="shared" si="7"/>
        <v>9935.2241452976632</v>
      </c>
      <c r="I38" s="11">
        <f t="shared" si="8"/>
        <v>0.30401104212912883</v>
      </c>
      <c r="J38" s="11">
        <f t="shared" si="9"/>
        <v>2.6907097172991716E-2</v>
      </c>
      <c r="K38" s="176">
        <f t="shared" si="10"/>
        <v>11.298544773320369</v>
      </c>
      <c r="L38" s="12">
        <f t="shared" si="1"/>
        <v>879.33661764637498</v>
      </c>
      <c r="M38" s="314">
        <f t="shared" si="2"/>
        <v>-200</v>
      </c>
      <c r="N38" s="16">
        <f t="shared" si="13"/>
        <v>-50.844131459250484</v>
      </c>
      <c r="O38" s="11">
        <f t="shared" si="14"/>
        <v>7.4789398636914937E-3</v>
      </c>
      <c r="P38" s="170">
        <f t="shared" si="15"/>
        <v>-45.855431759173236</v>
      </c>
      <c r="Q38" s="7">
        <f t="shared" si="3"/>
        <v>-5.6227547041547048</v>
      </c>
      <c r="R38" s="176">
        <f t="shared" si="16"/>
        <v>21.64723938541951</v>
      </c>
      <c r="S38" s="7">
        <f t="shared" si="17"/>
        <v>561.44602857155098</v>
      </c>
      <c r="T38" s="277">
        <f t="shared" si="4"/>
        <v>0.12</v>
      </c>
      <c r="U38" s="170">
        <f t="shared" si="18"/>
        <v>2.5976687262503413</v>
      </c>
      <c r="V38" s="16">
        <f t="shared" si="19"/>
        <v>67.373523428586111</v>
      </c>
      <c r="W38" s="16">
        <f t="shared" si="5"/>
        <v>465.76512766678314</v>
      </c>
      <c r="X38" s="172">
        <f t="shared" si="20"/>
        <v>10163.145488793249</v>
      </c>
      <c r="Y38" s="16">
        <f t="shared" si="21"/>
        <v>330907.82112459408</v>
      </c>
      <c r="Z38" s="7">
        <f t="shared" si="11"/>
        <v>54.45787326782208</v>
      </c>
      <c r="AC38">
        <f t="shared" si="12"/>
        <v>9.3574338095258494</v>
      </c>
    </row>
    <row r="39" spans="2:29">
      <c r="B39" s="120">
        <v>9000</v>
      </c>
      <c r="C39" s="7" cm="1">
        <f t="array" ref="C39">Linterp(B39,atmos_h,atmos_aspeed)</f>
        <v>1081.3568992696751</v>
      </c>
      <c r="D39" s="7" cm="1">
        <f t="array" ref="D39">Linterp(B39,atmos_h,atmos_qms)</f>
        <v>1058.8900276738709</v>
      </c>
      <c r="E39" s="16">
        <f t="shared" si="6"/>
        <v>273.44498490662534</v>
      </c>
      <c r="F39" s="11">
        <v>0.42682000000000003</v>
      </c>
      <c r="G39" s="7">
        <f t="shared" si="0"/>
        <v>461.54475174628277</v>
      </c>
      <c r="H39" s="121">
        <f t="shared" si="7"/>
        <v>9932.6264765714131</v>
      </c>
      <c r="I39" s="11">
        <f t="shared" si="8"/>
        <v>0.30288293235174796</v>
      </c>
      <c r="J39" s="11">
        <f t="shared" si="9"/>
        <v>2.6830598253579523E-2</v>
      </c>
      <c r="K39" s="176">
        <f t="shared" si="10"/>
        <v>11.28871333725627</v>
      </c>
      <c r="L39" s="12">
        <f t="shared" si="1"/>
        <v>879.87232732632617</v>
      </c>
      <c r="M39" s="314">
        <f t="shared" si="2"/>
        <v>-200</v>
      </c>
      <c r="N39" s="16">
        <f t="shared" si="13"/>
        <v>-50.179014222384509</v>
      </c>
      <c r="O39" s="11">
        <f t="shared" si="14"/>
        <v>6.472208173200272E-3</v>
      </c>
      <c r="P39" s="170">
        <f t="shared" si="15"/>
        <v>-45.915923628168819</v>
      </c>
      <c r="Q39" s="7">
        <f t="shared" si="3"/>
        <v>-5.7094084755277876</v>
      </c>
      <c r="R39" s="176">
        <f t="shared" si="16"/>
        <v>21.793292597222099</v>
      </c>
      <c r="S39" s="7">
        <f t="shared" si="17"/>
        <v>583.23932116877313</v>
      </c>
      <c r="T39" s="277">
        <f t="shared" si="4"/>
        <v>0.12</v>
      </c>
      <c r="U39" s="170">
        <f t="shared" si="18"/>
        <v>2.6151951116666519</v>
      </c>
      <c r="V39" s="16">
        <f t="shared" si="19"/>
        <v>69.988718540252762</v>
      </c>
      <c r="W39" s="16">
        <f t="shared" si="5"/>
        <v>459.25514240116024</v>
      </c>
      <c r="X39" s="172">
        <f t="shared" si="20"/>
        <v>10079.618701976047</v>
      </c>
      <c r="Y39" s="16">
        <f t="shared" si="21"/>
        <v>340987.4398265701</v>
      </c>
      <c r="Z39" s="7">
        <f t="shared" si="11"/>
        <v>56.116687483801286</v>
      </c>
      <c r="AC39">
        <f t="shared" si="12"/>
        <v>9.7206553528128854</v>
      </c>
    </row>
    <row r="40" spans="2:29">
      <c r="B40" s="120">
        <v>8000</v>
      </c>
      <c r="C40" s="7" cm="1">
        <f t="array" ref="C40">Linterp(B40,atmos_h,atmos_aspeed)</f>
        <v>1085.3121696997296</v>
      </c>
      <c r="D40" s="7" cm="1">
        <f t="array" ref="D40">Linterp(B40,atmos_h,atmos_qms)</f>
        <v>1100.320868617878</v>
      </c>
      <c r="E40" s="16">
        <f t="shared" si="6"/>
        <v>269.57122416063669</v>
      </c>
      <c r="F40" s="11">
        <v>0.41924000000000006</v>
      </c>
      <c r="G40" s="7">
        <f t="shared" si="0"/>
        <v>455.00627402491466</v>
      </c>
      <c r="H40" s="121">
        <f t="shared" si="7"/>
        <v>9930.0112814597469</v>
      </c>
      <c r="I40" s="11">
        <f t="shared" si="8"/>
        <v>0.30203414727661454</v>
      </c>
      <c r="J40" s="11">
        <f t="shared" si="9"/>
        <v>2.6776794466224933E-2</v>
      </c>
      <c r="K40" s="176">
        <f t="shared" si="10"/>
        <v>11.279697712046417</v>
      </c>
      <c r="L40" s="12">
        <f t="shared" si="1"/>
        <v>880.34374102550282</v>
      </c>
      <c r="M40" s="314">
        <f t="shared" si="2"/>
        <v>-200</v>
      </c>
      <c r="N40" s="16">
        <f t="shared" si="13"/>
        <v>-49.502781652216797</v>
      </c>
      <c r="O40" s="11">
        <f t="shared" si="14"/>
        <v>6.5384777213681102E-3</v>
      </c>
      <c r="P40" s="170">
        <f t="shared" si="15"/>
        <v>-45.312819835034539</v>
      </c>
      <c r="Q40" s="7">
        <f t="shared" si="3"/>
        <v>-5.7154025288170551</v>
      </c>
      <c r="R40" s="176">
        <f t="shared" si="16"/>
        <v>21.922915126050043</v>
      </c>
      <c r="S40" s="7">
        <f t="shared" si="17"/>
        <v>605.16223629482317</v>
      </c>
      <c r="T40" s="277">
        <f t="shared" si="4"/>
        <v>0.12</v>
      </c>
      <c r="U40" s="170">
        <f t="shared" si="18"/>
        <v>2.6307498151260051</v>
      </c>
      <c r="V40" s="16">
        <f t="shared" si="19"/>
        <v>72.619468355378771</v>
      </c>
      <c r="W40" s="16">
        <f t="shared" si="5"/>
        <v>452.74436248354704</v>
      </c>
      <c r="X40" s="172">
        <f t="shared" si="20"/>
        <v>9996.8438702935491</v>
      </c>
      <c r="Y40" s="16">
        <f t="shared" si="21"/>
        <v>350984.28369686363</v>
      </c>
      <c r="Z40" s="7">
        <f t="shared" si="11"/>
        <v>57.761879352390174</v>
      </c>
      <c r="AC40">
        <f t="shared" si="12"/>
        <v>10.086037271580386</v>
      </c>
    </row>
    <row r="41" spans="2:29">
      <c r="B41" s="120">
        <v>7000</v>
      </c>
      <c r="C41" s="7" cm="1">
        <f t="array" ref="C41">Linterp(B41,atmos_h,atmos_aspeed)</f>
        <v>1089.2530779385215</v>
      </c>
      <c r="D41" s="7" cm="1">
        <f t="array" ref="D41">Linterp(B41,atmos_h,atmos_qms)</f>
        <v>1143.0546882395377</v>
      </c>
      <c r="E41" s="16">
        <f t="shared" si="6"/>
        <v>265.65843582236499</v>
      </c>
      <c r="F41" s="11">
        <v>0.41166000000000008</v>
      </c>
      <c r="G41" s="7">
        <f t="shared" si="0"/>
        <v>448.40192206417186</v>
      </c>
      <c r="H41" s="121">
        <f t="shared" si="7"/>
        <v>9927.3805316446214</v>
      </c>
      <c r="I41" s="11">
        <f t="shared" si="8"/>
        <v>0.3014681246444067</v>
      </c>
      <c r="J41" s="11">
        <f t="shared" si="9"/>
        <v>2.6745965127358044E-2</v>
      </c>
      <c r="K41" s="176">
        <f t="shared" si="10"/>
        <v>11.271536592861235</v>
      </c>
      <c r="L41" s="12">
        <f t="shared" si="1"/>
        <v>880.74775341030897</v>
      </c>
      <c r="M41" s="314">
        <f t="shared" si="2"/>
        <v>-200</v>
      </c>
      <c r="N41" s="16">
        <f t="shared" si="13"/>
        <v>-48.815432061959584</v>
      </c>
      <c r="O41" s="11">
        <f t="shared" si="14"/>
        <v>6.6043519607428035E-3</v>
      </c>
      <c r="P41" s="170">
        <f t="shared" si="15"/>
        <v>-44.701000338632475</v>
      </c>
      <c r="Q41" s="7">
        <f t="shared" si="3"/>
        <v>-5.7212955357046766</v>
      </c>
      <c r="R41" s="176">
        <f t="shared" si="16"/>
        <v>22.218810357579819</v>
      </c>
      <c r="S41" s="7">
        <f t="shared" si="17"/>
        <v>627.38104665240303</v>
      </c>
      <c r="T41" s="277">
        <f t="shared" si="4"/>
        <v>0.12</v>
      </c>
      <c r="U41" s="170">
        <f t="shared" si="18"/>
        <v>2.6662572429095781</v>
      </c>
      <c r="V41" s="16">
        <f t="shared" si="19"/>
        <v>75.285725598288352</v>
      </c>
      <c r="W41" s="16">
        <f t="shared" si="5"/>
        <v>446.16824660610848</v>
      </c>
      <c r="X41" s="172">
        <f t="shared" si="20"/>
        <v>9986.3843947001678</v>
      </c>
      <c r="Y41" s="16">
        <f t="shared" si="21"/>
        <v>360970.6680915638</v>
      </c>
      <c r="Z41" s="7">
        <f t="shared" si="11"/>
        <v>59.405349893286129</v>
      </c>
      <c r="AC41">
        <f t="shared" si="12"/>
        <v>10.456350777540051</v>
      </c>
    </row>
    <row r="42" spans="2:29">
      <c r="B42" s="120">
        <v>6000</v>
      </c>
      <c r="C42" s="7" cm="1">
        <f t="array" ref="C42">Linterp(B42,atmos_h,atmos_aspeed)</f>
        <v>1093.1797793129685</v>
      </c>
      <c r="D42" s="7" cm="1">
        <f t="array" ref="D42">Linterp(B42,atmos_h,atmos_qms)</f>
        <v>1187.1226075219445</v>
      </c>
      <c r="E42" s="16">
        <f t="shared" si="6"/>
        <v>261.70685057093408</v>
      </c>
      <c r="F42" s="11">
        <v>0.40408000000000011</v>
      </c>
      <c r="G42" s="7">
        <f t="shared" si="0"/>
        <v>441.73208522478444</v>
      </c>
      <c r="H42" s="121">
        <f t="shared" si="7"/>
        <v>9924.714274401711</v>
      </c>
      <c r="I42" s="11">
        <f t="shared" si="8"/>
        <v>0.3011887904819685</v>
      </c>
      <c r="J42" s="11">
        <f t="shared" si="9"/>
        <v>2.6738429226659942E-2</v>
      </c>
      <c r="K42" s="176">
        <f t="shared" si="10"/>
        <v>11.264266420768795</v>
      </c>
      <c r="L42" s="12">
        <f t="shared" si="1"/>
        <v>881.07950430777714</v>
      </c>
      <c r="M42" s="314">
        <f t="shared" si="2"/>
        <v>-200</v>
      </c>
      <c r="N42" s="16">
        <f t="shared" si="13"/>
        <v>-48.117002719500313</v>
      </c>
      <c r="O42" s="11">
        <f t="shared" si="14"/>
        <v>6.6698368393874148E-3</v>
      </c>
      <c r="P42" s="170">
        <f t="shared" si="15"/>
        <v>-44.080411781297016</v>
      </c>
      <c r="Q42" s="7">
        <f t="shared" si="3"/>
        <v>-5.727073573932608</v>
      </c>
      <c r="R42" s="176">
        <f t="shared" si="16"/>
        <v>22.527237990969549</v>
      </c>
      <c r="S42" s="7">
        <f t="shared" si="17"/>
        <v>649.90828464337255</v>
      </c>
      <c r="T42" s="277">
        <f t="shared" si="4"/>
        <v>0.12</v>
      </c>
      <c r="U42" s="170">
        <f t="shared" si="18"/>
        <v>2.7032685589163457</v>
      </c>
      <c r="V42" s="16">
        <f t="shared" si="19"/>
        <v>77.988994157204701</v>
      </c>
      <c r="W42" s="16">
        <f t="shared" si="5"/>
        <v>439.52719189400273</v>
      </c>
      <c r="X42" s="172">
        <f t="shared" si="20"/>
        <v>9976.135965304069</v>
      </c>
      <c r="Y42" s="16">
        <f t="shared" si="21"/>
        <v>370946.80405686784</v>
      </c>
      <c r="Z42" s="7">
        <f t="shared" si="11"/>
        <v>61.047133838599805</v>
      </c>
      <c r="AC42">
        <f t="shared" si="12"/>
        <v>10.831804744056209</v>
      </c>
    </row>
    <row r="43" spans="2:29">
      <c r="B43" s="120">
        <v>5000</v>
      </c>
      <c r="C43" s="7" cm="1">
        <f t="array" ref="C43">Linterp(B43,atmos_h,atmos_aspeed)</f>
        <v>1097.0924263702484</v>
      </c>
      <c r="D43" s="7" cm="1">
        <f t="array" ref="D43">Linterp(B43,atmos_h,atmos_qms)</f>
        <v>1232.5562587425445</v>
      </c>
      <c r="E43" s="16">
        <f t="shared" si="6"/>
        <v>257.71669564230348</v>
      </c>
      <c r="F43" s="11">
        <v>0.39650000000000002</v>
      </c>
      <c r="G43" s="7">
        <f t="shared" si="0"/>
        <v>434.99714705580351</v>
      </c>
      <c r="H43" s="121">
        <f t="shared" si="7"/>
        <v>9922.0110058427945</v>
      </c>
      <c r="I43" s="11">
        <f t="shared" si="8"/>
        <v>0.30120185931443366</v>
      </c>
      <c r="J43" s="11">
        <f t="shared" si="9"/>
        <v>2.6754651069297735E-2</v>
      </c>
      <c r="K43" s="176">
        <f t="shared" si="10"/>
        <v>11.257925156051744</v>
      </c>
      <c r="L43" s="12">
        <f t="shared" si="1"/>
        <v>881.33566961130282</v>
      </c>
      <c r="M43" s="314">
        <f t="shared" si="2"/>
        <v>-200</v>
      </c>
      <c r="N43" s="16">
        <f t="shared" si="13"/>
        <v>-47.407519606015477</v>
      </c>
      <c r="O43" s="11">
        <f t="shared" si="14"/>
        <v>6.7349381689809319E-3</v>
      </c>
      <c r="P43" s="170">
        <f t="shared" si="15"/>
        <v>-43.450988160599493</v>
      </c>
      <c r="Q43" s="7">
        <f t="shared" si="3"/>
        <v>-5.7327201494214064</v>
      </c>
      <c r="R43" s="176">
        <f t="shared" si="16"/>
        <v>22.848943365781917</v>
      </c>
      <c r="S43" s="7">
        <f t="shared" si="17"/>
        <v>672.75722800915446</v>
      </c>
      <c r="T43" s="277">
        <f t="shared" si="4"/>
        <v>0.12</v>
      </c>
      <c r="U43" s="170">
        <f t="shared" si="18"/>
        <v>2.7418732038938298</v>
      </c>
      <c r="V43" s="16">
        <f t="shared" si="19"/>
        <v>80.730867361098532</v>
      </c>
      <c r="W43" s="16">
        <f t="shared" si="5"/>
        <v>432.82159092928322</v>
      </c>
      <c r="X43" s="172">
        <f t="shared" si="20"/>
        <v>9966.1239669690258</v>
      </c>
      <c r="Y43" s="16">
        <f t="shared" si="21"/>
        <v>380912.92802383687</v>
      </c>
      <c r="Z43" s="7">
        <f t="shared" si="11"/>
        <v>62.687270098057546</v>
      </c>
      <c r="AC43">
        <f t="shared" si="12"/>
        <v>11.21262046681924</v>
      </c>
    </row>
    <row r="44" spans="2:29">
      <c r="B44" s="120">
        <v>4000</v>
      </c>
      <c r="C44" s="7" cm="1">
        <f t="array" ref="C44">Linterp(B44,atmos_h,atmos_aspeed)</f>
        <v>1100.9911689469482</v>
      </c>
      <c r="D44" s="7" cm="1">
        <f t="array" ref="D44">Linterp(B44,atmos_h,atmos_qms)</f>
        <v>1279.3877901163921</v>
      </c>
      <c r="E44" s="16">
        <f t="shared" si="6"/>
        <v>254.23611757480501</v>
      </c>
      <c r="F44" s="11">
        <v>0.38976</v>
      </c>
      <c r="G44" s="7">
        <f t="shared" si="0"/>
        <v>429.12231800876253</v>
      </c>
      <c r="H44" s="121">
        <f t="shared" si="7"/>
        <v>9919.2691326389013</v>
      </c>
      <c r="I44" s="11">
        <f t="shared" si="8"/>
        <v>0.300216126705178</v>
      </c>
      <c r="J44" s="11">
        <f t="shared" si="9"/>
        <v>2.6688040294795712E-2</v>
      </c>
      <c r="K44" s="176">
        <f t="shared" si="10"/>
        <v>11.249088482668451</v>
      </c>
      <c r="L44" s="12">
        <f t="shared" si="1"/>
        <v>881.78425726862997</v>
      </c>
      <c r="M44" s="314">
        <f t="shared" si="2"/>
        <v>-200</v>
      </c>
      <c r="N44" s="16">
        <f t="shared" si="13"/>
        <v>-46.799593987929477</v>
      </c>
      <c r="O44" s="11">
        <f t="shared" si="14"/>
        <v>5.874829047040976E-3</v>
      </c>
      <c r="P44" s="170">
        <f t="shared" si="15"/>
        <v>-43.399027461171492</v>
      </c>
      <c r="Q44" s="7">
        <f t="shared" si="3"/>
        <v>-5.8044979126596647</v>
      </c>
      <c r="R44" s="176">
        <f t="shared" si="16"/>
        <v>23.028205414607356</v>
      </c>
      <c r="S44" s="7">
        <f t="shared" si="17"/>
        <v>695.78543342376179</v>
      </c>
      <c r="T44" s="277">
        <f t="shared" si="4"/>
        <v>0.12</v>
      </c>
      <c r="U44" s="170">
        <f t="shared" si="18"/>
        <v>2.7633846497528824</v>
      </c>
      <c r="V44" s="16">
        <f t="shared" si="19"/>
        <v>83.494252010851412</v>
      </c>
      <c r="W44" s="16">
        <f t="shared" si="5"/>
        <v>426.92211025974984</v>
      </c>
      <c r="X44" s="172">
        <f t="shared" si="20"/>
        <v>9899.1772774479305</v>
      </c>
      <c r="Y44" s="16">
        <f t="shared" si="21"/>
        <v>390812.10530128481</v>
      </c>
      <c r="Z44" s="7">
        <f t="shared" si="11"/>
        <v>64.316388865328946</v>
      </c>
      <c r="AC44">
        <f t="shared" si="12"/>
        <v>11.59642389039603</v>
      </c>
    </row>
    <row r="45" spans="2:29">
      <c r="B45" s="120">
        <v>3000</v>
      </c>
      <c r="C45" s="7" cm="1">
        <f t="array" ref="C45">Linterp(B45,atmos_h,atmos_aspeed)</f>
        <v>1104.8761542360191</v>
      </c>
      <c r="D45" s="7" cm="1">
        <f t="array" ref="D45">Linterp(B45,atmos_h,atmos_qms)</f>
        <v>1327.6498704479548</v>
      </c>
      <c r="E45" s="16">
        <f t="shared" si="6"/>
        <v>250.72128111113949</v>
      </c>
      <c r="F45" s="11">
        <v>0.38301999999999997</v>
      </c>
      <c r="G45" s="7">
        <f t="shared" si="0"/>
        <v>423.18966459548</v>
      </c>
      <c r="H45" s="121">
        <f t="shared" si="7"/>
        <v>9916.5057479891475</v>
      </c>
      <c r="I45" s="11">
        <f t="shared" si="8"/>
        <v>0.29949066162814808</v>
      </c>
      <c r="J45" s="11">
        <f t="shared" si="9"/>
        <v>2.6652126351759255E-2</v>
      </c>
      <c r="K45" s="176">
        <f t="shared" si="10"/>
        <v>11.237026932688966</v>
      </c>
      <c r="L45" s="12">
        <f t="shared" si="1"/>
        <v>882.48482515794547</v>
      </c>
      <c r="M45" s="314">
        <f t="shared" si="2"/>
        <v>-200</v>
      </c>
      <c r="N45" s="16">
        <f t="shared" si="13"/>
        <v>-46.195343574643701</v>
      </c>
      <c r="O45" s="11">
        <f t="shared" si="14"/>
        <v>5.9326534132825371E-3</v>
      </c>
      <c r="P45" s="170">
        <f t="shared" si="15"/>
        <v>-42.851506795685189</v>
      </c>
      <c r="Q45" s="7">
        <f t="shared" si="3"/>
        <v>-5.8116391339062696</v>
      </c>
      <c r="R45" s="176">
        <f t="shared" si="16"/>
        <v>23.188262162457335</v>
      </c>
      <c r="S45" s="7">
        <f t="shared" si="17"/>
        <v>718.97369558621915</v>
      </c>
      <c r="T45" s="277">
        <f t="shared" si="4"/>
        <v>0.12</v>
      </c>
      <c r="U45" s="170">
        <f t="shared" si="18"/>
        <v>2.78259145949488</v>
      </c>
      <c r="V45" s="16">
        <f t="shared" si="19"/>
        <v>86.276843470346293</v>
      </c>
      <c r="W45" s="16">
        <f t="shared" si="5"/>
        <v>421.01453726180785</v>
      </c>
      <c r="X45" s="172">
        <f t="shared" si="20"/>
        <v>9831.088639942529</v>
      </c>
      <c r="Y45" s="16">
        <f t="shared" si="21"/>
        <v>400643.19394122734</v>
      </c>
      <c r="Z45" s="7">
        <f t="shared" si="11"/>
        <v>65.934302208746516</v>
      </c>
      <c r="AC45">
        <f t="shared" si="12"/>
        <v>11.982894926436986</v>
      </c>
    </row>
    <row r="46" spans="2:29">
      <c r="B46" s="120">
        <v>2000</v>
      </c>
      <c r="C46" s="7" cm="1">
        <f t="array" ref="C46">Linterp(B46,atmos_h,atmos_aspeed)</f>
        <v>1108.7475268516198</v>
      </c>
      <c r="D46" s="7" cm="1">
        <f t="array" ref="D46">Linterp(B46,atmos_h,atmos_qms)</f>
        <v>1377.3756937914036</v>
      </c>
      <c r="E46" s="16">
        <f t="shared" si="6"/>
        <v>247.17238329494748</v>
      </c>
      <c r="F46" s="11">
        <v>0.37627999999999995</v>
      </c>
      <c r="G46" s="7">
        <f t="shared" si="0"/>
        <v>417.19951940372744</v>
      </c>
      <c r="H46" s="121">
        <f t="shared" si="7"/>
        <v>9913.7231565296534</v>
      </c>
      <c r="I46" s="11">
        <f t="shared" si="8"/>
        <v>0.29902891155147932</v>
      </c>
      <c r="J46" s="11">
        <f t="shared" si="9"/>
        <v>2.6636746971967457E-2</v>
      </c>
      <c r="K46" s="176">
        <f t="shared" si="10"/>
        <v>11.226179828421905</v>
      </c>
      <c r="L46" s="12">
        <f t="shared" si="1"/>
        <v>883.08964474545166</v>
      </c>
      <c r="M46" s="314">
        <f t="shared" si="2"/>
        <v>-200</v>
      </c>
      <c r="N46" s="16">
        <f t="shared" si="13"/>
        <v>-45.579695148268961</v>
      </c>
      <c r="O46" s="11">
        <f t="shared" si="14"/>
        <v>5.9901451917525605E-3</v>
      </c>
      <c r="P46" s="170">
        <f t="shared" si="15"/>
        <v>-42.294508328262445</v>
      </c>
      <c r="Q46" s="7">
        <f t="shared" si="3"/>
        <v>-5.8184798001445914</v>
      </c>
      <c r="R46" s="176">
        <f t="shared" si="16"/>
        <v>23.489061667637486</v>
      </c>
      <c r="S46" s="7">
        <f t="shared" si="17"/>
        <v>742.46275725385658</v>
      </c>
      <c r="T46" s="277">
        <f t="shared" si="4"/>
        <v>0.12</v>
      </c>
      <c r="U46" s="170">
        <f t="shared" si="18"/>
        <v>2.8186874001164983</v>
      </c>
      <c r="V46" s="16">
        <f t="shared" si="19"/>
        <v>89.095530870462795</v>
      </c>
      <c r="W46" s="16">
        <f t="shared" si="5"/>
        <v>415.05013378623511</v>
      </c>
      <c r="X46" s="172">
        <f t="shared" si="20"/>
        <v>9819.187308190265</v>
      </c>
      <c r="Y46" s="16">
        <f t="shared" si="21"/>
        <v>410462.38124941761</v>
      </c>
      <c r="Z46" s="7">
        <f t="shared" si="11"/>
        <v>67.550256936577185</v>
      </c>
      <c r="AC46">
        <f t="shared" si="12"/>
        <v>12.374379287564276</v>
      </c>
    </row>
    <row r="47" spans="2:29">
      <c r="B47" s="120">
        <v>1000</v>
      </c>
      <c r="C47" s="7" cm="1">
        <f t="array" ref="C47">Linterp(B47,atmos_h,atmos_aspeed)</f>
        <v>1112.6054288919283</v>
      </c>
      <c r="D47" s="7" cm="1">
        <f t="array" ref="D47">Linterp(B47,atmos_h,atmos_qms)</f>
        <v>1428.5989841193521</v>
      </c>
      <c r="E47" s="16">
        <f t="shared" si="6"/>
        <v>243.58961830916385</v>
      </c>
      <c r="F47" s="11">
        <v>0.36953999999999992</v>
      </c>
      <c r="G47" s="7">
        <f t="shared" si="0"/>
        <v>411.15221019272309</v>
      </c>
      <c r="H47" s="121">
        <f t="shared" si="7"/>
        <v>9910.9044691295367</v>
      </c>
      <c r="I47" s="11">
        <f t="shared" si="8"/>
        <v>0.29883476699982198</v>
      </c>
      <c r="J47" s="11">
        <f t="shared" si="9"/>
        <v>2.6638092937488873E-2</v>
      </c>
      <c r="K47" s="176">
        <f t="shared" si="10"/>
        <v>11.218324363575578</v>
      </c>
      <c r="L47" s="12">
        <f t="shared" si="1"/>
        <v>883.45675770518267</v>
      </c>
      <c r="M47" s="314">
        <f t="shared" si="2"/>
        <v>-200</v>
      </c>
      <c r="N47" s="16">
        <f t="shared" si="13"/>
        <v>-44.947021935915423</v>
      </c>
      <c r="O47" s="11">
        <f t="shared" si="14"/>
        <v>6.0473092110043467E-3</v>
      </c>
      <c r="P47" s="170">
        <f t="shared" si="15"/>
        <v>-41.722743041863438</v>
      </c>
      <c r="Q47" s="7">
        <f t="shared" si="3"/>
        <v>-5.8242640983073999</v>
      </c>
      <c r="R47" s="176">
        <f t="shared" si="16"/>
        <v>23.804634969421798</v>
      </c>
      <c r="S47" s="7">
        <f t="shared" si="17"/>
        <v>766.26739222327842</v>
      </c>
      <c r="T47" s="277">
        <f t="shared" si="4"/>
        <v>0.12</v>
      </c>
      <c r="U47" s="170">
        <f t="shared" si="18"/>
        <v>2.8565561963306156</v>
      </c>
      <c r="V47" s="16">
        <f t="shared" si="19"/>
        <v>91.95208706679341</v>
      </c>
      <c r="W47" s="16">
        <f t="shared" si="5"/>
        <v>409.02976989385968</v>
      </c>
      <c r="X47" s="172">
        <f t="shared" si="20"/>
        <v>9808.4606463704658</v>
      </c>
      <c r="Y47" s="16">
        <f t="shared" si="21"/>
        <v>420270.84189578809</v>
      </c>
      <c r="Z47" s="7">
        <f t="shared" si="11"/>
        <v>69.164446365576353</v>
      </c>
      <c r="AC47">
        <f t="shared" si="12"/>
        <v>12.771123203721308</v>
      </c>
    </row>
    <row r="48" spans="2:29" ht="15" thickBot="1">
      <c r="B48" s="120">
        <v>0</v>
      </c>
      <c r="C48" s="7" cm="1">
        <f t="array" ref="C48">Linterp(B48,atmos_h,atmos_aspeed)</f>
        <v>1116.45</v>
      </c>
      <c r="D48" s="7" cm="1">
        <f t="array" ref="D48">Linterp(B48,atmos_h,atmos_qms)</f>
        <v>1481.354</v>
      </c>
      <c r="E48" s="16">
        <f t="shared" si="6"/>
        <v>239.97317753933251</v>
      </c>
      <c r="F48" s="11">
        <v>0.36280000000000001</v>
      </c>
      <c r="G48" s="7">
        <f t="shared" si="0"/>
        <v>405.04806000000002</v>
      </c>
      <c r="H48" s="121">
        <f t="shared" si="7"/>
        <v>9908.0479129332052</v>
      </c>
      <c r="I48" s="11">
        <f t="shared" si="8"/>
        <v>0.29891366216894244</v>
      </c>
      <c r="J48" s="11">
        <f t="shared" si="9"/>
        <v>2.6656503885558902E-2</v>
      </c>
      <c r="K48" s="177">
        <f t="shared" si="10"/>
        <v>11.213535857974167</v>
      </c>
      <c r="L48" s="12">
        <f t="shared" si="1"/>
        <v>883.57927761807582</v>
      </c>
      <c r="M48" s="315">
        <f t="shared" si="2"/>
        <v>-200</v>
      </c>
      <c r="N48" s="275">
        <f t="shared" si="13"/>
        <v>-44.297493119961047</v>
      </c>
      <c r="O48" s="289">
        <f t="shared" si="14"/>
        <v>6.1041501927230684E-3</v>
      </c>
      <c r="P48" s="171">
        <f t="shared" si="15"/>
        <v>-41.136293860128369</v>
      </c>
      <c r="Q48" s="7">
        <f t="shared" si="3"/>
        <v>-5.8289542524910187</v>
      </c>
      <c r="R48" s="176">
        <f t="shared" si="16"/>
        <v>24.137379274220397</v>
      </c>
      <c r="S48" s="7">
        <f>S47+R48</f>
        <v>790.40477149749881</v>
      </c>
      <c r="T48" s="278">
        <f t="shared" si="4"/>
        <v>0.12</v>
      </c>
      <c r="U48" s="171">
        <f t="shared" si="18"/>
        <v>2.8964855129064473</v>
      </c>
      <c r="V48" s="16">
        <f t="shared" si="19"/>
        <v>94.848572579699862</v>
      </c>
      <c r="W48" s="16">
        <f t="shared" si="5"/>
        <v>402.95376439142092</v>
      </c>
      <c r="X48" s="175">
        <f t="shared" si="20"/>
        <v>9799.5772657328798</v>
      </c>
      <c r="Y48" s="16">
        <f t="shared" si="21"/>
        <v>430070.41916152096</v>
      </c>
      <c r="Z48" s="7">
        <f t="shared" si="11"/>
        <v>70.777173846606701</v>
      </c>
      <c r="AC48">
        <f t="shared" si="12"/>
        <v>13.173412858291647</v>
      </c>
    </row>
    <row r="49" spans="2:18">
      <c r="B49" s="55"/>
      <c r="C49" s="55"/>
      <c r="D49" s="55"/>
      <c r="E49" s="55"/>
      <c r="H49" s="121">
        <f>H38-U38</f>
        <v>9932.6264765714131</v>
      </c>
      <c r="R49" s="297"/>
    </row>
    <row r="50" spans="2:18">
      <c r="B50" s="55"/>
      <c r="C50" s="55"/>
      <c r="D50" s="55"/>
      <c r="E50" s="55"/>
      <c r="R50" s="7"/>
    </row>
  </sheetData>
  <mergeCells count="2">
    <mergeCell ref="B2:D2"/>
    <mergeCell ref="B3:D3"/>
  </mergeCell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961D7-5614-4B42-82C7-5E7E553F7229}">
  <sheetPr codeName="Sheet47">
    <tabColor theme="9" tint="0.39997558519241921"/>
  </sheetPr>
  <dimension ref="D3:X87"/>
  <sheetViews>
    <sheetView workbookViewId="0">
      <selection activeCell="O86" sqref="O86:X87"/>
    </sheetView>
  </sheetViews>
  <sheetFormatPr defaultRowHeight="14.5"/>
  <sheetData>
    <row r="3" spans="4:24">
      <c r="D3" t="s">
        <v>6</v>
      </c>
      <c r="E3">
        <v>10000</v>
      </c>
      <c r="F3" t="s">
        <v>547</v>
      </c>
      <c r="O3" t="s">
        <v>6</v>
      </c>
      <c r="P3">
        <v>10000</v>
      </c>
      <c r="Q3" t="s">
        <v>547</v>
      </c>
    </row>
    <row r="4" spans="4:24">
      <c r="D4" t="s">
        <v>1</v>
      </c>
      <c r="E4">
        <v>0</v>
      </c>
      <c r="F4">
        <v>5000</v>
      </c>
      <c r="G4">
        <v>10000</v>
      </c>
      <c r="H4">
        <v>15000</v>
      </c>
      <c r="I4">
        <v>20000</v>
      </c>
      <c r="J4">
        <v>25000</v>
      </c>
      <c r="K4">
        <v>30000</v>
      </c>
      <c r="L4">
        <v>35000</v>
      </c>
      <c r="M4">
        <v>40000</v>
      </c>
      <c r="O4" t="s">
        <v>1</v>
      </c>
      <c r="P4">
        <v>0</v>
      </c>
      <c r="Q4">
        <v>5000</v>
      </c>
      <c r="R4">
        <v>10000</v>
      </c>
      <c r="S4">
        <v>15000</v>
      </c>
      <c r="T4">
        <v>20000</v>
      </c>
      <c r="U4">
        <v>25000</v>
      </c>
      <c r="V4">
        <v>30000</v>
      </c>
      <c r="W4">
        <v>35000</v>
      </c>
      <c r="X4">
        <v>40000</v>
      </c>
    </row>
    <row r="5" spans="4:24">
      <c r="D5" t="s">
        <v>72</v>
      </c>
      <c r="E5" t="s">
        <v>74</v>
      </c>
      <c r="F5" t="s">
        <v>74</v>
      </c>
      <c r="G5" t="s">
        <v>74</v>
      </c>
      <c r="H5" t="s">
        <v>74</v>
      </c>
      <c r="I5" t="s">
        <v>74</v>
      </c>
      <c r="J5" t="s">
        <v>74</v>
      </c>
      <c r="K5" t="s">
        <v>74</v>
      </c>
      <c r="L5" t="s">
        <v>74</v>
      </c>
      <c r="M5" t="s">
        <v>74</v>
      </c>
      <c r="O5" t="s">
        <v>72</v>
      </c>
      <c r="P5" t="s">
        <v>420</v>
      </c>
      <c r="Q5" t="s">
        <v>420</v>
      </c>
      <c r="R5" t="s">
        <v>420</v>
      </c>
      <c r="S5" t="s">
        <v>420</v>
      </c>
      <c r="T5" t="s">
        <v>420</v>
      </c>
      <c r="U5" t="s">
        <v>420</v>
      </c>
      <c r="V5" t="s">
        <v>420</v>
      </c>
      <c r="W5" t="s">
        <v>420</v>
      </c>
      <c r="X5" t="s">
        <v>420</v>
      </c>
    </row>
    <row r="6" spans="4:24">
      <c r="D6">
        <v>0.22</v>
      </c>
      <c r="E6" cm="1">
        <f t="array" ref="E6">$E$3/(S*Linterp(E$4,atmos_h,atmos_qms)*$D6^2)</f>
        <v>0.8204400689700253</v>
      </c>
      <c r="F6" cm="1">
        <f t="array" ref="F6">$E$3/(S*Linterp(F$4,atmos_h,atmos_qms)*$D6^2)</f>
        <v>0.98605006409114093</v>
      </c>
      <c r="G6" cm="1">
        <f t="array" ref="G6">$E$3/(S*Linterp(G$4,atmos_h,atmos_qms)*$D6^2)</f>
        <v>1.1930151536346254</v>
      </c>
      <c r="H6" cm="1">
        <f t="array" ref="H6">$E$3/(S*Linterp(H$4,atmos_h,atmos_qms)*$D6^2)</f>
        <v>1.4538033493842457</v>
      </c>
      <c r="I6" cm="1">
        <f t="array" ref="I6">$E$3/(S*Linterp(I$4,atmos_h,atmos_qms)*$D6^2)</f>
        <v>1.7853421082085086</v>
      </c>
      <c r="J6" cm="1">
        <f t="array" ref="J6">$E$3/(S*Linterp(J$4,atmos_h,atmos_qms)*$D6^2)</f>
        <v>2.2108861735540075</v>
      </c>
      <c r="K6" cm="1">
        <f t="array" ref="K6">$E$3/(S*Linterp(K$4,atmos_h,atmos_qms)*$D6^2)</f>
        <v>2.7627926606206481</v>
      </c>
      <c r="L6" cm="1">
        <f t="array" ref="L6">$E$3/(S*Linterp(L$4,atmos_h,atmos_qms)*$D6^2)</f>
        <v>3.4867106224076263</v>
      </c>
      <c r="M6" cm="1">
        <f t="array" ref="M6">$E$3/(S*Linterp(M$4,atmos_h,atmos_qms)*$D6^2)</f>
        <v>4.4327452487242986</v>
      </c>
      <c r="O6">
        <v>0.22</v>
      </c>
      <c r="P6" t="e" cm="1">
        <f t="array" ref="P6">E6/InterpolateXY(E6,$D6,CD_CL,CD_M,CD_table)</f>
        <v>#VALUE!</v>
      </c>
      <c r="Q6" t="e" cm="1">
        <f t="array" ref="Q6">F6/InterpolateXY(F6,$D6,CD_CL,CD_M,CD_table)</f>
        <v>#VALUE!</v>
      </c>
      <c r="R6" t="e" cm="1">
        <f t="array" ref="R6">G6/InterpolateXY(G6,$D6,CD_CL,CD_M,CD_table)</f>
        <v>#VALUE!</v>
      </c>
      <c r="S6" t="e" cm="1">
        <f t="array" ref="S6">H6/InterpolateXY(H6,$D6,CD_CL,CD_M,CD_table)</f>
        <v>#VALUE!</v>
      </c>
      <c r="T6" t="e" cm="1">
        <f t="array" ref="T6">I6/InterpolateXY(I6,$D6,CD_CL,CD_M,CD_table)</f>
        <v>#VALUE!</v>
      </c>
      <c r="U6" t="e" cm="1">
        <f t="array" ref="U6">J6/InterpolateXY(J6,$D6,CD_CL,CD_M,CD_table)</f>
        <v>#VALUE!</v>
      </c>
      <c r="V6" t="e" cm="1">
        <f t="array" ref="V6">K6/InterpolateXY(K6,$D6,CD_CL,CD_M,CD_table)</f>
        <v>#VALUE!</v>
      </c>
      <c r="W6" t="e" cm="1">
        <f t="array" ref="W6">L6/InterpolateXY(L6,$D6,CD_CL,CD_M,CD_table)</f>
        <v>#VALUE!</v>
      </c>
      <c r="X6" t="e" cm="1">
        <f t="array" ref="X6">M6/InterpolateXY(M6,$D6,CD_CL,CD_M,CD_table)</f>
        <v>#VALUE!</v>
      </c>
    </row>
    <row r="7" spans="4:24">
      <c r="D7">
        <v>0.23</v>
      </c>
      <c r="E7" cm="1">
        <f t="array" ref="E7">$E$3/(S*Linterp(E$4,atmos_h,atmos_qms)*$D7^2)</f>
        <v>0.75064838068335016</v>
      </c>
      <c r="F7" cm="1">
        <f t="array" ref="F7">$E$3/(S*Linterp(F$4,atmos_h,atmos_qms)*$D7^2)</f>
        <v>0.9021705690361288</v>
      </c>
      <c r="G7" cm="1">
        <f t="array" ref="G7">$E$3/(S*Linterp(G$4,atmos_h,atmos_qms)*$D7^2)</f>
        <v>1.0915299326260086</v>
      </c>
      <c r="H7" cm="1">
        <f t="array" ref="H7">$E$3/(S*Linterp(H$4,atmos_h,atmos_qms)*$D7^2)</f>
        <v>1.3301338773194231</v>
      </c>
      <c r="I7" cm="1">
        <f t="array" ref="I7">$E$3/(S*Linterp(I$4,atmos_h,atmos_qms)*$D7^2)</f>
        <v>1.6334699061869908</v>
      </c>
      <c r="J7" cm="1">
        <f t="array" ref="J7">$E$3/(S*Linterp(J$4,atmos_h,atmos_qms)*$D7^2)</f>
        <v>2.0228145708887331</v>
      </c>
      <c r="K7" cm="1">
        <f t="array" ref="K7">$E$3/(S*Linterp(K$4,atmos_h,atmos_qms)*$D7^2)</f>
        <v>2.5277724910026347</v>
      </c>
      <c r="L7" cm="1">
        <f t="array" ref="L7">$E$3/(S*Linterp(L$4,atmos_h,atmos_qms)*$D7^2)</f>
        <v>3.1901095297642552</v>
      </c>
      <c r="M7" cm="1">
        <f t="array" ref="M7">$E$3/(S*Linterp(M$4,atmos_h,atmos_qms)*$D7^2)</f>
        <v>4.0556686207609847</v>
      </c>
      <c r="O7">
        <v>0.23</v>
      </c>
      <c r="P7" cm="1">
        <f t="array" ref="P7">E7/InterpolateXY(E7,$D7,CD_CL,CD_M,CD_table)</f>
        <v>4.607587824014308</v>
      </c>
      <c r="Q7" t="e" cm="1">
        <f t="array" ref="Q7">F7/InterpolateXY(F7,$D7,CD_CL,CD_M,CD_table)</f>
        <v>#VALUE!</v>
      </c>
      <c r="R7" t="e" cm="1">
        <f t="array" ref="R7">G7/InterpolateXY(G7,$D7,CD_CL,CD_M,CD_table)</f>
        <v>#VALUE!</v>
      </c>
      <c r="S7" t="e" cm="1">
        <f t="array" ref="S7">H7/InterpolateXY(H7,$D7,CD_CL,CD_M,CD_table)</f>
        <v>#VALUE!</v>
      </c>
      <c r="T7" t="e" cm="1">
        <f t="array" ref="T7">I7/InterpolateXY(I7,$D7,CD_CL,CD_M,CD_table)</f>
        <v>#VALUE!</v>
      </c>
      <c r="U7" t="e" cm="1">
        <f t="array" ref="U7">J7/InterpolateXY(J7,$D7,CD_CL,CD_M,CD_table)</f>
        <v>#VALUE!</v>
      </c>
      <c r="V7" t="e" cm="1">
        <f t="array" ref="V7">K7/InterpolateXY(K7,$D7,CD_CL,CD_M,CD_table)</f>
        <v>#VALUE!</v>
      </c>
      <c r="W7" t="e" cm="1">
        <f t="array" ref="W7">L7/InterpolateXY(L7,$D7,CD_CL,CD_M,CD_table)</f>
        <v>#VALUE!</v>
      </c>
      <c r="X7" t="e" cm="1">
        <f t="array" ref="X7">M7/InterpolateXY(M7,$D7,CD_CL,CD_M,CD_table)</f>
        <v>#VALUE!</v>
      </c>
    </row>
    <row r="8" spans="4:24">
      <c r="D8">
        <v>0.24</v>
      </c>
      <c r="E8" cm="1">
        <f t="array" ref="E8">$E$3/(S*Linterp(E$4,atmos_h,atmos_qms)*$D8^2)</f>
        <v>0.68939755795397961</v>
      </c>
      <c r="F8" cm="1">
        <f t="array" ref="F8">$E$3/(S*Linterp(F$4,atmos_h,atmos_qms)*$D8^2)</f>
        <v>0.82855595663213932</v>
      </c>
      <c r="G8" cm="1">
        <f t="array" ref="G8">$E$3/(S*Linterp(G$4,atmos_h,atmos_qms)*$D8^2)</f>
        <v>1.0024641221513171</v>
      </c>
      <c r="H8" cm="1">
        <f t="array" ref="H8">$E$3/(S*Linterp(H$4,atmos_h,atmos_qms)*$D8^2)</f>
        <v>1.2215986477464842</v>
      </c>
      <c r="I8" cm="1">
        <f t="array" ref="I8">$E$3/(S*Linterp(I$4,atmos_h,atmos_qms)*$D8^2)</f>
        <v>1.5001832992585384</v>
      </c>
      <c r="J8" cm="1">
        <f t="array" ref="J8">$E$3/(S*Linterp(J$4,atmos_h,atmos_qms)*$D8^2)</f>
        <v>1.8577585208335761</v>
      </c>
      <c r="K8" cm="1">
        <f t="array" ref="K8">$E$3/(S*Linterp(K$4,atmos_h,atmos_qms)*$D8^2)</f>
        <v>2.3215132773270724</v>
      </c>
      <c r="L8" cm="1">
        <f t="array" ref="L8">$E$3/(S*Linterp(L$4,atmos_h,atmos_qms)*$D8^2)</f>
        <v>2.9298054535508529</v>
      </c>
      <c r="M8" cm="1">
        <f t="array" ref="M8">$E$3/(S*Linterp(M$4,atmos_h,atmos_qms)*$D8^2)</f>
        <v>3.7247373270530568</v>
      </c>
      <c r="O8">
        <v>0.24</v>
      </c>
      <c r="P8" cm="1">
        <f t="array" ref="P8">E8/InterpolateXY(E8,$D8,CD_CL,CD_M,CD_table)</f>
        <v>5.3576180438244059</v>
      </c>
      <c r="Q8" t="e" cm="1">
        <f t="array" ref="Q8">F8/InterpolateXY(F8,$D8,CD_CL,CD_M,CD_table)</f>
        <v>#VALUE!</v>
      </c>
      <c r="R8" t="e" cm="1">
        <f t="array" ref="R8">G8/InterpolateXY(G8,$D8,CD_CL,CD_M,CD_table)</f>
        <v>#VALUE!</v>
      </c>
      <c r="S8" t="e" cm="1">
        <f t="array" ref="S8">H8/InterpolateXY(H8,$D8,CD_CL,CD_M,CD_table)</f>
        <v>#VALUE!</v>
      </c>
      <c r="T8" t="e" cm="1">
        <f t="array" ref="T8">I8/InterpolateXY(I8,$D8,CD_CL,CD_M,CD_table)</f>
        <v>#VALUE!</v>
      </c>
      <c r="U8" t="e" cm="1">
        <f t="array" ref="U8">J8/InterpolateXY(J8,$D8,CD_CL,CD_M,CD_table)</f>
        <v>#VALUE!</v>
      </c>
      <c r="V8" t="e" cm="1">
        <f t="array" ref="V8">K8/InterpolateXY(K8,$D8,CD_CL,CD_M,CD_table)</f>
        <v>#VALUE!</v>
      </c>
      <c r="W8" t="e" cm="1">
        <f t="array" ref="W8">L8/InterpolateXY(L8,$D8,CD_CL,CD_M,CD_table)</f>
        <v>#VALUE!</v>
      </c>
      <c r="X8" t="e" cm="1">
        <f t="array" ref="X8">M8/InterpolateXY(M8,$D8,CD_CL,CD_M,CD_table)</f>
        <v>#VALUE!</v>
      </c>
    </row>
    <row r="9" spans="4:24">
      <c r="D9">
        <v>0.25</v>
      </c>
      <c r="E9" cm="1">
        <f t="array" ref="E9">$E$3/(S*Linterp(E$4,atmos_h,atmos_qms)*$D9^2)</f>
        <v>0.63534878941038764</v>
      </c>
      <c r="F9" cm="1">
        <f t="array" ref="F9">$E$3/(S*Linterp(F$4,atmos_h,atmos_qms)*$D9^2)</f>
        <v>0.7635971696321795</v>
      </c>
      <c r="G9" cm="1">
        <f t="array" ref="G9">$E$3/(S*Linterp(G$4,atmos_h,atmos_qms)*$D9^2)</f>
        <v>0.92387093497465378</v>
      </c>
      <c r="H9" cm="1">
        <f t="array" ref="H9">$E$3/(S*Linterp(H$4,atmos_h,atmos_qms)*$D9^2)</f>
        <v>1.12582531376316</v>
      </c>
      <c r="I9" cm="1">
        <f t="array" ref="I9">$E$3/(S*Linterp(I$4,atmos_h,atmos_qms)*$D9^2)</f>
        <v>1.3825689285966691</v>
      </c>
      <c r="J9" cm="1">
        <f t="array" ref="J9">$E$3/(S*Linterp(J$4,atmos_h,atmos_qms)*$D9^2)</f>
        <v>1.7121102528002234</v>
      </c>
      <c r="K9" cm="1">
        <f t="array" ref="K9">$E$3/(S*Linterp(K$4,atmos_h,atmos_qms)*$D9^2)</f>
        <v>2.1395066363846298</v>
      </c>
      <c r="L9" cm="1">
        <f t="array" ref="L9">$E$3/(S*Linterp(L$4,atmos_h,atmos_qms)*$D9^2)</f>
        <v>2.7001087059924656</v>
      </c>
      <c r="M9" cm="1">
        <f t="array" ref="M9">$E$3/(S*Linterp(M$4,atmos_h,atmos_qms)*$D9^2)</f>
        <v>3.4327179206120975</v>
      </c>
      <c r="O9">
        <v>0.25</v>
      </c>
      <c r="P9" cm="1">
        <f t="array" ref="P9">E9/InterpolateXY(E9,$D9,CD_CL,CD_M,CD_table)</f>
        <v>6.0519339588035468</v>
      </c>
      <c r="Q9" cm="1">
        <f t="array" ref="Q9">F9/InterpolateXY(F9,$D9,CD_CL,CD_M,CD_table)</f>
        <v>4.480230350002504</v>
      </c>
      <c r="R9" t="e" cm="1">
        <f t="array" ref="R9">G9/InterpolateXY(G9,$D9,CD_CL,CD_M,CD_table)</f>
        <v>#VALUE!</v>
      </c>
      <c r="S9" t="e" cm="1">
        <f t="array" ref="S9">H9/InterpolateXY(H9,$D9,CD_CL,CD_M,CD_table)</f>
        <v>#VALUE!</v>
      </c>
      <c r="T9" t="e" cm="1">
        <f t="array" ref="T9">I9/InterpolateXY(I9,$D9,CD_CL,CD_M,CD_table)</f>
        <v>#VALUE!</v>
      </c>
      <c r="U9" t="e" cm="1">
        <f t="array" ref="U9">J9/InterpolateXY(J9,$D9,CD_CL,CD_M,CD_table)</f>
        <v>#VALUE!</v>
      </c>
      <c r="V9" t="e" cm="1">
        <f t="array" ref="V9">K9/InterpolateXY(K9,$D9,CD_CL,CD_M,CD_table)</f>
        <v>#VALUE!</v>
      </c>
      <c r="W9" t="e" cm="1">
        <f t="array" ref="W9">L9/InterpolateXY(L9,$D9,CD_CL,CD_M,CD_table)</f>
        <v>#VALUE!</v>
      </c>
      <c r="X9" t="e" cm="1">
        <f t="array" ref="X9">M9/InterpolateXY(M9,$D9,CD_CL,CD_M,CD_table)</f>
        <v>#VALUE!</v>
      </c>
    </row>
    <row r="10" spans="4:24">
      <c r="D10">
        <v>0.26</v>
      </c>
      <c r="E10" cm="1">
        <f t="array" ref="E10">$E$3/(S*Linterp(E$4,atmos_h,atmos_qms)*$D10^2)</f>
        <v>0.58741567068268086</v>
      </c>
      <c r="F10" cm="1">
        <f t="array" ref="F10">$E$3/(S*Linterp(F$4,atmos_h,atmos_qms)*$D10^2)</f>
        <v>0.70598850742620145</v>
      </c>
      <c r="G10" cm="1">
        <f t="array" ref="G10">$E$3/(S*Linterp(G$4,atmos_h,atmos_qms)*$D10^2)</f>
        <v>0.8541706129573351</v>
      </c>
      <c r="H10" cm="1">
        <f t="array" ref="H10">$E$3/(S*Linterp(H$4,atmos_h,atmos_qms)*$D10^2)</f>
        <v>1.0408887886123888</v>
      </c>
      <c r="I10" cm="1">
        <f t="array" ref="I10">$E$3/(S*Linterp(I$4,atmos_h,atmos_qms)*$D10^2)</f>
        <v>1.2782626928593464</v>
      </c>
      <c r="J10" cm="1">
        <f t="array" ref="J10">$E$3/(S*Linterp(J$4,atmos_h,atmos_qms)*$D10^2)</f>
        <v>1.5829421715978396</v>
      </c>
      <c r="K10" cm="1">
        <f t="array" ref="K10">$E$3/(S*Linterp(K$4,atmos_h,atmos_qms)*$D10^2)</f>
        <v>1.9780941534621206</v>
      </c>
      <c r="L10" cm="1">
        <f t="array" ref="L10">$E$3/(S*Linterp(L$4,atmos_h,atmos_qms)*$D10^2)</f>
        <v>2.4964022799486552</v>
      </c>
      <c r="M10" cm="1">
        <f t="array" ref="M10">$E$3/(S*Linterp(M$4,atmos_h,atmos_qms)*$D10^2)</f>
        <v>3.1737406810392907</v>
      </c>
      <c r="O10">
        <v>0.26</v>
      </c>
      <c r="P10" cm="1">
        <f t="array" ref="P10">E10/InterpolateXY(E10,$D10,CD_CL,CD_M,CD_table)</f>
        <v>6.8670573194814439</v>
      </c>
      <c r="Q10" cm="1">
        <f t="array" ref="Q10">F10/InterpolateXY(F10,$D10,CD_CL,CD_M,CD_table)</f>
        <v>5.1616048321471908</v>
      </c>
      <c r="R10" t="e" cm="1">
        <f t="array" ref="R10">G10/InterpolateXY(G10,$D10,CD_CL,CD_M,CD_table)</f>
        <v>#VALUE!</v>
      </c>
      <c r="S10" t="e" cm="1">
        <f t="array" ref="S10">H10/InterpolateXY(H10,$D10,CD_CL,CD_M,CD_table)</f>
        <v>#VALUE!</v>
      </c>
      <c r="T10" t="e" cm="1">
        <f t="array" ref="T10">I10/InterpolateXY(I10,$D10,CD_CL,CD_M,CD_table)</f>
        <v>#VALUE!</v>
      </c>
      <c r="U10" t="e" cm="1">
        <f t="array" ref="U10">J10/InterpolateXY(J10,$D10,CD_CL,CD_M,CD_table)</f>
        <v>#VALUE!</v>
      </c>
      <c r="V10" t="e" cm="1">
        <f t="array" ref="V10">K10/InterpolateXY(K10,$D10,CD_CL,CD_M,CD_table)</f>
        <v>#VALUE!</v>
      </c>
      <c r="W10" t="e" cm="1">
        <f t="array" ref="W10">L10/InterpolateXY(L10,$D10,CD_CL,CD_M,CD_table)</f>
        <v>#VALUE!</v>
      </c>
      <c r="X10" t="e" cm="1">
        <f t="array" ref="X10">M10/InterpolateXY(M10,$D10,CD_CL,CD_M,CD_table)</f>
        <v>#VALUE!</v>
      </c>
    </row>
    <row r="11" spans="4:24">
      <c r="D11">
        <v>0.27</v>
      </c>
      <c r="E11" cm="1">
        <f t="array" ref="E11">$E$3/(S*Linterp(E$4,atmos_h,atmos_qms)*$D11^2)</f>
        <v>0.54470918159326787</v>
      </c>
      <c r="F11" cm="1">
        <f t="array" ref="F11">$E$3/(S*Linterp(F$4,atmos_h,atmos_qms)*$D11^2)</f>
        <v>0.65466149659823347</v>
      </c>
      <c r="G11" cm="1">
        <f t="array" ref="G11">$E$3/(S*Linterp(G$4,atmos_h,atmos_qms)*$D11^2)</f>
        <v>0.79207041750227514</v>
      </c>
      <c r="H11" cm="1">
        <f t="array" ref="H11">$E$3/(S*Linterp(H$4,atmos_h,atmos_qms)*$D11^2)</f>
        <v>0.96521374636759238</v>
      </c>
      <c r="I11" cm="1">
        <f t="array" ref="I11">$E$3/(S*Linterp(I$4,atmos_h,atmos_qms)*$D11^2)</f>
        <v>1.1853300142289687</v>
      </c>
      <c r="J11" cm="1">
        <f t="array" ref="J11">$E$3/(S*Linterp(J$4,atmos_h,atmos_qms)*$D11^2)</f>
        <v>1.4678585843623315</v>
      </c>
      <c r="K11" cm="1">
        <f t="array" ref="K11">$E$3/(S*Linterp(K$4,atmos_h,atmos_qms)*$D11^2)</f>
        <v>1.8342820956658348</v>
      </c>
      <c r="L11" cm="1">
        <f t="array" ref="L11">$E$3/(S*Linterp(L$4,atmos_h,atmos_qms)*$D11^2)</f>
        <v>2.3149080126821548</v>
      </c>
      <c r="M11" cm="1">
        <f t="array" ref="M11">$E$3/(S*Linterp(M$4,atmos_h,atmos_qms)*$D11^2)</f>
        <v>2.9430023324863659</v>
      </c>
      <c r="O11">
        <v>0.27</v>
      </c>
      <c r="P11" cm="1">
        <f t="array" ref="P11">E11/InterpolateXY(E11,$D11,CD_CL,CD_M,CD_table)</f>
        <v>7.5492610124428872</v>
      </c>
      <c r="Q11" cm="1">
        <f t="array" ref="Q11">F11/InterpolateXY(F11,$D11,CD_CL,CD_M,CD_table)</f>
        <v>5.7729407195920075</v>
      </c>
      <c r="R11" cm="1">
        <f t="array" ref="R11">G11/InterpolateXY(G11,$D11,CD_CL,CD_M,CD_table)</f>
        <v>4.2351328551391516</v>
      </c>
      <c r="S11" t="e" cm="1">
        <f t="array" ref="S11">H11/InterpolateXY(H11,$D11,CD_CL,CD_M,CD_table)</f>
        <v>#VALUE!</v>
      </c>
      <c r="T11" t="e" cm="1">
        <f t="array" ref="T11">I11/InterpolateXY(I11,$D11,CD_CL,CD_M,CD_table)</f>
        <v>#VALUE!</v>
      </c>
      <c r="U11" t="e" cm="1">
        <f t="array" ref="U11">J11/InterpolateXY(J11,$D11,CD_CL,CD_M,CD_table)</f>
        <v>#VALUE!</v>
      </c>
      <c r="V11" t="e" cm="1">
        <f t="array" ref="V11">K11/InterpolateXY(K11,$D11,CD_CL,CD_M,CD_table)</f>
        <v>#VALUE!</v>
      </c>
      <c r="W11" t="e" cm="1">
        <f t="array" ref="W11">L11/InterpolateXY(L11,$D11,CD_CL,CD_M,CD_table)</f>
        <v>#VALUE!</v>
      </c>
      <c r="X11" t="e" cm="1">
        <f t="array" ref="X11">M11/InterpolateXY(M11,$D11,CD_CL,CD_M,CD_table)</f>
        <v>#VALUE!</v>
      </c>
    </row>
    <row r="12" spans="4:24">
      <c r="D12">
        <v>0.28000000000000003</v>
      </c>
      <c r="E12" cm="1">
        <f t="array" ref="E12">$E$3/(S*Linterp(E$4,atmos_h,atmos_qms)*$D12^2)</f>
        <v>0.50649616502741357</v>
      </c>
      <c r="F12" cm="1">
        <f t="array" ref="F12">$E$3/(S*Linterp(F$4,atmos_h,atmos_qms)*$D12^2)</f>
        <v>0.60873498854606134</v>
      </c>
      <c r="G12" cm="1">
        <f t="array" ref="G12">$E$3/(S*Linterp(G$4,atmos_h,atmos_qms)*$D12^2)</f>
        <v>0.7365042530091308</v>
      </c>
      <c r="H12" cm="1">
        <f t="array" ref="H12">$E$3/(S*Linterp(H$4,atmos_h,atmos_qms)*$D12^2)</f>
        <v>0.89750104732394753</v>
      </c>
      <c r="I12" cm="1">
        <f t="array" ref="I12">$E$3/(S*Linterp(I$4,atmos_h,atmos_qms)*$D12^2)</f>
        <v>1.1021754851695384</v>
      </c>
      <c r="J12" cm="1">
        <f t="array" ref="J12">$E$3/(S*Linterp(J$4,atmos_h,atmos_qms)*$D12^2)</f>
        <v>1.3648838112246677</v>
      </c>
      <c r="K12" cm="1">
        <f t="array" ref="K12">$E$3/(S*Linterp(K$4,atmos_h,atmos_qms)*$D12^2)</f>
        <v>1.705601591505604</v>
      </c>
      <c r="L12" cm="1">
        <f t="array" ref="L12">$E$3/(S*Linterp(L$4,atmos_h,atmos_qms)*$D12^2)</f>
        <v>2.1525101291394018</v>
      </c>
      <c r="M12" cm="1">
        <f t="array" ref="M12">$E$3/(S*Linterp(M$4,atmos_h,atmos_qms)*$D12^2)</f>
        <v>2.7365417096716333</v>
      </c>
      <c r="O12">
        <v>0.28000000000000003</v>
      </c>
      <c r="P12" cm="1">
        <f t="array" ref="P12">E12/InterpolateXY(E12,$D12,CD_CL,CD_M,CD_table)</f>
        <v>8.4172908572959724</v>
      </c>
      <c r="Q12" cm="1">
        <f t="array" ref="Q12">F12/InterpolateXY(F12,$D12,CD_CL,CD_M,CD_table)</f>
        <v>6.5268745113059978</v>
      </c>
      <c r="R12" cm="1">
        <f t="array" ref="R12">G12/InterpolateXY(G12,$D12,CD_CL,CD_M,CD_table)</f>
        <v>4.7652797371096973</v>
      </c>
      <c r="S12" t="e" cm="1">
        <f t="array" ref="S12">H12/InterpolateXY(H12,$D12,CD_CL,CD_M,CD_table)</f>
        <v>#VALUE!</v>
      </c>
      <c r="T12" t="e" cm="1">
        <f t="array" ref="T12">I12/InterpolateXY(I12,$D12,CD_CL,CD_M,CD_table)</f>
        <v>#VALUE!</v>
      </c>
      <c r="U12" t="e" cm="1">
        <f t="array" ref="U12">J12/InterpolateXY(J12,$D12,CD_CL,CD_M,CD_table)</f>
        <v>#VALUE!</v>
      </c>
      <c r="V12" t="e" cm="1">
        <f t="array" ref="V12">K12/InterpolateXY(K12,$D12,CD_CL,CD_M,CD_table)</f>
        <v>#VALUE!</v>
      </c>
      <c r="W12" t="e" cm="1">
        <f t="array" ref="W12">L12/InterpolateXY(L12,$D12,CD_CL,CD_M,CD_table)</f>
        <v>#VALUE!</v>
      </c>
      <c r="X12" t="e" cm="1">
        <f t="array" ref="X12">M12/InterpolateXY(M12,$D12,CD_CL,CD_M,CD_table)</f>
        <v>#VALUE!</v>
      </c>
    </row>
    <row r="13" spans="4:24">
      <c r="D13">
        <v>0.28999999999999998</v>
      </c>
      <c r="E13" cm="1">
        <f t="array" ref="E13">$E$3/(S*Linterp(E$4,atmos_h,atmos_qms)*$D13^2)</f>
        <v>0.47216764968072805</v>
      </c>
      <c r="F13" cm="1">
        <f t="array" ref="F13">$E$3/(S*Linterp(F$4,atmos_h,atmos_qms)*$D13^2)</f>
        <v>0.56747708801440222</v>
      </c>
      <c r="G13" cm="1">
        <f t="array" ref="G13">$E$3/(S*Linterp(G$4,atmos_h,atmos_qms)*$D13^2)</f>
        <v>0.68658660446986763</v>
      </c>
      <c r="H13" cm="1">
        <f t="array" ref="H13">$E$3/(S*Linterp(H$4,atmos_h,atmos_qms)*$D13^2)</f>
        <v>0.83667160654218187</v>
      </c>
      <c r="I13" cm="1">
        <f t="array" ref="I13">$E$3/(S*Linterp(I$4,atmos_h,atmos_qms)*$D13^2)</f>
        <v>1.0274739362341476</v>
      </c>
      <c r="J13" cm="1">
        <f t="array" ref="J13">$E$3/(S*Linterp(J$4,atmos_h,atmos_qms)*$D13^2)</f>
        <v>1.2723768228301304</v>
      </c>
      <c r="K13" cm="1">
        <f t="array" ref="K13">$E$3/(S*Linterp(K$4,atmos_h,atmos_qms)*$D13^2)</f>
        <v>1.5900019592632506</v>
      </c>
      <c r="L13" cm="1">
        <f t="array" ref="L13">$E$3/(S*Linterp(L$4,atmos_h,atmos_qms)*$D13^2)</f>
        <v>2.0066206197922605</v>
      </c>
      <c r="M13" cm="1">
        <f t="array" ref="M13">$E$3/(S*Linterp(M$4,atmos_h,atmos_qms)*$D13^2)</f>
        <v>2.551068609253937</v>
      </c>
      <c r="O13">
        <v>0.28999999999999998</v>
      </c>
      <c r="P13" cm="1">
        <f t="array" ref="P13">E13/InterpolateXY(E13,$D13,CD_CL,CD_M,CD_table)</f>
        <v>8.9892694696574384</v>
      </c>
      <c r="Q13" cm="1">
        <f t="array" ref="Q13">F13/InterpolateXY(F13,$D13,CD_CL,CD_M,CD_table)</f>
        <v>7.1614681363545127</v>
      </c>
      <c r="R13" cm="1">
        <f t="array" ref="R13">G13/InterpolateXY(G13,$D13,CD_CL,CD_M,CD_table)</f>
        <v>5.3915502533240982</v>
      </c>
      <c r="S13" t="e" cm="1">
        <f t="array" ref="S13">H13/InterpolateXY(H13,$D13,CD_CL,CD_M,CD_table)</f>
        <v>#VALUE!</v>
      </c>
      <c r="T13" t="e" cm="1">
        <f t="array" ref="T13">I13/InterpolateXY(I13,$D13,CD_CL,CD_M,CD_table)</f>
        <v>#VALUE!</v>
      </c>
      <c r="U13" t="e" cm="1">
        <f t="array" ref="U13">J13/InterpolateXY(J13,$D13,CD_CL,CD_M,CD_table)</f>
        <v>#VALUE!</v>
      </c>
      <c r="V13" t="e" cm="1">
        <f t="array" ref="V13">K13/InterpolateXY(K13,$D13,CD_CL,CD_M,CD_table)</f>
        <v>#VALUE!</v>
      </c>
      <c r="W13" t="e" cm="1">
        <f t="array" ref="W13">L13/InterpolateXY(L13,$D13,CD_CL,CD_M,CD_table)</f>
        <v>#VALUE!</v>
      </c>
      <c r="X13" t="e" cm="1">
        <f t="array" ref="X13">M13/InterpolateXY(M13,$D13,CD_CL,CD_M,CD_table)</f>
        <v>#VALUE!</v>
      </c>
    </row>
    <row r="14" spans="4:24">
      <c r="D14">
        <v>0.3</v>
      </c>
      <c r="E14" cm="1">
        <f t="array" ref="E14">$E$3/(S*Linterp(E$4,atmos_h,atmos_qms)*$D14^2)</f>
        <v>0.44121443709054697</v>
      </c>
      <c r="F14" cm="1">
        <f t="array" ref="F14">$E$3/(S*Linterp(F$4,atmos_h,atmos_qms)*$D14^2)</f>
        <v>0.5302758122445691</v>
      </c>
      <c r="G14" cm="1">
        <f t="array" ref="G14">$E$3/(S*Linterp(G$4,atmos_h,atmos_qms)*$D14^2)</f>
        <v>0.64157703817684297</v>
      </c>
      <c r="H14" cm="1">
        <f t="array" ref="H14">$E$3/(S*Linterp(H$4,atmos_h,atmos_qms)*$D14^2)</f>
        <v>0.78182313455774999</v>
      </c>
      <c r="I14" cm="1">
        <f t="array" ref="I14">$E$3/(S*Linterp(I$4,atmos_h,atmos_qms)*$D14^2)</f>
        <v>0.96011731152546453</v>
      </c>
      <c r="J14" cm="1">
        <f t="array" ref="J14">$E$3/(S*Linterp(J$4,atmos_h,atmos_qms)*$D14^2)</f>
        <v>1.1889654533334886</v>
      </c>
      <c r="K14" cm="1">
        <f t="array" ref="K14">$E$3/(S*Linterp(K$4,atmos_h,atmos_qms)*$D14^2)</f>
        <v>1.4857684974893264</v>
      </c>
      <c r="L14" cm="1">
        <f t="array" ref="L14">$E$3/(S*Linterp(L$4,atmos_h,atmos_qms)*$D14^2)</f>
        <v>1.8750754902725457</v>
      </c>
      <c r="M14" cm="1">
        <f t="array" ref="M14">$E$3/(S*Linterp(M$4,atmos_h,atmos_qms)*$D14^2)</f>
        <v>2.383831889313957</v>
      </c>
      <c r="O14">
        <v>0.3</v>
      </c>
      <c r="P14" cm="1">
        <f t="array" ref="P14">E14/InterpolateXY(E14,$D14,CD_CL,CD_M,CD_table)</f>
        <v>9.5327427649106973</v>
      </c>
      <c r="Q14" cm="1">
        <f t="array" ref="Q14">F14/InterpolateXY(F14,$D14,CD_CL,CD_M,CD_table)</f>
        <v>7.8470644716396665</v>
      </c>
      <c r="R14" cm="1">
        <f t="array" ref="R14">G14/InterpolateXY(G14,$D14,CD_CL,CD_M,CD_table)</f>
        <v>5.9620166346915724</v>
      </c>
      <c r="S14" cm="1">
        <f t="array" ref="S14">H14/InterpolateXY(H14,$D14,CD_CL,CD_M,CD_table)</f>
        <v>4.3199437825825067</v>
      </c>
      <c r="T14" t="e" cm="1">
        <f t="array" ref="T14">I14/InterpolateXY(I14,$D14,CD_CL,CD_M,CD_table)</f>
        <v>#VALUE!</v>
      </c>
      <c r="U14" t="e" cm="1">
        <f t="array" ref="U14">J14/InterpolateXY(J14,$D14,CD_CL,CD_M,CD_table)</f>
        <v>#VALUE!</v>
      </c>
      <c r="V14" t="e" cm="1">
        <f t="array" ref="V14">K14/InterpolateXY(K14,$D14,CD_CL,CD_M,CD_table)</f>
        <v>#VALUE!</v>
      </c>
      <c r="W14" t="e" cm="1">
        <f t="array" ref="W14">L14/InterpolateXY(L14,$D14,CD_CL,CD_M,CD_table)</f>
        <v>#VALUE!</v>
      </c>
      <c r="X14" t="e" cm="1">
        <f t="array" ref="X14">M14/InterpolateXY(M14,$D14,CD_CL,CD_M,CD_table)</f>
        <v>#VALUE!</v>
      </c>
    </row>
    <row r="15" spans="4:24">
      <c r="D15">
        <v>0.31</v>
      </c>
      <c r="E15" cm="1">
        <f t="array" ref="E15">$E$3/(S*Linterp(E$4,atmos_h,atmos_qms)*$D15^2)</f>
        <v>0.41320810965816052</v>
      </c>
      <c r="F15" cm="1">
        <f t="array" ref="F15">$E$3/(S*Linterp(F$4,atmos_h,atmos_qms)*$D15^2)</f>
        <v>0.49661626536952358</v>
      </c>
      <c r="G15" cm="1">
        <f t="array" ref="G15">$E$3/(S*Linterp(G$4,atmos_h,atmos_qms)*$D15^2)</f>
        <v>0.60085258518122642</v>
      </c>
      <c r="H15" cm="1">
        <f t="array" ref="H15">$E$3/(S*Linterp(H$4,atmos_h,atmos_qms)*$D15^2)</f>
        <v>0.73219648397708104</v>
      </c>
      <c r="I15" cm="1">
        <f t="array" ref="I15">$E$3/(S*Linterp(I$4,atmos_h,atmos_qms)*$D15^2)</f>
        <v>0.89917334065860366</v>
      </c>
      <c r="J15" cm="1">
        <f t="array" ref="J15">$E$3/(S*Linterp(J$4,atmos_h,atmos_qms)*$D15^2)</f>
        <v>1.113495221644266</v>
      </c>
      <c r="K15" cm="1">
        <f t="array" ref="K15">$E$3/(S*Linterp(K$4,atmos_h,atmos_qms)*$D15^2)</f>
        <v>1.3914585304270484</v>
      </c>
      <c r="L15" cm="1">
        <f t="array" ref="L15">$E$3/(S*Linterp(L$4,atmos_h,atmos_qms)*$D15^2)</f>
        <v>1.7560540491626335</v>
      </c>
      <c r="M15" cm="1">
        <f t="array" ref="M15">$E$3/(S*Linterp(M$4,atmos_h,atmos_qms)*$D15^2)</f>
        <v>2.2325168578382524</v>
      </c>
      <c r="O15">
        <v>0.31</v>
      </c>
      <c r="P15" cm="1">
        <f t="array" ref="P15">E15/InterpolateXY(E15,$D15,CD_CL,CD_M,CD_table)</f>
        <v>10.168815994512279</v>
      </c>
      <c r="Q15" cm="1">
        <f t="array" ref="Q15">F15/InterpolateXY(F15,$D15,CD_CL,CD_M,CD_table)</f>
        <v>8.6518710074785474</v>
      </c>
      <c r="R15" cm="1">
        <f t="array" ref="R15">G15/InterpolateXY(G15,$D15,CD_CL,CD_M,CD_table)</f>
        <v>6.694480308119104</v>
      </c>
      <c r="S15" cm="1">
        <f t="array" ref="S15">H15/InterpolateXY(H15,$D15,CD_CL,CD_M,CD_table)</f>
        <v>4.8176885720511686</v>
      </c>
      <c r="T15" t="e" cm="1">
        <f t="array" ref="T15">I15/InterpolateXY(I15,$D15,CD_CL,CD_M,CD_table)</f>
        <v>#VALUE!</v>
      </c>
      <c r="U15" t="e" cm="1">
        <f t="array" ref="U15">J15/InterpolateXY(J15,$D15,CD_CL,CD_M,CD_table)</f>
        <v>#VALUE!</v>
      </c>
      <c r="V15" t="e" cm="1">
        <f t="array" ref="V15">K15/InterpolateXY(K15,$D15,CD_CL,CD_M,CD_table)</f>
        <v>#VALUE!</v>
      </c>
      <c r="W15" t="e" cm="1">
        <f t="array" ref="W15">L15/InterpolateXY(L15,$D15,CD_CL,CD_M,CD_table)</f>
        <v>#VALUE!</v>
      </c>
      <c r="X15" t="e" cm="1">
        <f t="array" ref="X15">M15/InterpolateXY(M15,$D15,CD_CL,CD_M,CD_table)</f>
        <v>#VALUE!</v>
      </c>
    </row>
    <row r="16" spans="4:24">
      <c r="D16">
        <v>0.32</v>
      </c>
      <c r="E16" cm="1">
        <f t="array" ref="E16">$E$3/(S*Linterp(E$4,atmos_h,atmos_qms)*$D16^2)</f>
        <v>0.38778612634911352</v>
      </c>
      <c r="F16" cm="1">
        <f t="array" ref="F16">$E$3/(S*Linterp(F$4,atmos_h,atmos_qms)*$D16^2)</f>
        <v>0.46606272560557832</v>
      </c>
      <c r="G16" cm="1">
        <f t="array" ref="G16">$E$3/(S*Linterp(G$4,atmos_h,atmos_qms)*$D16^2)</f>
        <v>0.56388606871011582</v>
      </c>
      <c r="H16" cm="1">
        <f t="array" ref="H16">$E$3/(S*Linterp(H$4,atmos_h,atmos_qms)*$D16^2)</f>
        <v>0.68714923935739736</v>
      </c>
      <c r="I16" cm="1">
        <f t="array" ref="I16">$E$3/(S*Linterp(I$4,atmos_h,atmos_qms)*$D16^2)</f>
        <v>0.84385310583292794</v>
      </c>
      <c r="J16" cm="1">
        <f t="array" ref="J16">$E$3/(S*Linterp(J$4,atmos_h,atmos_qms)*$D16^2)</f>
        <v>1.0449891679688863</v>
      </c>
      <c r="K16" cm="1">
        <f t="array" ref="K16">$E$3/(S*Linterp(K$4,atmos_h,atmos_qms)*$D16^2)</f>
        <v>1.3058512184964781</v>
      </c>
      <c r="L16" cm="1">
        <f t="array" ref="L16">$E$3/(S*Linterp(L$4,atmos_h,atmos_qms)*$D16^2)</f>
        <v>1.6480155676223545</v>
      </c>
      <c r="M16" cm="1">
        <f t="array" ref="M16">$E$3/(S*Linterp(M$4,atmos_h,atmos_qms)*$D16^2)</f>
        <v>2.0951647464673444</v>
      </c>
      <c r="O16">
        <v>0.32</v>
      </c>
      <c r="P16" cm="1">
        <f t="array" ref="P16">E16/InterpolateXY(E16,$D16,CD_CL,CD_M,CD_table)</f>
        <v>10.703842642049086</v>
      </c>
      <c r="Q16" cm="1">
        <f t="array" ref="Q16">F16/InterpolateXY(F16,$D16,CD_CL,CD_M,CD_table)</f>
        <v>9.0959287379507074</v>
      </c>
      <c r="R16" cm="1">
        <f t="array" ref="R16">G16/InterpolateXY(G16,$D16,CD_CL,CD_M,CD_table)</f>
        <v>7.2240906027222538</v>
      </c>
      <c r="S16" cm="1">
        <f t="array" ref="S16">H16/InterpolateXY(H16,$D16,CD_CL,CD_M,CD_table)</f>
        <v>5.3880802534435048</v>
      </c>
      <c r="T16" t="e" cm="1">
        <f t="array" ref="T16">I16/InterpolateXY(I16,$D16,CD_CL,CD_M,CD_table)</f>
        <v>#VALUE!</v>
      </c>
      <c r="U16" t="e" cm="1">
        <f t="array" ref="U16">J16/InterpolateXY(J16,$D16,CD_CL,CD_M,CD_table)</f>
        <v>#VALUE!</v>
      </c>
      <c r="V16" t="e" cm="1">
        <f t="array" ref="V16">K16/InterpolateXY(K16,$D16,CD_CL,CD_M,CD_table)</f>
        <v>#VALUE!</v>
      </c>
      <c r="W16" t="e" cm="1">
        <f t="array" ref="W16">L16/InterpolateXY(L16,$D16,CD_CL,CD_M,CD_table)</f>
        <v>#VALUE!</v>
      </c>
      <c r="X16" t="e" cm="1">
        <f t="array" ref="X16">M16/InterpolateXY(M16,$D16,CD_CL,CD_M,CD_table)</f>
        <v>#VALUE!</v>
      </c>
    </row>
    <row r="17" spans="4:24">
      <c r="D17">
        <v>0.33</v>
      </c>
      <c r="E17" cm="1">
        <f t="array" ref="E17">$E$3/(S*Linterp(E$4,atmos_h,atmos_qms)*$D17^2)</f>
        <v>0.36464003065334455</v>
      </c>
      <c r="F17" cm="1">
        <f t="array" ref="F17">$E$3/(S*Linterp(F$4,atmos_h,atmos_qms)*$D17^2)</f>
        <v>0.43824447292939589</v>
      </c>
      <c r="G17" cm="1">
        <f t="array" ref="G17">$E$3/(S*Linterp(G$4,atmos_h,atmos_qms)*$D17^2)</f>
        <v>0.53022895717094454</v>
      </c>
      <c r="H17" cm="1">
        <f t="array" ref="H17">$E$3/(S*Linterp(H$4,atmos_h,atmos_qms)*$D17^2)</f>
        <v>0.64613482194855365</v>
      </c>
      <c r="I17" cm="1">
        <f t="array" ref="I17">$E$3/(S*Linterp(I$4,atmos_h,atmos_qms)*$D17^2)</f>
        <v>0.79348538142600367</v>
      </c>
      <c r="J17" cm="1">
        <f t="array" ref="J17">$E$3/(S*Linterp(J$4,atmos_h,atmos_qms)*$D17^2)</f>
        <v>0.98261607713511434</v>
      </c>
      <c r="K17" cm="1">
        <f t="array" ref="K17">$E$3/(S*Linterp(K$4,atmos_h,atmos_qms)*$D17^2)</f>
        <v>1.2279078491647324</v>
      </c>
      <c r="L17" cm="1">
        <f t="array" ref="L17">$E$3/(S*Linterp(L$4,atmos_h,atmos_qms)*$D17^2)</f>
        <v>1.5496491655145004</v>
      </c>
      <c r="M17" cm="1">
        <f t="array" ref="M17">$E$3/(S*Linterp(M$4,atmos_h,atmos_qms)*$D17^2)</f>
        <v>1.9701089994330214</v>
      </c>
      <c r="O17">
        <v>0.33</v>
      </c>
      <c r="P17" cm="1">
        <f t="array" ref="P17">E17/InterpolateXY(E17,$D17,CD_CL,CD_M,CD_table)</f>
        <v>11.073951750555109</v>
      </c>
      <c r="Q17" cm="1">
        <f t="array" ref="Q17">F17/InterpolateXY(F17,$D17,CD_CL,CD_M,CD_table)</f>
        <v>9.6049079992621262</v>
      </c>
      <c r="R17" cm="1">
        <f t="array" ref="R17">G17/InterpolateXY(G17,$D17,CD_CL,CD_M,CD_table)</f>
        <v>7.8550502155935469</v>
      </c>
      <c r="S17" cm="1">
        <f t="array" ref="S17">H17/InterpolateXY(H17,$D17,CD_CL,CD_M,CD_table)</f>
        <v>5.8982401632234245</v>
      </c>
      <c r="T17" cm="1">
        <f t="array" ref="T17">I17/InterpolateXY(I17,$D17,CD_CL,CD_M,CD_table)</f>
        <v>4.2267371521096733</v>
      </c>
      <c r="U17" t="e" cm="1">
        <f t="array" ref="U17">J17/InterpolateXY(J17,$D17,CD_CL,CD_M,CD_table)</f>
        <v>#VALUE!</v>
      </c>
      <c r="V17" t="e" cm="1">
        <f t="array" ref="V17">K17/InterpolateXY(K17,$D17,CD_CL,CD_M,CD_table)</f>
        <v>#VALUE!</v>
      </c>
      <c r="W17" t="e" cm="1">
        <f t="array" ref="W17">L17/InterpolateXY(L17,$D17,CD_CL,CD_M,CD_table)</f>
        <v>#VALUE!</v>
      </c>
      <c r="X17" t="e" cm="1">
        <f t="array" ref="X17">M17/InterpolateXY(M17,$D17,CD_CL,CD_M,CD_table)</f>
        <v>#VALUE!</v>
      </c>
    </row>
    <row r="18" spans="4:24">
      <c r="D18">
        <v>0.34</v>
      </c>
      <c r="E18" cm="1">
        <f t="array" ref="E18">$E$3/(S*Linterp(E$4,atmos_h,atmos_qms)*$D18^2)</f>
        <v>0.34350604963796905</v>
      </c>
      <c r="F18" cm="1">
        <f t="array" ref="F18">$E$3/(S*Linterp(F$4,atmos_h,atmos_qms)*$D18^2)</f>
        <v>0.41284449050182709</v>
      </c>
      <c r="G18" cm="1">
        <f t="array" ref="G18">$E$3/(S*Linterp(G$4,atmos_h,atmos_qms)*$D18^2)</f>
        <v>0.49949769408231703</v>
      </c>
      <c r="H18" cm="1">
        <f t="array" ref="H18">$E$3/(S*Linterp(H$4,atmos_h,atmos_qms)*$D18^2)</f>
        <v>0.6086858314030924</v>
      </c>
      <c r="I18" cm="1">
        <f t="array" ref="I18">$E$3/(S*Linterp(I$4,atmos_h,atmos_qms)*$D18^2)</f>
        <v>0.7474961767931817</v>
      </c>
      <c r="J18" cm="1">
        <f t="array" ref="J18">$E$3/(S*Linterp(J$4,atmos_h,atmos_qms)*$D18^2)</f>
        <v>0.92566514532884037</v>
      </c>
      <c r="K18" cm="1">
        <f t="array" ref="K18">$E$3/(S*Linterp(K$4,atmos_h,atmos_qms)*$D18^2)</f>
        <v>1.1567401797062227</v>
      </c>
      <c r="L18" cm="1">
        <f t="array" ref="L18">$E$3/(S*Linterp(L$4,atmos_h,atmos_qms)*$D18^2)</f>
        <v>1.459833859208729</v>
      </c>
      <c r="M18" cm="1">
        <f t="array" ref="M18">$E$3/(S*Linterp(M$4,atmos_h,atmos_qms)*$D18^2)</f>
        <v>1.8559244812997928</v>
      </c>
      <c r="O18">
        <v>0.34</v>
      </c>
      <c r="P18" cm="1">
        <f t="array" ref="P18">E18/InterpolateXY(E18,$D18,CD_CL,CD_M,CD_table)</f>
        <v>11.335012786245086</v>
      </c>
      <c r="Q18" cm="1">
        <f t="array" ref="Q18">F18/InterpolateXY(F18,$D18,CD_CL,CD_M,CD_table)</f>
        <v>10.193252539087529</v>
      </c>
      <c r="R18" cm="1">
        <f t="array" ref="R18">G18/InterpolateXY(G18,$D18,CD_CL,CD_M,CD_table)</f>
        <v>8.6240677361987892</v>
      </c>
      <c r="S18" cm="1">
        <f t="array" ref="S18">H18/InterpolateXY(H18,$D18,CD_CL,CD_M,CD_table)</f>
        <v>6.5362662160559477</v>
      </c>
      <c r="T18" cm="1">
        <f t="array" ref="T18">I18/InterpolateXY(I18,$D18,CD_CL,CD_M,CD_table)</f>
        <v>4.6470187799388949</v>
      </c>
      <c r="U18" t="e" cm="1">
        <f t="array" ref="U18">J18/InterpolateXY(J18,$D18,CD_CL,CD_M,CD_table)</f>
        <v>#VALUE!</v>
      </c>
      <c r="V18" t="e" cm="1">
        <f t="array" ref="V18">K18/InterpolateXY(K18,$D18,CD_CL,CD_M,CD_table)</f>
        <v>#VALUE!</v>
      </c>
      <c r="W18" t="e" cm="1">
        <f t="array" ref="W18">L18/InterpolateXY(L18,$D18,CD_CL,CD_M,CD_table)</f>
        <v>#VALUE!</v>
      </c>
      <c r="X18" t="e" cm="1">
        <f t="array" ref="X18">M18/InterpolateXY(M18,$D18,CD_CL,CD_M,CD_table)</f>
        <v>#VALUE!</v>
      </c>
    </row>
    <row r="19" spans="4:24">
      <c r="D19">
        <v>0.35</v>
      </c>
      <c r="E19" cm="1">
        <f t="array" ref="E19">$E$3/(S*Linterp(E$4,atmos_h,atmos_qms)*$D19^2)</f>
        <v>0.32415754561754473</v>
      </c>
      <c r="F19" cm="1">
        <f t="array" ref="F19">$E$3/(S*Linterp(F$4,atmos_h,atmos_qms)*$D19^2)</f>
        <v>0.38959039266947937</v>
      </c>
      <c r="G19" cm="1">
        <f t="array" ref="G19">$E$3/(S*Linterp(G$4,atmos_h,atmos_qms)*$D19^2)</f>
        <v>0.47136272192584378</v>
      </c>
      <c r="H19" cm="1">
        <f t="array" ref="H19">$E$3/(S*Linterp(H$4,atmos_h,atmos_qms)*$D19^2)</f>
        <v>0.57440067028732655</v>
      </c>
      <c r="I19" cm="1">
        <f t="array" ref="I19">$E$3/(S*Linterp(I$4,atmos_h,atmos_qms)*$D19^2)</f>
        <v>0.70539231050850471</v>
      </c>
      <c r="J19" cm="1">
        <f t="array" ref="J19">$E$3/(S*Linterp(J$4,atmos_h,atmos_qms)*$D19^2)</f>
        <v>0.87352563918378767</v>
      </c>
      <c r="K19" cm="1">
        <f t="array" ref="K19">$E$3/(S*Linterp(K$4,atmos_h,atmos_qms)*$D19^2)</f>
        <v>1.0915850185635867</v>
      </c>
      <c r="L19" cm="1">
        <f t="array" ref="L19">$E$3/(S*Linterp(L$4,atmos_h,atmos_qms)*$D19^2)</f>
        <v>1.3776064826492174</v>
      </c>
      <c r="M19" cm="1">
        <f t="array" ref="M19">$E$3/(S*Linterp(M$4,atmos_h,atmos_qms)*$D19^2)</f>
        <v>1.7513866941898459</v>
      </c>
      <c r="O19">
        <v>0.35</v>
      </c>
      <c r="P19" cm="1">
        <f t="array" ref="P19">E19/InterpolateXY(E19,$D19,CD_CL,CD_M,CD_table)</f>
        <v>11.289652665482039</v>
      </c>
      <c r="Q19" cm="1">
        <f t="array" ref="Q19">F19/InterpolateXY(F19,$D19,CD_CL,CD_M,CD_table)</f>
        <v>10.69585180555238</v>
      </c>
      <c r="R19" cm="1">
        <f t="array" ref="R19">G19/InterpolateXY(G19,$D19,CD_CL,CD_M,CD_table)</f>
        <v>9.0223482129619246</v>
      </c>
      <c r="S19" cm="1">
        <f t="array" ref="S19">H19/InterpolateXY(H19,$D19,CD_CL,CD_M,CD_table)</f>
        <v>7.0662931898193975</v>
      </c>
      <c r="T19" cm="1">
        <f t="array" ref="T19">I19/InterpolateXY(I19,$D19,CD_CL,CD_M,CD_table)</f>
        <v>5.1772370780750538</v>
      </c>
      <c r="U19" t="e" cm="1">
        <f t="array" ref="U19">J19/InterpolateXY(J19,$D19,CD_CL,CD_M,CD_table)</f>
        <v>#VALUE!</v>
      </c>
      <c r="V19" t="e" cm="1">
        <f t="array" ref="V19">K19/InterpolateXY(K19,$D19,CD_CL,CD_M,CD_table)</f>
        <v>#VALUE!</v>
      </c>
      <c r="W19" t="e" cm="1">
        <f t="array" ref="W19">L19/InterpolateXY(L19,$D19,CD_CL,CD_M,CD_table)</f>
        <v>#VALUE!</v>
      </c>
      <c r="X19" t="e" cm="1">
        <f t="array" ref="X19">M19/InterpolateXY(M19,$D19,CD_CL,CD_M,CD_table)</f>
        <v>#VALUE!</v>
      </c>
    </row>
    <row r="20" spans="4:24">
      <c r="D20">
        <v>0.36</v>
      </c>
      <c r="E20" cm="1">
        <f t="array" ref="E20">$E$3/(S*Linterp(E$4,atmos_h,atmos_qms)*$D20^2)</f>
        <v>0.30639891464621316</v>
      </c>
      <c r="F20" cm="1">
        <f t="array" ref="F20">$E$3/(S*Linterp(F$4,atmos_h,atmos_qms)*$D20^2)</f>
        <v>0.36824709183650634</v>
      </c>
      <c r="G20" cm="1">
        <f t="array" ref="G20">$E$3/(S*Linterp(G$4,atmos_h,atmos_qms)*$D20^2)</f>
        <v>0.44553960984502983</v>
      </c>
      <c r="H20" cm="1">
        <f t="array" ref="H20">$E$3/(S*Linterp(H$4,atmos_h,atmos_qms)*$D20^2)</f>
        <v>0.54293273233177075</v>
      </c>
      <c r="I20" cm="1">
        <f t="array" ref="I20">$E$3/(S*Linterp(I$4,atmos_h,atmos_qms)*$D20^2)</f>
        <v>0.66674813300379487</v>
      </c>
      <c r="J20" cm="1">
        <f t="array" ref="J20">$E$3/(S*Linterp(J$4,atmos_h,atmos_qms)*$D20^2)</f>
        <v>0.82567045370381154</v>
      </c>
      <c r="K20" cm="1">
        <f t="array" ref="K20">$E$3/(S*Linterp(K$4,atmos_h,atmos_qms)*$D20^2)</f>
        <v>1.031783678812032</v>
      </c>
      <c r="L20" cm="1">
        <f t="array" ref="L20">$E$3/(S*Linterp(L$4,atmos_h,atmos_qms)*$D20^2)</f>
        <v>1.3021357571337122</v>
      </c>
      <c r="M20" cm="1">
        <f t="array" ref="M20">$E$3/(S*Linterp(M$4,atmos_h,atmos_qms)*$D20^2)</f>
        <v>1.655438812023581</v>
      </c>
      <c r="O20">
        <v>0.36</v>
      </c>
      <c r="P20" cm="1">
        <f t="array" ref="P20">E20/InterpolateXY(E20,$D20,CD_CL,CD_M,CD_table)</f>
        <v>11.244033255091066</v>
      </c>
      <c r="Q20" cm="1">
        <f t="array" ref="Q20">F20/InterpolateXY(F20,$D20,CD_CL,CD_M,CD_table)</f>
        <v>11.032290154723984</v>
      </c>
      <c r="R20" cm="1">
        <f t="array" ref="R20">G20/InterpolateXY(G20,$D20,CD_CL,CD_M,CD_table)</f>
        <v>9.4728220056286609</v>
      </c>
      <c r="S20" cm="1">
        <f t="array" ref="S20">H20/InterpolateXY(H20,$D20,CD_CL,CD_M,CD_table)</f>
        <v>7.6021892069349404</v>
      </c>
      <c r="T20" cm="1">
        <f t="array" ref="T20">I20/InterpolateXY(I20,$D20,CD_CL,CD_M,CD_table)</f>
        <v>5.6258220035850206</v>
      </c>
      <c r="U20" t="e" cm="1">
        <f t="array" ref="U20">J20/InterpolateXY(J20,$D20,CD_CL,CD_M,CD_table)</f>
        <v>#VALUE!</v>
      </c>
      <c r="V20" t="e" cm="1">
        <f t="array" ref="V20">K20/InterpolateXY(K20,$D20,CD_CL,CD_M,CD_table)</f>
        <v>#VALUE!</v>
      </c>
      <c r="W20" t="e" cm="1">
        <f t="array" ref="W20">L20/InterpolateXY(L20,$D20,CD_CL,CD_M,CD_table)</f>
        <v>#VALUE!</v>
      </c>
      <c r="X20" t="e" cm="1">
        <f t="array" ref="X20">M20/InterpolateXY(M20,$D20,CD_CL,CD_M,CD_table)</f>
        <v>#VALUE!</v>
      </c>
    </row>
    <row r="21" spans="4:24">
      <c r="D21">
        <v>0.37</v>
      </c>
      <c r="E21" cm="1">
        <f t="array" ref="E21">$E$3/(S*Linterp(E$4,atmos_h,atmos_qms)*$D21^2)</f>
        <v>0.29006062336120692</v>
      </c>
      <c r="F21" cm="1">
        <f t="array" ref="F21">$E$3/(S*Linterp(F$4,atmos_h,atmos_qms)*$D21^2)</f>
        <v>0.34861083346976784</v>
      </c>
      <c r="G21" cm="1">
        <f t="array" ref="G21">$E$3/(S*Linterp(G$4,atmos_h,atmos_qms)*$D21^2)</f>
        <v>0.42178183663926855</v>
      </c>
      <c r="H21" cm="1">
        <f t="array" ref="H21">$E$3/(S*Linterp(H$4,atmos_h,atmos_qms)*$D21^2)</f>
        <v>0.51398160781736668</v>
      </c>
      <c r="I21" cm="1">
        <f t="array" ref="I21">$E$3/(S*Linterp(I$4,atmos_h,atmos_qms)*$D21^2)</f>
        <v>0.63119472634983065</v>
      </c>
      <c r="J21" cm="1">
        <f t="array" ref="J21">$E$3/(S*Linterp(J$4,atmos_h,atmos_qms)*$D21^2)</f>
        <v>0.7816427377648939</v>
      </c>
      <c r="K21" cm="1">
        <f t="array" ref="K21">$E$3/(S*Linterp(K$4,atmos_h,atmos_qms)*$D21^2)</f>
        <v>0.97676526496741689</v>
      </c>
      <c r="L21" cm="1">
        <f t="array" ref="L21">$E$3/(S*Linterp(L$4,atmos_h,atmos_qms)*$D21^2)</f>
        <v>1.232701198864347</v>
      </c>
      <c r="M21" cm="1">
        <f t="array" ref="M21">$E$3/(S*Linterp(M$4,atmos_h,atmos_qms)*$D21^2)</f>
        <v>1.5671648651443104</v>
      </c>
      <c r="O21">
        <v>0.37</v>
      </c>
      <c r="P21" cm="1">
        <f t="array" ref="P21">E21/InterpolateXY(E21,$D21,CD_CL,CD_M,CD_table)</f>
        <v>11.118209580563382</v>
      </c>
      <c r="Q21" cm="1">
        <f t="array" ref="Q21">F21/InterpolateXY(F21,$D21,CD_CL,CD_M,CD_table)</f>
        <v>11.370353490074747</v>
      </c>
      <c r="R21" cm="1">
        <f t="array" ref="R21">G21/InterpolateXY(G21,$D21,CD_CL,CD_M,CD_table)</f>
        <v>9.9858029999532913</v>
      </c>
      <c r="S21" cm="1">
        <f t="array" ref="S21">H21/InterpolateXY(H21,$D21,CD_CL,CD_M,CD_table)</f>
        <v>8.2453093264239445</v>
      </c>
      <c r="T21" cm="1">
        <f t="array" ref="T21">I21/InterpolateXY(I21,$D21,CD_CL,CD_M,CD_table)</f>
        <v>6.1326714826521682</v>
      </c>
      <c r="U21" cm="1">
        <f t="array" ref="U21">J21/InterpolateXY(J21,$D21,CD_CL,CD_M,CD_table)</f>
        <v>4.3248098315290315</v>
      </c>
      <c r="V21" t="e" cm="1">
        <f t="array" ref="V21">K21/InterpolateXY(K21,$D21,CD_CL,CD_M,CD_table)</f>
        <v>#VALUE!</v>
      </c>
      <c r="W21" t="e" cm="1">
        <f t="array" ref="W21">L21/InterpolateXY(L21,$D21,CD_CL,CD_M,CD_table)</f>
        <v>#VALUE!</v>
      </c>
      <c r="X21" t="e" cm="1">
        <f t="array" ref="X21">M21/InterpolateXY(M21,$D21,CD_CL,CD_M,CD_table)</f>
        <v>#VALUE!</v>
      </c>
    </row>
    <row r="22" spans="4:24">
      <c r="D22">
        <v>0.38</v>
      </c>
      <c r="E22" cm="1">
        <f t="array" ref="E22">$E$3/(S*Linterp(E$4,atmos_h,atmos_qms)*$D22^2)</f>
        <v>0.27499514777111655</v>
      </c>
      <c r="F22" cm="1">
        <f t="array" ref="F22">$E$3/(S*Linterp(F$4,atmos_h,atmos_qms)*$D22^2)</f>
        <v>0.33050431511088102</v>
      </c>
      <c r="G22" cm="1">
        <f t="array" ref="G22">$E$3/(S*Linterp(G$4,atmos_h,atmos_qms)*$D22^2)</f>
        <v>0.39987488529027604</v>
      </c>
      <c r="H22" cm="1">
        <f t="array" ref="H22">$E$3/(S*Linterp(H$4,atmos_h,atmos_qms)*$D22^2)</f>
        <v>0.48728588718973331</v>
      </c>
      <c r="I22" cm="1">
        <f t="array" ref="I22">$E$3/(S*Linterp(I$4,atmos_h,atmos_qms)*$D22^2)</f>
        <v>0.59841106674024802</v>
      </c>
      <c r="J22" cm="1">
        <f t="array" ref="J22">$E$3/(S*Linterp(J$4,atmos_h,atmos_qms)*$D22^2)</f>
        <v>0.74104495013860083</v>
      </c>
      <c r="K22" cm="1">
        <f t="array" ref="K22">$E$3/(S*Linterp(K$4,atmos_h,atmos_qms)*$D22^2)</f>
        <v>0.92603299705013409</v>
      </c>
      <c r="L22" cm="1">
        <f t="array" ref="L22">$E$3/(S*Linterp(L$4,atmos_h,atmos_qms)*$D22^2)</f>
        <v>1.1686758595881517</v>
      </c>
      <c r="M22" cm="1">
        <f t="array" ref="M22">$E$3/(S*Linterp(M$4,atmos_h,atmos_qms)*$D22^2)</f>
        <v>1.4857677980488648</v>
      </c>
      <c r="O22">
        <v>0.38</v>
      </c>
      <c r="P22" cm="1">
        <f t="array" ref="P22">E22/InterpolateXY(E22,$D22,CD_CL,CD_M,CD_table)</f>
        <v>10.944123638769002</v>
      </c>
      <c r="Q22" cm="1">
        <f t="array" ref="Q22">F22/InterpolateXY(F22,$D22,CD_CL,CD_M,CD_table)</f>
        <v>11.330873769749497</v>
      </c>
      <c r="R22" cm="1">
        <f t="array" ref="R22">G22/InterpolateXY(G22,$D22,CD_CL,CD_M,CD_table)</f>
        <v>10.572473261373789</v>
      </c>
      <c r="S22" cm="1">
        <f t="array" ref="S22">H22/InterpolateXY(H22,$D22,CD_CL,CD_M,CD_table)</f>
        <v>8.7982415633262487</v>
      </c>
      <c r="T22" cm="1">
        <f t="array" ref="T22">I22/InterpolateXY(I22,$D22,CD_CL,CD_M,CD_table)</f>
        <v>6.7432173039569889</v>
      </c>
      <c r="U22" cm="1">
        <f t="array" ref="U22">J22/InterpolateXY(J22,$D22,CD_CL,CD_M,CD_table)</f>
        <v>4.7197954166528699</v>
      </c>
      <c r="V22" t="e" cm="1">
        <f t="array" ref="V22">K22/InterpolateXY(K22,$D22,CD_CL,CD_M,CD_table)</f>
        <v>#VALUE!</v>
      </c>
      <c r="W22" t="e" cm="1">
        <f t="array" ref="W22">L22/InterpolateXY(L22,$D22,CD_CL,CD_M,CD_table)</f>
        <v>#VALUE!</v>
      </c>
      <c r="X22" t="e" cm="1">
        <f t="array" ref="X22">M22/InterpolateXY(M22,$D22,CD_CL,CD_M,CD_table)</f>
        <v>#VALUE!</v>
      </c>
    </row>
    <row r="23" spans="4:24">
      <c r="D23">
        <v>0.39</v>
      </c>
      <c r="E23" cm="1">
        <f t="array" ref="E23">$E$3/(S*Linterp(E$4,atmos_h,atmos_qms)*$D23^2)</f>
        <v>0.26107363141452483</v>
      </c>
      <c r="F23" cm="1">
        <f t="array" ref="F23">$E$3/(S*Linterp(F$4,atmos_h,atmos_qms)*$D23^2)</f>
        <v>0.31377266996720066</v>
      </c>
      <c r="G23" cm="1">
        <f t="array" ref="G23">$E$3/(S*Linterp(G$4,atmos_h,atmos_qms)*$D23^2)</f>
        <v>0.37963138353659343</v>
      </c>
      <c r="H23" cm="1">
        <f t="array" ref="H23">$E$3/(S*Linterp(H$4,atmos_h,atmos_qms)*$D23^2)</f>
        <v>0.46261723938328392</v>
      </c>
      <c r="I23" cm="1">
        <f t="array" ref="I23">$E$3/(S*Linterp(I$4,atmos_h,atmos_qms)*$D23^2)</f>
        <v>0.5681167523819316</v>
      </c>
      <c r="J23" cm="1">
        <f t="array" ref="J23">$E$3/(S*Linterp(J$4,atmos_h,atmos_qms)*$D23^2)</f>
        <v>0.70352985404348423</v>
      </c>
      <c r="K23" cm="1">
        <f t="array" ref="K23">$E$3/(S*Linterp(K$4,atmos_h,atmos_qms)*$D23^2)</f>
        <v>0.87915295709427588</v>
      </c>
      <c r="L23" cm="1">
        <f t="array" ref="L23">$E$3/(S*Linterp(L$4,atmos_h,atmos_qms)*$D23^2)</f>
        <v>1.1095121244216244</v>
      </c>
      <c r="M23" cm="1">
        <f t="array" ref="M23">$E$3/(S*Linterp(M$4,atmos_h,atmos_qms)*$D23^2)</f>
        <v>1.4105514137952404</v>
      </c>
      <c r="O23">
        <v>0.39</v>
      </c>
      <c r="P23" cm="1">
        <f t="array" ref="P23">E23/InterpolateXY(E23,$D23,CD_CL,CD_M,CD_table)</f>
        <v>10.771652147549787</v>
      </c>
      <c r="Q23" cm="1">
        <f t="array" ref="Q23">F23/InterpolateXY(F23,$D23,CD_CL,CD_M,CD_table)</f>
        <v>11.291242492041468</v>
      </c>
      <c r="R23" cm="1">
        <f t="array" ref="R23">G23/InterpolateXY(G23,$D23,CD_CL,CD_M,CD_table)</f>
        <v>10.867492498409407</v>
      </c>
      <c r="S23" cm="1">
        <f t="array" ref="S23">H23/InterpolateXY(H23,$D23,CD_CL,CD_M,CD_table)</f>
        <v>9.1778090259235743</v>
      </c>
      <c r="T23" cm="1">
        <f t="array" ref="T23">I23/InterpolateXY(I23,$D23,CD_CL,CD_M,CD_table)</f>
        <v>7.1695211481465266</v>
      </c>
      <c r="U23" cm="1">
        <f t="array" ref="U23">J23/InterpolateXY(J23,$D23,CD_CL,CD_M,CD_table)</f>
        <v>5.2081985123638974</v>
      </c>
      <c r="V23" t="e" cm="1">
        <f t="array" ref="V23">K23/InterpolateXY(K23,$D23,CD_CL,CD_M,CD_table)</f>
        <v>#VALUE!</v>
      </c>
      <c r="W23" t="e" cm="1">
        <f t="array" ref="W23">L23/InterpolateXY(L23,$D23,CD_CL,CD_M,CD_table)</f>
        <v>#VALUE!</v>
      </c>
      <c r="X23" t="e" cm="1">
        <f t="array" ref="X23">M23/InterpolateXY(M23,$D23,CD_CL,CD_M,CD_table)</f>
        <v>#VALUE!</v>
      </c>
    </row>
    <row r="24" spans="4:24">
      <c r="D24">
        <v>0.4</v>
      </c>
      <c r="E24" cm="1">
        <f t="array" ref="E24">$E$3/(S*Linterp(E$4,atmos_h,atmos_qms)*$D24^2)</f>
        <v>0.24818312086343258</v>
      </c>
      <c r="F24" cm="1">
        <f t="array" ref="F24">$E$3/(S*Linterp(F$4,atmos_h,atmos_qms)*$D24^2)</f>
        <v>0.29828014438757006</v>
      </c>
      <c r="G24" cm="1">
        <f t="array" ref="G24">$E$3/(S*Linterp(G$4,atmos_h,atmos_qms)*$D24^2)</f>
        <v>0.36088708397447405</v>
      </c>
      <c r="H24" cm="1">
        <f t="array" ref="H24">$E$3/(S*Linterp(H$4,atmos_h,atmos_qms)*$D24^2)</f>
        <v>0.43977551318873426</v>
      </c>
      <c r="I24" cm="1">
        <f t="array" ref="I24">$E$3/(S*Linterp(I$4,atmos_h,atmos_qms)*$D24^2)</f>
        <v>0.54006598773307379</v>
      </c>
      <c r="J24" cm="1">
        <f t="array" ref="J24">$E$3/(S*Linterp(J$4,atmos_h,atmos_qms)*$D24^2)</f>
        <v>0.66879306750008716</v>
      </c>
      <c r="K24" cm="1">
        <f t="array" ref="K24">$E$3/(S*Linterp(K$4,atmos_h,atmos_qms)*$D24^2)</f>
        <v>0.83574477983774575</v>
      </c>
      <c r="L24" cm="1">
        <f t="array" ref="L24">$E$3/(S*Linterp(L$4,atmos_h,atmos_qms)*$D24^2)</f>
        <v>1.0547299632783067</v>
      </c>
      <c r="M24" cm="1">
        <f t="array" ref="M24">$E$3/(S*Linterp(M$4,atmos_h,atmos_qms)*$D24^2)</f>
        <v>1.3409054377391003</v>
      </c>
      <c r="O24">
        <v>0.4</v>
      </c>
      <c r="P24" cm="1">
        <f t="array" ref="P24">E24/InterpolateXY(E24,$D24,CD_CL,CD_M,CD_table)</f>
        <v>10.600931309082299</v>
      </c>
      <c r="Q24" cm="1">
        <f t="array" ref="Q24">F24/InterpolateXY(F24,$D24,CD_CL,CD_M,CD_table)</f>
        <v>11.237827747005934</v>
      </c>
      <c r="R24" cm="1">
        <f t="array" ref="R24">G24/InterpolateXY(G24,$D24,CD_CL,CD_M,CD_table)</f>
        <v>11.188304391874915</v>
      </c>
      <c r="S24" cm="1">
        <f t="array" ref="S24">H24/InterpolateXY(H24,$D24,CD_CL,CD_M,CD_table)</f>
        <v>9.6031593694665105</v>
      </c>
      <c r="T24" cm="1">
        <f t="array" ref="T24">I24/InterpolateXY(I24,$D24,CD_CL,CD_M,CD_table)</f>
        <v>7.6669643996049954</v>
      </c>
      <c r="U24" cm="1">
        <f t="array" ref="U24">J24/InterpolateXY(J24,$D24,CD_CL,CD_M,CD_table)</f>
        <v>5.6045036905622929</v>
      </c>
      <c r="V24" t="e" cm="1">
        <f t="array" ref="V24">K24/InterpolateXY(K24,$D24,CD_CL,CD_M,CD_table)</f>
        <v>#VALUE!</v>
      </c>
      <c r="W24" t="e" cm="1">
        <f t="array" ref="W24">L24/InterpolateXY(L24,$D24,CD_CL,CD_M,CD_table)</f>
        <v>#VALUE!</v>
      </c>
      <c r="X24" t="e" cm="1">
        <f t="array" ref="X24">M24/InterpolateXY(M24,$D24,CD_CL,CD_M,CD_table)</f>
        <v>#VALUE!</v>
      </c>
    </row>
    <row r="25" spans="4:24">
      <c r="D25">
        <v>0.41</v>
      </c>
      <c r="E25" cm="1">
        <f t="array" ref="E25">$E$3/(S*Linterp(E$4,atmos_h,atmos_qms)*$D25^2)</f>
        <v>0.2362242673298586</v>
      </c>
      <c r="F25" cm="1">
        <f t="array" ref="F25">$E$3/(S*Linterp(F$4,atmos_h,atmos_qms)*$D25^2)</f>
        <v>0.28390733552653913</v>
      </c>
      <c r="G25" cm="1">
        <f t="array" ref="G25">$E$3/(S*Linterp(G$4,atmos_h,atmos_qms)*$D25^2)</f>
        <v>0.34349752192692368</v>
      </c>
      <c r="H25" cm="1">
        <f t="array" ref="H25">$E$3/(S*Linterp(H$4,atmos_h,atmos_qms)*$D25^2)</f>
        <v>0.41858466454608867</v>
      </c>
      <c r="I25" cm="1">
        <f t="array" ref="I25">$E$3/(S*Linterp(I$4,atmos_h,atmos_qms)*$D25^2)</f>
        <v>0.51404258201839281</v>
      </c>
      <c r="J25" cm="1">
        <f t="array" ref="J25">$E$3/(S*Linterp(J$4,atmos_h,atmos_qms)*$D25^2)</f>
        <v>0.6365668697204877</v>
      </c>
      <c r="K25" cm="1">
        <f t="array" ref="K25">$E$3/(S*Linterp(K$4,atmos_h,atmos_qms)*$D25^2)</f>
        <v>0.79547391299250081</v>
      </c>
      <c r="L25" cm="1">
        <f t="array" ref="L25">$E$3/(S*Linterp(L$4,atmos_h,atmos_qms)*$D25^2)</f>
        <v>1.0039071631441352</v>
      </c>
      <c r="M25" cm="1">
        <f t="array" ref="M25">$E$3/(S*Linterp(M$4,atmos_h,atmos_qms)*$D25^2)</f>
        <v>1.2762930995732071</v>
      </c>
      <c r="O25">
        <v>0.41</v>
      </c>
      <c r="P25" cm="1">
        <f t="array" ref="P25">E25/InterpolateXY(E25,$D25,CD_CL,CD_M,CD_table)</f>
        <v>10.432083246308069</v>
      </c>
      <c r="Q25" cm="1">
        <f t="array" ref="Q25">F25/InterpolateXY(F25,$D25,CD_CL,CD_M,CD_table)</f>
        <v>11.079652893645495</v>
      </c>
      <c r="R25" cm="1">
        <f t="array" ref="R25">G25/InterpolateXY(G25,$D25,CD_CL,CD_M,CD_table)</f>
        <v>11.387599270507183</v>
      </c>
      <c r="S25" cm="1">
        <f t="array" ref="S25">H25/InterpolateXY(H25,$D25,CD_CL,CD_M,CD_table)</f>
        <v>10.082607396194856</v>
      </c>
      <c r="T25" cm="1">
        <f t="array" ref="T25">I25/InterpolateXY(I25,$D25,CD_CL,CD_M,CD_table)</f>
        <v>8.2543536438804495</v>
      </c>
      <c r="U25" cm="1">
        <f t="array" ref="U25">J25/InterpolateXY(J25,$D25,CD_CL,CD_M,CD_table)</f>
        <v>6.0512293365999259</v>
      </c>
      <c r="V25" cm="1">
        <f t="array" ref="V25">K25/InterpolateXY(K25,$D25,CD_CL,CD_M,CD_table)</f>
        <v>4.2148513592443537</v>
      </c>
      <c r="W25" t="e" cm="1">
        <f t="array" ref="W25">L25/InterpolateXY(L25,$D25,CD_CL,CD_M,CD_table)</f>
        <v>#VALUE!</v>
      </c>
      <c r="X25" t="e" cm="1">
        <f t="array" ref="X25">M25/InterpolateXY(M25,$D25,CD_CL,CD_M,CD_table)</f>
        <v>#VALUE!</v>
      </c>
    </row>
    <row r="26" spans="4:24">
      <c r="D26">
        <v>0.42</v>
      </c>
      <c r="E26" cm="1">
        <f t="array" ref="E26">$E$3/(S*Linterp(E$4,atmos_h,atmos_qms)*$D26^2)</f>
        <v>0.22510940667885052</v>
      </c>
      <c r="F26" cm="1">
        <f t="array" ref="F26">$E$3/(S*Linterp(F$4,atmos_h,atmos_qms)*$D26^2)</f>
        <v>0.2705488837982496</v>
      </c>
      <c r="G26" cm="1">
        <f t="array" ref="G26">$E$3/(S*Linterp(G$4,atmos_h,atmos_qms)*$D26^2)</f>
        <v>0.32733522355961381</v>
      </c>
      <c r="H26" cm="1">
        <f t="array" ref="H26">$E$3/(S*Linterp(H$4,atmos_h,atmos_qms)*$D26^2)</f>
        <v>0.39888935436619899</v>
      </c>
      <c r="I26" cm="1">
        <f t="array" ref="I26">$E$3/(S*Linterp(I$4,atmos_h,atmos_qms)*$D26^2)</f>
        <v>0.48985577118646162</v>
      </c>
      <c r="J26" cm="1">
        <f t="array" ref="J26">$E$3/(S*Linterp(J$4,atmos_h,atmos_qms)*$D26^2)</f>
        <v>0.60661502721096361</v>
      </c>
      <c r="K26" cm="1">
        <f t="array" ref="K26">$E$3/(S*Linterp(K$4,atmos_h,atmos_qms)*$D26^2)</f>
        <v>0.75804515178026854</v>
      </c>
      <c r="L26" cm="1">
        <f t="array" ref="L26">$E$3/(S*Linterp(L$4,atmos_h,atmos_qms)*$D26^2)</f>
        <v>0.95667116850640099</v>
      </c>
      <c r="M26" cm="1">
        <f t="array" ref="M26">$E$3/(S*Linterp(M$4,atmos_h,atmos_qms)*$D26^2)</f>
        <v>1.2162407598540597</v>
      </c>
      <c r="O26">
        <v>0.42</v>
      </c>
      <c r="P26" cm="1">
        <f t="array" ref="P26">E26/InterpolateXY(E26,$D26,CD_CL,CD_M,CD_table)</f>
        <v>10.265216739623803</v>
      </c>
      <c r="Q26" cm="1">
        <f t="array" ref="Q26">F26/InterpolateXY(F26,$D26,CD_CL,CD_M,CD_table)</f>
        <v>10.922748183903094</v>
      </c>
      <c r="R26" cm="1">
        <f t="array" ref="R26">G26/InterpolateXY(G26,$D26,CD_CL,CD_M,CD_table)</f>
        <v>11.35359065347088</v>
      </c>
      <c r="S26" cm="1">
        <f t="array" ref="S26">H26/InterpolateXY(H26,$D26,CD_CL,CD_M,CD_table)</f>
        <v>10.608035487881759</v>
      </c>
      <c r="T26" cm="1">
        <f t="array" ref="T26">I26/InterpolateXY(I26,$D26,CD_CL,CD_M,CD_table)</f>
        <v>8.7754730900077984</v>
      </c>
      <c r="U26" cm="1">
        <f t="array" ref="U26">J26/InterpolateXY(J26,$D26,CD_CL,CD_M,CD_table)</f>
        <v>6.5895316005038662</v>
      </c>
      <c r="V26" cm="1">
        <f t="array" ref="V26">K26/InterpolateXY(K26,$D26,CD_CL,CD_M,CD_table)</f>
        <v>4.5431377336136984</v>
      </c>
      <c r="W26" t="e" cm="1">
        <f t="array" ref="W26">L26/InterpolateXY(L26,$D26,CD_CL,CD_M,CD_table)</f>
        <v>#VALUE!</v>
      </c>
      <c r="X26" t="e" cm="1">
        <f t="array" ref="X26">M26/InterpolateXY(M26,$D26,CD_CL,CD_M,CD_table)</f>
        <v>#VALUE!</v>
      </c>
    </row>
    <row r="27" spans="4:24">
      <c r="D27">
        <v>0.43</v>
      </c>
      <c r="E27" cm="1">
        <f t="array" ref="E27">$E$3/(S*Linterp(E$4,atmos_h,atmos_qms)*$D27^2)</f>
        <v>0.21476094828636683</v>
      </c>
      <c r="F27" cm="1">
        <f t="array" ref="F27">$E$3/(S*Linterp(F$4,atmos_h,atmos_qms)*$D27^2)</f>
        <v>0.25811153651709695</v>
      </c>
      <c r="G27" cm="1">
        <f t="array" ref="G27">$E$3/(S*Linterp(G$4,atmos_h,atmos_qms)*$D27^2)</f>
        <v>0.31228736309310906</v>
      </c>
      <c r="H27" cm="1">
        <f t="array" ref="H27">$E$3/(S*Linterp(H$4,atmos_h,atmos_qms)*$D27^2)</f>
        <v>0.38055209361924014</v>
      </c>
      <c r="I27" cm="1">
        <f t="array" ref="I27">$E$3/(S*Linterp(I$4,atmos_h,atmos_qms)*$D27^2)</f>
        <v>0.46733671193776</v>
      </c>
      <c r="J27" cm="1">
        <f t="array" ref="J27">$E$3/(S*Linterp(J$4,atmos_h,atmos_qms)*$D27^2)</f>
        <v>0.57872845213636548</v>
      </c>
      <c r="K27" cm="1">
        <f t="array" ref="K27">$E$3/(S*Linterp(K$4,atmos_h,atmos_qms)*$D27^2)</f>
        <v>0.72319721348858501</v>
      </c>
      <c r="L27" cm="1">
        <f t="array" ref="L27">$E$3/(S*Linterp(L$4,atmos_h,atmos_qms)*$D27^2)</f>
        <v>0.91269223431329971</v>
      </c>
      <c r="M27" cm="1">
        <f t="array" ref="M27">$E$3/(S*Linterp(M$4,atmos_h,atmos_qms)*$D27^2)</f>
        <v>1.160329205182564</v>
      </c>
      <c r="O27">
        <v>0.43</v>
      </c>
      <c r="P27" cm="1">
        <f t="array" ref="P27">E27/InterpolateXY(E27,$D27,CD_CL,CD_M,CD_table)</f>
        <v>10.100427967324306</v>
      </c>
      <c r="Q27" cm="1">
        <f t="array" ref="Q27">F27/InterpolateXY(F27,$D27,CD_CL,CD_M,CD_table)</f>
        <v>10.767222109901429</v>
      </c>
      <c r="R27" cm="1">
        <f t="array" ref="R27">G27/InterpolateXY(G27,$D27,CD_CL,CD_M,CD_table)</f>
        <v>11.319538243041521</v>
      </c>
      <c r="S27" cm="1">
        <f t="array" ref="S27">H27/InterpolateXY(H27,$D27,CD_CL,CD_M,CD_table)</f>
        <v>10.878120036684169</v>
      </c>
      <c r="T27" cm="1">
        <f t="array" ref="T27">I27/InterpolateXY(I27,$D27,CD_CL,CD_M,CD_table)</f>
        <v>9.1143761432611381</v>
      </c>
      <c r="U27" cm="1">
        <f t="array" ref="U27">J27/InterpolateXY(J27,$D27,CD_CL,CD_M,CD_table)</f>
        <v>7.0164207150040978</v>
      </c>
      <c r="V27" cm="1">
        <f t="array" ref="V27">K27/InterpolateXY(K27,$D27,CD_CL,CD_M,CD_table)</f>
        <v>4.9369776739546527</v>
      </c>
      <c r="W27" t="e" cm="1">
        <f t="array" ref="W27">L27/InterpolateXY(L27,$D27,CD_CL,CD_M,CD_table)</f>
        <v>#VALUE!</v>
      </c>
      <c r="X27" t="e" cm="1">
        <f t="array" ref="X27">M27/InterpolateXY(M27,$D27,CD_CL,CD_M,CD_table)</f>
        <v>#VALUE!</v>
      </c>
    </row>
    <row r="28" spans="4:24">
      <c r="D28">
        <v>0.44</v>
      </c>
      <c r="E28" cm="1">
        <f t="array" ref="E28">$E$3/(S*Linterp(E$4,atmos_h,atmos_qms)*$D28^2)</f>
        <v>0.20511001724250633</v>
      </c>
      <c r="F28" cm="1">
        <f t="array" ref="F28">$E$3/(S*Linterp(F$4,atmos_h,atmos_qms)*$D28^2)</f>
        <v>0.24651251602278523</v>
      </c>
      <c r="G28" cm="1">
        <f t="array" ref="G28">$E$3/(S*Linterp(G$4,atmos_h,atmos_qms)*$D28^2)</f>
        <v>0.29825378840865635</v>
      </c>
      <c r="H28" cm="1">
        <f t="array" ref="H28">$E$3/(S*Linterp(H$4,atmos_h,atmos_qms)*$D28^2)</f>
        <v>0.36345083734606143</v>
      </c>
      <c r="I28" cm="1">
        <f t="array" ref="I28">$E$3/(S*Linterp(I$4,atmos_h,atmos_qms)*$D28^2)</f>
        <v>0.44633552705212715</v>
      </c>
      <c r="J28" cm="1">
        <f t="array" ref="J28">$E$3/(S*Linterp(J$4,atmos_h,atmos_qms)*$D28^2)</f>
        <v>0.55272154338850188</v>
      </c>
      <c r="K28" cm="1">
        <f t="array" ref="K28">$E$3/(S*Linterp(K$4,atmos_h,atmos_qms)*$D28^2)</f>
        <v>0.69069816515516202</v>
      </c>
      <c r="L28" cm="1">
        <f t="array" ref="L28">$E$3/(S*Linterp(L$4,atmos_h,atmos_qms)*$D28^2)</f>
        <v>0.87167765560190658</v>
      </c>
      <c r="M28" cm="1">
        <f t="array" ref="M28">$E$3/(S*Linterp(M$4,atmos_h,atmos_qms)*$D28^2)</f>
        <v>1.1081863121810747</v>
      </c>
      <c r="O28">
        <v>0.44</v>
      </c>
      <c r="P28" cm="1">
        <f t="array" ref="P28">E28/InterpolateXY(E28,$D28,CD_CL,CD_M,CD_table)</f>
        <v>9.9378012431562865</v>
      </c>
      <c r="Q28" cm="1">
        <f t="array" ref="Q28">F28/InterpolateXY(F28,$D28,CD_CL,CD_M,CD_table)</f>
        <v>10.613173192096948</v>
      </c>
      <c r="R28" cm="1">
        <f t="array" ref="R28">G28/InterpolateXY(G28,$D28,CD_CL,CD_M,CD_table)</f>
        <v>11.271506987892053</v>
      </c>
      <c r="S28" cm="1">
        <f t="array" ref="S28">H28/InterpolateXY(H28,$D28,CD_CL,CD_M,CD_table)</f>
        <v>11.169645432147568</v>
      </c>
      <c r="T28" cm="1">
        <f t="array" ref="T28">I28/InterpolateXY(I28,$D28,CD_CL,CD_M,CD_table)</f>
        <v>9.4897485311663541</v>
      </c>
      <c r="U28" cm="1">
        <f t="array" ref="U28">J28/InterpolateXY(J28,$D28,CD_CL,CD_M,CD_table)</f>
        <v>7.43686540158971</v>
      </c>
      <c r="V28" cm="1">
        <f t="array" ref="V28">K28/InterpolateXY(K28,$D28,CD_CL,CD_M,CD_table)</f>
        <v>5.3606573499958747</v>
      </c>
      <c r="W28" t="e" cm="1">
        <f t="array" ref="W28">L28/InterpolateXY(L28,$D28,CD_CL,CD_M,CD_table)</f>
        <v>#VALUE!</v>
      </c>
      <c r="X28" t="e" cm="1">
        <f t="array" ref="X28">M28/InterpolateXY(M28,$D28,CD_CL,CD_M,CD_table)</f>
        <v>#VALUE!</v>
      </c>
    </row>
    <row r="29" spans="4:24">
      <c r="D29">
        <v>0.45</v>
      </c>
      <c r="E29" cm="1">
        <f t="array" ref="E29">$E$3/(S*Linterp(E$4,atmos_h,atmos_qms)*$D29^2)</f>
        <v>0.19609530537357639</v>
      </c>
      <c r="F29" cm="1">
        <f t="array" ref="F29">$E$3/(S*Linterp(F$4,atmos_h,atmos_qms)*$D29^2)</f>
        <v>0.23567813877536403</v>
      </c>
      <c r="G29" cm="1">
        <f t="array" ref="G29">$E$3/(S*Linterp(G$4,atmos_h,atmos_qms)*$D29^2)</f>
        <v>0.28514535030081906</v>
      </c>
      <c r="H29" cm="1">
        <f t="array" ref="H29">$E$3/(S*Linterp(H$4,atmos_h,atmos_qms)*$D29^2)</f>
        <v>0.34747694869233325</v>
      </c>
      <c r="I29" cm="1">
        <f t="array" ref="I29">$E$3/(S*Linterp(I$4,atmos_h,atmos_qms)*$D29^2)</f>
        <v>0.42671880512242871</v>
      </c>
      <c r="J29" cm="1">
        <f t="array" ref="J29">$E$3/(S*Linterp(J$4,atmos_h,atmos_qms)*$D29^2)</f>
        <v>0.52842909037043939</v>
      </c>
      <c r="K29" cm="1">
        <f t="array" ref="K29">$E$3/(S*Linterp(K$4,atmos_h,atmos_qms)*$D29^2)</f>
        <v>0.66034155443970055</v>
      </c>
      <c r="L29" cm="1">
        <f t="array" ref="L29">$E$3/(S*Linterp(L$4,atmos_h,atmos_qms)*$D29^2)</f>
        <v>0.83336688456557573</v>
      </c>
      <c r="M29" cm="1">
        <f t="array" ref="M29">$E$3/(S*Linterp(M$4,atmos_h,atmos_qms)*$D29^2)</f>
        <v>1.0594808396950917</v>
      </c>
      <c r="O29">
        <v>0.45</v>
      </c>
      <c r="P29" cm="1">
        <f t="array" ref="P29">E29/InterpolateXY(E29,$D29,CD_CL,CD_M,CD_table)</f>
        <v>9.7300511485156509</v>
      </c>
      <c r="Q29" cm="1">
        <f t="array" ref="Q29">F29/InterpolateXY(F29,$D29,CD_CL,CD_M,CD_table)</f>
        <v>10.460690440802768</v>
      </c>
      <c r="R29" cm="1">
        <f t="array" ref="R29">G29/InterpolateXY(G29,$D29,CD_CL,CD_M,CD_table)</f>
        <v>11.129106846718123</v>
      </c>
      <c r="S29" cm="1">
        <f t="array" ref="S29">H29/InterpolateXY(H29,$D29,CD_CL,CD_M,CD_table)</f>
        <v>11.427342757844361</v>
      </c>
      <c r="T29" cm="1">
        <f t="array" ref="T29">I29/InterpolateXY(I29,$D29,CD_CL,CD_M,CD_table)</f>
        <v>9.9074541730340133</v>
      </c>
      <c r="U29" cm="1">
        <f t="array" ref="U29">J29/InterpolateXY(J29,$D29,CD_CL,CD_M,CD_table)</f>
        <v>7.9226764174137507</v>
      </c>
      <c r="V29" cm="1">
        <f t="array" ref="V29">K29/InterpolateXY(K29,$D29,CD_CL,CD_M,CD_table)</f>
        <v>5.715778031017317</v>
      </c>
      <c r="W29" t="e" cm="1">
        <f t="array" ref="W29">L29/InterpolateXY(L29,$D29,CD_CL,CD_M,CD_table)</f>
        <v>#VALUE!</v>
      </c>
      <c r="X29" t="e" cm="1">
        <f t="array" ref="X29">M29/InterpolateXY(M29,$D29,CD_CL,CD_M,CD_table)</f>
        <v>#VALUE!</v>
      </c>
    </row>
    <row r="30" spans="4:24">
      <c r="D30">
        <v>0.46</v>
      </c>
      <c r="E30" cm="1">
        <f t="array" ref="E30">$E$3/(S*Linterp(E$4,atmos_h,atmos_qms)*$D30^2)</f>
        <v>0.18766209517083754</v>
      </c>
      <c r="F30" cm="1">
        <f t="array" ref="F30">$E$3/(S*Linterp(F$4,atmos_h,atmos_qms)*$D30^2)</f>
        <v>0.2255426422590322</v>
      </c>
      <c r="G30" cm="1">
        <f t="array" ref="G30">$E$3/(S*Linterp(G$4,atmos_h,atmos_qms)*$D30^2)</f>
        <v>0.27288248315650215</v>
      </c>
      <c r="H30" cm="1">
        <f t="array" ref="H30">$E$3/(S*Linterp(H$4,atmos_h,atmos_qms)*$D30^2)</f>
        <v>0.33253346932985578</v>
      </c>
      <c r="I30" cm="1">
        <f t="array" ref="I30">$E$3/(S*Linterp(I$4,atmos_h,atmos_qms)*$D30^2)</f>
        <v>0.40836747654674771</v>
      </c>
      <c r="J30" cm="1">
        <f t="array" ref="J30">$E$3/(S*Linterp(J$4,atmos_h,atmos_qms)*$D30^2)</f>
        <v>0.50570364272218327</v>
      </c>
      <c r="K30" cm="1">
        <f t="array" ref="K30">$E$3/(S*Linterp(K$4,atmos_h,atmos_qms)*$D30^2)</f>
        <v>0.63194312275065867</v>
      </c>
      <c r="L30" cm="1">
        <f t="array" ref="L30">$E$3/(S*Linterp(L$4,atmos_h,atmos_qms)*$D30^2)</f>
        <v>0.7975273824410638</v>
      </c>
      <c r="M30" cm="1">
        <f t="array" ref="M30">$E$3/(S*Linterp(M$4,atmos_h,atmos_qms)*$D30^2)</f>
        <v>1.0139171551902462</v>
      </c>
      <c r="O30">
        <v>0.46</v>
      </c>
      <c r="P30" cm="1">
        <f t="array" ref="P30">E30/InterpolateXY(E30,$D30,CD_CL,CD_M,CD_table)</f>
        <v>9.4695959911206842</v>
      </c>
      <c r="Q30" cm="1">
        <f t="array" ref="Q30">F30/InterpolateXY(F30,$D30,CD_CL,CD_M,CD_table)</f>
        <v>10.309853822181969</v>
      </c>
      <c r="R30" cm="1">
        <f t="array" ref="R30">G30/InterpolateXY(G30,$D30,CD_CL,CD_M,CD_table)</f>
        <v>10.987750267265236</v>
      </c>
      <c r="S30" cm="1">
        <f t="array" ref="S30">H30/InterpolateXY(H30,$D30,CD_CL,CD_M,CD_table)</f>
        <v>11.398537821500234</v>
      </c>
      <c r="T30" cm="1">
        <f t="array" ref="T30">I30/InterpolateXY(I30,$D30,CD_CL,CD_M,CD_table)</f>
        <v>10.374698950809552</v>
      </c>
      <c r="U30" cm="1">
        <f t="array" ref="U30">J30/InterpolateXY(J30,$D30,CD_CL,CD_M,CD_table)</f>
        <v>8.4899119228185818</v>
      </c>
      <c r="V30" cm="1">
        <f t="array" ref="V30">K30/InterpolateXY(K30,$D30,CD_CL,CD_M,CD_table)</f>
        <v>6.1311385807121104</v>
      </c>
      <c r="W30" cm="1">
        <f t="array" ref="W30">L30/InterpolateXY(L30,$D30,CD_CL,CD_M,CD_table)</f>
        <v>4.2012650136397376</v>
      </c>
      <c r="X30" t="e" cm="1">
        <f t="array" ref="X30">M30/InterpolateXY(M30,$D30,CD_CL,CD_M,CD_table)</f>
        <v>#VALUE!</v>
      </c>
    </row>
    <row r="31" spans="4:24">
      <c r="D31">
        <v>0.47</v>
      </c>
      <c r="E31" cm="1">
        <f t="array" ref="E31">$E$3/(S*Linterp(E$4,atmos_h,atmos_qms)*$D31^2)</f>
        <v>0.17976142751538807</v>
      </c>
      <c r="F31" cm="1">
        <f t="array" ref="F31">$E$3/(S*Linterp(F$4,atmos_h,atmos_qms)*$D31^2)</f>
        <v>0.21604718470806347</v>
      </c>
      <c r="G31" cm="1">
        <f t="array" ref="G31">$E$3/(S*Linterp(G$4,atmos_h,atmos_qms)*$D31^2)</f>
        <v>0.26139399473026648</v>
      </c>
      <c r="H31" cm="1">
        <f t="array" ref="H31">$E$3/(S*Linterp(H$4,atmos_h,atmos_qms)*$D31^2)</f>
        <v>0.31853364468174511</v>
      </c>
      <c r="I31" cm="1">
        <f t="array" ref="I31">$E$3/(S*Linterp(I$4,atmos_h,atmos_qms)*$D31^2)</f>
        <v>0.39117500243228526</v>
      </c>
      <c r="J31" cm="1">
        <f t="array" ref="J31">$E$3/(S*Linterp(J$4,atmos_h,atmos_qms)*$D31^2)</f>
        <v>0.48441326754193742</v>
      </c>
      <c r="K31" cm="1">
        <f t="array" ref="K31">$E$3/(S*Linterp(K$4,atmos_h,atmos_qms)*$D31^2)</f>
        <v>0.60533800259863912</v>
      </c>
      <c r="L31" cm="1">
        <f t="array" ref="L31">$E$3/(S*Linterp(L$4,atmos_h,atmos_qms)*$D31^2)</f>
        <v>0.76395108250126353</v>
      </c>
      <c r="M31" cm="1">
        <f t="array" ref="M31">$E$3/(S*Linterp(M$4,atmos_h,atmos_qms)*$D31^2)</f>
        <v>0.97123073806363103</v>
      </c>
      <c r="O31">
        <v>0.47</v>
      </c>
      <c r="P31" cm="1">
        <f t="array" ref="P31">E31/InterpolateXY(E31,$D31,CD_CL,CD_M,CD_table)</f>
        <v>9.2180367189908541</v>
      </c>
      <c r="Q31" cm="1">
        <f t="array" ref="Q31">F31/InterpolateXY(F31,$D31,CD_CL,CD_M,CD_table)</f>
        <v>10.160734724915656</v>
      </c>
      <c r="R31" cm="1">
        <f t="array" ref="R31">G31/InterpolateXY(G31,$D31,CD_CL,CD_M,CD_table)</f>
        <v>10.847518046363914</v>
      </c>
      <c r="S31" cm="1">
        <f t="array" ref="S31">H31/InterpolateXY(H31,$D31,CD_CL,CD_M,CD_table)</f>
        <v>11.369761993880054</v>
      </c>
      <c r="T31" cm="1">
        <f t="array" ref="T31">I31/InterpolateXY(I31,$D31,CD_CL,CD_M,CD_table)</f>
        <v>10.743892839245023</v>
      </c>
      <c r="U31" cm="1">
        <f t="array" ref="U31">J31/InterpolateXY(J31,$D31,CD_CL,CD_M,CD_table)</f>
        <v>8.8676419242665006</v>
      </c>
      <c r="V31" cm="1">
        <f t="array" ref="V31">K31/InterpolateXY(K31,$D31,CD_CL,CD_M,CD_table)</f>
        <v>6.6230957312413103</v>
      </c>
      <c r="W31" cm="1">
        <f t="array" ref="W31">L31/InterpolateXY(L31,$D31,CD_CL,CD_M,CD_table)</f>
        <v>4.4884517335796934</v>
      </c>
      <c r="X31" t="e" cm="1">
        <f t="array" ref="X31">M31/InterpolateXY(M31,$D31,CD_CL,CD_M,CD_table)</f>
        <v>#VALUE!</v>
      </c>
    </row>
    <row r="32" spans="4:24">
      <c r="D32">
        <v>0.48</v>
      </c>
      <c r="E32" cm="1">
        <f t="array" ref="E32">$E$3/(S*Linterp(E$4,atmos_h,atmos_qms)*$D32^2)</f>
        <v>0.1723493894884949</v>
      </c>
      <c r="F32" cm="1">
        <f t="array" ref="F32">$E$3/(S*Linterp(F$4,atmos_h,atmos_qms)*$D32^2)</f>
        <v>0.20713898915803483</v>
      </c>
      <c r="G32" cm="1">
        <f t="array" ref="G32">$E$3/(S*Linterp(G$4,atmos_h,atmos_qms)*$D32^2)</f>
        <v>0.25061603053782927</v>
      </c>
      <c r="H32" cm="1">
        <f t="array" ref="H32">$E$3/(S*Linterp(H$4,atmos_h,atmos_qms)*$D32^2)</f>
        <v>0.30539966193662105</v>
      </c>
      <c r="I32" cm="1">
        <f t="array" ref="I32">$E$3/(S*Linterp(I$4,atmos_h,atmos_qms)*$D32^2)</f>
        <v>0.37504582481463461</v>
      </c>
      <c r="J32" cm="1">
        <f t="array" ref="J32">$E$3/(S*Linterp(J$4,atmos_h,atmos_qms)*$D32^2)</f>
        <v>0.46443963020839402</v>
      </c>
      <c r="K32" cm="1">
        <f t="array" ref="K32">$E$3/(S*Linterp(K$4,atmos_h,atmos_qms)*$D32^2)</f>
        <v>0.58037831933176809</v>
      </c>
      <c r="L32" cm="1">
        <f t="array" ref="L32">$E$3/(S*Linterp(L$4,atmos_h,atmos_qms)*$D32^2)</f>
        <v>0.73245136338771322</v>
      </c>
      <c r="M32" cm="1">
        <f t="array" ref="M32">$E$3/(S*Linterp(M$4,atmos_h,atmos_qms)*$D32^2)</f>
        <v>0.93118433176326421</v>
      </c>
      <c r="O32">
        <v>0.48</v>
      </c>
      <c r="P32" cm="1">
        <f t="array" ref="P32">E32/InterpolateXY(E32,$D32,CD_CL,CD_M,CD_table)</f>
        <v>8.9750806165985484</v>
      </c>
      <c r="Q32" cm="1">
        <f t="array" ref="Q32">F32/InterpolateXY(F32,$D32,CD_CL,CD_M,CD_table)</f>
        <v>10.013396424224657</v>
      </c>
      <c r="R32" cm="1">
        <f t="array" ref="R32">G32/InterpolateXY(G32,$D32,CD_CL,CD_M,CD_table)</f>
        <v>10.708484205330949</v>
      </c>
      <c r="S32" cm="1">
        <f t="array" ref="S32">H32/InterpolateXY(H32,$D32,CD_CL,CD_M,CD_table)</f>
        <v>11.341037866528323</v>
      </c>
      <c r="T32" cm="1">
        <f t="array" ref="T32">I32/InterpolateXY(I32,$D32,CD_CL,CD_M,CD_table)</f>
        <v>10.997525784920454</v>
      </c>
      <c r="U32" cm="1">
        <f t="array" ref="U32">J32/InterpolateXY(J32,$D32,CD_CL,CD_M,CD_table)</f>
        <v>9.1800338655930958</v>
      </c>
      <c r="V32" cm="1">
        <f t="array" ref="V32">K32/InterpolateXY(K32,$D32,CD_CL,CD_M,CD_table)</f>
        <v>7.001078689827736</v>
      </c>
      <c r="W32" cm="1">
        <f t="array" ref="W32">L32/InterpolateXY(L32,$D32,CD_CL,CD_M,CD_table)</f>
        <v>4.8254351735600229</v>
      </c>
      <c r="X32" t="e" cm="1">
        <f t="array" ref="X32">M32/InterpolateXY(M32,$D32,CD_CL,CD_M,CD_table)</f>
        <v>#VALUE!</v>
      </c>
    </row>
    <row r="33" spans="4:24">
      <c r="D33">
        <v>0.49</v>
      </c>
      <c r="E33" cm="1">
        <f t="array" ref="E33">$E$3/(S*Linterp(E$4,atmos_h,atmos_qms)*$D33^2)</f>
        <v>0.16538650286609424</v>
      </c>
      <c r="F33" cm="1">
        <f t="array" ref="F33">$E$3/(S*Linterp(F$4,atmos_h,atmos_qms)*$D33^2)</f>
        <v>0.19877060850483641</v>
      </c>
      <c r="G33" cm="1">
        <f t="array" ref="G33">$E$3/(S*Linterp(G$4,atmos_h,atmos_qms)*$D33^2)</f>
        <v>0.24049118465604274</v>
      </c>
      <c r="H33" cm="1">
        <f t="array" ref="H33">$E$3/(S*Linterp(H$4,atmos_h,atmos_qms)*$D33^2)</f>
        <v>0.29306156647312576</v>
      </c>
      <c r="I33" cm="1">
        <f t="array" ref="I33">$E$3/(S*Linterp(I$4,atmos_h,atmos_qms)*$D33^2)</f>
        <v>0.35989403597372688</v>
      </c>
      <c r="J33" cm="1">
        <f t="array" ref="J33">$E$3/(S*Linterp(J$4,atmos_h,atmos_qms)*$D33^2)</f>
        <v>0.44567634652234062</v>
      </c>
      <c r="K33" cm="1">
        <f t="array" ref="K33">$E$3/(S*Linterp(K$4,atmos_h,atmos_qms)*$D33^2)</f>
        <v>0.55693113192019728</v>
      </c>
      <c r="L33" cm="1">
        <f t="array" ref="L33">$E$3/(S*Linterp(L$4,atmos_h,atmos_qms)*$D33^2)</f>
        <v>0.70286045033123323</v>
      </c>
      <c r="M33" cm="1">
        <f t="array" ref="M33">$E$3/(S*Linterp(M$4,atmos_h,atmos_qms)*$D33^2)</f>
        <v>0.89356463989277846</v>
      </c>
      <c r="O33">
        <v>0.49</v>
      </c>
      <c r="P33" cm="1">
        <f t="array" ref="P33">E33/InterpolateXY(E33,$D33,CD_CL,CD_M,CD_table)</f>
        <v>8.7404374037849397</v>
      </c>
      <c r="Q33" cm="1">
        <f t="array" ref="Q33">F33/InterpolateXY(F33,$D33,CD_CL,CD_M,CD_table)</f>
        <v>9.8528608744269679</v>
      </c>
      <c r="R33" cm="1">
        <f t="array" ref="R33">G33/InterpolateXY(G33,$D33,CD_CL,CD_M,CD_table)</f>
        <v>10.570716276568694</v>
      </c>
      <c r="S33" cm="1">
        <f t="array" ref="S33">H33/InterpolateXY(H33,$D33,CD_CL,CD_M,CD_table)</f>
        <v>11.255863055266763</v>
      </c>
      <c r="T33" cm="1">
        <f t="array" ref="T33">I33/InterpolateXY(I33,$D33,CD_CL,CD_M,CD_table)</f>
        <v>11.269587157709926</v>
      </c>
      <c r="U33" cm="1">
        <f t="array" ref="U33">J33/InterpolateXY(J33,$D33,CD_CL,CD_M,CD_table)</f>
        <v>9.5228064374145536</v>
      </c>
      <c r="V33" cm="1">
        <f t="array" ref="V33">K33/InterpolateXY(K33,$D33,CD_CL,CD_M,CD_table)</f>
        <v>7.3727194732142252</v>
      </c>
      <c r="W33" cm="1">
        <f t="array" ref="W33">L33/InterpolateXY(L33,$D33,CD_CL,CD_M,CD_table)</f>
        <v>5.2261037591659489</v>
      </c>
      <c r="X33" t="e" cm="1">
        <f t="array" ref="X33">M33/InterpolateXY(M33,$D33,CD_CL,CD_M,CD_table)</f>
        <v>#VALUE!</v>
      </c>
    </row>
    <row r="34" spans="4:24">
      <c r="D34">
        <v>0.5</v>
      </c>
      <c r="E34" cm="1">
        <f t="array" ref="E34">$E$3/(S*Linterp(E$4,atmos_h,atmos_qms)*$D34^2)</f>
        <v>0.15883719735259691</v>
      </c>
      <c r="F34" cm="1">
        <f t="array" ref="F34">$E$3/(S*Linterp(F$4,atmos_h,atmos_qms)*$D34^2)</f>
        <v>0.19089929240804487</v>
      </c>
      <c r="G34" cm="1">
        <f t="array" ref="G34">$E$3/(S*Linterp(G$4,atmos_h,atmos_qms)*$D34^2)</f>
        <v>0.23096773374366344</v>
      </c>
      <c r="H34" cm="1">
        <f t="array" ref="H34">$E$3/(S*Linterp(H$4,atmos_h,atmos_qms)*$D34^2)</f>
        <v>0.28145632844078999</v>
      </c>
      <c r="I34" cm="1">
        <f t="array" ref="I34">$E$3/(S*Linterp(I$4,atmos_h,atmos_qms)*$D34^2)</f>
        <v>0.34564223214916728</v>
      </c>
      <c r="J34" cm="1">
        <f t="array" ref="J34">$E$3/(S*Linterp(J$4,atmos_h,atmos_qms)*$D34^2)</f>
        <v>0.42802756320005586</v>
      </c>
      <c r="K34" cm="1">
        <f t="array" ref="K34">$E$3/(S*Linterp(K$4,atmos_h,atmos_qms)*$D34^2)</f>
        <v>0.53487665909615745</v>
      </c>
      <c r="L34" cm="1">
        <f t="array" ref="L34">$E$3/(S*Linterp(L$4,atmos_h,atmos_qms)*$D34^2)</f>
        <v>0.67502717649811639</v>
      </c>
      <c r="M34" cm="1">
        <f t="array" ref="M34">$E$3/(S*Linterp(M$4,atmos_h,atmos_qms)*$D34^2)</f>
        <v>0.85817948015302437</v>
      </c>
      <c r="O34">
        <v>0.5</v>
      </c>
      <c r="P34" cm="1">
        <f t="array" ref="P34">E34/InterpolateXY(E34,$D34,CD_CL,CD_M,CD_table)</f>
        <v>8.5138204995031845</v>
      </c>
      <c r="Q34" cm="1">
        <f t="array" ref="Q34">F34/InterpolateXY(F34,$D34,CD_CL,CD_M,CD_table)</f>
        <v>9.6128682561895378</v>
      </c>
      <c r="R34" cm="1">
        <f t="array" ref="R34">G34/InterpolateXY(G34,$D34,CD_CL,CD_M,CD_table)</f>
        <v>10.434275592630076</v>
      </c>
      <c r="S34" cm="1">
        <f t="array" ref="S34">H34/InterpolateXY(H34,$D34,CD_CL,CD_M,CD_table)</f>
        <v>11.128705863577197</v>
      </c>
      <c r="T34" cm="1">
        <f t="array" ref="T34">I34/InterpolateXY(I34,$D34,CD_CL,CD_M,CD_table)</f>
        <v>11.460882298517268</v>
      </c>
      <c r="U34" cm="1">
        <f t="array" ref="U34">J34/InterpolateXY(J34,$D34,CD_CL,CD_M,CD_table)</f>
        <v>9.9003588692527096</v>
      </c>
      <c r="V34" cm="1">
        <f t="array" ref="V34">K34/InterpolateXY(K34,$D34,CD_CL,CD_M,CD_table)</f>
        <v>7.7951729258788021</v>
      </c>
      <c r="W34" cm="1">
        <f t="array" ref="W34">L34/InterpolateXY(L34,$D34,CD_CL,CD_M,CD_table)</f>
        <v>5.5392797764049977</v>
      </c>
      <c r="X34" t="e" cm="1">
        <f t="array" ref="X34">M34/InterpolateXY(M34,$D34,CD_CL,CD_M,CD_table)</f>
        <v>#VALUE!</v>
      </c>
    </row>
    <row r="35" spans="4:24">
      <c r="D35">
        <v>0.51</v>
      </c>
      <c r="E35" cm="1">
        <f t="array" ref="E35">$E$3/(S*Linterp(E$4,atmos_h,atmos_qms)*$D35^2)</f>
        <v>0.15266935539465293</v>
      </c>
      <c r="F35" cm="1">
        <f t="array" ref="F35">$E$3/(S*Linterp(F$4,atmos_h,atmos_qms)*$D35^2)</f>
        <v>0.18348644022303429</v>
      </c>
      <c r="G35" cm="1">
        <f t="array" ref="G35">$E$3/(S*Linterp(G$4,atmos_h,atmos_qms)*$D35^2)</f>
        <v>0.22199897514769651</v>
      </c>
      <c r="H35" cm="1">
        <f t="array" ref="H35">$E$3/(S*Linterp(H$4,atmos_h,atmos_qms)*$D35^2)</f>
        <v>0.27052703617915225</v>
      </c>
      <c r="I35" cm="1">
        <f t="array" ref="I35">$E$3/(S*Linterp(I$4,atmos_h,atmos_qms)*$D35^2)</f>
        <v>0.33222052301919192</v>
      </c>
      <c r="J35" cm="1">
        <f t="array" ref="J35">$E$3/(S*Linterp(J$4,atmos_h,atmos_qms)*$D35^2)</f>
        <v>0.41140673125726246</v>
      </c>
      <c r="K35" cm="1">
        <f t="array" ref="K35">$E$3/(S*Linterp(K$4,atmos_h,atmos_qms)*$D35^2)</f>
        <v>0.514106746536099</v>
      </c>
      <c r="L35" cm="1">
        <f t="array" ref="L35">$E$3/(S*Linterp(L$4,atmos_h,atmos_qms)*$D35^2)</f>
        <v>0.64881504853721306</v>
      </c>
      <c r="M35" cm="1">
        <f t="array" ref="M35">$E$3/(S*Linterp(M$4,atmos_h,atmos_qms)*$D35^2)</f>
        <v>0.82485532502213033</v>
      </c>
      <c r="O35">
        <v>0.51</v>
      </c>
      <c r="P35" cm="1">
        <f t="array" ref="P35">E35/InterpolateXY(E35,$D35,CD_CL,CD_M,CD_table)</f>
        <v>8.2949480596273126</v>
      </c>
      <c r="Q35" cm="1">
        <f t="array" ref="Q35">F35/InterpolateXY(F35,$D35,CD_CL,CD_M,CD_table)</f>
        <v>9.380341749548661</v>
      </c>
      <c r="R35" cm="1">
        <f t="array" ref="R35">G35/InterpolateXY(G35,$D35,CD_CL,CD_M,CD_table)</f>
        <v>10.299217575794481</v>
      </c>
      <c r="S35" cm="1">
        <f t="array" ref="S35">H35/InterpolateXY(H35,$D35,CD_CL,CD_M,CD_table)</f>
        <v>11.002427971052672</v>
      </c>
      <c r="T35" cm="1">
        <f t="array" ref="T35">I35/InterpolateXY(I35,$D35,CD_CL,CD_M,CD_table)</f>
        <v>11.436982464331182</v>
      </c>
      <c r="U35" cm="1">
        <f t="array" ref="U35">J35/InterpolateXY(J35,$D35,CD_CL,CD_M,CD_table)</f>
        <v>10.317991622892533</v>
      </c>
      <c r="V35" cm="1">
        <f t="array" ref="V35">K35/InterpolateXY(K35,$D35,CD_CL,CD_M,CD_table)</f>
        <v>8.2793032970463347</v>
      </c>
      <c r="W35" cm="1">
        <f t="array" ref="W35">L35/InterpolateXY(L35,$D35,CD_CL,CD_M,CD_table)</f>
        <v>5.8790251984307194</v>
      </c>
      <c r="X35" t="e" cm="1">
        <f t="array" ref="X35">M35/InterpolateXY(M35,$D35,CD_CL,CD_M,CD_table)</f>
        <v>#VALUE!</v>
      </c>
    </row>
    <row r="36" spans="4:24">
      <c r="D36">
        <v>0.52</v>
      </c>
      <c r="E36" cm="1">
        <f t="array" ref="E36">$E$3/(S*Linterp(E$4,atmos_h,atmos_qms)*$D36^2)</f>
        <v>0.14685391767067021</v>
      </c>
      <c r="F36" cm="1">
        <f t="array" ref="F36">$E$3/(S*Linterp(F$4,atmos_h,atmos_qms)*$D36^2)</f>
        <v>0.17649712685655036</v>
      </c>
      <c r="G36" cm="1">
        <f t="array" ref="G36">$E$3/(S*Linterp(G$4,atmos_h,atmos_qms)*$D36^2)</f>
        <v>0.21354265323933377</v>
      </c>
      <c r="H36" cm="1">
        <f t="array" ref="H36">$E$3/(S*Linterp(H$4,atmos_h,atmos_qms)*$D36^2)</f>
        <v>0.26022219715309719</v>
      </c>
      <c r="I36" cm="1">
        <f t="array" ref="I36">$E$3/(S*Linterp(I$4,atmos_h,atmos_qms)*$D36^2)</f>
        <v>0.31956567321483659</v>
      </c>
      <c r="J36" cm="1">
        <f t="array" ref="J36">$E$3/(S*Linterp(J$4,atmos_h,atmos_qms)*$D36^2)</f>
        <v>0.39573554289945989</v>
      </c>
      <c r="K36" cm="1">
        <f t="array" ref="K36">$E$3/(S*Linterp(K$4,atmos_h,atmos_qms)*$D36^2)</f>
        <v>0.49452353836553015</v>
      </c>
      <c r="L36" cm="1">
        <f t="array" ref="L36">$E$3/(S*Linterp(L$4,atmos_h,atmos_qms)*$D36^2)</f>
        <v>0.62410056998716379</v>
      </c>
      <c r="M36" cm="1">
        <f t="array" ref="M36">$E$3/(S*Linterp(M$4,atmos_h,atmos_qms)*$D36^2)</f>
        <v>0.79343517025982269</v>
      </c>
      <c r="O36">
        <v>0.52</v>
      </c>
      <c r="P36" cm="1">
        <f t="array" ref="P36">E36/InterpolateXY(E36,$D36,CD_CL,CD_M,CD_table)</f>
        <v>8.0835438178456922</v>
      </c>
      <c r="Q36" cm="1">
        <f t="array" ref="Q36">F36/InterpolateXY(F36,$D36,CD_CL,CD_M,CD_table)</f>
        <v>9.1550600142165344</v>
      </c>
      <c r="R36" cm="1">
        <f t="array" ref="R36">G36/InterpolateXY(G36,$D36,CD_CL,CD_M,CD_table)</f>
        <v>10.165592026422866</v>
      </c>
      <c r="S36" cm="1">
        <f t="array" ref="S36">H36/InterpolateXY(H36,$D36,CD_CL,CD_M,CD_table)</f>
        <v>10.877086722986501</v>
      </c>
      <c r="T36" cm="1">
        <f t="array" ref="T36">I36/InterpolateXY(I36,$D36,CD_CL,CD_M,CD_table)</f>
        <v>11.41317757887823</v>
      </c>
      <c r="U36" cm="1">
        <f t="array" ref="U36">J36/InterpolateXY(J36,$D36,CD_CL,CD_M,CD_table)</f>
        <v>10.708430449701508</v>
      </c>
      <c r="V36" cm="1">
        <f t="array" ref="V36">K36/InterpolateXY(K36,$D36,CD_CL,CD_M,CD_table)</f>
        <v>8.7434628755213524</v>
      </c>
      <c r="W36" cm="1">
        <f t="array" ref="W36">L36/InterpolateXY(L36,$D36,CD_CL,CD_M,CD_table)</f>
        <v>6.271355948660382</v>
      </c>
      <c r="X36" cm="1">
        <f t="array" ref="X36">M36/InterpolateXY(M36,$D36,CD_CL,CD_M,CD_table)</f>
        <v>4.2357050807922088</v>
      </c>
    </row>
    <row r="37" spans="4:24">
      <c r="D37">
        <v>0.53</v>
      </c>
      <c r="E37" cm="1">
        <f t="array" ref="E37">$E$3/(S*Linterp(E$4,atmos_h,atmos_qms)*$D37^2)</f>
        <v>0.14136454018565048</v>
      </c>
      <c r="F37" cm="1">
        <f t="array" ref="F37">$E$3/(S*Linterp(F$4,atmos_h,atmos_qms)*$D37^2)</f>
        <v>0.16989969064439736</v>
      </c>
      <c r="G37" cm="1">
        <f t="array" ref="G37">$E$3/(S*Linterp(G$4,atmos_h,atmos_qms)*$D37^2)</f>
        <v>0.2055604607900173</v>
      </c>
      <c r="H37" cm="1">
        <f t="array" ref="H37">$E$3/(S*Linterp(H$4,atmos_h,atmos_qms)*$D37^2)</f>
        <v>0.25049513033178172</v>
      </c>
      <c r="I37" cm="1">
        <f t="array" ref="I37">$E$3/(S*Linterp(I$4,atmos_h,atmos_qms)*$D37^2)</f>
        <v>0.30762035613133426</v>
      </c>
      <c r="J37" cm="1">
        <f t="array" ref="J37">$E$3/(S*Linterp(J$4,atmos_h,atmos_qms)*$D37^2)</f>
        <v>0.38094300747601972</v>
      </c>
      <c r="K37" cm="1">
        <f t="array" ref="K37">$E$3/(S*Linterp(K$4,atmos_h,atmos_qms)*$D37^2)</f>
        <v>0.47603832244229033</v>
      </c>
      <c r="L37" cm="1">
        <f t="array" ref="L37">$E$3/(S*Linterp(L$4,atmos_h,atmos_qms)*$D37^2)</f>
        <v>0.60077178399618747</v>
      </c>
      <c r="M37" cm="1">
        <f t="array" ref="M37">$E$3/(S*Linterp(M$4,atmos_h,atmos_qms)*$D37^2)</f>
        <v>0.76377668222946271</v>
      </c>
      <c r="O37">
        <v>0.53</v>
      </c>
      <c r="P37" cm="1">
        <f t="array" ref="P37">E37/InterpolateXY(E37,$D37,CD_CL,CD_M,CD_table)</f>
        <v>7.8793377556179971</v>
      </c>
      <c r="Q37" cm="1">
        <f t="array" ref="Q37">F37/InterpolateXY(F37,$D37,CD_CL,CD_M,CD_table)</f>
        <v>8.9368029097915294</v>
      </c>
      <c r="R37" cm="1">
        <f t="array" ref="R37">G37/InterpolateXY(G37,$D37,CD_CL,CD_M,CD_table)</f>
        <v>10.033443408571429</v>
      </c>
      <c r="S37" cm="1">
        <f t="array" ref="S37">H37/InterpolateXY(H37,$D37,CD_CL,CD_M,CD_table)</f>
        <v>10.752735009820368</v>
      </c>
      <c r="T37" cm="1">
        <f t="array" ref="T37">I37/InterpolateXY(I37,$D37,CD_CL,CD_M,CD_table)</f>
        <v>11.389485093239481</v>
      </c>
      <c r="U37" cm="1">
        <f t="array" ref="U37">J37/InterpolateXY(J37,$D37,CD_CL,CD_M,CD_table)</f>
        <v>10.934487256684589</v>
      </c>
      <c r="V37" cm="1">
        <f t="array" ref="V37">K37/InterpolateXY(K37,$D37,CD_CL,CD_M,CD_table)</f>
        <v>9.0118317556500056</v>
      </c>
      <c r="W37" cm="1">
        <f t="array" ref="W37">L37/InterpolateXY(L37,$D37,CD_CL,CD_M,CD_table)</f>
        <v>6.7292222660841015</v>
      </c>
      <c r="X37" cm="1">
        <f t="array" ref="X37">M37/InterpolateXY(M37,$D37,CD_CL,CD_M,CD_table)</f>
        <v>4.4932835195166962</v>
      </c>
    </row>
    <row r="38" spans="4:24">
      <c r="D38">
        <v>0.54</v>
      </c>
      <c r="E38" cm="1">
        <f t="array" ref="E38">$E$3/(S*Linterp(E$4,atmos_h,atmos_qms)*$D38^2)</f>
        <v>0.13617729539831697</v>
      </c>
      <c r="F38" cm="1">
        <f t="array" ref="F38">$E$3/(S*Linterp(F$4,atmos_h,atmos_qms)*$D38^2)</f>
        <v>0.16366537414955837</v>
      </c>
      <c r="G38" cm="1">
        <f t="array" ref="G38">$E$3/(S*Linterp(G$4,atmos_h,atmos_qms)*$D38^2)</f>
        <v>0.19801760437556878</v>
      </c>
      <c r="H38" cm="1">
        <f t="array" ref="H38">$E$3/(S*Linterp(H$4,atmos_h,atmos_qms)*$D38^2)</f>
        <v>0.2413034365918981</v>
      </c>
      <c r="I38" cm="1">
        <f t="array" ref="I38">$E$3/(S*Linterp(I$4,atmos_h,atmos_qms)*$D38^2)</f>
        <v>0.29633250355724217</v>
      </c>
      <c r="J38" cm="1">
        <f t="array" ref="J38">$E$3/(S*Linterp(J$4,atmos_h,atmos_qms)*$D38^2)</f>
        <v>0.36696464609058288</v>
      </c>
      <c r="K38" cm="1">
        <f t="array" ref="K38">$E$3/(S*Linterp(K$4,atmos_h,atmos_qms)*$D38^2)</f>
        <v>0.45857052391645869</v>
      </c>
      <c r="L38" cm="1">
        <f t="array" ref="L38">$E$3/(S*Linterp(L$4,atmos_h,atmos_qms)*$D38^2)</f>
        <v>0.57872700317053871</v>
      </c>
      <c r="M38" cm="1">
        <f t="array" ref="M38">$E$3/(S*Linterp(M$4,atmos_h,atmos_qms)*$D38^2)</f>
        <v>0.73575058312159147</v>
      </c>
      <c r="O38">
        <v>0.54</v>
      </c>
      <c r="P38" cm="1">
        <f t="array" ref="P38">E38/InterpolateXY(E38,$D38,CD_CL,CD_M,CD_table)</f>
        <v>7.6820666243504316</v>
      </c>
      <c r="Q38" cm="1">
        <f t="array" ref="Q38">F38/InterpolateXY(F38,$D38,CD_CL,CD_M,CD_table)</f>
        <v>8.7253523690299257</v>
      </c>
      <c r="R38" cm="1">
        <f t="array" ref="R38">G38/InterpolateXY(G38,$D38,CD_CL,CD_M,CD_table)</f>
        <v>9.8783279151045598</v>
      </c>
      <c r="S38" cm="1">
        <f t="array" ref="S38">H38/InterpolateXY(H38,$D38,CD_CL,CD_M,CD_table)</f>
        <v>10.629421442890692</v>
      </c>
      <c r="T38" cm="1">
        <f t="array" ref="T38">I38/InterpolateXY(I38,$D38,CD_CL,CD_M,CD_table)</f>
        <v>11.336023135763432</v>
      </c>
      <c r="U38" cm="1">
        <f t="array" ref="U38">J38/InterpolateXY(J38,$D38,CD_CL,CD_M,CD_table)</f>
        <v>11.1752590023438</v>
      </c>
      <c r="V38" cm="1">
        <f t="array" ref="V38">K38/InterpolateXY(K38,$D38,CD_CL,CD_M,CD_table)</f>
        <v>9.3030155303703044</v>
      </c>
      <c r="W38" cm="1">
        <f t="array" ref="W38">L38/InterpolateXY(L38,$D38,CD_CL,CD_M,CD_table)</f>
        <v>7.0352064743947045</v>
      </c>
      <c r="X38" cm="1">
        <f t="array" ref="X38">M38/InterpolateXY(M38,$D38,CD_CL,CD_M,CD_table)</f>
        <v>4.790159715131443</v>
      </c>
    </row>
    <row r="39" spans="4:24">
      <c r="D39">
        <v>0.55000000000000004</v>
      </c>
      <c r="E39" cm="1">
        <f t="array" ref="E39">$E$3/(S*Linterp(E$4,atmos_h,atmos_qms)*$D39^2)</f>
        <v>0.13127041103520404</v>
      </c>
      <c r="F39" cm="1">
        <f t="array" ref="F39">$E$3/(S*Linterp(F$4,atmos_h,atmos_qms)*$D39^2)</f>
        <v>0.15776801025458251</v>
      </c>
      <c r="G39" cm="1">
        <f t="array" ref="G39">$E$3/(S*Linterp(G$4,atmos_h,atmos_qms)*$D39^2)</f>
        <v>0.19088242458154001</v>
      </c>
      <c r="H39" cm="1">
        <f t="array" ref="H39">$E$3/(S*Linterp(H$4,atmos_h,atmos_qms)*$D39^2)</f>
        <v>0.23260853590147926</v>
      </c>
      <c r="I39" cm="1">
        <f t="array" ref="I39">$E$3/(S*Linterp(I$4,atmos_h,atmos_qms)*$D39^2)</f>
        <v>0.28565473731336133</v>
      </c>
      <c r="J39" cm="1">
        <f t="array" ref="J39">$E$3/(S*Linterp(J$4,atmos_h,atmos_qms)*$D39^2)</f>
        <v>0.35374178776864118</v>
      </c>
      <c r="K39" cm="1">
        <f t="array" ref="K39">$E$3/(S*Linterp(K$4,atmos_h,atmos_qms)*$D39^2)</f>
        <v>0.44204682569930365</v>
      </c>
      <c r="L39" cm="1">
        <f t="array" ref="L39">$E$3/(S*Linterp(L$4,atmos_h,atmos_qms)*$D39^2)</f>
        <v>0.55787369958522004</v>
      </c>
      <c r="M39" cm="1">
        <f t="array" ref="M39">$E$3/(S*Linterp(M$4,atmos_h,atmos_qms)*$D39^2)</f>
        <v>0.70923923979588777</v>
      </c>
      <c r="O39">
        <v>0.55000000000000004</v>
      </c>
      <c r="P39" cm="1">
        <f t="array" ref="P39">E39/InterpolateXY(E39,$D39,CD_CL,CD_M,CD_table)</f>
        <v>7.4914743403437489</v>
      </c>
      <c r="Q39" cm="1">
        <f t="array" ref="Q39">F39/InterpolateXY(F39,$D39,CD_CL,CD_M,CD_table)</f>
        <v>8.5204931318921027</v>
      </c>
      <c r="R39" cm="1">
        <f t="array" ref="R39">G39/InterpolateXY(G39,$D39,CD_CL,CD_M,CD_table)</f>
        <v>9.6609751082203932</v>
      </c>
      <c r="S39" cm="1">
        <f t="array" ref="S39">H39/InterpolateXY(H39,$D39,CD_CL,CD_M,CD_table)</f>
        <v>10.507190531000768</v>
      </c>
      <c r="T39" cm="1">
        <f t="array" ref="T39">I39/InterpolateXY(I39,$D39,CD_CL,CD_M,CD_table)</f>
        <v>11.222646118655307</v>
      </c>
      <c r="U39" cm="1">
        <f t="array" ref="U39">J39/InterpolateXY(J39,$D39,CD_CL,CD_M,CD_table)</f>
        <v>11.432083155577486</v>
      </c>
      <c r="V39" cm="1">
        <f t="array" ref="V39">K39/InterpolateXY(K39,$D39,CD_CL,CD_M,CD_table)</f>
        <v>9.6198747065838113</v>
      </c>
      <c r="W39" cm="1">
        <f t="array" ref="W39">L39/InterpolateXY(L39,$D39,CD_CL,CD_M,CD_table)</f>
        <v>7.3681254658618585</v>
      </c>
      <c r="X39" cm="1">
        <f t="array" ref="X39">M39/InterpolateXY(M39,$D39,CD_CL,CD_M,CD_table)</f>
        <v>5.1358726470581111</v>
      </c>
    </row>
    <row r="40" spans="4:24">
      <c r="D40">
        <v>0.56000000000000005</v>
      </c>
      <c r="E40" cm="1">
        <f t="array" ref="E40">$E$3/(S*Linterp(E$4,atmos_h,atmos_qms)*$D40^2)</f>
        <v>0.12662404125685339</v>
      </c>
      <c r="F40" cm="1">
        <f t="array" ref="F40">$E$3/(S*Linterp(F$4,atmos_h,atmos_qms)*$D40^2)</f>
        <v>0.15218374713651533</v>
      </c>
      <c r="G40" cm="1">
        <f t="array" ref="G40">$E$3/(S*Linterp(G$4,atmos_h,atmos_qms)*$D40^2)</f>
        <v>0.1841260632522827</v>
      </c>
      <c r="H40" cm="1">
        <f t="array" ref="H40">$E$3/(S*Linterp(H$4,atmos_h,atmos_qms)*$D40^2)</f>
        <v>0.22437526183098688</v>
      </c>
      <c r="I40" cm="1">
        <f t="array" ref="I40">$E$3/(S*Linterp(I$4,atmos_h,atmos_qms)*$D40^2)</f>
        <v>0.27554387129238461</v>
      </c>
      <c r="J40" cm="1">
        <f t="array" ref="J40">$E$3/(S*Linterp(J$4,atmos_h,atmos_qms)*$D40^2)</f>
        <v>0.34122095280616693</v>
      </c>
      <c r="K40" cm="1">
        <f t="array" ref="K40">$E$3/(S*Linterp(K$4,atmos_h,atmos_qms)*$D40^2)</f>
        <v>0.42640039787640099</v>
      </c>
      <c r="L40" cm="1">
        <f t="array" ref="L40">$E$3/(S*Linterp(L$4,atmos_h,atmos_qms)*$D40^2)</f>
        <v>0.53812753228485044</v>
      </c>
      <c r="M40" cm="1">
        <f t="array" ref="M40">$E$3/(S*Linterp(M$4,atmos_h,atmos_qms)*$D40^2)</f>
        <v>0.68413542741790834</v>
      </c>
      <c r="O40">
        <v>0.56000000000000005</v>
      </c>
      <c r="P40" cm="1">
        <f t="array" ref="P40">E40/InterpolateXY(E40,$D40,CD_CL,CD_M,CD_table)</f>
        <v>7.307312270693008</v>
      </c>
      <c r="Q40" cm="1">
        <f t="array" ref="Q40">F40/InterpolateXY(F40,$D40,CD_CL,CD_M,CD_table)</f>
        <v>8.3220133565018646</v>
      </c>
      <c r="R40" cm="1">
        <f t="array" ref="R40">G40/InterpolateXY(G40,$D40,CD_CL,CD_M,CD_table)</f>
        <v>9.4497633832561796</v>
      </c>
      <c r="S40" cm="1">
        <f t="array" ref="S40">H40/InterpolateXY(H40,$D40,CD_CL,CD_M,CD_table)</f>
        <v>10.386082856887549</v>
      </c>
      <c r="T40" cm="1">
        <f t="array" ref="T40">I40/InterpolateXY(I40,$D40,CD_CL,CD_M,CD_table)</f>
        <v>11.109971601052623</v>
      </c>
      <c r="U40" cm="1">
        <f t="array" ref="U40">J40/InterpolateXY(J40,$D40,CD_CL,CD_M,CD_table)</f>
        <v>11.49697178614044</v>
      </c>
      <c r="V40" cm="1">
        <f t="array" ref="V40">K40/InterpolateXY(K40,$D40,CD_CL,CD_M,CD_table)</f>
        <v>9.9657741918455613</v>
      </c>
      <c r="W40" cm="1">
        <f t="array" ref="W40">L40/InterpolateXY(L40,$D40,CD_CL,CD_M,CD_table)</f>
        <v>7.7412919717952917</v>
      </c>
      <c r="X40" cm="1">
        <f t="array" ref="X40">M40/InterpolateXY(M40,$D40,CD_CL,CD_M,CD_table)</f>
        <v>5.4412491859959484</v>
      </c>
    </row>
    <row r="41" spans="4:24">
      <c r="D41">
        <v>0.56999999999999995</v>
      </c>
      <c r="E41" cm="1">
        <f t="array" ref="E41">$E$3/(S*Linterp(E$4,atmos_h,atmos_qms)*$D41^2)</f>
        <v>0.1222200656760518</v>
      </c>
      <c r="F41" cm="1">
        <f t="array" ref="F41">$E$3/(S*Linterp(F$4,atmos_h,atmos_qms)*$D41^2)</f>
        <v>0.14689080671594715</v>
      </c>
      <c r="G41" cm="1">
        <f t="array" ref="G41">$E$3/(S*Linterp(G$4,atmos_h,atmos_qms)*$D41^2)</f>
        <v>0.17772217124012271</v>
      </c>
      <c r="H41" cm="1">
        <f t="array" ref="H41">$E$3/(S*Linterp(H$4,atmos_h,atmos_qms)*$D41^2)</f>
        <v>0.21657150541765929</v>
      </c>
      <c r="I41" cm="1">
        <f t="array" ref="I41">$E$3/(S*Linterp(I$4,atmos_h,atmos_qms)*$D41^2)</f>
        <v>0.26596047410677692</v>
      </c>
      <c r="J41" cm="1">
        <f t="array" ref="J41">$E$3/(S*Linterp(J$4,atmos_h,atmos_qms)*$D41^2)</f>
        <v>0.32935331117271155</v>
      </c>
      <c r="K41" cm="1">
        <f t="array" ref="K41">$E$3/(S*Linterp(K$4,atmos_h,atmos_qms)*$D41^2)</f>
        <v>0.41157022091117074</v>
      </c>
      <c r="L41" cm="1">
        <f t="array" ref="L41">$E$3/(S*Linterp(L$4,atmos_h,atmos_qms)*$D41^2)</f>
        <v>0.51941149315028967</v>
      </c>
      <c r="M41" cm="1">
        <f t="array" ref="M41">$E$3/(S*Linterp(M$4,atmos_h,atmos_qms)*$D41^2)</f>
        <v>0.66034124357727331</v>
      </c>
      <c r="O41">
        <v>0.56999999999999995</v>
      </c>
      <c r="P41" cm="1">
        <f t="array" ref="P41">E41/InterpolateXY(E41,$D41,CD_CL,CD_M,CD_table)</f>
        <v>7.129339426161569</v>
      </c>
      <c r="Q41" cm="1">
        <f t="array" ref="Q41">F41/InterpolateXY(F41,$D41,CD_CL,CD_M,CD_table)</f>
        <v>8.1297051216472624</v>
      </c>
      <c r="R41" cm="1">
        <f t="array" ref="R41">G41/InterpolateXY(G41,$D41,CD_CL,CD_M,CD_table)</f>
        <v>9.2445274798713086</v>
      </c>
      <c r="S41" cm="1">
        <f t="array" ref="S41">H41/InterpolateXY(H41,$D41,CD_CL,CD_M,CD_table)</f>
        <v>10.266135252751596</v>
      </c>
      <c r="T41" cm="1">
        <f t="array" ref="T41">I41/InterpolateXY(I41,$D41,CD_CL,CD_M,CD_table)</f>
        <v>10.99804189874453</v>
      </c>
      <c r="U41" cm="1">
        <f t="array" ref="U41">J41/InterpolateXY(J41,$D41,CD_CL,CD_M,CD_table)</f>
        <v>11.477742118077051</v>
      </c>
      <c r="V41" cm="1">
        <f t="array" ref="V41">K41/InterpolateXY(K41,$D41,CD_CL,CD_M,CD_table)</f>
        <v>10.344699386586159</v>
      </c>
      <c r="W41" cm="1">
        <f t="array" ref="W41">L41/InterpolateXY(L41,$D41,CD_CL,CD_M,CD_table)</f>
        <v>8.1622532400151364</v>
      </c>
      <c r="X41" cm="1">
        <f t="array" ref="X41">M41/InterpolateXY(M41,$D41,CD_CL,CD_M,CD_table)</f>
        <v>5.7276807154142064</v>
      </c>
    </row>
    <row r="42" spans="4:24">
      <c r="D42">
        <v>0.57999999999999996</v>
      </c>
      <c r="E42" cm="1">
        <f t="array" ref="E42">$E$3/(S*Linterp(E$4,atmos_h,atmos_qms)*$D42^2)</f>
        <v>0.11804191242018201</v>
      </c>
      <c r="F42" cm="1">
        <f t="array" ref="F42">$E$3/(S*Linterp(F$4,atmos_h,atmos_qms)*$D42^2)</f>
        <v>0.14186927200360056</v>
      </c>
      <c r="G42" cm="1">
        <f t="array" ref="G42">$E$3/(S*Linterp(G$4,atmos_h,atmos_qms)*$D42^2)</f>
        <v>0.17164665111746691</v>
      </c>
      <c r="H42" cm="1">
        <f t="array" ref="H42">$E$3/(S*Linterp(H$4,atmos_h,atmos_qms)*$D42^2)</f>
        <v>0.20916790163554547</v>
      </c>
      <c r="I42" cm="1">
        <f t="array" ref="I42">$E$3/(S*Linterp(I$4,atmos_h,atmos_qms)*$D42^2)</f>
        <v>0.25686848405853691</v>
      </c>
      <c r="J42" cm="1">
        <f t="array" ref="J42">$E$3/(S*Linterp(J$4,atmos_h,atmos_qms)*$D42^2)</f>
        <v>0.31809420570753261</v>
      </c>
      <c r="K42" cm="1">
        <f t="array" ref="K42">$E$3/(S*Linterp(K$4,atmos_h,atmos_qms)*$D42^2)</f>
        <v>0.39750048981581265</v>
      </c>
      <c r="L42" cm="1">
        <f t="array" ref="L42">$E$3/(S*Linterp(L$4,atmos_h,atmos_qms)*$D42^2)</f>
        <v>0.50165515494806512</v>
      </c>
      <c r="M42" cm="1">
        <f t="array" ref="M42">$E$3/(S*Linterp(M$4,atmos_h,atmos_qms)*$D42^2)</f>
        <v>0.63776715231348424</v>
      </c>
      <c r="O42">
        <v>0.57999999999999996</v>
      </c>
      <c r="P42" cm="1">
        <f t="array" ref="P42">E42/InterpolateXY(E42,$D42,CD_CL,CD_M,CD_table)</f>
        <v>6.9573225751055352</v>
      </c>
      <c r="Q42" cm="1">
        <f t="array" ref="Q42">F42/InterpolateXY(F42,$D42,CD_CL,CD_M,CD_table)</f>
        <v>7.9433648340304446</v>
      </c>
      <c r="R42" cm="1">
        <f t="array" ref="R42">G42/InterpolateXY(G42,$D42,CD_CL,CD_M,CD_table)</f>
        <v>9.0451028965244884</v>
      </c>
      <c r="S42" cm="1">
        <f t="array" ref="S42">H42/InterpolateXY(H42,$D42,CD_CL,CD_M,CD_table)</f>
        <v>10.147380974113187</v>
      </c>
      <c r="T42" cm="1">
        <f t="array" ref="T42">I42/InterpolateXY(I42,$D42,CD_CL,CD_M,CD_table)</f>
        <v>10.886896370517874</v>
      </c>
      <c r="U42" cm="1">
        <f t="array" ref="U42">J42/InterpolateXY(J42,$D42,CD_CL,CD_M,CD_table)</f>
        <v>11.458661333737284</v>
      </c>
      <c r="V42" cm="1">
        <f t="array" ref="V42">K42/InterpolateXY(K42,$D42,CD_CL,CD_M,CD_table)</f>
        <v>10.718431888910395</v>
      </c>
      <c r="W42" cm="1">
        <f t="array" ref="W42">L42/InterpolateXY(L42,$D42,CD_CL,CD_M,CD_table)</f>
        <v>8.6405767729217207</v>
      </c>
      <c r="X42" cm="1">
        <f t="array" ref="X42">M42/InterpolateXY(M42,$D42,CD_CL,CD_M,CD_table)</f>
        <v>6.0519545593472639</v>
      </c>
    </row>
    <row r="43" spans="4:24">
      <c r="D43">
        <v>0.59</v>
      </c>
      <c r="E43" cm="1">
        <f t="array" ref="E43">$E$3/(S*Linterp(E$4,atmos_h,atmos_qms)*$D43^2)</f>
        <v>0.11407440200559964</v>
      </c>
      <c r="F43" cm="1">
        <f t="array" ref="F43">$E$3/(S*Linterp(F$4,atmos_h,atmos_qms)*$D43^2)</f>
        <v>0.13710089945995754</v>
      </c>
      <c r="G43" cm="1">
        <f t="array" ref="G43">$E$3/(S*Linterp(G$4,atmos_h,atmos_qms)*$D43^2)</f>
        <v>0.16587743015201342</v>
      </c>
      <c r="H43" cm="1">
        <f t="array" ref="H43">$E$3/(S*Linterp(H$4,atmos_h,atmos_qms)*$D43^2)</f>
        <v>0.20213755274403189</v>
      </c>
      <c r="I43" cm="1">
        <f t="array" ref="I43">$E$3/(S*Linterp(I$4,atmos_h,atmos_qms)*$D43^2)</f>
        <v>0.24823486939756342</v>
      </c>
      <c r="J43" cm="1">
        <f t="array" ref="J43">$E$3/(S*Linterp(J$4,atmos_h,atmos_qms)*$D43^2)</f>
        <v>0.30740273139906343</v>
      </c>
      <c r="K43" cm="1">
        <f t="array" ref="K43">$E$3/(S*Linterp(K$4,atmos_h,atmos_qms)*$D43^2)</f>
        <v>0.38414008840574365</v>
      </c>
      <c r="L43" cm="1">
        <f t="array" ref="L43">$E$3/(S*Linterp(L$4,atmos_h,atmos_qms)*$D43^2)</f>
        <v>0.48479400782685755</v>
      </c>
      <c r="M43" cm="1">
        <f t="array" ref="M43">$E$3/(S*Linterp(M$4,atmos_h,atmos_qms)*$D43^2)</f>
        <v>0.61633114058677418</v>
      </c>
      <c r="O43">
        <v>0.59</v>
      </c>
      <c r="P43" cm="1">
        <f t="array" ref="P43">E43/InterpolateXY(E43,$D43,CD_CL,CD_M,CD_table)</f>
        <v>6.7910362907766961</v>
      </c>
      <c r="Q43" cm="1">
        <f t="array" ref="Q43">F43/InterpolateXY(F43,$D43,CD_CL,CD_M,CD_table)</f>
        <v>7.7627935521485787</v>
      </c>
      <c r="R43" cm="1">
        <f t="array" ref="R43">G43/InterpolateXY(G43,$D43,CD_CL,CD_M,CD_table)</f>
        <v>8.8513264399638256</v>
      </c>
      <c r="S43" cm="1">
        <f t="array" ref="S43">H43/InterpolateXY(H43,$D43,CD_CL,CD_M,CD_table)</f>
        <v>10.029849871346732</v>
      </c>
      <c r="T43" cm="1">
        <f t="array" ref="T43">I43/InterpolateXY(I43,$D43,CD_CL,CD_M,CD_table)</f>
        <v>10.776571523402243</v>
      </c>
      <c r="U43" cm="1">
        <f t="array" ref="U43">J43/InterpolateXY(J43,$D43,CD_CL,CD_M,CD_table)</f>
        <v>11.439742945366559</v>
      </c>
      <c r="V43" cm="1">
        <f t="array" ref="V43">K43/InterpolateXY(K43,$D43,CD_CL,CD_M,CD_table)</f>
        <v>10.921802695850005</v>
      </c>
      <c r="W43" cm="1">
        <f t="array" ref="W43">L43/InterpolateXY(L43,$D43,CD_CL,CD_M,CD_table)</f>
        <v>8.9012486730755906</v>
      </c>
      <c r="X43" cm="1">
        <f t="array" ref="X43">M43/InterpolateXY(M43,$D43,CD_CL,CD_M,CD_table)</f>
        <v>6.4219195651528862</v>
      </c>
    </row>
    <row r="44" spans="4:24">
      <c r="D44">
        <v>0.6</v>
      </c>
      <c r="E44" cm="1">
        <f t="array" ref="E44">$E$3/(S*Linterp(E$4,atmos_h,atmos_qms)*$D44^2)</f>
        <v>0.11030360927263674</v>
      </c>
      <c r="F44" cm="1">
        <f t="array" ref="F44">$E$3/(S*Linterp(F$4,atmos_h,atmos_qms)*$D44^2)</f>
        <v>0.13256895306114228</v>
      </c>
      <c r="G44" cm="1">
        <f t="array" ref="G44">$E$3/(S*Linterp(G$4,atmos_h,atmos_qms)*$D44^2)</f>
        <v>0.16039425954421074</v>
      </c>
      <c r="H44" cm="1">
        <f t="array" ref="H44">$E$3/(S*Linterp(H$4,atmos_h,atmos_qms)*$D44^2)</f>
        <v>0.1954557836394375</v>
      </c>
      <c r="I44" cm="1">
        <f t="array" ref="I44">$E$3/(S*Linterp(I$4,atmos_h,atmos_qms)*$D44^2)</f>
        <v>0.24002932788136613</v>
      </c>
      <c r="J44" cm="1">
        <f t="array" ref="J44">$E$3/(S*Linterp(J$4,atmos_h,atmos_qms)*$D44^2)</f>
        <v>0.29724136333337214</v>
      </c>
      <c r="K44" cm="1">
        <f t="array" ref="K44">$E$3/(S*Linterp(K$4,atmos_h,atmos_qms)*$D44^2)</f>
        <v>0.37144212437233159</v>
      </c>
      <c r="L44" cm="1">
        <f t="array" ref="L44">$E$3/(S*Linterp(L$4,atmos_h,atmos_qms)*$D44^2)</f>
        <v>0.46876887256813643</v>
      </c>
      <c r="M44" cm="1">
        <f t="array" ref="M44">$E$3/(S*Linterp(M$4,atmos_h,atmos_qms)*$D44^2)</f>
        <v>0.59595797232848924</v>
      </c>
      <c r="O44">
        <v>0.6</v>
      </c>
      <c r="P44" cm="1">
        <f t="array" ref="P44">E44/InterpolateXY(E44,$D44,CD_CL,CD_M,CD_table)</f>
        <v>6.6302629427688773</v>
      </c>
      <c r="Q44" cm="1">
        <f t="array" ref="Q44">F44/InterpolateXY(F44,$D44,CD_CL,CD_M,CD_table)</f>
        <v>7.5877972374603448</v>
      </c>
      <c r="R44" cm="1">
        <f t="array" ref="R44">G44/InterpolateXY(G44,$D44,CD_CL,CD_M,CD_table)</f>
        <v>8.6630366951622371</v>
      </c>
      <c r="S44" cm="1">
        <f t="array" ref="S44">H44/InterpolateXY(H44,$D44,CD_CL,CD_M,CD_table)</f>
        <v>9.8567728856140437</v>
      </c>
      <c r="T44" cm="1">
        <f t="array" ref="T44">I44/InterpolateXY(I44,$D44,CD_CL,CD_M,CD_table)</f>
        <v>10.667101118404824</v>
      </c>
      <c r="U44" cm="1">
        <f t="array" ref="U44">J44/InterpolateXY(J44,$D44,CD_CL,CD_M,CD_table)</f>
        <v>11.398346931231895</v>
      </c>
      <c r="V44" cm="1">
        <f t="array" ref="V44">K44/InterpolateXY(K44,$D44,CD_CL,CD_M,CD_table)</f>
        <v>11.137053332759663</v>
      </c>
      <c r="W44" cm="1">
        <f t="array" ref="W44">L44/InterpolateXY(L44,$D44,CD_CL,CD_M,CD_table)</f>
        <v>9.1516125826440433</v>
      </c>
      <c r="X44" cm="1">
        <f t="array" ref="X44">M44/InterpolateXY(M44,$D44,CD_CL,CD_M,CD_table)</f>
        <v>6.8082369943277099</v>
      </c>
    </row>
    <row r="45" spans="4:24">
      <c r="D45">
        <v>0.61</v>
      </c>
      <c r="E45" cm="1">
        <f t="array" ref="E45">$E$3/(S*Linterp(E$4,atmos_h,atmos_qms)*$D45^2)</f>
        <v>0.1067167410323817</v>
      </c>
      <c r="F45" cm="1">
        <f t="array" ref="F45">$E$3/(S*Linterp(F$4,atmos_h,atmos_qms)*$D45^2)</f>
        <v>0.12825805724808176</v>
      </c>
      <c r="G45" cm="1">
        <f t="array" ref="G45">$E$3/(S*Linterp(G$4,atmos_h,atmos_qms)*$D45^2)</f>
        <v>0.15517853651146429</v>
      </c>
      <c r="H45" cm="1">
        <f t="array" ref="H45">$E$3/(S*Linterp(H$4,atmos_h,atmos_qms)*$D45^2)</f>
        <v>0.18909992504756112</v>
      </c>
      <c r="I45" cm="1">
        <f t="array" ref="I45">$E$3/(S*Linterp(I$4,atmos_h,atmos_qms)*$D45^2)</f>
        <v>0.2322240205248369</v>
      </c>
      <c r="J45" cm="1">
        <f t="array" ref="J45">$E$3/(S*Linterp(J$4,atmos_h,atmos_qms)*$D45^2)</f>
        <v>0.28757562698203165</v>
      </c>
      <c r="K45" cm="1">
        <f t="array" ref="K45">$E$3/(S*Linterp(K$4,atmos_h,atmos_qms)*$D45^2)</f>
        <v>0.35936351726428206</v>
      </c>
      <c r="L45" cm="1">
        <f t="array" ref="L45">$E$3/(S*Linterp(L$4,atmos_h,atmos_qms)*$D45^2)</f>
        <v>0.45352538060878561</v>
      </c>
      <c r="M45" cm="1">
        <f t="array" ref="M45">$E$3/(S*Linterp(M$4,atmos_h,atmos_qms)*$D45^2)</f>
        <v>0.57657852738042481</v>
      </c>
      <c r="O45">
        <v>0.61</v>
      </c>
      <c r="P45" cm="1">
        <f t="array" ref="P45">E45/InterpolateXY(E45,$D45,CD_CL,CD_M,CD_table)</f>
        <v>6.4747926419800397</v>
      </c>
      <c r="Q45" cm="1">
        <f t="array" ref="Q45">F45/InterpolateXY(F45,$D45,CD_CL,CD_M,CD_table)</f>
        <v>7.4181869423627269</v>
      </c>
      <c r="R45" cm="1">
        <f t="array" ref="R45">G45/InterpolateXY(G45,$D45,CD_CL,CD_M,CD_table)</f>
        <v>8.4800744240831225</v>
      </c>
      <c r="S45" cm="1">
        <f t="array" ref="S45">H45/InterpolateXY(H45,$D45,CD_CL,CD_M,CD_table)</f>
        <v>9.6621295116595789</v>
      </c>
      <c r="T45" cm="1">
        <f t="array" ref="T45">I45/InterpolateXY(I45,$D45,CD_CL,CD_M,CD_table)</f>
        <v>10.558516276272979</v>
      </c>
      <c r="U45" cm="1">
        <f t="array" ref="U45">J45/InterpolateXY(J45,$D45,CD_CL,CD_M,CD_table)</f>
        <v>11.298088293610034</v>
      </c>
      <c r="V45" cm="1">
        <f t="array" ref="V45">K45/InterpolateXY(K45,$D45,CD_CL,CD_M,CD_table)</f>
        <v>11.365149709811599</v>
      </c>
      <c r="W45" cm="1">
        <f t="array" ref="W45">L45/InterpolateXY(L45,$D45,CD_CL,CD_M,CD_table)</f>
        <v>9.4212413002171616</v>
      </c>
      <c r="X45" cm="1">
        <f t="array" ref="X45">M45/InterpolateXY(M45,$D45,CD_CL,CD_M,CD_table)</f>
        <v>7.07900609759354</v>
      </c>
    </row>
    <row r="46" spans="4:24">
      <c r="D46">
        <v>0.62</v>
      </c>
      <c r="E46" cm="1">
        <f t="array" ref="E46">$E$3/(S*Linterp(E$4,atmos_h,atmos_qms)*$D46^2)</f>
        <v>0.10330202741454013</v>
      </c>
      <c r="F46" cm="1">
        <f t="array" ref="F46">$E$3/(S*Linterp(F$4,atmos_h,atmos_qms)*$D46^2)</f>
        <v>0.12415406634238089</v>
      </c>
      <c r="G46" cm="1">
        <f t="array" ref="G46">$E$3/(S*Linterp(G$4,atmos_h,atmos_qms)*$D46^2)</f>
        <v>0.1502131462953066</v>
      </c>
      <c r="H46" cm="1">
        <f t="array" ref="H46">$E$3/(S*Linterp(H$4,atmos_h,atmos_qms)*$D46^2)</f>
        <v>0.18304912099427026</v>
      </c>
      <c r="I46" cm="1">
        <f t="array" ref="I46">$E$3/(S*Linterp(I$4,atmos_h,atmos_qms)*$D46^2)</f>
        <v>0.22479333516465091</v>
      </c>
      <c r="J46" cm="1">
        <f t="array" ref="J46">$E$3/(S*Linterp(J$4,atmos_h,atmos_qms)*$D46^2)</f>
        <v>0.27837380541106649</v>
      </c>
      <c r="K46" cm="1">
        <f t="array" ref="K46">$E$3/(S*Linterp(K$4,atmos_h,atmos_qms)*$D46^2)</f>
        <v>0.34786463260676209</v>
      </c>
      <c r="L46" cm="1">
        <f t="array" ref="L46">$E$3/(S*Linterp(L$4,atmos_h,atmos_qms)*$D46^2)</f>
        <v>0.43901351229065838</v>
      </c>
      <c r="M46" cm="1">
        <f t="array" ref="M46">$E$3/(S*Linterp(M$4,atmos_h,atmos_qms)*$D46^2)</f>
        <v>0.55812921445956309</v>
      </c>
      <c r="O46">
        <v>0.62</v>
      </c>
      <c r="P46" cm="1">
        <f t="array" ref="P46">E46/InterpolateXY(E46,$D46,CD_CL,CD_M,CD_table)</f>
        <v>6.3244231472265016</v>
      </c>
      <c r="Q46" cm="1">
        <f t="array" ref="Q46">F46/InterpolateXY(F46,$D46,CD_CL,CD_M,CD_table)</f>
        <v>7.2537789434685065</v>
      </c>
      <c r="R46" cm="1">
        <f t="array" ref="R46">G46/InterpolateXY(G46,$D46,CD_CL,CD_M,CD_table)</f>
        <v>8.3022829009508925</v>
      </c>
      <c r="S46" cm="1">
        <f t="array" ref="S46">H46/InterpolateXY(H46,$D46,CD_CL,CD_M,CD_table)</f>
        <v>9.4724633129080491</v>
      </c>
      <c r="T46" cm="1">
        <f t="array" ref="T46">I46/InterpolateXY(I46,$D46,CD_CL,CD_M,CD_table)</f>
        <v>10.450845582866931</v>
      </c>
      <c r="U46" cm="1">
        <f t="array" ref="U46">J46/InterpolateXY(J46,$D46,CD_CL,CD_M,CD_table)</f>
        <v>11.198396580782914</v>
      </c>
      <c r="V46" cm="1">
        <f t="array" ref="V46">K46/InterpolateXY(K46,$D46,CD_CL,CD_M,CD_table)</f>
        <v>11.557347966197273</v>
      </c>
      <c r="W46" cm="1">
        <f t="array" ref="W46">L46/InterpolateXY(L46,$D46,CD_CL,CD_M,CD_table)</f>
        <v>9.712319607023904</v>
      </c>
      <c r="X46" cm="1">
        <f t="array" ref="X46">M46/InterpolateXY(M46,$D46,CD_CL,CD_M,CD_table)</f>
        <v>7.3773486925787672</v>
      </c>
    </row>
    <row r="47" spans="4:24">
      <c r="D47">
        <v>0.63</v>
      </c>
      <c r="E47" cm="1">
        <f t="array" ref="E47">$E$3/(S*Linterp(E$4,atmos_h,atmos_qms)*$D47^2)</f>
        <v>0.1000486251906002</v>
      </c>
      <c r="F47" cm="1">
        <f t="array" ref="F47">$E$3/(S*Linterp(F$4,atmos_h,atmos_qms)*$D47^2)</f>
        <v>0.12024394835477756</v>
      </c>
      <c r="G47" cm="1">
        <f t="array" ref="G47">$E$3/(S*Linterp(G$4,atmos_h,atmos_qms)*$D47^2)</f>
        <v>0.14548232158205054</v>
      </c>
      <c r="H47" cm="1">
        <f t="array" ref="H47">$E$3/(S*Linterp(H$4,atmos_h,atmos_qms)*$D47^2)</f>
        <v>0.17728415749608839</v>
      </c>
      <c r="I47" cm="1">
        <f t="array" ref="I47">$E$3/(S*Linterp(I$4,atmos_h,atmos_qms)*$D47^2)</f>
        <v>0.21771367608287179</v>
      </c>
      <c r="J47" cm="1">
        <f t="array" ref="J47">$E$3/(S*Linterp(J$4,atmos_h,atmos_qms)*$D47^2)</f>
        <v>0.26960667876042821</v>
      </c>
      <c r="K47" cm="1">
        <f t="array" ref="K47">$E$3/(S*Linterp(K$4,atmos_h,atmos_qms)*$D47^2)</f>
        <v>0.33690895634678597</v>
      </c>
      <c r="L47" cm="1">
        <f t="array" ref="L47">$E$3/(S*Linterp(L$4,atmos_h,atmos_qms)*$D47^2)</f>
        <v>0.42518718600284477</v>
      </c>
      <c r="M47" cm="1">
        <f t="array" ref="M47">$E$3/(S*Linterp(M$4,atmos_h,atmos_qms)*$D47^2)</f>
        <v>0.54055144882402639</v>
      </c>
      <c r="O47">
        <v>0.63</v>
      </c>
      <c r="P47" cm="1">
        <f t="array" ref="P47">E47/InterpolateXY(E47,$D47,CD_CL,CD_M,CD_table)</f>
        <v>6.1789597405518304</v>
      </c>
      <c r="Q47" cm="1">
        <f t="array" ref="Q47">F47/InterpolateXY(F47,$D47,CD_CL,CD_M,CD_table)</f>
        <v>7.0943948277325131</v>
      </c>
      <c r="R47" cm="1">
        <f t="array" ref="R47">G47/InterpolateXY(G47,$D47,CD_CL,CD_M,CD_table)</f>
        <v>8.129508191027881</v>
      </c>
      <c r="S47" cm="1">
        <f t="array" ref="S47">H47/InterpolateXY(H47,$D47,CD_CL,CD_M,CD_table)</f>
        <v>9.2876524253138015</v>
      </c>
      <c r="T47" cm="1">
        <f t="array" ref="T47">I47/InterpolateXY(I47,$D47,CD_CL,CD_M,CD_table)</f>
        <v>10.344115193767665</v>
      </c>
      <c r="U47" cm="1">
        <f t="array" ref="U47">J47/InterpolateXY(J47,$D47,CD_CL,CD_M,CD_table)</f>
        <v>11.099302003365198</v>
      </c>
      <c r="V47" cm="1">
        <f t="array" ref="V47">K47/InterpolateXY(K47,$D47,CD_CL,CD_M,CD_table)</f>
        <v>11.5423843401054</v>
      </c>
      <c r="W47" cm="1">
        <f t="array" ref="W47">L47/InterpolateXY(L47,$D47,CD_CL,CD_M,CD_table)</f>
        <v>10.027379016132182</v>
      </c>
      <c r="X47" cm="1">
        <f t="array" ref="X47">M47/InterpolateXY(M47,$D47,CD_CL,CD_M,CD_table)</f>
        <v>7.7075628450521894</v>
      </c>
    </row>
    <row r="48" spans="4:24">
      <c r="D48">
        <v>0.64</v>
      </c>
      <c r="E48" cm="1">
        <f t="array" ref="E48">$E$3/(S*Linterp(E$4,atmos_h,atmos_qms)*$D48^2)</f>
        <v>9.6946531587278381E-2</v>
      </c>
      <c r="F48" cm="1">
        <f t="array" ref="F48">$E$3/(S*Linterp(F$4,atmos_h,atmos_qms)*$D48^2)</f>
        <v>0.11651568140139458</v>
      </c>
      <c r="G48" cm="1">
        <f t="array" ref="G48">$E$3/(S*Linterp(G$4,atmos_h,atmos_qms)*$D48^2)</f>
        <v>0.14097151717752895</v>
      </c>
      <c r="H48" cm="1">
        <f t="array" ref="H48">$E$3/(S*Linterp(H$4,atmos_h,atmos_qms)*$D48^2)</f>
        <v>0.17178730983934934</v>
      </c>
      <c r="I48" cm="1">
        <f t="array" ref="I48">$E$3/(S*Linterp(I$4,atmos_h,atmos_qms)*$D48^2)</f>
        <v>0.21096327645823199</v>
      </c>
      <c r="J48" cm="1">
        <f t="array" ref="J48">$E$3/(S*Linterp(J$4,atmos_h,atmos_qms)*$D48^2)</f>
        <v>0.26124729199222158</v>
      </c>
      <c r="K48" cm="1">
        <f t="array" ref="K48">$E$3/(S*Linterp(K$4,atmos_h,atmos_qms)*$D48^2)</f>
        <v>0.32646280462411953</v>
      </c>
      <c r="L48" cm="1">
        <f t="array" ref="L48">$E$3/(S*Linterp(L$4,atmos_h,atmos_qms)*$D48^2)</f>
        <v>0.41200389190558862</v>
      </c>
      <c r="M48" cm="1">
        <f t="array" ref="M48">$E$3/(S*Linterp(M$4,atmos_h,atmos_qms)*$D48^2)</f>
        <v>0.5237911866168361</v>
      </c>
      <c r="O48">
        <v>0.64</v>
      </c>
      <c r="P48" cm="1">
        <f t="array" ref="P48">E48/InterpolateXY(E48,$D48,CD_CL,CD_M,CD_table)</f>
        <v>6.009641913060892</v>
      </c>
      <c r="Q48" cm="1">
        <f t="array" ref="Q48">F48/InterpolateXY(F48,$D48,CD_CL,CD_M,CD_table)</f>
        <v>6.9398615381195441</v>
      </c>
      <c r="R48" cm="1">
        <f t="array" ref="R48">G48/InterpolateXY(G48,$D48,CD_CL,CD_M,CD_table)</f>
        <v>7.9615993792654463</v>
      </c>
      <c r="S48" cm="1">
        <f t="array" ref="S48">H48/InterpolateXY(H48,$D48,CD_CL,CD_M,CD_table)</f>
        <v>9.107575557944898</v>
      </c>
      <c r="T48" cm="1">
        <f t="array" ref="T48">I48/InterpolateXY(I48,$D48,CD_CL,CD_M,CD_table)</f>
        <v>10.238348937785284</v>
      </c>
      <c r="U48" cm="1">
        <f t="array" ref="U48">J48/InterpolateXY(J48,$D48,CD_CL,CD_M,CD_table)</f>
        <v>11.000832861058774</v>
      </c>
      <c r="V48" cm="1">
        <f t="array" ref="V48">K48/InterpolateXY(K48,$D48,CD_CL,CD_M,CD_table)</f>
        <v>11.527599530866402</v>
      </c>
      <c r="W48" cm="1">
        <f t="array" ref="W48">L48/InterpolateXY(L48,$D48,CD_CL,CD_M,CD_table)</f>
        <v>10.369369279868424</v>
      </c>
      <c r="X48" cm="1">
        <f t="array" ref="X48">M48/InterpolateXY(M48,$D48,CD_CL,CD_M,CD_table)</f>
        <v>8.0748929684441677</v>
      </c>
    </row>
    <row r="49" spans="4:24">
      <c r="D49">
        <v>0.65</v>
      </c>
      <c r="E49" cm="1">
        <f t="array" ref="E49">$E$3/(S*Linterp(E$4,atmos_h,atmos_qms)*$D49^2)</f>
        <v>9.3986507309228931E-2</v>
      </c>
      <c r="F49" cm="1">
        <f t="array" ref="F49">$E$3/(S*Linterp(F$4,atmos_h,atmos_qms)*$D49^2)</f>
        <v>0.11295816118819223</v>
      </c>
      <c r="G49" cm="1">
        <f t="array" ref="G49">$E$3/(S*Linterp(G$4,atmos_h,atmos_qms)*$D49^2)</f>
        <v>0.13666729807317363</v>
      </c>
      <c r="H49" cm="1">
        <f t="array" ref="H49">$E$3/(S*Linterp(H$4,atmos_h,atmos_qms)*$D49^2)</f>
        <v>0.16654220617798221</v>
      </c>
      <c r="I49" cm="1">
        <f t="array" ref="I49">$E$3/(S*Linterp(I$4,atmos_h,atmos_qms)*$D49^2)</f>
        <v>0.2045220308574954</v>
      </c>
      <c r="J49" cm="1">
        <f t="array" ref="J49">$E$3/(S*Linterp(J$4,atmos_h,atmos_qms)*$D49^2)</f>
        <v>0.25327074745565431</v>
      </c>
      <c r="K49" cm="1">
        <f t="array" ref="K49">$E$3/(S*Linterp(K$4,atmos_h,atmos_qms)*$D49^2)</f>
        <v>0.31649506455393928</v>
      </c>
      <c r="L49" cm="1">
        <f t="array" ref="L49">$E$3/(S*Linterp(L$4,atmos_h,atmos_qms)*$D49^2)</f>
        <v>0.39942436479178484</v>
      </c>
      <c r="M49" cm="1">
        <f t="array" ref="M49">$E$3/(S*Linterp(M$4,atmos_h,atmos_qms)*$D49^2)</f>
        <v>0.50779850896628653</v>
      </c>
      <c r="O49">
        <v>0.65</v>
      </c>
      <c r="P49" cm="1">
        <f t="array" ref="P49">E49/InterpolateXY(E49,$D49,CD_CL,CD_M,CD_table)</f>
        <v>5.8468114105417364</v>
      </c>
      <c r="Q49" cm="1">
        <f t="array" ref="Q49">F49/InterpolateXY(F49,$D49,CD_CL,CD_M,CD_table)</f>
        <v>6.7900113847339396</v>
      </c>
      <c r="R49" cm="1">
        <f t="array" ref="R49">G49/InterpolateXY(G49,$D49,CD_CL,CD_M,CD_table)</f>
        <v>7.7984087546047043</v>
      </c>
      <c r="S49" cm="1">
        <f t="array" ref="S49">H49/InterpolateXY(H49,$D49,CD_CL,CD_M,CD_table)</f>
        <v>8.9321123186535321</v>
      </c>
      <c r="T49" cm="1">
        <f t="array" ref="T49">I49/InterpolateXY(I49,$D49,CD_CL,CD_M,CD_table)</f>
        <v>10.133568419071434</v>
      </c>
      <c r="U49" cm="1">
        <f t="array" ref="U49">J49/InterpolateXY(J49,$D49,CD_CL,CD_M,CD_table)</f>
        <v>10.903015604621858</v>
      </c>
      <c r="V49" cm="1">
        <f t="array" ref="V49">K49/InterpolateXY(K49,$D49,CD_CL,CD_M,CD_table)</f>
        <v>11.513004208747706</v>
      </c>
      <c r="W49" cm="1">
        <f t="array" ref="W49">L49/InterpolateXY(L49,$D49,CD_CL,CD_M,CD_table)</f>
        <v>10.731904783242232</v>
      </c>
      <c r="X49" cm="1">
        <f t="array" ref="X49">M49/InterpolateXY(M49,$D49,CD_CL,CD_M,CD_table)</f>
        <v>8.4858052992895541</v>
      </c>
    </row>
    <row r="50" spans="4:24">
      <c r="D50">
        <v>0.66</v>
      </c>
      <c r="E50" cm="1">
        <f t="array" ref="E50">$E$3/(S*Linterp(E$4,atmos_h,atmos_qms)*$D50^2)</f>
        <v>9.1160007663336137E-2</v>
      </c>
      <c r="F50" cm="1">
        <f t="array" ref="F50">$E$3/(S*Linterp(F$4,atmos_h,atmos_qms)*$D50^2)</f>
        <v>0.10956111823234897</v>
      </c>
      <c r="G50" cm="1">
        <f t="array" ref="G50">$E$3/(S*Linterp(G$4,atmos_h,atmos_qms)*$D50^2)</f>
        <v>0.13255723929273613</v>
      </c>
      <c r="H50" cm="1">
        <f t="array" ref="H50">$E$3/(S*Linterp(H$4,atmos_h,atmos_qms)*$D50^2)</f>
        <v>0.16153370548713841</v>
      </c>
      <c r="I50" cm="1">
        <f t="array" ref="I50">$E$3/(S*Linterp(I$4,atmos_h,atmos_qms)*$D50^2)</f>
        <v>0.19837134535650092</v>
      </c>
      <c r="J50" cm="1">
        <f t="array" ref="J50">$E$3/(S*Linterp(J$4,atmos_h,atmos_qms)*$D50^2)</f>
        <v>0.24565401928377859</v>
      </c>
      <c r="K50" cm="1">
        <f t="array" ref="K50">$E$3/(S*Linterp(K$4,atmos_h,atmos_qms)*$D50^2)</f>
        <v>0.3069769622911831</v>
      </c>
      <c r="L50" cm="1">
        <f t="array" ref="L50">$E$3/(S*Linterp(L$4,atmos_h,atmos_qms)*$D50^2)</f>
        <v>0.3874122913786251</v>
      </c>
      <c r="M50" cm="1">
        <f t="array" ref="M50">$E$3/(S*Linterp(M$4,atmos_h,atmos_qms)*$D50^2)</f>
        <v>0.49252724985825536</v>
      </c>
      <c r="O50">
        <v>0.66</v>
      </c>
      <c r="P50" cm="1">
        <f t="array" ref="P50">E50/InterpolateXY(E50,$D50,CD_CL,CD_M,CD_table)</f>
        <v>5.6905650687117086</v>
      </c>
      <c r="Q50" cm="1">
        <f t="array" ref="Q50">F50/InterpolateXY(F50,$D50,CD_CL,CD_M,CD_table)</f>
        <v>6.6446820266342783</v>
      </c>
      <c r="R50" cm="1">
        <f t="array" ref="R50">G50/InterpolateXY(G50,$D50,CD_CL,CD_M,CD_table)</f>
        <v>7.6397919551512343</v>
      </c>
      <c r="S50" cm="1">
        <f t="array" ref="S50">H50/InterpolateXY(H50,$D50,CD_CL,CD_M,CD_table)</f>
        <v>8.761143496605019</v>
      </c>
      <c r="T50" cm="1">
        <f t="array" ref="T50">I50/InterpolateXY(I50,$D50,CD_CL,CD_M,CD_table)</f>
        <v>10.009187725553764</v>
      </c>
      <c r="U50" cm="1">
        <f t="array" ref="U50">J50/InterpolateXY(J50,$D50,CD_CL,CD_M,CD_table)</f>
        <v>10.805874898036361</v>
      </c>
      <c r="V50" cm="1">
        <f t="array" ref="V50">K50/InterpolateXY(K50,$D50,CD_CL,CD_M,CD_table)</f>
        <v>11.498608944110163</v>
      </c>
      <c r="W50" cm="1">
        <f t="array" ref="W50">L50/InterpolateXY(L50,$D50,CD_CL,CD_M,CD_table)</f>
        <v>10.914346678251828</v>
      </c>
      <c r="X50" cm="1">
        <f t="array" ref="X50">M50/InterpolateXY(M50,$D50,CD_CL,CD_M,CD_table)</f>
        <v>8.8143357069959389</v>
      </c>
    </row>
    <row r="51" spans="4:24">
      <c r="D51">
        <v>0.67</v>
      </c>
      <c r="E51" cm="1">
        <f t="array" ref="E51">$E$3/(S*Linterp(E$4,atmos_h,atmos_qms)*$D51^2)</f>
        <v>8.8459120824569429E-2</v>
      </c>
      <c r="F51" cm="1">
        <f t="array" ref="F51">$E$3/(S*Linterp(F$4,atmos_h,atmos_qms)*$D51^2)</f>
        <v>0.10631504366676589</v>
      </c>
      <c r="G51" cm="1">
        <f t="array" ref="G51">$E$3/(S*Linterp(G$4,atmos_h,atmos_qms)*$D51^2)</f>
        <v>0.12862983612367085</v>
      </c>
      <c r="H51" cm="1">
        <f t="array" ref="H51">$E$3/(S*Linterp(H$4,atmos_h,atmos_qms)*$D51^2)</f>
        <v>0.15674778817152479</v>
      </c>
      <c r="I51" cm="1">
        <f t="array" ref="I51">$E$3/(S*Linterp(I$4,atmos_h,atmos_qms)*$D51^2)</f>
        <v>0.19249400320180843</v>
      </c>
      <c r="J51" cm="1">
        <f t="array" ref="J51">$E$3/(S*Linterp(J$4,atmos_h,atmos_qms)*$D51^2)</f>
        <v>0.23837578703500545</v>
      </c>
      <c r="K51" cm="1">
        <f t="array" ref="K51">$E$3/(S*Linterp(K$4,atmos_h,atmos_qms)*$D51^2)</f>
        <v>0.29788185514377219</v>
      </c>
      <c r="L51" cm="1">
        <f t="array" ref="L51">$E$3/(S*Linterp(L$4,atmos_h,atmos_qms)*$D51^2)</f>
        <v>0.3759340479494967</v>
      </c>
      <c r="M51" cm="1">
        <f t="array" ref="M51">$E$3/(S*Linterp(M$4,atmos_h,atmos_qms)*$D51^2)</f>
        <v>0.47793466259357553</v>
      </c>
      <c r="O51">
        <v>0.67</v>
      </c>
      <c r="P51" cm="1">
        <f t="array" ref="P51">E51/InterpolateXY(E51,$D51,CD_CL,CD_M,CD_table)</f>
        <v>5.5405591164594528</v>
      </c>
      <c r="Q51" cm="1">
        <f t="array" ref="Q51">F51/InterpolateXY(F51,$D51,CD_CL,CD_M,CD_table)</f>
        <v>6.5037164289310843</v>
      </c>
      <c r="R51" cm="1">
        <f t="array" ref="R51">G51/InterpolateXY(G51,$D51,CD_CL,CD_M,CD_table)</f>
        <v>7.4856080789382231</v>
      </c>
      <c r="S51" cm="1">
        <f t="array" ref="S51">H51/InterpolateXY(H51,$D51,CD_CL,CD_M,CD_table)</f>
        <v>8.594551305809885</v>
      </c>
      <c r="T51" cm="1">
        <f t="array" ref="T51">I51/InterpolateXY(I51,$D51,CD_CL,CD_M,CD_table)</f>
        <v>9.8318949982858381</v>
      </c>
      <c r="U51" cm="1">
        <f t="array" ref="U51">J51/InterpolateXY(J51,$D51,CD_CL,CD_M,CD_table)</f>
        <v>10.709433680657311</v>
      </c>
      <c r="V51" cm="1">
        <f t="array" ref="V51">K51/InterpolateXY(K51,$D51,CD_CL,CD_M,CD_table)</f>
        <v>11.46686654223439</v>
      </c>
      <c r="W51" cm="1">
        <f t="array" ref="W51">L51/InterpolateXY(L51,$D51,CD_CL,CD_M,CD_table)</f>
        <v>11.10632280892621</v>
      </c>
      <c r="X51" cm="1">
        <f t="array" ref="X51">M51/InterpolateXY(M51,$D51,CD_CL,CD_M,CD_table)</f>
        <v>9.0304366935164708</v>
      </c>
    </row>
    <row r="52" spans="4:24">
      <c r="D52">
        <v>0.68</v>
      </c>
      <c r="E52" cm="1">
        <f t="array" ref="E52">$E$3/(S*Linterp(E$4,atmos_h,atmos_qms)*$D52^2)</f>
        <v>8.5876512409492262E-2</v>
      </c>
      <c r="F52" cm="1">
        <f t="array" ref="F52">$E$3/(S*Linterp(F$4,atmos_h,atmos_qms)*$D52^2)</f>
        <v>0.10321112262545677</v>
      </c>
      <c r="G52" cm="1">
        <f t="array" ref="G52">$E$3/(S*Linterp(G$4,atmos_h,atmos_qms)*$D52^2)</f>
        <v>0.12487442352057926</v>
      </c>
      <c r="H52" cm="1">
        <f t="array" ref="H52">$E$3/(S*Linterp(H$4,atmos_h,atmos_qms)*$D52^2)</f>
        <v>0.1521714578507731</v>
      </c>
      <c r="I52" cm="1">
        <f t="array" ref="I52">$E$3/(S*Linterp(I$4,atmos_h,atmos_qms)*$D52^2)</f>
        <v>0.18687404419829542</v>
      </c>
      <c r="J52" cm="1">
        <f t="array" ref="J52">$E$3/(S*Linterp(J$4,atmos_h,atmos_qms)*$D52^2)</f>
        <v>0.23141628633221009</v>
      </c>
      <c r="K52" cm="1">
        <f t="array" ref="K52">$E$3/(S*Linterp(K$4,atmos_h,atmos_qms)*$D52^2)</f>
        <v>0.28918504492655567</v>
      </c>
      <c r="L52" cm="1">
        <f t="array" ref="L52">$E$3/(S*Linterp(L$4,atmos_h,atmos_qms)*$D52^2)</f>
        <v>0.36495846480218225</v>
      </c>
      <c r="M52" cm="1">
        <f t="array" ref="M52">$E$3/(S*Linterp(M$4,atmos_h,atmos_qms)*$D52^2)</f>
        <v>0.4639811203249482</v>
      </c>
      <c r="O52">
        <v>0.68</v>
      </c>
      <c r="P52" cm="1">
        <f t="array" ref="P52">E52/InterpolateXY(E52,$D52,CD_CL,CD_M,CD_table)</f>
        <v>5.3964714027726624</v>
      </c>
      <c r="Q52" cm="1">
        <f t="array" ref="Q52">F52/InterpolateXY(F52,$D52,CD_CL,CD_M,CD_table)</f>
        <v>6.3669627992049689</v>
      </c>
      <c r="R52" cm="1">
        <f t="array" ref="R52">G52/InterpolateXY(G52,$D52,CD_CL,CD_M,CD_table)</f>
        <v>7.3357197645224472</v>
      </c>
      <c r="S52" cm="1">
        <f t="array" ref="S52">H52/InterpolateXY(H52,$D52,CD_CL,CD_M,CD_table)</f>
        <v>8.4322195934836568</v>
      </c>
      <c r="T52" cm="1">
        <f t="array" ref="T52">I52/InterpolateXY(I52,$D52,CD_CL,CD_M,CD_table)</f>
        <v>9.6586831400326663</v>
      </c>
      <c r="U52" cm="1">
        <f t="array" ref="U52">J52/InterpolateXY(J52,$D52,CD_CL,CD_M,CD_table)</f>
        <v>10.613713229147258</v>
      </c>
      <c r="V52" cm="1">
        <f t="array" ref="V52">K52/InterpolateXY(K52,$D52,CD_CL,CD_M,CD_table)</f>
        <v>11.37893687699588</v>
      </c>
      <c r="W52" cm="1">
        <f t="array" ref="W52">L52/InterpolateXY(L52,$D52,CD_CL,CD_M,CD_table)</f>
        <v>11.308524804536352</v>
      </c>
      <c r="X52" cm="1">
        <f t="array" ref="X52">M52/InterpolateXY(M52,$D52,CD_CL,CD_M,CD_table)</f>
        <v>9.2610622772648981</v>
      </c>
    </row>
    <row r="53" spans="4:24">
      <c r="D53">
        <v>0.69</v>
      </c>
      <c r="E53" cm="1">
        <f t="array" ref="E53">$E$3/(S*Linterp(E$4,atmos_h,atmos_qms)*$D53^2)</f>
        <v>8.3405375631483369E-2</v>
      </c>
      <c r="F53" cm="1">
        <f t="array" ref="F53">$E$3/(S*Linterp(F$4,atmos_h,atmos_qms)*$D53^2)</f>
        <v>0.10024117433734768</v>
      </c>
      <c r="G53" cm="1">
        <f t="array" ref="G53">$E$3/(S*Linterp(G$4,atmos_h,atmos_qms)*$D53^2)</f>
        <v>0.12128110362511212</v>
      </c>
      <c r="H53" cm="1">
        <f t="array" ref="H53">$E$3/(S*Linterp(H$4,atmos_h,atmos_qms)*$D53^2)</f>
        <v>0.14779265303549152</v>
      </c>
      <c r="I53" cm="1">
        <f t="array" ref="I53">$E$3/(S*Linterp(I$4,atmos_h,atmos_qms)*$D53^2)</f>
        <v>0.18149665624299902</v>
      </c>
      <c r="J53" cm="1">
        <f t="array" ref="J53">$E$3/(S*Linterp(J$4,atmos_h,atmos_qms)*$D53^2)</f>
        <v>0.22475717454319255</v>
      </c>
      <c r="K53" cm="1">
        <f t="array" ref="K53">$E$3/(S*Linterp(K$4,atmos_h,atmos_qms)*$D53^2)</f>
        <v>0.28086361011140387</v>
      </c>
      <c r="L53" cm="1">
        <f t="array" ref="L53">$E$3/(S*Linterp(L$4,atmos_h,atmos_qms)*$D53^2)</f>
        <v>0.35445661441825066</v>
      </c>
      <c r="M53" cm="1">
        <f t="array" ref="M53">$E$3/(S*Linterp(M$4,atmos_h,atmos_qms)*$D53^2)</f>
        <v>0.45062984675122064</v>
      </c>
      <c r="O53">
        <v>0.69</v>
      </c>
      <c r="P53" cm="1">
        <f t="array" ref="P53">E53/InterpolateXY(E53,$D53,CD_CL,CD_M,CD_table)</f>
        <v>5.2579998309292657</v>
      </c>
      <c r="Q53" cm="1">
        <f t="array" ref="Q53">F53/InterpolateXY(F53,$D53,CD_CL,CD_M,CD_table)</f>
        <v>6.2342745067818637</v>
      </c>
      <c r="R53" cm="1">
        <f t="array" ref="R53">G53/InterpolateXY(G53,$D53,CD_CL,CD_M,CD_table)</f>
        <v>7.189993245225919</v>
      </c>
      <c r="S53" cm="1">
        <f t="array" ref="S53">H53/InterpolateXY(H53,$D53,CD_CL,CD_M,CD_table)</f>
        <v>8.2740340167544506</v>
      </c>
      <c r="T53" cm="1">
        <f t="array" ref="T53">I53/InterpolateXY(I53,$D53,CD_CL,CD_M,CD_table)</f>
        <v>9.4894632316954919</v>
      </c>
      <c r="U53" cm="1">
        <f t="array" ref="U53">J53/InterpolateXY(J53,$D53,CD_CL,CD_M,CD_table)</f>
        <v>10.51873321901679</v>
      </c>
      <c r="V53" cm="1">
        <f t="array" ref="V53">K53/InterpolateXY(K53,$D53,CD_CL,CD_M,CD_table)</f>
        <v>11.291464391019895</v>
      </c>
      <c r="W53" cm="1">
        <f t="array" ref="W53">L53/InterpolateXY(L53,$D53,CD_CL,CD_M,CD_table)</f>
        <v>11.521714372381012</v>
      </c>
      <c r="X53" cm="1">
        <f t="array" ref="X53">M53/InterpolateXY(M53,$D53,CD_CL,CD_M,CD_table)</f>
        <v>9.507640935972212</v>
      </c>
    </row>
    <row r="54" spans="4:24">
      <c r="D54">
        <v>0.7</v>
      </c>
      <c r="E54" cm="1">
        <f t="array" ref="E54">$E$3/(S*Linterp(E$4,atmos_h,atmos_qms)*$D54^2)</f>
        <v>8.1039386404386182E-2</v>
      </c>
      <c r="F54" cm="1">
        <f t="array" ref="F54">$E$3/(S*Linterp(F$4,atmos_h,atmos_qms)*$D54^2)</f>
        <v>9.7397598167369842E-2</v>
      </c>
      <c r="G54" cm="1">
        <f t="array" ref="G54">$E$3/(S*Linterp(G$4,atmos_h,atmos_qms)*$D54^2)</f>
        <v>0.11784068048146094</v>
      </c>
      <c r="H54" cm="1">
        <f t="array" ref="H54">$E$3/(S*Linterp(H$4,atmos_h,atmos_qms)*$D54^2)</f>
        <v>0.14360016757183164</v>
      </c>
      <c r="I54" cm="1">
        <f t="array" ref="I54">$E$3/(S*Linterp(I$4,atmos_h,atmos_qms)*$D54^2)</f>
        <v>0.17634807762712618</v>
      </c>
      <c r="J54" cm="1">
        <f t="array" ref="J54">$E$3/(S*Linterp(J$4,atmos_h,atmos_qms)*$D54^2)</f>
        <v>0.21838140979594692</v>
      </c>
      <c r="K54" cm="1">
        <f t="array" ref="K54">$E$3/(S*Linterp(K$4,atmos_h,atmos_qms)*$D54^2)</f>
        <v>0.27289625464089667</v>
      </c>
      <c r="L54" cm="1">
        <f t="array" ref="L54">$E$3/(S*Linterp(L$4,atmos_h,atmos_qms)*$D54^2)</f>
        <v>0.34440162066230434</v>
      </c>
      <c r="M54" cm="1">
        <f t="array" ref="M54">$E$3/(S*Linterp(M$4,atmos_h,atmos_qms)*$D54^2)</f>
        <v>0.43784667354746148</v>
      </c>
      <c r="O54">
        <v>0.7</v>
      </c>
      <c r="P54" cm="1">
        <f t="array" ref="P54">E54/InterpolateXY(E54,$D54,CD_CL,CD_M,CD_table)</f>
        <v>5.1248609189773253</v>
      </c>
      <c r="Q54" cm="1">
        <f t="array" ref="Q54">F54/InterpolateXY(F54,$D54,CD_CL,CD_M,CD_table)</f>
        <v>6.0807105183693801</v>
      </c>
      <c r="R54" cm="1">
        <f t="array" ref="R54">G54/InterpolateXY(G54,$D54,CD_CL,CD_M,CD_table)</f>
        <v>7.0482983804412171</v>
      </c>
      <c r="S54" cm="1">
        <f t="array" ref="S54">H54/InterpolateXY(H54,$D54,CD_CL,CD_M,CD_table)</f>
        <v>8.1198821909499124</v>
      </c>
      <c r="T54" cm="1">
        <f t="array" ref="T54">I54/InterpolateXY(I54,$D54,CD_CL,CD_M,CD_table)</f>
        <v>9.3241465805026049</v>
      </c>
      <c r="U54" cm="1">
        <f t="array" ref="U54">J54/InterpolateXY(J54,$D54,CD_CL,CD_M,CD_table)</f>
        <v>10.424511785609782</v>
      </c>
      <c r="V54" cm="1">
        <f t="array" ref="V54">K54/InterpolateXY(K54,$D54,CD_CL,CD_M,CD_table)</f>
        <v>11.204470205334433</v>
      </c>
      <c r="W54" cm="1">
        <f t="array" ref="W54">L54/InterpolateXY(L54,$D54,CD_CL,CD_M,CD_table)</f>
        <v>11.612580006121966</v>
      </c>
      <c r="X54" cm="1">
        <f t="array" ref="X54">M54/InterpolateXY(M54,$D54,CD_CL,CD_M,CD_table)</f>
        <v>9.7717968422176522</v>
      </c>
    </row>
    <row r="55" spans="4:24">
      <c r="D55">
        <v>0.71</v>
      </c>
      <c r="E55" cm="1">
        <f t="array" ref="E55">$E$3/(S*Linterp(E$4,atmos_h,atmos_qms)*$D55^2)</f>
        <v>7.8772662841002233E-2</v>
      </c>
      <c r="F55" cm="1">
        <f t="array" ref="F55">$E$3/(S*Linterp(F$4,atmos_h,atmos_qms)*$D55^2)</f>
        <v>9.4673324939518397E-2</v>
      </c>
      <c r="G55" cm="1">
        <f t="array" ref="G55">$E$3/(S*Linterp(G$4,atmos_h,atmos_qms)*$D55^2)</f>
        <v>0.11454460114246352</v>
      </c>
      <c r="H55" cm="1">
        <f t="array" ref="H55">$E$3/(S*Linterp(H$4,atmos_h,atmos_qms)*$D55^2)</f>
        <v>0.13958357887363121</v>
      </c>
      <c r="I55" cm="1">
        <f t="array" ref="I55">$E$3/(S*Linterp(I$4,atmos_h,atmos_qms)*$D55^2)</f>
        <v>0.1714155089015906</v>
      </c>
      <c r="J55" cm="1">
        <f t="array" ref="J55">$E$3/(S*Linterp(J$4,atmos_h,atmos_qms)*$D55^2)</f>
        <v>0.21227314183696483</v>
      </c>
      <c r="K55" cm="1">
        <f t="array" ref="K55">$E$3/(S*Linterp(K$4,atmos_h,atmos_qms)*$D55^2)</f>
        <v>0.26526317154143897</v>
      </c>
      <c r="L55" cm="1">
        <f t="array" ref="L55">$E$3/(S*Linterp(L$4,atmos_h,atmos_qms)*$D55^2)</f>
        <v>0.33476848665845887</v>
      </c>
      <c r="M55" cm="1">
        <f t="array" ref="M55">$E$3/(S*Linterp(M$4,atmos_h,atmos_qms)*$D55^2)</f>
        <v>0.42559982153988513</v>
      </c>
      <c r="O55">
        <v>0.71</v>
      </c>
      <c r="P55" cm="1">
        <f t="array" ref="P55">E55/InterpolateXY(E55,$D55,CD_CL,CD_M,CD_table)</f>
        <v>4.9967884754846255</v>
      </c>
      <c r="Q55" cm="1">
        <f t="array" ref="Q55">F55/InterpolateXY(F55,$D55,CD_CL,CD_M,CD_table)</f>
        <v>5.9306430157564876</v>
      </c>
      <c r="R55" cm="1">
        <f t="array" ref="R55">G55/InterpolateXY(G55,$D55,CD_CL,CD_M,CD_table)</f>
        <v>6.9105086670581608</v>
      </c>
      <c r="S55" cm="1">
        <f t="array" ref="S55">H55/InterpolateXY(H55,$D55,CD_CL,CD_M,CD_table)</f>
        <v>7.9696538124233536</v>
      </c>
      <c r="T55" cm="1">
        <f t="array" ref="T55">I55/InterpolateXY(I55,$D55,CD_CL,CD_M,CD_table)</f>
        <v>9.162644931479079</v>
      </c>
      <c r="U55" cm="1">
        <f t="array" ref="U55">J55/InterpolateXY(J55,$D55,CD_CL,CD_M,CD_table)</f>
        <v>10.331065584388435</v>
      </c>
      <c r="V55" cm="1">
        <f t="array" ref="V55">K55/InterpolateXY(K55,$D55,CD_CL,CD_M,CD_table)</f>
        <v>11.117974232585077</v>
      </c>
      <c r="W55" cm="1">
        <f t="array" ref="W55">L55/InterpolateXY(L55,$D55,CD_CL,CD_M,CD_table)</f>
        <v>11.601773976437851</v>
      </c>
      <c r="X55" cm="1">
        <f t="array" ref="X55">M55/InterpolateXY(M55,$D55,CD_CL,CD_M,CD_table)</f>
        <v>10.062992515640296</v>
      </c>
    </row>
    <row r="56" spans="4:24">
      <c r="D56">
        <v>0.72</v>
      </c>
      <c r="E56" cm="1">
        <f t="array" ref="E56">$E$3/(S*Linterp(E$4,atmos_h,atmos_qms)*$D56^2)</f>
        <v>7.659972866155329E-2</v>
      </c>
      <c r="F56" cm="1">
        <f t="array" ref="F56">$E$3/(S*Linterp(F$4,atmos_h,atmos_qms)*$D56^2)</f>
        <v>9.2061772959126584E-2</v>
      </c>
      <c r="G56" cm="1">
        <f t="array" ref="G56">$E$3/(S*Linterp(G$4,atmos_h,atmos_qms)*$D56^2)</f>
        <v>0.11138490246125746</v>
      </c>
      <c r="H56" cm="1">
        <f t="array" ref="H56">$E$3/(S*Linterp(H$4,atmos_h,atmos_qms)*$D56^2)</f>
        <v>0.13573318308294269</v>
      </c>
      <c r="I56" cm="1">
        <f t="array" ref="I56">$E$3/(S*Linterp(I$4,atmos_h,atmos_qms)*$D56^2)</f>
        <v>0.16668703325094872</v>
      </c>
      <c r="J56" cm="1">
        <f t="array" ref="J56">$E$3/(S*Linterp(J$4,atmos_h,atmos_qms)*$D56^2)</f>
        <v>0.20641761342595288</v>
      </c>
      <c r="K56" cm="1">
        <f t="array" ref="K56">$E$3/(S*Linterp(K$4,atmos_h,atmos_qms)*$D56^2)</f>
        <v>0.25794591970300801</v>
      </c>
      <c r="L56" cm="1">
        <f t="array" ref="L56">$E$3/(S*Linterp(L$4,atmos_h,atmos_qms)*$D56^2)</f>
        <v>0.32553393928342805</v>
      </c>
      <c r="M56" cm="1">
        <f t="array" ref="M56">$E$3/(S*Linterp(M$4,atmos_h,atmos_qms)*$D56^2)</f>
        <v>0.41385970300589525</v>
      </c>
      <c r="O56">
        <v>0.72</v>
      </c>
      <c r="P56" cm="1">
        <f t="array" ref="P56">E56/InterpolateXY(E56,$D56,CD_CL,CD_M,CD_table)</f>
        <v>4.8735323805479318</v>
      </c>
      <c r="Q56" cm="1">
        <f t="array" ref="Q56">F56/InterpolateXY(F56,$D56,CD_CL,CD_M,CD_table)</f>
        <v>5.7861285437210048</v>
      </c>
      <c r="R56" cm="1">
        <f t="array" ref="R56">G56/InterpolateXY(G56,$D56,CD_CL,CD_M,CD_table)</f>
        <v>6.7765012337417057</v>
      </c>
      <c r="S56" cm="1">
        <f t="array" ref="S56">H56/InterpolateXY(H56,$D56,CD_CL,CD_M,CD_table)</f>
        <v>7.8232407586241752</v>
      </c>
      <c r="T56" cm="1">
        <f t="array" ref="T56">I56/InterpolateXY(I56,$D56,CD_CL,CD_M,CD_table)</f>
        <v>9.004870654176468</v>
      </c>
      <c r="U56" cm="1">
        <f t="array" ref="U56">J56/InterpolateXY(J56,$D56,CD_CL,CD_M,CD_table)</f>
        <v>10.238409850388985</v>
      </c>
      <c r="V56" cm="1">
        <f t="array" ref="V56">K56/InterpolateXY(K56,$D56,CD_CL,CD_M,CD_table)</f>
        <v>11.031995212811768</v>
      </c>
      <c r="W56" cm="1">
        <f t="array" ref="W56">L56/InterpolateXY(L56,$D56,CD_CL,CD_M,CD_table)</f>
        <v>11.591176723049031</v>
      </c>
      <c r="X56" cm="1">
        <f t="array" ref="X56">M56/InterpolateXY(M56,$D56,CD_CL,CD_M,CD_table)</f>
        <v>10.369525612577482</v>
      </c>
    </row>
    <row r="57" spans="4:24">
      <c r="D57">
        <v>0.73</v>
      </c>
      <c r="E57" cm="1">
        <f t="array" ref="E57">$E$3/(S*Linterp(E$4,atmos_h,atmos_qms)*$D57^2)</f>
        <v>7.4515480086600167E-2</v>
      </c>
      <c r="F57" cm="1">
        <f t="array" ref="F57">$E$3/(S*Linterp(F$4,atmos_h,atmos_qms)*$D57^2)</f>
        <v>8.95568082229522E-2</v>
      </c>
      <c r="G57" cm="1">
        <f t="array" ref="G57">$E$3/(S*Linterp(G$4,atmos_h,atmos_qms)*$D57^2)</f>
        <v>0.10835416294973892</v>
      </c>
      <c r="H57" cm="1">
        <f t="array" ref="H57">$E$3/(S*Linterp(H$4,atmos_h,atmos_qms)*$D57^2)</f>
        <v>0.13203993640494935</v>
      </c>
      <c r="I57" cm="1">
        <f t="array" ref="I57">$E$3/(S*Linterp(I$4,atmos_h,atmos_qms)*$D57^2)</f>
        <v>0.16215154444978763</v>
      </c>
      <c r="J57" cm="1">
        <f t="array" ref="J57">$E$3/(S*Linterp(J$4,atmos_h,atmos_qms)*$D57^2)</f>
        <v>0.20080107112031145</v>
      </c>
      <c r="K57" cm="1">
        <f t="array" ref="K57">$E$3/(S*Linterp(K$4,atmos_h,atmos_qms)*$D57^2)</f>
        <v>0.25092731239264288</v>
      </c>
      <c r="L57" cm="1">
        <f t="array" ref="L57">$E$3/(S*Linterp(L$4,atmos_h,atmos_qms)*$D57^2)</f>
        <v>0.31667628846787227</v>
      </c>
      <c r="M57" cm="1">
        <f t="array" ref="M57">$E$3/(S*Linterp(M$4,atmos_h,atmos_qms)*$D57^2)</f>
        <v>0.40259874280025537</v>
      </c>
      <c r="O57">
        <v>0.73</v>
      </c>
      <c r="P57" cm="1">
        <f t="array" ref="P57">E57/InterpolateXY(E57,$D57,CD_CL,CD_M,CD_table)</f>
        <v>4.7548574629677871</v>
      </c>
      <c r="Q57" cm="1">
        <f t="array" ref="Q57">F57/InterpolateXY(F57,$D57,CD_CL,CD_M,CD_table)</f>
        <v>5.6469014482538933</v>
      </c>
      <c r="R57" cm="1">
        <f t="array" ref="R57">G57/InterpolateXY(G57,$D57,CD_CL,CD_M,CD_table)</f>
        <v>6.6461568204935482</v>
      </c>
      <c r="S57" cm="1">
        <f t="array" ref="S57">H57/InterpolateXY(H57,$D57,CD_CL,CD_M,CD_table)</f>
        <v>7.6805371678797654</v>
      </c>
      <c r="T57" cm="1">
        <f t="array" ref="T57">I57/InterpolateXY(I57,$D57,CD_CL,CD_M,CD_table)</f>
        <v>8.8507369067832045</v>
      </c>
      <c r="U57" cm="1">
        <f t="array" ref="U57">J57/InterpolateXY(J57,$D57,CD_CL,CD_M,CD_table)</f>
        <v>10.146558456733606</v>
      </c>
      <c r="V57" cm="1">
        <f t="array" ref="V57">K57/InterpolateXY(K57,$D57,CD_CL,CD_M,CD_table)</f>
        <v>10.94655074927779</v>
      </c>
      <c r="W57" cm="1">
        <f t="array" ref="W57">L57/InterpolateXY(L57,$D57,CD_CL,CD_M,CD_table)</f>
        <v>11.580796693974843</v>
      </c>
      <c r="X57" cm="1">
        <f t="array" ref="X57">M57/InterpolateXY(M57,$D57,CD_CL,CD_M,CD_table)</f>
        <v>10.692454736985702</v>
      </c>
    </row>
    <row r="58" spans="4:24">
      <c r="D58">
        <v>0.74</v>
      </c>
      <c r="E58" cm="1">
        <f t="array" ref="E58">$E$3/(S*Linterp(E$4,atmos_h,atmos_qms)*$D58^2)</f>
        <v>7.2515155840301729E-2</v>
      </c>
      <c r="F58" cm="1">
        <f t="array" ref="F58">$E$3/(S*Linterp(F$4,atmos_h,atmos_qms)*$D58^2)</f>
        <v>8.7152708367441961E-2</v>
      </c>
      <c r="G58" cm="1">
        <f t="array" ref="G58">$E$3/(S*Linterp(G$4,atmos_h,atmos_qms)*$D58^2)</f>
        <v>0.10544545915981714</v>
      </c>
      <c r="H58" cm="1">
        <f t="array" ref="H58">$E$3/(S*Linterp(H$4,atmos_h,atmos_qms)*$D58^2)</f>
        <v>0.12849540195434167</v>
      </c>
      <c r="I58" cm="1">
        <f t="array" ref="I58">$E$3/(S*Linterp(I$4,atmos_h,atmos_qms)*$D58^2)</f>
        <v>0.15779868158745766</v>
      </c>
      <c r="J58" cm="1">
        <f t="array" ref="J58">$E$3/(S*Linterp(J$4,atmos_h,atmos_qms)*$D58^2)</f>
        <v>0.19541068444122348</v>
      </c>
      <c r="K58" cm="1">
        <f t="array" ref="K58">$E$3/(S*Linterp(K$4,atmos_h,atmos_qms)*$D58^2)</f>
        <v>0.24419131624185422</v>
      </c>
      <c r="L58" cm="1">
        <f t="array" ref="L58">$E$3/(S*Linterp(L$4,atmos_h,atmos_qms)*$D58^2)</f>
        <v>0.30817529971608676</v>
      </c>
      <c r="M58" cm="1">
        <f t="array" ref="M58">$E$3/(S*Linterp(M$4,atmos_h,atmos_qms)*$D58^2)</f>
        <v>0.3917912162860776</v>
      </c>
      <c r="O58">
        <v>0.74</v>
      </c>
      <c r="P58" cm="1">
        <f t="array" ref="P58">E58/InterpolateXY(E58,$D58,CD_CL,CD_M,CD_table)</f>
        <v>4.6405424653256704</v>
      </c>
      <c r="Q58" cm="1">
        <f t="array" ref="Q58">F58/InterpolateXY(F58,$D58,CD_CL,CD_M,CD_table)</f>
        <v>5.5127113966770454</v>
      </c>
      <c r="R58" cm="1">
        <f t="array" ref="R58">G58/InterpolateXY(G58,$D58,CD_CL,CD_M,CD_table)</f>
        <v>6.5193597456605499</v>
      </c>
      <c r="S58" cm="1">
        <f t="array" ref="S58">H58/InterpolateXY(H58,$D58,CD_CL,CD_M,CD_table)</f>
        <v>7.541439501134767</v>
      </c>
      <c r="T58" cm="1">
        <f t="array" ref="T58">I58/InterpolateXY(I58,$D58,CD_CL,CD_M,CD_table)</f>
        <v>8.7001577795920202</v>
      </c>
      <c r="U58" cm="1">
        <f t="array" ref="U58">J58/InterpolateXY(J58,$D58,CD_CL,CD_M,CD_table)</f>
        <v>9.9965048817568292</v>
      </c>
      <c r="V58" cm="1">
        <f t="array" ref="V58">K58/InterpolateXY(K58,$D58,CD_CL,CD_M,CD_table)</f>
        <v>10.861657344254162</v>
      </c>
      <c r="W58" cm="1">
        <f t="array" ref="W58">L58/InterpolateXY(L58,$D58,CD_CL,CD_M,CD_table)</f>
        <v>11.570642294457832</v>
      </c>
      <c r="X58" cm="1">
        <f t="array" ref="X58">M58/InterpolateXY(M58,$D58,CD_CL,CD_M,CD_table)</f>
        <v>10.896284466773762</v>
      </c>
    </row>
    <row r="59" spans="4:24">
      <c r="D59">
        <v>0.75</v>
      </c>
      <c r="E59" cm="1">
        <f t="array" ref="E59">$E$3/(S*Linterp(E$4,atmos_h,atmos_qms)*$D59^2)</f>
        <v>7.0594309934487509E-2</v>
      </c>
      <c r="F59" cm="1">
        <f t="array" ref="F59">$E$3/(S*Linterp(F$4,atmos_h,atmos_qms)*$D59^2)</f>
        <v>8.4844129959131057E-2</v>
      </c>
      <c r="G59" cm="1">
        <f t="array" ref="G59">$E$3/(S*Linterp(G$4,atmos_h,atmos_qms)*$D59^2)</f>
        <v>0.10265232610829486</v>
      </c>
      <c r="H59" cm="1">
        <f t="array" ref="H59">$E$3/(S*Linterp(H$4,atmos_h,atmos_qms)*$D59^2)</f>
        <v>0.12509170152923998</v>
      </c>
      <c r="I59" cm="1">
        <f t="array" ref="I59">$E$3/(S*Linterp(I$4,atmos_h,atmos_qms)*$D59^2)</f>
        <v>0.15361876984407433</v>
      </c>
      <c r="J59" cm="1">
        <f t="array" ref="J59">$E$3/(S*Linterp(J$4,atmos_h,atmos_qms)*$D59^2)</f>
        <v>0.19023447253335818</v>
      </c>
      <c r="K59" cm="1">
        <f t="array" ref="K59">$E$3/(S*Linterp(K$4,atmos_h,atmos_qms)*$D59^2)</f>
        <v>0.23772295959829221</v>
      </c>
      <c r="L59" cm="1">
        <f t="array" ref="L59">$E$3/(S*Linterp(L$4,atmos_h,atmos_qms)*$D59^2)</f>
        <v>0.30001207844360733</v>
      </c>
      <c r="M59" cm="1">
        <f t="array" ref="M59">$E$3/(S*Linterp(M$4,atmos_h,atmos_qms)*$D59^2)</f>
        <v>0.38141310229023306</v>
      </c>
      <c r="O59">
        <v>0.75</v>
      </c>
      <c r="P59" cm="1">
        <f t="array" ref="P59">E59/InterpolateXY(E59,$D59,CD_CL,CD_M,CD_table)</f>
        <v>4.5303790894535663</v>
      </c>
      <c r="Q59" cm="1">
        <f t="array" ref="Q59">F59/InterpolateXY(F59,$D59,CD_CL,CD_M,CD_table)</f>
        <v>5.3833223595612054</v>
      </c>
      <c r="R59" cm="1">
        <f t="array" ref="R59">G59/InterpolateXY(G59,$D59,CD_CL,CD_M,CD_table)</f>
        <v>6.3959978623097049</v>
      </c>
      <c r="S59" cm="1">
        <f t="array" ref="S59">H59/InterpolateXY(H59,$D59,CD_CL,CD_M,CD_table)</f>
        <v>7.4058465876883623</v>
      </c>
      <c r="T59" cm="1">
        <f t="array" ref="T59">I59/InterpolateXY(I59,$D59,CD_CL,CD_M,CD_table)</f>
        <v>8.5530484196619962</v>
      </c>
      <c r="U59" cm="1">
        <f t="array" ref="U59">J59/InterpolateXY(J59,$D59,CD_CL,CD_M,CD_table)</f>
        <v>9.8394802969289845</v>
      </c>
      <c r="V59" cm="1">
        <f t="array" ref="V59">K59/InterpolateXY(K59,$D59,CD_CL,CD_M,CD_table)</f>
        <v>10.777330434670537</v>
      </c>
      <c r="W59" cm="1">
        <f t="array" ref="W59">L59/InterpolateXY(L59,$D59,CD_CL,CD_M,CD_table)</f>
        <v>11.56072189044335</v>
      </c>
      <c r="X59" cm="1">
        <f t="array" ref="X59">M59/InterpolateXY(M59,$D59,CD_CL,CD_M,CD_table)</f>
        <v>11.066580649566415</v>
      </c>
    </row>
    <row r="60" spans="4:24">
      <c r="D60">
        <v>0.76</v>
      </c>
      <c r="E60" cm="1">
        <f t="array" ref="E60">$E$3/(S*Linterp(E$4,atmos_h,atmos_qms)*$D60^2)</f>
        <v>6.8748786942779139E-2</v>
      </c>
      <c r="F60" cm="1">
        <f t="array" ref="F60">$E$3/(S*Linterp(F$4,atmos_h,atmos_qms)*$D60^2)</f>
        <v>8.2626078777720255E-2</v>
      </c>
      <c r="G60" cm="1">
        <f t="array" ref="G60">$E$3/(S*Linterp(G$4,atmos_h,atmos_qms)*$D60^2)</f>
        <v>9.996872132256901E-2</v>
      </c>
      <c r="H60" cm="1">
        <f t="array" ref="H60">$E$3/(S*Linterp(H$4,atmos_h,atmos_qms)*$D60^2)</f>
        <v>0.12182147179743333</v>
      </c>
      <c r="I60" cm="1">
        <f t="array" ref="I60">$E$3/(S*Linterp(I$4,atmos_h,atmos_qms)*$D60^2)</f>
        <v>0.14960276668506201</v>
      </c>
      <c r="J60" cm="1">
        <f t="array" ref="J60">$E$3/(S*Linterp(J$4,atmos_h,atmos_qms)*$D60^2)</f>
        <v>0.18526123753465021</v>
      </c>
      <c r="K60" cm="1">
        <f t="array" ref="K60">$E$3/(S*Linterp(K$4,atmos_h,atmos_qms)*$D60^2)</f>
        <v>0.23150824926253352</v>
      </c>
      <c r="L60" cm="1">
        <f t="array" ref="L60">$E$3/(S*Linterp(L$4,atmos_h,atmos_qms)*$D60^2)</f>
        <v>0.29216896489703792</v>
      </c>
      <c r="M60" cm="1">
        <f t="array" ref="M60">$E$3/(S*Linterp(M$4,atmos_h,atmos_qms)*$D60^2)</f>
        <v>0.37144194951221621</v>
      </c>
      <c r="O60">
        <v>0.76</v>
      </c>
      <c r="P60" cm="1">
        <f t="array" ref="P60">E60/InterpolateXY(E60,$D60,CD_CL,CD_M,CD_table)</f>
        <v>4.4241711154688081</v>
      </c>
      <c r="Q60" cm="1">
        <f t="array" ref="Q60">F60/InterpolateXY(F60,$D60,CD_CL,CD_M,CD_table)</f>
        <v>5.2585116679878219</v>
      </c>
      <c r="R60" cm="1">
        <f t="array" ref="R60">G60/InterpolateXY(G60,$D60,CD_CL,CD_M,CD_table)</f>
        <v>6.2756544255931948</v>
      </c>
      <c r="S60" cm="1">
        <f t="array" ref="S60">H60/InterpolateXY(H60,$D60,CD_CL,CD_M,CD_table)</f>
        <v>7.2736596567804286</v>
      </c>
      <c r="T60" cm="1">
        <f t="array" ref="T60">I60/InterpolateXY(I60,$D60,CD_CL,CD_M,CD_table)</f>
        <v>8.4093251383798737</v>
      </c>
      <c r="U60" cm="1">
        <f t="array" ref="U60">J60/InterpolateXY(J60,$D60,CD_CL,CD_M,CD_table)</f>
        <v>9.6856990965816347</v>
      </c>
      <c r="V60" cm="1">
        <f t="array" ref="V60">K60/InterpolateXY(K60,$D60,CD_CL,CD_M,CD_table)</f>
        <v>10.693584427551157</v>
      </c>
      <c r="W60" cm="1">
        <f t="array" ref="W60">L60/InterpolateXY(L60,$D60,CD_CL,CD_M,CD_table)</f>
        <v>11.484376184410792</v>
      </c>
      <c r="X60" cm="1">
        <f t="array" ref="X60">M60/InterpolateXY(M60,$D60,CD_CL,CD_M,CD_table)</f>
        <v>11.244947781719482</v>
      </c>
    </row>
    <row r="61" spans="4:24">
      <c r="D61">
        <v>0.77</v>
      </c>
      <c r="E61" cm="1">
        <f t="array" ref="E61">$E$3/(S*Linterp(E$4,atmos_h,atmos_qms)*$D61^2)</f>
        <v>6.6974699507757182E-2</v>
      </c>
      <c r="F61" cm="1">
        <f t="array" ref="F61">$E$3/(S*Linterp(F$4,atmos_h,atmos_qms)*$D61^2)</f>
        <v>8.0493882782950277E-2</v>
      </c>
      <c r="G61" cm="1">
        <f t="array" ref="G61">$E$3/(S*Linterp(G$4,atmos_h,atmos_qms)*$D61^2)</f>
        <v>9.7388992133438795E-2</v>
      </c>
      <c r="H61" cm="1">
        <f t="array" ref="H61">$E$3/(S*Linterp(H$4,atmos_h,atmos_qms)*$D61^2)</f>
        <v>0.11867782443953027</v>
      </c>
      <c r="I61" cm="1">
        <f t="array" ref="I61">$E$3/(S*Linterp(I$4,atmos_h,atmos_qms)*$D61^2)</f>
        <v>0.1457422129149803</v>
      </c>
      <c r="J61" cm="1">
        <f t="array" ref="J61">$E$3/(S*Linterp(J$4,atmos_h,atmos_qms)*$D61^2)</f>
        <v>0.18048050396359244</v>
      </c>
      <c r="K61" cm="1">
        <f t="array" ref="K61">$E$3/(S*Linterp(K$4,atmos_h,atmos_qms)*$D61^2)</f>
        <v>0.2255340947445427</v>
      </c>
      <c r="L61" cm="1">
        <f t="array" ref="L61">$E$3/(S*Linterp(L$4,atmos_h,atmos_qms)*$D61^2)</f>
        <v>0.28462943856388789</v>
      </c>
      <c r="M61" cm="1">
        <f t="array" ref="M61">$E$3/(S*Linterp(M$4,atmos_h,atmos_qms)*$D61^2)</f>
        <v>0.36185675499790199</v>
      </c>
      <c r="O61">
        <v>0.77</v>
      </c>
      <c r="P61" cm="1">
        <f t="array" ref="P61">E61/InterpolateXY(E61,$D61,CD_CL,CD_M,CD_table)</f>
        <v>4.3217335881655892</v>
      </c>
      <c r="Q61" cm="1">
        <f t="array" ref="Q61">F61/InterpolateXY(F61,$D61,CD_CL,CD_M,CD_table)</f>
        <v>5.1380691401262011</v>
      </c>
      <c r="R61" cm="1">
        <f t="array" ref="R61">G61/InterpolateXY(G61,$D61,CD_CL,CD_M,CD_table)</f>
        <v>6.1338268705895169</v>
      </c>
      <c r="S61" cm="1">
        <f t="array" ref="S61">H61/InterpolateXY(H61,$D61,CD_CL,CD_M,CD_table)</f>
        <v>7.1447823567025388</v>
      </c>
      <c r="T61" cm="1">
        <f t="array" ref="T61">I61/InterpolateXY(I61,$D61,CD_CL,CD_M,CD_table)</f>
        <v>8.2689055034991323</v>
      </c>
      <c r="U61" cm="1">
        <f t="array" ref="U61">J61/InterpolateXY(J61,$D61,CD_CL,CD_M,CD_table)</f>
        <v>9.5350974093020664</v>
      </c>
      <c r="V61" cm="1">
        <f t="array" ref="V61">K61/InterpolateXY(K61,$D61,CD_CL,CD_M,CD_table)</f>
        <v>10.610432735161709</v>
      </c>
      <c r="W61" cm="1">
        <f t="array" ref="W61">L61/InterpolateXY(L61,$D61,CD_CL,CD_M,CD_table)</f>
        <v>11.408295353218255</v>
      </c>
      <c r="X61" cm="1">
        <f t="array" ref="X61">M61/InterpolateXY(M61,$D61,CD_CL,CD_M,CD_table)</f>
        <v>11.43191879234856</v>
      </c>
    </row>
    <row r="62" spans="4:24">
      <c r="D62">
        <v>0.78</v>
      </c>
      <c r="E62" cm="1">
        <f t="array" ref="E62">$E$3/(S*Linterp(E$4,atmos_h,atmos_qms)*$D62^2)</f>
        <v>6.5268407853631208E-2</v>
      </c>
      <c r="F62" cm="1">
        <f t="array" ref="F62">$E$3/(S*Linterp(F$4,atmos_h,atmos_qms)*$D62^2)</f>
        <v>7.8443167491800164E-2</v>
      </c>
      <c r="G62" cm="1">
        <f t="array" ref="G62">$E$3/(S*Linterp(G$4,atmos_h,atmos_qms)*$D62^2)</f>
        <v>9.4907845884148356E-2</v>
      </c>
      <c r="H62" cm="1">
        <f t="array" ref="H62">$E$3/(S*Linterp(H$4,atmos_h,atmos_qms)*$D62^2)</f>
        <v>0.11565430984582098</v>
      </c>
      <c r="I62" cm="1">
        <f t="array" ref="I62">$E$3/(S*Linterp(I$4,atmos_h,atmos_qms)*$D62^2)</f>
        <v>0.1420291880954829</v>
      </c>
      <c r="J62" cm="1">
        <f t="array" ref="J62">$E$3/(S*Linterp(J$4,atmos_h,atmos_qms)*$D62^2)</f>
        <v>0.17588246351087106</v>
      </c>
      <c r="K62" cm="1">
        <f t="array" ref="K62">$E$3/(S*Linterp(K$4,atmos_h,atmos_qms)*$D62^2)</f>
        <v>0.21978823927356897</v>
      </c>
      <c r="L62" cm="1">
        <f t="array" ref="L62">$E$3/(S*Linterp(L$4,atmos_h,atmos_qms)*$D62^2)</f>
        <v>0.2773780311054061</v>
      </c>
      <c r="M62" cm="1">
        <f t="array" ref="M62">$E$3/(S*Linterp(M$4,atmos_h,atmos_qms)*$D62^2)</f>
        <v>0.3526378534488101</v>
      </c>
      <c r="O62">
        <v>0.78</v>
      </c>
      <c r="P62" cm="1">
        <f t="array" ref="P62">E62/InterpolateXY(E62,$D62,CD_CL,CD_M,CD_table)</f>
        <v>4.2228920651150164</v>
      </c>
      <c r="Q62" cm="1">
        <f t="array" ref="Q62">F62/InterpolateXY(F62,$D62,CD_CL,CD_M,CD_table)</f>
        <v>5.0217962716026223</v>
      </c>
      <c r="R62" cm="1">
        <f t="array" ref="R62">G62/InterpolateXY(G62,$D62,CD_CL,CD_M,CD_table)</f>
        <v>5.9968253853049811</v>
      </c>
      <c r="S62" cm="1">
        <f t="array" ref="S62">H62/InterpolateXY(H62,$D62,CD_CL,CD_M,CD_table)</f>
        <v>7.01912076294869</v>
      </c>
      <c r="T62" cm="1">
        <f t="array" ref="T62">I62/InterpolateXY(I62,$D62,CD_CL,CD_M,CD_table)</f>
        <v>8.131708417115286</v>
      </c>
      <c r="U62" cm="1">
        <f t="array" ref="U62">J62/InterpolateXY(J62,$D62,CD_CL,CD_M,CD_table)</f>
        <v>9.3876115538818912</v>
      </c>
      <c r="V62" cm="1">
        <f t="array" ref="V62">K62/InterpolateXY(K62,$D62,CD_CL,CD_M,CD_table)</f>
        <v>10.527887809799816</v>
      </c>
      <c r="W62" cm="1">
        <f t="array" ref="W62">L62/InterpolateXY(L62,$D62,CD_CL,CD_M,CD_table)</f>
        <v>11.332594888849673</v>
      </c>
      <c r="X62" cm="1">
        <f t="array" ref="X62">M62/InterpolateXY(M62,$D62,CD_CL,CD_M,CD_table)</f>
        <v>11.628075557316564</v>
      </c>
    </row>
    <row r="63" spans="4:24">
      <c r="D63">
        <v>0.79</v>
      </c>
      <c r="E63" cm="1">
        <f t="array" ref="E63">$E$3/(S*Linterp(E$4,atmos_h,atmos_qms)*$D63^2)</f>
        <v>6.3626501102626534E-2</v>
      </c>
      <c r="F63" cm="1">
        <f t="array" ref="F63">$E$3/(S*Linterp(F$4,atmos_h,atmos_qms)*$D63^2)</f>
        <v>7.6469833523491765E-2</v>
      </c>
      <c r="G63" cm="1">
        <f t="array" ref="G63">$E$3/(S*Linterp(G$4,atmos_h,atmos_qms)*$D63^2)</f>
        <v>9.2520322762242993E-2</v>
      </c>
      <c r="H63" cm="1">
        <f t="array" ref="H63">$E$3/(S*Linterp(H$4,atmos_h,atmos_qms)*$D63^2)</f>
        <v>0.11274488400928935</v>
      </c>
      <c r="I63" cm="1">
        <f t="array" ref="I63">$E$3/(S*Linterp(I$4,atmos_h,atmos_qms)*$D63^2)</f>
        <v>0.13845626988830606</v>
      </c>
      <c r="J63" cm="1">
        <f t="array" ref="J63">$E$3/(S*Linterp(J$4,atmos_h,atmos_qms)*$D63^2)</f>
        <v>0.17145792469157817</v>
      </c>
      <c r="K63" cm="1">
        <f t="array" ref="K63">$E$3/(S*Linterp(K$4,atmos_h,atmos_qms)*$D63^2)</f>
        <v>0.21425919688197301</v>
      </c>
      <c r="L63" cm="1">
        <f t="array" ref="L63">$E$3/(S*Linterp(L$4,atmos_h,atmos_qms)*$D63^2)</f>
        <v>0.27040024695486153</v>
      </c>
      <c r="M63" cm="1">
        <f t="array" ref="M63">$E$3/(S*Linterp(M$4,atmos_h,atmos_qms)*$D63^2)</f>
        <v>0.34376681627664801</v>
      </c>
      <c r="O63">
        <v>0.79</v>
      </c>
      <c r="P63" cm="1">
        <f t="array" ref="P63">E63/InterpolateXY(E63,$D63,CD_CL,CD_M,CD_table)</f>
        <v>4.1274819213332279</v>
      </c>
      <c r="Q63" cm="1">
        <f t="array" ref="Q63">F63/InterpolateXY(F63,$D63,CD_CL,CD_M,CD_table)</f>
        <v>4.9095054846009232</v>
      </c>
      <c r="R63" cm="1">
        <f t="array" ref="R63">G63/InterpolateXY(G63,$D63,CD_CL,CD_M,CD_table)</f>
        <v>5.8644375559855009</v>
      </c>
      <c r="S63" cm="1">
        <f t="array" ref="S63">H63/InterpolateXY(H63,$D63,CD_CL,CD_M,CD_table)</f>
        <v>6.89658337677304</v>
      </c>
      <c r="T63" cm="1">
        <f t="array" ref="T63">I63/InterpolateXY(I63,$D63,CD_CL,CD_M,CD_table)</f>
        <v>7.9976541809229307</v>
      </c>
      <c r="U63" cm="1">
        <f t="array" ref="U63">J63/InterpolateXY(J63,$D63,CD_CL,CD_M,CD_table)</f>
        <v>9.243178157834123</v>
      </c>
      <c r="V63" cm="1">
        <f t="array" ref="V63">K63/InterpolateXY(K63,$D63,CD_CL,CD_M,CD_table)</f>
        <v>10.445961178168384</v>
      </c>
      <c r="W63" cm="1">
        <f t="array" ref="W63">L63/InterpolateXY(L63,$D63,CD_CL,CD_M,CD_table)</f>
        <v>11.257288642890369</v>
      </c>
      <c r="X63" cm="1">
        <f t="array" ref="X63">M63/InterpolateXY(M63,$D63,CD_CL,CD_M,CD_table)</f>
        <v>11.6823960953288</v>
      </c>
    </row>
    <row r="64" spans="4:24">
      <c r="D64">
        <v>0.8</v>
      </c>
      <c r="E64" cm="1">
        <f t="array" ref="E64">$E$3/(S*Linterp(E$4,atmos_h,atmos_qms)*$D64^2)</f>
        <v>6.2045780215858146E-2</v>
      </c>
      <c r="F64" cm="1">
        <f t="array" ref="F64">$E$3/(S*Linterp(F$4,atmos_h,atmos_qms)*$D64^2)</f>
        <v>7.4570036096892514E-2</v>
      </c>
      <c r="G64" cm="1">
        <f t="array" ref="G64">$E$3/(S*Linterp(G$4,atmos_h,atmos_qms)*$D64^2)</f>
        <v>9.0221770993618514E-2</v>
      </c>
      <c r="H64" cm="1">
        <f t="array" ref="H64">$E$3/(S*Linterp(H$4,atmos_h,atmos_qms)*$D64^2)</f>
        <v>0.10994387829718356</v>
      </c>
      <c r="I64" cm="1">
        <f t="array" ref="I64">$E$3/(S*Linterp(I$4,atmos_h,atmos_qms)*$D64^2)</f>
        <v>0.13501649693326845</v>
      </c>
      <c r="J64" cm="1">
        <f t="array" ref="J64">$E$3/(S*Linterp(J$4,atmos_h,atmos_qms)*$D64^2)</f>
        <v>0.16719826687502179</v>
      </c>
      <c r="K64" cm="1">
        <f t="array" ref="K64">$E$3/(S*Linterp(K$4,atmos_h,atmos_qms)*$D64^2)</f>
        <v>0.20893619495943644</v>
      </c>
      <c r="L64" cm="1">
        <f t="array" ref="L64">$E$3/(S*Linterp(L$4,atmos_h,atmos_qms)*$D64^2)</f>
        <v>0.26368249081957668</v>
      </c>
      <c r="M64" cm="1">
        <f t="array" ref="M64">$E$3/(S*Linterp(M$4,atmos_h,atmos_qms)*$D64^2)</f>
        <v>0.33522635943477508</v>
      </c>
      <c r="O64">
        <v>0.8</v>
      </c>
      <c r="P64" cm="1">
        <f t="array" ref="P64">E64/InterpolateXY(E64,$D64,CD_CL,CD_M,CD_table)</f>
        <v>4.0353477058370864</v>
      </c>
      <c r="Q64" cm="1">
        <f t="array" ref="Q64">F64/InterpolateXY(F64,$D64,CD_CL,CD_M,CD_table)</f>
        <v>4.8010194310578225</v>
      </c>
      <c r="R64" cm="1">
        <f t="array" ref="R64">G64/InterpolateXY(G64,$D64,CD_CL,CD_M,CD_table)</f>
        <v>5.7364622405075902</v>
      </c>
      <c r="S64" cm="1">
        <f t="array" ref="S64">H64/InterpolateXY(H64,$D64,CD_CL,CD_M,CD_table)</f>
        <v>6.7770811153864772</v>
      </c>
      <c r="T64" cm="1">
        <f t="array" ref="T64">I64/InterpolateXY(I64,$D64,CD_CL,CD_M,CD_table)</f>
        <v>7.8666645499935157</v>
      </c>
      <c r="U64" cm="1">
        <f t="array" ref="U64">J64/InterpolateXY(J64,$D64,CD_CL,CD_M,CD_table)</f>
        <v>9.1017342632898295</v>
      </c>
      <c r="V64" cm="1">
        <f t="array" ref="V64">K64/InterpolateXY(K64,$D64,CD_CL,CD_M,CD_table)</f>
        <v>10.364663475277281</v>
      </c>
      <c r="W64" cm="1">
        <f t="array" ref="W64">L64/InterpolateXY(L64,$D64,CD_CL,CD_M,CD_table)</f>
        <v>11.182389736529785</v>
      </c>
      <c r="X64" cm="1">
        <f t="array" ref="X64">M64/InterpolateXY(M64,$D64,CD_CL,CD_M,CD_table)</f>
        <v>11.675421600026173</v>
      </c>
    </row>
    <row r="65" spans="4:24">
      <c r="D65">
        <v>0.81</v>
      </c>
      <c r="E65" cm="1">
        <f t="array" ref="E65">$E$3/(S*Linterp(E$4,atmos_h,atmos_qms)*$D65^2)</f>
        <v>6.052324239925197E-2</v>
      </c>
      <c r="F65" cm="1">
        <f t="array" ref="F65">$E$3/(S*Linterp(F$4,atmos_h,atmos_qms)*$D65^2)</f>
        <v>7.2740166288692593E-2</v>
      </c>
      <c r="G65" cm="1">
        <f t="array" ref="G65">$E$3/(S*Linterp(G$4,atmos_h,atmos_qms)*$D65^2)</f>
        <v>8.8007824166919449E-2</v>
      </c>
      <c r="H65" cm="1">
        <f t="array" ref="H65">$E$3/(S*Linterp(H$4,atmos_h,atmos_qms)*$D65^2)</f>
        <v>0.10724597181862137</v>
      </c>
      <c r="I65" cm="1">
        <f t="array" ref="I65">$E$3/(S*Linterp(I$4,atmos_h,atmos_qms)*$D65^2)</f>
        <v>0.13170333491432981</v>
      </c>
      <c r="J65" cm="1">
        <f t="array" ref="J65">$E$3/(S*Linterp(J$4,atmos_h,atmos_qms)*$D65^2)</f>
        <v>0.16309539826248126</v>
      </c>
      <c r="K65" cm="1">
        <f t="array" ref="K65">$E$3/(S*Linterp(K$4,atmos_h,atmos_qms)*$D65^2)</f>
        <v>0.20380912174064827</v>
      </c>
      <c r="L65" cm="1">
        <f t="array" ref="L65">$E$3/(S*Linterp(L$4,atmos_h,atmos_qms)*$D65^2)</f>
        <v>0.25721200140912825</v>
      </c>
      <c r="M65" cm="1">
        <f t="array" ref="M65">$E$3/(S*Linterp(M$4,atmos_h,atmos_qms)*$D65^2)</f>
        <v>0.32700025916515174</v>
      </c>
      <c r="O65">
        <v>0.81</v>
      </c>
      <c r="P65" cm="1">
        <f t="array" ref="P65">E65/InterpolateXY(E65,$D65,CD_CL,CD_M,CD_table)</f>
        <v>3.9207776043903948</v>
      </c>
      <c r="Q65" cm="1">
        <f t="array" ref="Q65">F65/InterpolateXY(F65,$D65,CD_CL,CD_M,CD_table)</f>
        <v>4.6660459348467125</v>
      </c>
      <c r="R65" cm="1">
        <f t="array" ref="R65">G65/InterpolateXY(G65,$D65,CD_CL,CD_M,CD_table)</f>
        <v>5.5771406027206485</v>
      </c>
      <c r="S65" cm="1">
        <f t="array" ref="S65">H65/InterpolateXY(H65,$D65,CD_CL,CD_M,CD_table)</f>
        <v>6.6194173036533348</v>
      </c>
      <c r="T65" cm="1">
        <f t="array" ref="T65">I65/InterpolateXY(I65,$D65,CD_CL,CD_M,CD_table)</f>
        <v>7.6934573363147383</v>
      </c>
      <c r="U65" cm="1">
        <f t="array" ref="U65">J65/InterpolateXY(J65,$D65,CD_CL,CD_M,CD_table)</f>
        <v>8.9142275902200989</v>
      </c>
      <c r="V65" cm="1">
        <f t="array" ref="V65">K65/InterpolateXY(K65,$D65,CD_CL,CD_M,CD_table)</f>
        <v>10.232372947151163</v>
      </c>
      <c r="W65" cm="1">
        <f t="array" ref="W65">L65/InterpolateXY(L65,$D65,CD_CL,CD_M,CD_table)</f>
        <v>11.060146434110079</v>
      </c>
      <c r="X65" cm="1">
        <f t="array" ref="X65">M65/InterpolateXY(M65,$D65,CD_CL,CD_M,CD_table)</f>
        <v>11.627183939893486</v>
      </c>
    </row>
    <row r="66" spans="4:24">
      <c r="D66">
        <v>0.82</v>
      </c>
      <c r="E66" cm="1">
        <f t="array" ref="E66">$E$3/(S*Linterp(E$4,atmos_h,atmos_qms)*$D66^2)</f>
        <v>5.905606683246465E-2</v>
      </c>
      <c r="F66" cm="1">
        <f t="array" ref="F66">$E$3/(S*Linterp(F$4,atmos_h,atmos_qms)*$D66^2)</f>
        <v>7.0976833881634782E-2</v>
      </c>
      <c r="G66" cm="1">
        <f t="array" ref="G66">$E$3/(S*Linterp(G$4,atmos_h,atmos_qms)*$D66^2)</f>
        <v>8.5874380481730919E-2</v>
      </c>
      <c r="H66" cm="1">
        <f t="array" ref="H66">$E$3/(S*Linterp(H$4,atmos_h,atmos_qms)*$D66^2)</f>
        <v>0.10464616613652217</v>
      </c>
      <c r="I66" cm="1">
        <f t="array" ref="I66">$E$3/(S*Linterp(I$4,atmos_h,atmos_qms)*$D66^2)</f>
        <v>0.1285106455045982</v>
      </c>
      <c r="J66" cm="1">
        <f t="array" ref="J66">$E$3/(S*Linterp(J$4,atmos_h,atmos_qms)*$D66^2)</f>
        <v>0.15914171743012193</v>
      </c>
      <c r="K66" cm="1">
        <f t="array" ref="K66">$E$3/(S*Linterp(K$4,atmos_h,atmos_qms)*$D66^2)</f>
        <v>0.1988684782481252</v>
      </c>
      <c r="L66" cm="1">
        <f t="array" ref="L66">$E$3/(S*Linterp(L$4,atmos_h,atmos_qms)*$D66^2)</f>
        <v>0.2509767907860338</v>
      </c>
      <c r="M66" cm="1">
        <f t="array" ref="M66">$E$3/(S*Linterp(M$4,atmos_h,atmos_qms)*$D66^2)</f>
        <v>0.31907327489330178</v>
      </c>
      <c r="O66">
        <v>0.82</v>
      </c>
      <c r="P66" cm="1">
        <f t="array" ref="P66">E66/InterpolateXY(E66,$D66,CD_CL,CD_M,CD_table)</f>
        <v>3.8105111334956008</v>
      </c>
      <c r="Q66" cm="1">
        <f t="array" ref="Q66">F66/InterpolateXY(F66,$D66,CD_CL,CD_M,CD_table)</f>
        <v>4.536069494850306</v>
      </c>
      <c r="R66" cm="1">
        <f t="array" ref="R66">G66/InterpolateXY(G66,$D66,CD_CL,CD_M,CD_table)</f>
        <v>5.4236120540511381</v>
      </c>
      <c r="S66" cm="1">
        <f t="array" ref="S66">H66/InterpolateXY(H66,$D66,CD_CL,CD_M,CD_table)</f>
        <v>6.4659337010565547</v>
      </c>
      <c r="T66" cm="1">
        <f t="array" ref="T66">I66/InterpolateXY(I66,$D66,CD_CL,CD_M,CD_table)</f>
        <v>7.5244172851580418</v>
      </c>
      <c r="U66" cm="1">
        <f t="array" ref="U66">J66/InterpolateXY(J66,$D66,CD_CL,CD_M,CD_table)</f>
        <v>8.7307075827167289</v>
      </c>
      <c r="V66" cm="1">
        <f t="array" ref="V66">K66/InterpolateXY(K66,$D66,CD_CL,CD_M,CD_table)</f>
        <v>10.085852317624484</v>
      </c>
      <c r="W66" cm="1">
        <f t="array" ref="W66">L66/InterpolateXY(L66,$D66,CD_CL,CD_M,CD_table)</f>
        <v>10.937690673765346</v>
      </c>
      <c r="X66" cm="1">
        <f t="array" ref="X66">M66/InterpolateXY(M66,$D66,CD_CL,CD_M,CD_table)</f>
        <v>11.577529268712077</v>
      </c>
    </row>
    <row r="67" spans="4:24">
      <c r="D67">
        <v>0.83</v>
      </c>
      <c r="E67" cm="1">
        <f t="array" ref="E67">$E$3/(S*Linterp(E$4,atmos_h,atmos_qms)*$D67^2)</f>
        <v>5.7641601594061884E-2</v>
      </c>
      <c r="F67" cm="1">
        <f t="array" ref="F67">$E$3/(S*Linterp(F$4,atmos_h,atmos_qms)*$D67^2)</f>
        <v>6.9276851650473537E-2</v>
      </c>
      <c r="G67" cm="1">
        <f t="array" ref="G67">$E$3/(S*Linterp(G$4,atmos_h,atmos_qms)*$D67^2)</f>
        <v>8.3817583736269227E-2</v>
      </c>
      <c r="H67" cm="1">
        <f t="array" ref="H67">$E$3/(S*Linterp(H$4,atmos_h,atmos_qms)*$D67^2)</f>
        <v>0.10213976209928509</v>
      </c>
      <c r="I67" cm="1">
        <f t="array" ref="I67">$E$3/(S*Linterp(I$4,atmos_h,atmos_qms)*$D67^2)</f>
        <v>0.12543265791448949</v>
      </c>
      <c r="J67" cm="1">
        <f t="array" ref="J67">$E$3/(S*Linterp(J$4,atmos_h,atmos_qms)*$D67^2)</f>
        <v>0.15533007809553487</v>
      </c>
      <c r="K67" cm="1">
        <f t="array" ref="K67">$E$3/(S*Linterp(K$4,atmos_h,atmos_qms)*$D67^2)</f>
        <v>0.19410533426337548</v>
      </c>
      <c r="L67" cm="1">
        <f t="array" ref="L67">$E$3/(S*Linterp(L$4,atmos_h,atmos_qms)*$D67^2)</f>
        <v>0.24496558880030353</v>
      </c>
      <c r="M67" cm="1">
        <f t="array" ref="M67">$E$3/(S*Linterp(M$4,atmos_h,atmos_qms)*$D67^2)</f>
        <v>0.31143107858652358</v>
      </c>
      <c r="O67">
        <v>0.83</v>
      </c>
      <c r="P67" cm="1">
        <f t="array" ref="P67">E67/InterpolateXY(E67,$D67,CD_CL,CD_M,CD_table)</f>
        <v>3.7043493096792304</v>
      </c>
      <c r="Q67" cm="1">
        <f t="array" ref="Q67">F67/InterpolateXY(F67,$D67,CD_CL,CD_M,CD_table)</f>
        <v>4.4108636977735562</v>
      </c>
      <c r="R67" cm="1">
        <f t="array" ref="R67">G67/InterpolateXY(G67,$D67,CD_CL,CD_M,CD_table)</f>
        <v>5.2756207189442641</v>
      </c>
      <c r="S67" cm="1">
        <f t="array" ref="S67">H67/InterpolateXY(H67,$D67,CD_CL,CD_M,CD_table)</f>
        <v>6.3165268595581194</v>
      </c>
      <c r="T67" cm="1">
        <f t="array" ref="T67">I67/InterpolateXY(I67,$D67,CD_CL,CD_M,CD_table)</f>
        <v>7.3594628128483697</v>
      </c>
      <c r="U67" cm="1">
        <f t="array" ref="U67">J67/InterpolateXY(J67,$D67,CD_CL,CD_M,CD_table)</f>
        <v>8.5511214942502836</v>
      </c>
      <c r="V67" cm="1">
        <f t="array" ref="V67">K67/InterpolateXY(K67,$D67,CD_CL,CD_M,CD_table)</f>
        <v>9.8937677051174848</v>
      </c>
      <c r="W67" cm="1">
        <f t="array" ref="W67">L67/InterpolateXY(L67,$D67,CD_CL,CD_M,CD_table)</f>
        <v>10.815090997298586</v>
      </c>
      <c r="X67" cm="1">
        <f t="array" ref="X67">M67/InterpolateXY(M67,$D67,CD_CL,CD_M,CD_table)</f>
        <v>11.526469169259641</v>
      </c>
    </row>
    <row r="68" spans="4:24">
      <c r="D68">
        <v>0.84</v>
      </c>
      <c r="E68" cm="1">
        <f t="array" ref="E68">$E$3/(S*Linterp(E$4,atmos_h,atmos_qms)*$D68^2)</f>
        <v>5.6277351669712629E-2</v>
      </c>
      <c r="F68" cm="1">
        <f t="array" ref="F68">$E$3/(S*Linterp(F$4,atmos_h,atmos_qms)*$D68^2)</f>
        <v>6.7637220949562399E-2</v>
      </c>
      <c r="G68" cm="1">
        <f t="array" ref="G68">$E$3/(S*Linterp(G$4,atmos_h,atmos_qms)*$D68^2)</f>
        <v>8.1833805889903452E-2</v>
      </c>
      <c r="H68" cm="1">
        <f t="array" ref="H68">$E$3/(S*Linterp(H$4,atmos_h,atmos_qms)*$D68^2)</f>
        <v>9.9722338591549747E-2</v>
      </c>
      <c r="I68" cm="1">
        <f t="array" ref="I68">$E$3/(S*Linterp(I$4,atmos_h,atmos_qms)*$D68^2)</f>
        <v>0.1224639427966154</v>
      </c>
      <c r="J68" cm="1">
        <f t="array" ref="J68">$E$3/(S*Linterp(J$4,atmos_h,atmos_qms)*$D68^2)</f>
        <v>0.1516537568027409</v>
      </c>
      <c r="K68" cm="1">
        <f t="array" ref="K68">$E$3/(S*Linterp(K$4,atmos_h,atmos_qms)*$D68^2)</f>
        <v>0.18951128794506714</v>
      </c>
      <c r="L68" cm="1">
        <f t="array" ref="L68">$E$3/(S*Linterp(L$4,atmos_h,atmos_qms)*$D68^2)</f>
        <v>0.23916779212660025</v>
      </c>
      <c r="M68" cm="1">
        <f t="array" ref="M68">$E$3/(S*Linterp(M$4,atmos_h,atmos_qms)*$D68^2)</f>
        <v>0.30406018996351492</v>
      </c>
      <c r="O68">
        <v>0.84</v>
      </c>
      <c r="P68" cm="1">
        <f t="array" ref="P68">E68/InterpolateXY(E68,$D68,CD_CL,CD_M,CD_table)</f>
        <v>3.6021039404886666</v>
      </c>
      <c r="Q68" cm="1">
        <f t="array" ref="Q68">F68/InterpolateXY(F68,$D68,CD_CL,CD_M,CD_table)</f>
        <v>4.2902140739956645</v>
      </c>
      <c r="R68" cm="1">
        <f t="array" ref="R68">G68/InterpolateXY(G68,$D68,CD_CL,CD_M,CD_table)</f>
        <v>5.1329237479513647</v>
      </c>
      <c r="S68" cm="1">
        <f t="array" ref="S68">H68/InterpolateXY(H68,$D68,CD_CL,CD_M,CD_table)</f>
        <v>6.1684445163236923</v>
      </c>
      <c r="T68" cm="1">
        <f t="array" ref="T68">I68/InterpolateXY(I68,$D68,CD_CL,CD_M,CD_table)</f>
        <v>7.1985115702861666</v>
      </c>
      <c r="U68" cm="1">
        <f t="array" ref="U68">J68/InterpolateXY(J68,$D68,CD_CL,CD_M,CD_table)</f>
        <v>8.3754141381953691</v>
      </c>
      <c r="V68" cm="1">
        <f t="array" ref="V68">K68/InterpolateXY(K68,$D68,CD_CL,CD_M,CD_table)</f>
        <v>9.7052521468190793</v>
      </c>
      <c r="W68" cm="1">
        <f t="array" ref="W68">L68/InterpolateXY(L68,$D68,CD_CL,CD_M,CD_table)</f>
        <v>10.692414656803777</v>
      </c>
      <c r="X68" cm="1">
        <f t="array" ref="X68">M68/InterpolateXY(M68,$D68,CD_CL,CD_M,CD_table)</f>
        <v>11.474016872434047</v>
      </c>
    </row>
    <row r="69" spans="4:24">
      <c r="D69">
        <v>0.85</v>
      </c>
      <c r="E69" cm="1">
        <f t="array" ref="E69">$E$3/(S*Linterp(E$4,atmos_h,atmos_qms)*$D69^2)</f>
        <v>5.4960967942075063E-2</v>
      </c>
      <c r="F69" cm="1">
        <f t="array" ref="F69">$E$3/(S*Linterp(F$4,atmos_h,atmos_qms)*$D69^2)</f>
        <v>6.6055118480292344E-2</v>
      </c>
      <c r="G69" cm="1">
        <f t="array" ref="G69">$E$3/(S*Linterp(G$4,atmos_h,atmos_qms)*$D69^2)</f>
        <v>7.991963105317075E-2</v>
      </c>
      <c r="H69" cm="1">
        <f t="array" ref="H69">$E$3/(S*Linterp(H$4,atmos_h,atmos_qms)*$D69^2)</f>
        <v>9.7389733024494815E-2</v>
      </c>
      <c r="I69" cm="1">
        <f t="array" ref="I69">$E$3/(S*Linterp(I$4,atmos_h,atmos_qms)*$D69^2)</f>
        <v>0.11959938828690909</v>
      </c>
      <c r="J69" cm="1">
        <f t="array" ref="J69">$E$3/(S*Linterp(J$4,atmos_h,atmos_qms)*$D69^2)</f>
        <v>0.1481064232526145</v>
      </c>
      <c r="K69" cm="1">
        <f t="array" ref="K69">$E$3/(S*Linterp(K$4,atmos_h,atmos_qms)*$D69^2)</f>
        <v>0.18507842875299568</v>
      </c>
      <c r="L69" cm="1">
        <f t="array" ref="L69">$E$3/(S*Linterp(L$4,atmos_h,atmos_qms)*$D69^2)</f>
        <v>0.23357341747339672</v>
      </c>
      <c r="M69" cm="1">
        <f t="array" ref="M69">$E$3/(S*Linterp(M$4,atmos_h,atmos_qms)*$D69^2)</f>
        <v>0.29694791700796691</v>
      </c>
      <c r="O69">
        <v>0.85</v>
      </c>
      <c r="P69" cm="1">
        <f t="array" ref="P69">E69/InterpolateXY(E69,$D69,CD_CL,CD_M,CD_table)</f>
        <v>3.503596962522384</v>
      </c>
      <c r="Q69" cm="1">
        <f t="array" ref="Q69">F69/InterpolateXY(F69,$D69,CD_CL,CD_M,CD_table)</f>
        <v>4.1739173921325969</v>
      </c>
      <c r="R69" cm="1">
        <f t="array" ref="R69">G69/InterpolateXY(G69,$D69,CD_CL,CD_M,CD_table)</f>
        <v>4.9952905863259289</v>
      </c>
      <c r="S69" cm="1">
        <f t="array" ref="S69">H69/InterpolateXY(H69,$D69,CD_CL,CD_M,CD_table)</f>
        <v>6.0052723122732514</v>
      </c>
      <c r="T69" cm="1">
        <f t="array" ref="T69">I69/InterpolateXY(I69,$D69,CD_CL,CD_M,CD_table)</f>
        <v>7.0414807072788577</v>
      </c>
      <c r="U69" cm="1">
        <f t="array" ref="U69">J69/InterpolateXY(J69,$D69,CD_CL,CD_M,CD_table)</f>
        <v>8.2035282006558674</v>
      </c>
      <c r="V69" cm="1">
        <f t="array" ref="V69">K69/InterpolateXY(K69,$D69,CD_CL,CD_M,CD_table)</f>
        <v>9.5202792986102711</v>
      </c>
      <c r="W69" cm="1">
        <f t="array" ref="W69">L69/InterpolateXY(L69,$D69,CD_CL,CD_M,CD_table)</f>
        <v>10.569727515942391</v>
      </c>
      <c r="X69" cm="1">
        <f t="array" ref="X69">M69/InterpolateXY(M69,$D69,CD_CL,CD_M,CD_table)</f>
        <v>11.395108305665637</v>
      </c>
    </row>
    <row r="70" spans="4:24">
      <c r="D70">
        <v>0.86</v>
      </c>
      <c r="E70" cm="1">
        <f t="array" ref="E70">$E$3/(S*Linterp(E$4,atmos_h,atmos_qms)*$D70^2)</f>
        <v>5.3690237071591707E-2</v>
      </c>
      <c r="F70" cm="1">
        <f t="array" ref="F70">$E$3/(S*Linterp(F$4,atmos_h,atmos_qms)*$D70^2)</f>
        <v>6.4527884129274238E-2</v>
      </c>
      <c r="G70" cm="1">
        <f t="array" ref="G70">$E$3/(S*Linterp(G$4,atmos_h,atmos_qms)*$D70^2)</f>
        <v>7.8071840773277265E-2</v>
      </c>
      <c r="H70" cm="1">
        <f t="array" ref="H70">$E$3/(S*Linterp(H$4,atmos_h,atmos_qms)*$D70^2)</f>
        <v>9.5138023404810035E-2</v>
      </c>
      <c r="I70" cm="1">
        <f t="array" ref="I70">$E$3/(S*Linterp(I$4,atmos_h,atmos_qms)*$D70^2)</f>
        <v>0.11683417798444</v>
      </c>
      <c r="J70" cm="1">
        <f t="array" ref="J70">$E$3/(S*Linterp(J$4,atmos_h,atmos_qms)*$D70^2)</f>
        <v>0.14468211303409137</v>
      </c>
      <c r="K70" cm="1">
        <f t="array" ref="K70">$E$3/(S*Linterp(K$4,atmos_h,atmos_qms)*$D70^2)</f>
        <v>0.18079930337214625</v>
      </c>
      <c r="L70" cm="1">
        <f t="array" ref="L70">$E$3/(S*Linterp(L$4,atmos_h,atmos_qms)*$D70^2)</f>
        <v>0.22817305857832493</v>
      </c>
      <c r="M70" cm="1">
        <f t="array" ref="M70">$E$3/(S*Linterp(M$4,atmos_h,atmos_qms)*$D70^2)</f>
        <v>0.290082301295641</v>
      </c>
      <c r="O70">
        <v>0.86</v>
      </c>
      <c r="P70" cm="1">
        <f t="array" ref="P70">E70/InterpolateXY(E70,$D70,CD_CL,CD_M,CD_table)</f>
        <v>3.3826584273503646</v>
      </c>
      <c r="Q70" cm="1">
        <f t="array" ref="Q70">F70/InterpolateXY(F70,$D70,CD_CL,CD_M,CD_table)</f>
        <v>4.0310051930452149</v>
      </c>
      <c r="R70" cm="1">
        <f t="array" ref="R70">G70/InterpolateXY(G70,$D70,CD_CL,CD_M,CD_table)</f>
        <v>4.8259642394132385</v>
      </c>
      <c r="S70" cm="1">
        <f t="array" ref="S70">H70/InterpolateXY(H70,$D70,CD_CL,CD_M,CD_table)</f>
        <v>5.804238921020052</v>
      </c>
      <c r="T70" cm="1">
        <f t="array" ref="T70">I70/InterpolateXY(I70,$D70,CD_CL,CD_M,CD_table)</f>
        <v>6.8386901760064891</v>
      </c>
      <c r="U70" cm="1">
        <f t="array" ref="U70">J70/InterpolateXY(J70,$D70,CD_CL,CD_M,CD_table)</f>
        <v>7.9801454426409055</v>
      </c>
      <c r="V70" cm="1">
        <f t="array" ref="V70">K70/InterpolateXY(K70,$D70,CD_CL,CD_M,CD_table)</f>
        <v>9.2780292705601717</v>
      </c>
      <c r="W70" cm="1">
        <f t="array" ref="W70">L70/InterpolateXY(L70,$D70,CD_CL,CD_M,CD_table)</f>
        <v>10.384892817413588</v>
      </c>
      <c r="X70" cm="1">
        <f t="array" ref="X70">M70/InterpolateXY(M70,$D70,CD_CL,CD_M,CD_table)</f>
        <v>11.222988923879752</v>
      </c>
    </row>
    <row r="71" spans="4:24">
      <c r="D71">
        <v>0.87</v>
      </c>
      <c r="E71" cm="1">
        <f t="array" ref="E71">$E$3/(S*Linterp(E$4,atmos_h,atmos_qms)*$D71^2)</f>
        <v>5.2463072186747561E-2</v>
      </c>
      <c r="F71" cm="1">
        <f t="array" ref="F71">$E$3/(S*Linterp(F$4,atmos_h,atmos_qms)*$D71^2)</f>
        <v>6.3053009779378014E-2</v>
      </c>
      <c r="G71" cm="1">
        <f t="array" ref="G71">$E$3/(S*Linterp(G$4,atmos_h,atmos_qms)*$D71^2)</f>
        <v>7.6287400496651961E-2</v>
      </c>
      <c r="H71" cm="1">
        <f t="array" ref="H71">$E$3/(S*Linterp(H$4,atmos_h,atmos_qms)*$D71^2)</f>
        <v>9.2963511838020207E-2</v>
      </c>
      <c r="I71" cm="1">
        <f t="array" ref="I71">$E$3/(S*Linterp(I$4,atmos_h,atmos_qms)*$D71^2)</f>
        <v>0.11416377069268306</v>
      </c>
      <c r="J71" cm="1">
        <f t="array" ref="J71">$E$3/(S*Linterp(J$4,atmos_h,atmos_qms)*$D71^2)</f>
        <v>0.14137520253668115</v>
      </c>
      <c r="K71" cm="1">
        <f t="array" ref="K71">$E$3/(S*Linterp(K$4,atmos_h,atmos_qms)*$D71^2)</f>
        <v>0.17666688436258338</v>
      </c>
      <c r="L71" cm="1">
        <f t="array" ref="L71">$E$3/(S*Linterp(L$4,atmos_h,atmos_qms)*$D71^2)</f>
        <v>0.22295784664358448</v>
      </c>
      <c r="M71" cm="1">
        <f t="array" ref="M71">$E$3/(S*Linterp(M$4,atmos_h,atmos_qms)*$D71^2)</f>
        <v>0.28345206769488185</v>
      </c>
      <c r="O71">
        <v>0.87</v>
      </c>
      <c r="P71" cm="1">
        <f t="array" ref="P71">E71/InterpolateXY(E71,$D71,CD_CL,CD_M,CD_table)</f>
        <v>3.267121784519782</v>
      </c>
      <c r="Q71" cm="1">
        <f t="array" ref="Q71">F71/InterpolateXY(F71,$D71,CD_CL,CD_M,CD_table)</f>
        <v>3.8944004396149152</v>
      </c>
      <c r="R71" cm="1">
        <f t="array" ref="R71">G71/InterpolateXY(G71,$D71,CD_CL,CD_M,CD_table)</f>
        <v>4.6640007868521494</v>
      </c>
      <c r="S71" cm="1">
        <f t="array" ref="S71">H71/InterpolateXY(H71,$D71,CD_CL,CD_M,CD_table)</f>
        <v>5.6117858857044762</v>
      </c>
      <c r="T71" cm="1">
        <f t="array" ref="T71">I71/InterpolateXY(I71,$D71,CD_CL,CD_M,CD_table)</f>
        <v>6.6425104146586822</v>
      </c>
      <c r="U71" cm="1">
        <f t="array" ref="U71">J71/InterpolateXY(J71,$D71,CD_CL,CD_M,CD_table)</f>
        <v>7.7633744208779021</v>
      </c>
      <c r="V71" cm="1">
        <f t="array" ref="V71">K71/InterpolateXY(K71,$D71,CD_CL,CD_M,CD_table)</f>
        <v>9.0421231387806031</v>
      </c>
      <c r="W71" cm="1">
        <f t="array" ref="W71">L71/InterpolateXY(L71,$D71,CD_CL,CD_M,CD_table)</f>
        <v>10.201472648280436</v>
      </c>
      <c r="X71" cm="1">
        <f t="array" ref="X71">M71/InterpolateXY(M71,$D71,CD_CL,CD_M,CD_table)</f>
        <v>11.051433005938874</v>
      </c>
    </row>
    <row r="72" spans="4:24">
      <c r="D72">
        <v>0.88</v>
      </c>
      <c r="E72" cm="1">
        <f t="array" ref="E72">$E$3/(S*Linterp(E$4,atmos_h,atmos_qms)*$D72^2)</f>
        <v>5.1277504310626582E-2</v>
      </c>
      <c r="F72" cm="1">
        <f t="array" ref="F72">$E$3/(S*Linterp(F$4,atmos_h,atmos_qms)*$D72^2)</f>
        <v>6.1628129005696308E-2</v>
      </c>
      <c r="G72" cm="1">
        <f t="array" ref="G72">$E$3/(S*Linterp(G$4,atmos_h,atmos_qms)*$D72^2)</f>
        <v>7.4563447102164088E-2</v>
      </c>
      <c r="H72" cm="1">
        <f t="array" ref="H72">$E$3/(S*Linterp(H$4,atmos_h,atmos_qms)*$D72^2)</f>
        <v>9.0862709336515357E-2</v>
      </c>
      <c r="I72" cm="1">
        <f t="array" ref="I72">$E$3/(S*Linterp(I$4,atmos_h,atmos_qms)*$D72^2)</f>
        <v>0.11158388176303179</v>
      </c>
      <c r="J72" cm="1">
        <f t="array" ref="J72">$E$3/(S*Linterp(J$4,atmos_h,atmos_qms)*$D72^2)</f>
        <v>0.13818038584712547</v>
      </c>
      <c r="K72" cm="1">
        <f t="array" ref="K72">$E$3/(S*Linterp(K$4,atmos_h,atmos_qms)*$D72^2)</f>
        <v>0.17267454128879051</v>
      </c>
      <c r="L72" cm="1">
        <f t="array" ref="L72">$E$3/(S*Linterp(L$4,atmos_h,atmos_qms)*$D72^2)</f>
        <v>0.21791941390047664</v>
      </c>
      <c r="M72" cm="1">
        <f t="array" ref="M72">$E$3/(S*Linterp(M$4,atmos_h,atmos_qms)*$D72^2)</f>
        <v>0.27704657804526867</v>
      </c>
      <c r="O72">
        <v>0.88</v>
      </c>
      <c r="P72" cm="1">
        <f t="array" ref="P72">E72/InterpolateXY(E72,$D72,CD_CL,CD_M,CD_table)</f>
        <v>3.1566954460567103</v>
      </c>
      <c r="Q72" cm="1">
        <f t="array" ref="Q72">F72/InterpolateXY(F72,$D72,CD_CL,CD_M,CD_table)</f>
        <v>3.7637683797937331</v>
      </c>
      <c r="R72" cm="1">
        <f t="array" ref="R72">G72/InterpolateXY(G72,$D72,CD_CL,CD_M,CD_table)</f>
        <v>4.5090176832818667</v>
      </c>
      <c r="S72" cm="1">
        <f t="array" ref="S72">H72/InterpolateXY(H72,$D72,CD_CL,CD_M,CD_table)</f>
        <v>5.42747927026792</v>
      </c>
      <c r="T72" cm="1">
        <f t="array" ref="T72">I72/InterpolateXY(I72,$D72,CD_CL,CD_M,CD_table)</f>
        <v>6.4527400045019538</v>
      </c>
      <c r="U72" cm="1">
        <f t="array" ref="U72">J72/InterpolateXY(J72,$D72,CD_CL,CD_M,CD_table)</f>
        <v>7.5530542808790901</v>
      </c>
      <c r="V72" cm="1">
        <f t="array" ref="V72">K72/InterpolateXY(K72,$D72,CD_CL,CD_M,CD_table)</f>
        <v>8.8124538888696513</v>
      </c>
      <c r="W72" cm="1">
        <f t="array" ref="W72">L72/InterpolateXY(L72,$D72,CD_CL,CD_M,CD_table)</f>
        <v>10.019587812172032</v>
      </c>
      <c r="X72" cm="1">
        <f t="array" ref="X72">M72/InterpolateXY(M72,$D72,CD_CL,CD_M,CD_table)</f>
        <v>10.880561803815189</v>
      </c>
    </row>
    <row r="73" spans="4:24">
      <c r="D73">
        <v>0.89</v>
      </c>
      <c r="E73" cm="1">
        <f t="array" ref="E73">$E$3/(S*Linterp(E$4,atmos_h,atmos_qms)*$D73^2)</f>
        <v>5.0131674457958873E-2</v>
      </c>
      <c r="F73" cm="1">
        <f t="array" ref="F73">$E$3/(S*Linterp(F$4,atmos_h,atmos_qms)*$D73^2)</f>
        <v>6.0251007577340254E-2</v>
      </c>
      <c r="G73" cm="1">
        <f t="array" ref="G73">$E$3/(S*Linterp(G$4,atmos_h,atmos_qms)*$D73^2)</f>
        <v>7.2897277409311789E-2</v>
      </c>
      <c r="H73" cm="1">
        <f t="array" ref="H73">$E$3/(S*Linterp(H$4,atmos_h,atmos_qms)*$D73^2)</f>
        <v>8.8832321815676671E-2</v>
      </c>
      <c r="I73" cm="1">
        <f t="array" ref="I73">$E$3/(S*Linterp(I$4,atmos_h,atmos_qms)*$D73^2)</f>
        <v>0.10909046589735111</v>
      </c>
      <c r="J73" cm="1">
        <f t="array" ref="J73">$E$3/(S*Linterp(J$4,atmos_h,atmos_qms)*$D73^2)</f>
        <v>0.13509265345286448</v>
      </c>
      <c r="K73" cm="1">
        <f t="array" ref="K73">$E$3/(S*Linterp(K$4,atmos_h,atmos_qms)*$D73^2)</f>
        <v>0.16881601410685437</v>
      </c>
      <c r="L73" cm="1">
        <f t="array" ref="L73">$E$3/(S*Linterp(L$4,atmos_h,atmos_qms)*$D73^2)</f>
        <v>0.21304986002339235</v>
      </c>
      <c r="M73" cm="1">
        <f t="array" ref="M73">$E$3/(S*Linterp(M$4,atmos_h,atmos_qms)*$D73^2)</f>
        <v>0.27085578845885128</v>
      </c>
      <c r="O73">
        <v>0.89</v>
      </c>
      <c r="P73" cm="1">
        <f t="array" ref="P73">E73/InterpolateXY(E73,$D73,CD_CL,CD_M,CD_table)</f>
        <v>3.0511059960215539</v>
      </c>
      <c r="Q73" cm="1">
        <f t="array" ref="Q73">F73/InterpolateXY(F73,$D73,CD_CL,CD_M,CD_table)</f>
        <v>3.6387946363176784</v>
      </c>
      <c r="R73" cm="1">
        <f t="array" ref="R73">G73/InterpolateXY(G73,$D73,CD_CL,CD_M,CD_table)</f>
        <v>4.36065497331274</v>
      </c>
      <c r="S73" cm="1">
        <f t="array" ref="S73">H73/InterpolateXY(H73,$D73,CD_CL,CD_M,CD_table)</f>
        <v>5.2509097745948887</v>
      </c>
      <c r="T73" cm="1">
        <f t="array" ref="T73">I73/InterpolateXY(I73,$D73,CD_CL,CD_M,CD_table)</f>
        <v>6.2691799799428551</v>
      </c>
      <c r="U73" cm="1">
        <f t="array" ref="U73">J73/InterpolateXY(J73,$D73,CD_CL,CD_M,CD_table)</f>
        <v>7.3490228371183077</v>
      </c>
      <c r="V73" cm="1">
        <f t="array" ref="V73">K73/InterpolateXY(K73,$D73,CD_CL,CD_M,CD_table)</f>
        <v>8.5889094171923155</v>
      </c>
      <c r="W73" cm="1">
        <f t="array" ref="W73">L73/InterpolateXY(L73,$D73,CD_CL,CD_M,CD_table)</f>
        <v>9.8393512101639171</v>
      </c>
      <c r="X73" cm="1">
        <f t="array" ref="X73">M73/InterpolateXY(M73,$D73,CD_CL,CD_M,CD_table)</f>
        <v>10.710491476351228</v>
      </c>
    </row>
    <row r="74" spans="4:24">
      <c r="D74">
        <v>0.9</v>
      </c>
      <c r="E74" cm="1">
        <f t="array" ref="E74">$E$3/(S*Linterp(E$4,atmos_h,atmos_qms)*$D74^2)</f>
        <v>4.9023826343394097E-2</v>
      </c>
      <c r="F74" cm="1">
        <f t="array" ref="F74">$E$3/(S*Linterp(F$4,atmos_h,atmos_qms)*$D74^2)</f>
        <v>5.8919534693841008E-2</v>
      </c>
      <c r="G74" cm="1">
        <f t="array" ref="G74">$E$3/(S*Linterp(G$4,atmos_h,atmos_qms)*$D74^2)</f>
        <v>7.1286337575204764E-2</v>
      </c>
      <c r="H74" cm="1">
        <f t="array" ref="H74">$E$3/(S*Linterp(H$4,atmos_h,atmos_qms)*$D74^2)</f>
        <v>8.6869237173083313E-2</v>
      </c>
      <c r="I74" cm="1">
        <f t="array" ref="I74">$E$3/(S*Linterp(I$4,atmos_h,atmos_qms)*$D74^2)</f>
        <v>0.10667970128060718</v>
      </c>
      <c r="J74" cm="1">
        <f t="array" ref="J74">$E$3/(S*Linterp(J$4,atmos_h,atmos_qms)*$D74^2)</f>
        <v>0.13210727259260985</v>
      </c>
      <c r="K74" cm="1">
        <f t="array" ref="K74">$E$3/(S*Linterp(K$4,atmos_h,atmos_qms)*$D74^2)</f>
        <v>0.16508538860992514</v>
      </c>
      <c r="L74" cm="1">
        <f t="array" ref="L74">$E$3/(S*Linterp(L$4,atmos_h,atmos_qms)*$D74^2)</f>
        <v>0.20834172114139393</v>
      </c>
      <c r="M74" cm="1">
        <f t="array" ref="M74">$E$3/(S*Linterp(M$4,atmos_h,atmos_qms)*$D74^2)</f>
        <v>0.26487020992377291</v>
      </c>
      <c r="O74">
        <v>0.9</v>
      </c>
      <c r="P74" cm="1">
        <f t="array" ref="P74">E74/InterpolateXY(E74,$D74,CD_CL,CD_M,CD_table)</f>
        <v>2.9500969278654443</v>
      </c>
      <c r="Q74" cm="1">
        <f t="array" ref="Q74">F74/InterpolateXY(F74,$D74,CD_CL,CD_M,CD_table)</f>
        <v>3.5191838374298445</v>
      </c>
      <c r="R74" cm="1">
        <f t="array" ref="R74">G74/InterpolateXY(G74,$D74,CD_CL,CD_M,CD_table)</f>
        <v>4.218573838921083</v>
      </c>
      <c r="S74" cm="1">
        <f t="array" ref="S74">H74/InterpolateXY(H74,$D74,CD_CL,CD_M,CD_table)</f>
        <v>5.0816912428855545</v>
      </c>
      <c r="T74" cm="1">
        <f t="array" ref="T74">I74/InterpolateXY(I74,$D74,CD_CL,CD_M,CD_table)</f>
        <v>6.0916343011178018</v>
      </c>
      <c r="U74" cm="1">
        <f t="array" ref="U74">J74/InterpolateXY(J74,$D74,CD_CL,CD_M,CD_table)</f>
        <v>7.1511172682997737</v>
      </c>
      <c r="V74" cm="1">
        <f t="array" ref="V74">K74/InterpolateXY(K74,$D74,CD_CL,CD_M,CD_table)</f>
        <v>8.3713733537772406</v>
      </c>
      <c r="W74" cm="1">
        <f t="array" ref="W74">L74/InterpolateXY(L74,$D74,CD_CL,CD_M,CD_table)</f>
        <v>9.6608678891974993</v>
      </c>
      <c r="X74" cm="1">
        <f t="array" ref="X74">M74/InterpolateXY(M74,$D74,CD_CL,CD_M,CD_table)</f>
        <v>10.541332963179986</v>
      </c>
    </row>
    <row r="75" spans="4:24">
      <c r="D75">
        <v>0.91</v>
      </c>
      <c r="E75" cm="1">
        <f t="array" ref="E75">$E$3/(S*Linterp(E$4,atmos_h,atmos_qms)*$D75^2)</f>
        <v>4.7952299647565776E-2</v>
      </c>
      <c r="F75" cm="1">
        <f t="array" ref="F75">$E$3/(S*Linterp(F$4,atmos_h,atmos_qms)*$D75^2)</f>
        <v>5.7631714891934804E-2</v>
      </c>
      <c r="G75" cm="1">
        <f t="array" ref="G75">$E$3/(S*Linterp(G$4,atmos_h,atmos_qms)*$D75^2)</f>
        <v>6.9728213302639605E-2</v>
      </c>
      <c r="H75" cm="1">
        <f t="array" ref="H75">$E$3/(S*Linterp(H$4,atmos_h,atmos_qms)*$D75^2)</f>
        <v>8.4970513356113372E-2</v>
      </c>
      <c r="I75" cm="1">
        <f t="array" ref="I75">$E$3/(S*Linterp(I$4,atmos_h,atmos_qms)*$D75^2)</f>
        <v>0.10434797492729357</v>
      </c>
      <c r="J75" cm="1">
        <f t="array" ref="J75">$E$3/(S*Linterp(J$4,atmos_h,atmos_qms)*$D75^2)</f>
        <v>0.12921976911002772</v>
      </c>
      <c r="K75" cm="1">
        <f t="array" ref="K75">$E$3/(S*Linterp(K$4,atmos_h,atmos_qms)*$D75^2)</f>
        <v>0.16147707375200984</v>
      </c>
      <c r="L75" cm="1">
        <f t="array" ref="L75">$E$3/(S*Linterp(L$4,atmos_h,atmos_qms)*$D75^2)</f>
        <v>0.20378794122029839</v>
      </c>
      <c r="M75" cm="1">
        <f t="array" ref="M75">$E$3/(S*Linterp(M$4,atmos_h,atmos_qms)*$D75^2)</f>
        <v>0.25908087192157481</v>
      </c>
      <c r="O75">
        <v>0.91</v>
      </c>
      <c r="P75" cm="1">
        <f t="array" ref="P75">E75/InterpolateXY(E75,$D75,CD_CL,CD_M,CD_table)</f>
        <v>2.8447201301876071</v>
      </c>
      <c r="Q75" cm="1">
        <f t="array" ref="Q75">F75/InterpolateXY(F75,$D75,CD_CL,CD_M,CD_table)</f>
        <v>3.3942855921920296</v>
      </c>
      <c r="R75" cm="1">
        <f t="array" ref="R75">G75/InterpolateXY(G75,$D75,CD_CL,CD_M,CD_table)</f>
        <v>4.0700421068199981</v>
      </c>
      <c r="S75" cm="1">
        <f t="array" ref="S75">H75/InterpolateXY(H75,$D75,CD_CL,CD_M,CD_table)</f>
        <v>4.9045377572240261</v>
      </c>
      <c r="T75" cm="1">
        <f t="array" ref="T75">I75/InterpolateXY(I75,$D75,CD_CL,CD_M,CD_table)</f>
        <v>5.9020328953458767</v>
      </c>
      <c r="U75" cm="1">
        <f t="array" ref="U75">J75/InterpolateXY(J75,$D75,CD_CL,CD_M,CD_table)</f>
        <v>6.9383876011185475</v>
      </c>
      <c r="V75" cm="1">
        <f t="array" ref="V75">K75/InterpolateXY(K75,$D75,CD_CL,CD_M,CD_table)</f>
        <v>8.1356623693270453</v>
      </c>
      <c r="W75" cm="1">
        <f t="array" ref="W75">L75/InterpolateXY(L75,$D75,CD_CL,CD_M,CD_table)</f>
        <v>9.4566981052477086</v>
      </c>
      <c r="X75" cm="1">
        <f t="array" ref="X75">M75/InterpolateXY(M75,$D75,CD_CL,CD_M,CD_table)</f>
        <v>10.343844244776035</v>
      </c>
    </row>
    <row r="76" spans="4:24">
      <c r="D76">
        <v>0.92</v>
      </c>
      <c r="E76" cm="1">
        <f t="array" ref="E76">$E$3/(S*Linterp(E$4,atmos_h,atmos_qms)*$D76^2)</f>
        <v>4.6915523792709385E-2</v>
      </c>
      <c r="F76" cm="1">
        <f t="array" ref="F76">$E$3/(S*Linterp(F$4,atmos_h,atmos_qms)*$D76^2)</f>
        <v>5.638566056475805E-2</v>
      </c>
      <c r="G76" cm="1">
        <f t="array" ref="G76">$E$3/(S*Linterp(G$4,atmos_h,atmos_qms)*$D76^2)</f>
        <v>6.8220620789125538E-2</v>
      </c>
      <c r="H76" cm="1">
        <f t="array" ref="H76">$E$3/(S*Linterp(H$4,atmos_h,atmos_qms)*$D76^2)</f>
        <v>8.3133367332463945E-2</v>
      </c>
      <c r="I76" cm="1">
        <f t="array" ref="I76">$E$3/(S*Linterp(I$4,atmos_h,atmos_qms)*$D76^2)</f>
        <v>0.10209186913668693</v>
      </c>
      <c r="J76" cm="1">
        <f t="array" ref="J76">$E$3/(S*Linterp(J$4,atmos_h,atmos_qms)*$D76^2)</f>
        <v>0.12642591068054582</v>
      </c>
      <c r="K76" cm="1">
        <f t="array" ref="K76">$E$3/(S*Linterp(K$4,atmos_h,atmos_qms)*$D76^2)</f>
        <v>0.15798578068766467</v>
      </c>
      <c r="L76" cm="1">
        <f t="array" ref="L76">$E$3/(S*Linterp(L$4,atmos_h,atmos_qms)*$D76^2)</f>
        <v>0.19938184561026595</v>
      </c>
      <c r="M76" cm="1">
        <f t="array" ref="M76">$E$3/(S*Linterp(M$4,atmos_h,atmos_qms)*$D76^2)</f>
        <v>0.25347928879756154</v>
      </c>
      <c r="O76">
        <v>0.92</v>
      </c>
      <c r="P76" cm="1">
        <f t="array" ref="P76">E76/InterpolateXY(E76,$D76,CD_CL,CD_M,CD_table)</f>
        <v>2.7442675557679248</v>
      </c>
      <c r="Q76" cm="1">
        <f t="array" ref="Q76">F76/InterpolateXY(F76,$D76,CD_CL,CD_M,CD_table)</f>
        <v>3.2751707691102401</v>
      </c>
      <c r="R76" cm="1">
        <f t="array" ref="R76">G76/InterpolateXY(G76,$D76,CD_CL,CD_M,CD_table)</f>
        <v>3.9283106106102785</v>
      </c>
      <c r="S76" cm="1">
        <f t="array" ref="S76">H76/InterpolateXY(H76,$D76,CD_CL,CD_M,CD_table)</f>
        <v>4.7353807207295393</v>
      </c>
      <c r="T76" cm="1">
        <f t="array" ref="T76">I76/InterpolateXY(I76,$D76,CD_CL,CD_M,CD_table)</f>
        <v>5.7195285025569849</v>
      </c>
      <c r="U76" cm="1">
        <f t="array" ref="U76">J76/InterpolateXY(J76,$D76,CD_CL,CD_M,CD_table)</f>
        <v>6.7330816519004069</v>
      </c>
      <c r="V76" cm="1">
        <f t="array" ref="V76">K76/InterpolateXY(K76,$D76,CD_CL,CD_M,CD_table)</f>
        <v>7.9074897954996857</v>
      </c>
      <c r="W76" cm="1">
        <f t="array" ref="W76">L76/InterpolateXY(L76,$D76,CD_CL,CD_M,CD_table)</f>
        <v>9.2492901739328079</v>
      </c>
      <c r="X76" cm="1">
        <f t="array" ref="X76">M76/InterpolateXY(M76,$D76,CD_CL,CD_M,CD_table)</f>
        <v>10.14894098800074</v>
      </c>
    </row>
    <row r="77" spans="4:24">
      <c r="D77">
        <v>0.93</v>
      </c>
      <c r="E77" cm="1">
        <f t="array" ref="E77">$E$3/(S*Linterp(E$4,atmos_h,atmos_qms)*$D77^2)</f>
        <v>4.5912012184240049E-2</v>
      </c>
      <c r="F77" cm="1">
        <f t="array" ref="F77">$E$3/(S*Linterp(F$4,atmos_h,atmos_qms)*$D77^2)</f>
        <v>5.5179585041058167E-2</v>
      </c>
      <c r="G77" cm="1">
        <f t="array" ref="G77">$E$3/(S*Linterp(G$4,atmos_h,atmos_qms)*$D77^2)</f>
        <v>6.6761398353469587E-2</v>
      </c>
      <c r="H77" cm="1">
        <f t="array" ref="H77">$E$3/(S*Linterp(H$4,atmos_h,atmos_qms)*$D77^2)</f>
        <v>8.135516488634234E-2</v>
      </c>
      <c r="I77" cm="1">
        <f t="array" ref="I77">$E$3/(S*Linterp(I$4,atmos_h,atmos_qms)*$D77^2)</f>
        <v>9.9908148962067067E-2</v>
      </c>
      <c r="J77" cm="1">
        <f t="array" ref="J77">$E$3/(S*Linterp(J$4,atmos_h,atmos_qms)*$D77^2)</f>
        <v>0.12372169129380732</v>
      </c>
      <c r="K77" cm="1">
        <f t="array" ref="K77">$E$3/(S*Linterp(K$4,atmos_h,atmos_qms)*$D77^2)</f>
        <v>0.15460650338078313</v>
      </c>
      <c r="L77" cm="1">
        <f t="array" ref="L77">$E$3/(S*Linterp(L$4,atmos_h,atmos_qms)*$D77^2)</f>
        <v>0.19511711657362593</v>
      </c>
      <c r="M77" cm="1">
        <f t="array" ref="M77">$E$3/(S*Linterp(M$4,atmos_h,atmos_qms)*$D77^2)</f>
        <v>0.24805742864869471</v>
      </c>
      <c r="O77">
        <v>0.93</v>
      </c>
      <c r="P77" cm="1">
        <f t="array" ref="P77">E77/InterpolateXY(E77,$D77,CD_CL,CD_M,CD_table)</f>
        <v>2.6108060787009393</v>
      </c>
      <c r="Q77" cm="1">
        <f t="array" ref="Q77">F77/InterpolateXY(F77,$D77,CD_CL,CD_M,CD_table)</f>
        <v>3.1168673580094217</v>
      </c>
      <c r="R77" cm="1">
        <f t="array" ref="R77">G77/InterpolateXY(G77,$D77,CD_CL,CD_M,CD_table)</f>
        <v>3.739881300636017</v>
      </c>
      <c r="S77" cm="1">
        <f t="array" ref="S77">H77/InterpolateXY(H77,$D77,CD_CL,CD_M,CD_table)</f>
        <v>4.5103902760343288</v>
      </c>
      <c r="T77" cm="1">
        <f t="array" ref="T77">I77/InterpolateXY(I77,$D77,CD_CL,CD_M,CD_table)</f>
        <v>5.4672805306871455</v>
      </c>
      <c r="U77" cm="1">
        <f t="array" ref="U77">J77/InterpolateXY(J77,$D77,CD_CL,CD_M,CD_table)</f>
        <v>6.4497655934535487</v>
      </c>
      <c r="V77" cm="1">
        <f t="array" ref="V77">K77/InterpolateXY(K77,$D77,CD_CL,CD_M,CD_table)</f>
        <v>7.5922603867837539</v>
      </c>
      <c r="W77" cm="1">
        <f t="array" ref="W77">L77/InterpolateXY(L77,$D77,CD_CL,CD_M,CD_table)</f>
        <v>8.9040784569520941</v>
      </c>
      <c r="X77" cm="1">
        <f t="array" ref="X77">M77/InterpolateXY(M77,$D77,CD_CL,CD_M,CD_table)</f>
        <v>9.8577638562215615</v>
      </c>
    </row>
    <row r="78" spans="4:24">
      <c r="D78">
        <v>0.94</v>
      </c>
      <c r="E78" cm="1">
        <f t="array" ref="E78">$E$3/(S*Linterp(E$4,atmos_h,atmos_qms)*$D78^2)</f>
        <v>4.4940356878847017E-2</v>
      </c>
      <c r="F78" cm="1">
        <f t="array" ref="F78">$E$3/(S*Linterp(F$4,atmos_h,atmos_qms)*$D78^2)</f>
        <v>5.4011796177015868E-2</v>
      </c>
      <c r="G78" cm="1">
        <f t="array" ref="G78">$E$3/(S*Linterp(G$4,atmos_h,atmos_qms)*$D78^2)</f>
        <v>6.5348498682566619E-2</v>
      </c>
      <c r="H78" cm="1">
        <f t="array" ref="H78">$E$3/(S*Linterp(H$4,atmos_h,atmos_qms)*$D78^2)</f>
        <v>7.9633411170436277E-2</v>
      </c>
      <c r="I78" cm="1">
        <f t="array" ref="I78">$E$3/(S*Linterp(I$4,atmos_h,atmos_qms)*$D78^2)</f>
        <v>9.7793750608071314E-2</v>
      </c>
      <c r="J78" cm="1">
        <f t="array" ref="J78">$E$3/(S*Linterp(J$4,atmos_h,atmos_qms)*$D78^2)</f>
        <v>0.12110331688548436</v>
      </c>
      <c r="K78" cm="1">
        <f t="array" ref="K78">$E$3/(S*Linterp(K$4,atmos_h,atmos_qms)*$D78^2)</f>
        <v>0.15133450064965978</v>
      </c>
      <c r="L78" cm="1">
        <f t="array" ref="L78">$E$3/(S*Linterp(L$4,atmos_h,atmos_qms)*$D78^2)</f>
        <v>0.19098777062531588</v>
      </c>
      <c r="M78" cm="1">
        <f t="array" ref="M78">$E$3/(S*Linterp(M$4,atmos_h,atmos_qms)*$D78^2)</f>
        <v>0.24280768451590776</v>
      </c>
      <c r="O78">
        <v>0.94</v>
      </c>
      <c r="P78" cm="1">
        <f t="array" ref="P78">E78/InterpolateXY(E78,$D78,CD_CL,CD_M,CD_table)</f>
        <v>2.4862942573203162</v>
      </c>
      <c r="Q78" cm="1">
        <f t="array" ref="Q78">F78/InterpolateXY(F78,$D78,CD_CL,CD_M,CD_table)</f>
        <v>2.9690920813711044</v>
      </c>
      <c r="R78" cm="1">
        <f t="array" ref="R78">G78/InterpolateXY(G78,$D78,CD_CL,CD_M,CD_table)</f>
        <v>3.5638556128925623</v>
      </c>
      <c r="S78" cm="1">
        <f t="array" ref="S78">H78/InterpolateXY(H78,$D78,CD_CL,CD_M,CD_table)</f>
        <v>4.300020962965923</v>
      </c>
      <c r="T78" cm="1">
        <f t="array" ref="T78">I78/InterpolateXY(I78,$D78,CD_CL,CD_M,CD_table)</f>
        <v>5.2151771656356498</v>
      </c>
      <c r="U78" cm="1">
        <f t="array" ref="U78">J78/InterpolateXY(J78,$D78,CD_CL,CD_M,CD_table)</f>
        <v>6.1817787593311033</v>
      </c>
      <c r="V78" cm="1">
        <f t="array" ref="V78">K78/InterpolateXY(K78,$D78,CD_CL,CD_M,CD_table)</f>
        <v>7.2927914410092152</v>
      </c>
      <c r="W78" cm="1">
        <f t="array" ref="W78">L78/InterpolateXY(L78,$D78,CD_CL,CD_M,CD_table)</f>
        <v>8.5744979563107488</v>
      </c>
      <c r="X78" cm="1">
        <f t="array" ref="X78">M78/InterpolateXY(M78,$D78,CD_CL,CD_M,CD_table)</f>
        <v>9.5745518653962325</v>
      </c>
    </row>
    <row r="79" spans="4:24">
      <c r="D79">
        <v>0.95</v>
      </c>
      <c r="E79" cm="1">
        <f t="array" ref="E79">$E$3/(S*Linterp(E$4,atmos_h,atmos_qms)*$D79^2)</f>
        <v>4.3999223643378646E-2</v>
      </c>
      <c r="F79" cm="1">
        <f t="array" ref="F79">$E$3/(S*Linterp(F$4,atmos_h,atmos_qms)*$D79^2)</f>
        <v>5.2880690417740968E-2</v>
      </c>
      <c r="G79" cm="1">
        <f t="array" ref="G79">$E$3/(S*Linterp(G$4,atmos_h,atmos_qms)*$D79^2)</f>
        <v>6.3979981646444167E-2</v>
      </c>
      <c r="H79" cm="1">
        <f t="array" ref="H79">$E$3/(S*Linterp(H$4,atmos_h,atmos_qms)*$D79^2)</f>
        <v>7.796574195035734E-2</v>
      </c>
      <c r="I79" cm="1">
        <f t="array" ref="I79">$E$3/(S*Linterp(I$4,atmos_h,atmos_qms)*$D79^2)</f>
        <v>9.5745770678439687E-2</v>
      </c>
      <c r="J79" cm="1">
        <f t="array" ref="J79">$E$3/(S*Linterp(J$4,atmos_h,atmos_qms)*$D79^2)</f>
        <v>0.11856719202217614</v>
      </c>
      <c r="K79" cm="1">
        <f t="array" ref="K79">$E$3/(S*Linterp(K$4,atmos_h,atmos_qms)*$D79^2)</f>
        <v>0.14816527952802147</v>
      </c>
      <c r="L79" cm="1">
        <f t="array" ref="L79">$E$3/(S*Linterp(L$4,atmos_h,atmos_qms)*$D79^2)</f>
        <v>0.18698813753410429</v>
      </c>
      <c r="M79" cm="1">
        <f t="array" ref="M79">$E$3/(S*Linterp(M$4,atmos_h,atmos_qms)*$D79^2)</f>
        <v>0.2377228476878184</v>
      </c>
      <c r="O79">
        <v>0.95</v>
      </c>
      <c r="P79" cm="1">
        <f t="array" ref="P79">E79/InterpolateXY(E79,$D79,CD_CL,CD_M,CD_table)</f>
        <v>2.2488293660293683</v>
      </c>
      <c r="Q79" cm="1">
        <f t="array" ref="Q79">F79/InterpolateXY(F79,$D79,CD_CL,CD_M,CD_table)</f>
        <v>2.6870929180855216</v>
      </c>
      <c r="R79" cm="1">
        <f t="array" ref="R79">G79/InterpolateXY(G79,$D79,CD_CL,CD_M,CD_table)</f>
        <v>3.227702595409379</v>
      </c>
      <c r="S79" cm="1">
        <f t="array" ref="S79">H79/InterpolateXY(H79,$D79,CD_CL,CD_M,CD_table)</f>
        <v>3.897924632612519</v>
      </c>
      <c r="T79" cm="1">
        <f t="array" ref="T79">I79/InterpolateXY(I79,$D79,CD_CL,CD_M,CD_table)</f>
        <v>4.7327826958306831</v>
      </c>
      <c r="U79" cm="1">
        <f t="array" ref="U79">J79/InterpolateXY(J79,$D79,CD_CL,CD_M,CD_table)</f>
        <v>5.6458510248009262</v>
      </c>
      <c r="V79" cm="1">
        <f t="array" ref="V79">K79/InterpolateXY(K79,$D79,CD_CL,CD_M,CD_table)</f>
        <v>6.6916632824677809</v>
      </c>
      <c r="W79" cm="1">
        <f t="array" ref="W79">L79/InterpolateXY(L79,$D79,CD_CL,CD_M,CD_table)</f>
        <v>7.9103575226906351</v>
      </c>
      <c r="X79" cm="1">
        <f t="array" ref="X79">M79/InterpolateXY(M79,$D79,CD_CL,CD_M,CD_table)</f>
        <v>8.9491641094671728</v>
      </c>
    </row>
    <row r="80" spans="4:24">
      <c r="D80">
        <v>0.96</v>
      </c>
      <c r="E80" cm="1">
        <f t="array" ref="E80">$E$3/(S*Linterp(E$4,atmos_h,atmos_qms)*$D80^2)</f>
        <v>4.3087347372123726E-2</v>
      </c>
      <c r="F80" cm="1">
        <f t="array" ref="F80">$E$3/(S*Linterp(F$4,atmos_h,atmos_qms)*$D80^2)</f>
        <v>5.1784747289508708E-2</v>
      </c>
      <c r="G80" cm="1">
        <f t="array" ref="G80">$E$3/(S*Linterp(G$4,atmos_h,atmos_qms)*$D80^2)</f>
        <v>6.2654007634457318E-2</v>
      </c>
      <c r="H80" cm="1">
        <f t="array" ref="H80">$E$3/(S*Linterp(H$4,atmos_h,atmos_qms)*$D80^2)</f>
        <v>7.6349915484155262E-2</v>
      </c>
      <c r="I80" cm="1">
        <f t="array" ref="I80">$E$3/(S*Linterp(I$4,atmos_h,atmos_qms)*$D80^2)</f>
        <v>9.3761456203658652E-2</v>
      </c>
      <c r="J80" cm="1">
        <f t="array" ref="J80">$E$3/(S*Linterp(J$4,atmos_h,atmos_qms)*$D80^2)</f>
        <v>0.1161099075520985</v>
      </c>
      <c r="K80" cm="1">
        <f t="array" ref="K80">$E$3/(S*Linterp(K$4,atmos_h,atmos_qms)*$D80^2)</f>
        <v>0.14509457983294202</v>
      </c>
      <c r="L80" cm="1">
        <f t="array" ref="L80">$E$3/(S*Linterp(L$4,atmos_h,atmos_qms)*$D80^2)</f>
        <v>0.1831128408469283</v>
      </c>
      <c r="M80" cm="1">
        <f t="array" ref="M80">$E$3/(S*Linterp(M$4,atmos_h,atmos_qms)*$D80^2)</f>
        <v>0.23279608294081605</v>
      </c>
      <c r="O80">
        <v>0.96</v>
      </c>
      <c r="P80" cm="1">
        <f t="array" ref="P80">E80/InterpolateXY(E80,$D80,CD_CL,CD_M,CD_table)</f>
        <v>2.0463384230914508</v>
      </c>
      <c r="Q80" cm="1">
        <f t="array" ref="Q80">F80/InterpolateXY(F80,$D80,CD_CL,CD_M,CD_table)</f>
        <v>2.4463667061537064</v>
      </c>
      <c r="R80" cm="1">
        <f t="array" ref="R80">G80/InterpolateXY(G80,$D80,CD_CL,CD_M,CD_table)</f>
        <v>2.940365668028901</v>
      </c>
      <c r="S80" cm="1">
        <f t="array" ref="S80">H80/InterpolateXY(H80,$D80,CD_CL,CD_M,CD_table)</f>
        <v>3.5536523816147465</v>
      </c>
      <c r="T80" cm="1">
        <f t="array" ref="T80">I80/InterpolateXY(I80,$D80,CD_CL,CD_M,CD_table)</f>
        <v>4.318909131817712</v>
      </c>
      <c r="U80" cm="1">
        <f t="array" ref="U80">J80/InterpolateXY(J80,$D80,CD_CL,CD_M,CD_table)</f>
        <v>5.180366691584946</v>
      </c>
      <c r="V80" cm="1">
        <f t="array" ref="V80">K80/InterpolateXY(K80,$D80,CD_CL,CD_M,CD_table)</f>
        <v>6.1650134673486994</v>
      </c>
      <c r="W80" cm="1">
        <f t="array" ref="W80">L80/InterpolateXY(L80,$D80,CD_CL,CD_M,CD_table)</f>
        <v>7.3226194360283765</v>
      </c>
      <c r="X80" cm="1">
        <f t="array" ref="X80">M80/InterpolateXY(M80,$D80,CD_CL,CD_M,CD_table)</f>
        <v>8.3813923192386657</v>
      </c>
    </row>
    <row r="81" spans="4:24">
      <c r="D81">
        <v>0.97</v>
      </c>
      <c r="E81" cm="1">
        <f t="array" ref="E81">$E$3/(S*Linterp(E$4,atmos_h,atmos_qms)*$D81^2)</f>
        <v>4.2203527833084523E-2</v>
      </c>
      <c r="F81" cm="1">
        <f t="array" ref="F81">$E$3/(S*Linterp(F$4,atmos_h,atmos_qms)*$D81^2)</f>
        <v>5.0722524287396348E-2</v>
      </c>
      <c r="G81" cm="1">
        <f t="array" ref="G81">$E$3/(S*Linterp(G$4,atmos_h,atmos_qms)*$D81^2)</f>
        <v>6.1368831369875504E-2</v>
      </c>
      <c r="H81" cm="1">
        <f t="array" ref="H81">$E$3/(S*Linterp(H$4,atmos_h,atmos_qms)*$D81^2)</f>
        <v>7.4783804984799127E-2</v>
      </c>
      <c r="I81" cm="1">
        <f t="array" ref="I81">$E$3/(S*Linterp(I$4,atmos_h,atmos_qms)*$D81^2)</f>
        <v>9.1838195384516763E-2</v>
      </c>
      <c r="J81" cm="1">
        <f t="array" ref="J81">$E$3/(S*Linterp(J$4,atmos_h,atmos_qms)*$D81^2)</f>
        <v>0.1137282291423254</v>
      </c>
      <c r="K81" cm="1">
        <f t="array" ref="K81">$E$3/(S*Linterp(K$4,atmos_h,atmos_qms)*$D81^2)</f>
        <v>0.14211835984062002</v>
      </c>
      <c r="L81" cm="1">
        <f t="array" ref="L81">$E$3/(S*Linterp(L$4,atmos_h,atmos_qms)*$D81^2)</f>
        <v>0.17935677981138176</v>
      </c>
      <c r="M81" cm="1">
        <f t="array" ref="M81">$E$3/(S*Linterp(M$4,atmos_h,atmos_qms)*$D81^2)</f>
        <v>0.22802090555665439</v>
      </c>
      <c r="O81">
        <v>0.97</v>
      </c>
      <c r="P81" cm="1">
        <f t="array" ref="P81">E81/InterpolateXY(E81,$D81,CD_CL,CD_M,CD_table)</f>
        <v>1.6682129179396137</v>
      </c>
      <c r="Q81" cm="1">
        <f t="array" ref="Q81">F81/InterpolateXY(F81,$D81,CD_CL,CD_M,CD_table)</f>
        <v>1.9962115842446915</v>
      </c>
      <c r="R81" cm="1">
        <f t="array" ref="R81">G81/InterpolateXY(G81,$D81,CD_CL,CD_M,CD_table)</f>
        <v>2.4021185324033856</v>
      </c>
      <c r="S81" cm="1">
        <f t="array" ref="S81">H81/InterpolateXY(H81,$D81,CD_CL,CD_M,CD_table)</f>
        <v>2.9073654514181788</v>
      </c>
      <c r="T81" cm="1">
        <f t="array" ref="T81">I81/InterpolateXY(I81,$D81,CD_CL,CD_M,CD_table)</f>
        <v>3.5398767198645826</v>
      </c>
      <c r="U81" cm="1">
        <f t="array" ref="U81">J81/InterpolateXY(J81,$D81,CD_CL,CD_M,CD_table)</f>
        <v>4.2778451757696532</v>
      </c>
      <c r="V81" cm="1">
        <f t="array" ref="V81">K81/InterpolateXY(K81,$D81,CD_CL,CD_M,CD_table)</f>
        <v>5.1319947406644353</v>
      </c>
      <c r="W81" cm="1">
        <f t="array" ref="W81">L81/InterpolateXY(L81,$D81,CD_CL,CD_M,CD_table)</f>
        <v>6.1539648829289995</v>
      </c>
      <c r="X81" cm="1">
        <f t="array" ref="X81">M81/InterpolateXY(M81,$D81,CD_CL,CD_M,CD_table)</f>
        <v>7.1769327384748633</v>
      </c>
    </row>
    <row r="82" spans="4:24">
      <c r="D82">
        <v>0.98</v>
      </c>
      <c r="E82" cm="1">
        <f t="array" ref="E82">$E$3/(S*Linterp(E$4,atmos_h,atmos_qms)*$D82^2)</f>
        <v>4.1346625716523561E-2</v>
      </c>
      <c r="F82" cm="1">
        <f t="array" ref="F82">$E$3/(S*Linterp(F$4,atmos_h,atmos_qms)*$D82^2)</f>
        <v>4.9692652126209103E-2</v>
      </c>
      <c r="G82" cm="1">
        <f t="array" ref="G82">$E$3/(S*Linterp(G$4,atmos_h,atmos_qms)*$D82^2)</f>
        <v>6.0122796164010686E-2</v>
      </c>
      <c r="H82" cm="1">
        <f t="array" ref="H82">$E$3/(S*Linterp(H$4,atmos_h,atmos_qms)*$D82^2)</f>
        <v>7.3265391618281439E-2</v>
      </c>
      <c r="I82" cm="1">
        <f t="array" ref="I82">$E$3/(S*Linterp(I$4,atmos_h,atmos_qms)*$D82^2)</f>
        <v>8.9973508993431719E-2</v>
      </c>
      <c r="J82" cm="1">
        <f t="array" ref="J82">$E$3/(S*Linterp(J$4,atmos_h,atmos_qms)*$D82^2)</f>
        <v>0.11141908663058515</v>
      </c>
      <c r="K82" cm="1">
        <f t="array" ref="K82">$E$3/(S*Linterp(K$4,atmos_h,atmos_qms)*$D82^2)</f>
        <v>0.13923278298004932</v>
      </c>
      <c r="L82" cm="1">
        <f t="array" ref="L82">$E$3/(S*Linterp(L$4,atmos_h,atmos_qms)*$D82^2)</f>
        <v>0.17571511258280831</v>
      </c>
      <c r="M82" cm="1">
        <f t="array" ref="M82">$E$3/(S*Linterp(M$4,atmos_h,atmos_qms)*$D82^2)</f>
        <v>0.22339115997319461</v>
      </c>
      <c r="O82">
        <v>0.98</v>
      </c>
      <c r="P82" cm="1">
        <f t="array" ref="P82">E82/InterpolateXY(E82,$D82,CD_CL,CD_M,CD_table)</f>
        <v>1.3996049170322755</v>
      </c>
      <c r="Q82" cm="1">
        <f t="array" ref="Q82">F82/InterpolateXY(F82,$D82,CD_CL,CD_M,CD_table)</f>
        <v>1.6759197373133938</v>
      </c>
      <c r="R82" cm="1">
        <f t="array" ref="R82">G82/InterpolateXY(G82,$D82,CD_CL,CD_M,CD_table)</f>
        <v>2.0183827749088508</v>
      </c>
      <c r="S82" cm="1">
        <f t="array" ref="S82">H82/InterpolateXY(H82,$D82,CD_CL,CD_M,CD_table)</f>
        <v>2.4454585400489885</v>
      </c>
      <c r="T82" cm="1">
        <f t="array" ref="T82">I82/InterpolateXY(I82,$D82,CD_CL,CD_M,CD_table)</f>
        <v>2.9813626568882978</v>
      </c>
      <c r="U82" cm="1">
        <f t="array" ref="U82">J82/InterpolateXY(J82,$D82,CD_CL,CD_M,CD_table)</f>
        <v>3.6223518122393181</v>
      </c>
      <c r="V82" cm="1">
        <f t="array" ref="V82">K82/InterpolateXY(K82,$D82,CD_CL,CD_M,CD_table)</f>
        <v>4.3712622689209182</v>
      </c>
      <c r="W82" cm="1">
        <f t="array" ref="W82">L82/InterpolateXY(L82,$D82,CD_CL,CD_M,CD_table)</f>
        <v>5.2790123015749</v>
      </c>
      <c r="X82" cm="1">
        <f t="array" ref="X82">M82/InterpolateXY(M82,$D82,CD_CL,CD_M,CD_table)</f>
        <v>6.2448396646387225</v>
      </c>
    </row>
    <row r="83" spans="4:24">
      <c r="D83">
        <v>0.99</v>
      </c>
      <c r="E83" cm="1">
        <f t="array" ref="E83">$E$3/(S*Linterp(E$4,atmos_h,atmos_qms)*$D83^2)</f>
        <v>4.0515558961482734E-2</v>
      </c>
      <c r="F83" cm="1">
        <f t="array" ref="F83">$E$3/(S*Linterp(F$4,atmos_h,atmos_qms)*$D83^2)</f>
        <v>4.8693830325488442E-2</v>
      </c>
      <c r="G83" cm="1">
        <f t="array" ref="G83">$E$3/(S*Linterp(G$4,atmos_h,atmos_qms)*$D83^2)</f>
        <v>5.8914328574549403E-2</v>
      </c>
      <c r="H83" cm="1">
        <f t="array" ref="H83">$E$3/(S*Linterp(H$4,atmos_h,atmos_qms)*$D83^2)</f>
        <v>7.1792757994283737E-2</v>
      </c>
      <c r="I83" cm="1">
        <f t="array" ref="I83">$E$3/(S*Linterp(I$4,atmos_h,atmos_qms)*$D83^2)</f>
        <v>8.8165042380667094E-2</v>
      </c>
      <c r="J83" cm="1">
        <f t="array" ref="J83">$E$3/(S*Linterp(J$4,atmos_h,atmos_qms)*$D83^2)</f>
        <v>0.10917956412612384</v>
      </c>
      <c r="K83" cm="1">
        <f t="array" ref="K83">$E$3/(S*Linterp(K$4,atmos_h,atmos_qms)*$D83^2)</f>
        <v>0.13643420546274806</v>
      </c>
      <c r="L83" cm="1">
        <f t="array" ref="L83">$E$3/(S*Linterp(L$4,atmos_h,atmos_qms)*$D83^2)</f>
        <v>0.17218324061272228</v>
      </c>
      <c r="M83" cm="1">
        <f t="array" ref="M83">$E$3/(S*Linterp(M$4,atmos_h,atmos_qms)*$D83^2)</f>
        <v>0.21890099993700246</v>
      </c>
      <c r="O83">
        <v>0.99</v>
      </c>
      <c r="P83" cm="1">
        <f t="array" ref="P83">E83/InterpolateXY(E83,$D83,CD_CL,CD_M,CD_table)</f>
        <v>1.284706087328835</v>
      </c>
      <c r="Q83" cm="1">
        <f t="array" ref="Q83">F83/InterpolateXY(F83,$D83,CD_CL,CD_M,CD_table)</f>
        <v>1.5387433389334453</v>
      </c>
      <c r="R83" cm="1">
        <f t="array" ref="R83">G83/InterpolateXY(G83,$D83,CD_CL,CD_M,CD_table)</f>
        <v>1.8537818996240125</v>
      </c>
      <c r="S83" cm="1">
        <f t="array" ref="S83">H83/InterpolateXY(H83,$D83,CD_CL,CD_M,CD_table)</f>
        <v>2.2469464859411072</v>
      </c>
      <c r="T83" cm="1">
        <f t="array" ref="T83">I83/InterpolateXY(I83,$D83,CD_CL,CD_M,CD_table)</f>
        <v>2.7407526229929839</v>
      </c>
      <c r="U83" cm="1">
        <f t="array" ref="U83">J83/InterpolateXY(J83,$D83,CD_CL,CD_M,CD_table)</f>
        <v>3.3398574267024879</v>
      </c>
      <c r="V83" cm="1">
        <f t="array" ref="V83">K83/InterpolateXY(K83,$D83,CD_CL,CD_M,CD_table)</f>
        <v>4.0397109076052811</v>
      </c>
      <c r="W83" cm="1">
        <f t="array" ref="W83">L83/InterpolateXY(L83,$D83,CD_CL,CD_M,CD_table)</f>
        <v>4.8923638145603885</v>
      </c>
      <c r="X83" cm="1">
        <f t="array" ref="X83">M83/InterpolateXY(M83,$D83,CD_CL,CD_M,CD_table)</f>
        <v>5.8292470472367262</v>
      </c>
    </row>
    <row r="84" spans="4:24">
      <c r="D84">
        <v>1</v>
      </c>
      <c r="E84" cm="1">
        <f t="array" ref="E84">$E$3/(S*Linterp(E$4,atmos_h,atmos_qms)*$D84^2)</f>
        <v>3.9709299338149227E-2</v>
      </c>
      <c r="F84" cm="1">
        <f t="array" ref="F84">$E$3/(S*Linterp(F$4,atmos_h,atmos_qms)*$D84^2)</f>
        <v>4.7724823102011218E-2</v>
      </c>
      <c r="G84" cm="1">
        <f t="array" ref="G84">$E$3/(S*Linterp(G$4,atmos_h,atmos_qms)*$D84^2)</f>
        <v>5.7741933435915861E-2</v>
      </c>
      <c r="H84" cm="1">
        <f t="array" ref="H84">$E$3/(S*Linterp(H$4,atmos_h,atmos_qms)*$D84^2)</f>
        <v>7.0364082110197498E-2</v>
      </c>
      <c r="I84" cm="1">
        <f t="array" ref="I84">$E$3/(S*Linterp(I$4,atmos_h,atmos_qms)*$D84^2)</f>
        <v>8.6410558037291821E-2</v>
      </c>
      <c r="J84" cm="1">
        <f t="array" ref="J84">$E$3/(S*Linterp(J$4,atmos_h,atmos_qms)*$D84^2)</f>
        <v>0.10700689080001397</v>
      </c>
      <c r="K84" cm="1">
        <f t="array" ref="K84">$E$3/(S*Linterp(K$4,atmos_h,atmos_qms)*$D84^2)</f>
        <v>0.13371916477403936</v>
      </c>
      <c r="L84" cm="1">
        <f t="array" ref="L84">$E$3/(S*Linterp(L$4,atmos_h,atmos_qms)*$D84^2)</f>
        <v>0.1687567941245291</v>
      </c>
      <c r="M84" cm="1">
        <f t="array" ref="M84">$E$3/(S*Linterp(M$4,atmos_h,atmos_qms)*$D84^2)</f>
        <v>0.21454487003825609</v>
      </c>
      <c r="O84">
        <v>1</v>
      </c>
      <c r="P84" cm="1">
        <f t="array" ref="P84">E84/InterpolateXY(E84,$D84,CD_CL,CD_M,CD_table)</f>
        <v>1.1842173283977966</v>
      </c>
      <c r="Q84" cm="1">
        <f t="array" ref="Q84">F84/InterpolateXY(F84,$D84,CD_CL,CD_M,CD_table)</f>
        <v>1.4187132741056478</v>
      </c>
      <c r="R84" cm="1">
        <f t="array" ref="R84">G84/InterpolateXY(G84,$D84,CD_CL,CD_M,CD_table)</f>
        <v>1.7096694110215822</v>
      </c>
      <c r="S84" cm="1">
        <f t="array" ref="S84">H84/InterpolateXY(H84,$D84,CD_CL,CD_M,CD_table)</f>
        <v>2.0730145704943994</v>
      </c>
      <c r="T84" cm="1">
        <f t="array" ref="T84">I84/InterpolateXY(I84,$D84,CD_CL,CD_M,CD_table)</f>
        <v>2.5297384879953975</v>
      </c>
      <c r="U84" cm="1">
        <f t="array" ref="U84">J84/InterpolateXY(J84,$D84,CD_CL,CD_M,CD_table)</f>
        <v>3.0907483415263282</v>
      </c>
      <c r="V84" cm="1">
        <f t="array" ref="V84">K84/InterpolateXY(K84,$D84,CD_CL,CD_M,CD_table)</f>
        <v>3.746105972039723</v>
      </c>
      <c r="W84" cm="1">
        <f t="array" ref="W84">L84/InterpolateXY(L84,$D84,CD_CL,CD_M,CD_table)</f>
        <v>4.5482074426655403</v>
      </c>
      <c r="X84" cm="1">
        <f t="array" ref="X84">M84/InterpolateXY(M84,$D84,CD_CL,CD_M,CD_table)</f>
        <v>5.4543679395009814</v>
      </c>
    </row>
    <row r="86" spans="4:24">
      <c r="O86" t="s">
        <v>584</v>
      </c>
      <c r="P86" s="2" cm="1">
        <f t="array" ref="P86">y_max($O7:$O84,P7:P84)</f>
        <v>11.353992743944019</v>
      </c>
      <c r="Q86" s="2" cm="1">
        <f t="array" ref="Q86">y_max($O9:$O84,Q9:Q84)</f>
        <v>11.399870711296671</v>
      </c>
      <c r="R86" s="2" cm="1">
        <f t="array" ref="R86">y_max($O11:$O84,R11:R84)</f>
        <v>11.402236614556671</v>
      </c>
      <c r="S86" s="2" cm="1">
        <f t="array" ref="S86">y_max($O14:$O84,S14:S84)</f>
        <v>11.450201096523188</v>
      </c>
      <c r="T86" s="2" cm="1">
        <f t="array" ref="T86">y_max($O17:$O84,T17:T84)</f>
        <v>11.477158926653942</v>
      </c>
      <c r="U86" s="2" cm="1">
        <f t="array" ref="U86">y_max($O21:$O84,U21:U84)</f>
        <v>11.500069716214199</v>
      </c>
      <c r="V86" s="2" cm="1">
        <f t="array" ref="V86">y_max($O25:$O84,V25:V84)</f>
        <v>11.576301811494375</v>
      </c>
      <c r="W86" s="2" cm="1">
        <f t="array" ref="W86">y_max($O30:$O84,W30:W84)</f>
        <v>11.620460201037844</v>
      </c>
      <c r="X86" s="2" cm="1">
        <f t="array" ref="X86">y_max($O36:$O84,X36:X84)</f>
        <v>11.68696752558796</v>
      </c>
    </row>
    <row r="87" spans="4:24">
      <c r="O87" t="s">
        <v>585</v>
      </c>
      <c r="P87" s="2" cm="1">
        <f t="array" ref="P87">x_at_ymax($O7:$O84,P7:P84)</f>
        <v>0.34351968051788229</v>
      </c>
      <c r="Q87" s="2" cm="1">
        <f t="array" ref="Q87">x_at_ymax($O9:$O84,Q9:Q84)</f>
        <v>0.37395429886123693</v>
      </c>
      <c r="R87" s="2" cm="1">
        <f t="array" ref="R87">x_at_ymax($O11:$O84,R11:R84)</f>
        <v>0.41354230143706827</v>
      </c>
      <c r="S87" s="2" cm="1">
        <f t="array" ref="S87">x_at_ymax($O14:$O84,S14:S84)</f>
        <v>0.45399460003774728</v>
      </c>
      <c r="T87" s="2" cm="1">
        <f t="array" ref="T87">x_at_ymax($O17:$O84,T17:T84)</f>
        <v>0.50388938697630759</v>
      </c>
      <c r="U87" s="2" cm="1">
        <f t="array" ref="U87">x_at_ymax($O21:$O84,U21:U84)</f>
        <v>0.56271397325226369</v>
      </c>
      <c r="V87" s="2" cm="1">
        <f t="array" ref="V87">x_at_ymax($O25:$O84,V25:V84)</f>
        <v>0.62427768439285669</v>
      </c>
      <c r="W87" s="2" cm="1">
        <f t="array" ref="W87">x_at_ymax($O30:$O84,W30:W84)</f>
        <v>0.70393716407108065</v>
      </c>
      <c r="X87" s="2" cm="1">
        <f t="array" ref="X87">x_at_ymax($O36:$O84,X36:X84)</f>
        <v>0.79386214348448114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8C469-7E0B-44EA-B287-8F2CA441A206}">
  <sheetPr codeName="Sheet11">
    <tabColor theme="2" tint="-9.9978637043366805E-2"/>
  </sheetPr>
  <dimension ref="B1:Q98"/>
  <sheetViews>
    <sheetView topLeftCell="A72" workbookViewId="0">
      <selection activeCell="J92" sqref="J92:M98"/>
    </sheetView>
  </sheetViews>
  <sheetFormatPr defaultRowHeight="14.5"/>
  <cols>
    <col min="1" max="1" width="2.7265625" customWidth="1"/>
    <col min="2" max="17" width="12.7265625" customWidth="1"/>
  </cols>
  <sheetData>
    <row r="1" spans="2:17" ht="15" thickBot="1"/>
    <row r="2" spans="2:17">
      <c r="B2" s="621" t="s">
        <v>329</v>
      </c>
      <c r="C2" s="622"/>
      <c r="F2" t="s">
        <v>6</v>
      </c>
      <c r="G2" s="18">
        <v>10000</v>
      </c>
      <c r="H2" t="s">
        <v>5</v>
      </c>
      <c r="I2" s="123" t="s">
        <v>220</v>
      </c>
      <c r="J2" s="133" t="s">
        <v>221</v>
      </c>
    </row>
    <row r="3" spans="2:17" ht="15" thickBot="1">
      <c r="B3" s="623" t="s">
        <v>219</v>
      </c>
      <c r="C3" s="624"/>
      <c r="I3" s="126" t="s">
        <v>209</v>
      </c>
      <c r="J3" s="41">
        <f>K63</f>
        <v>47407.120593366897</v>
      </c>
    </row>
    <row r="4" spans="2:17">
      <c r="I4" s="126" t="s">
        <v>211</v>
      </c>
      <c r="J4" s="41">
        <f>K66</f>
        <v>47185.437542897707</v>
      </c>
    </row>
    <row r="5" spans="2:17">
      <c r="I5" s="126" t="s">
        <v>213</v>
      </c>
      <c r="J5" s="41">
        <f>K69</f>
        <v>46702.509661095763</v>
      </c>
    </row>
    <row r="6" spans="2:17" ht="15" thickBot="1">
      <c r="I6" s="128" t="s">
        <v>215</v>
      </c>
      <c r="J6" s="47">
        <f>K72</f>
        <v>46129.594518981146</v>
      </c>
    </row>
    <row r="7" spans="2:17" ht="15" thickBot="1"/>
    <row r="8" spans="2:17">
      <c r="B8" s="6" t="s">
        <v>1</v>
      </c>
      <c r="C8" s="6" t="s">
        <v>17</v>
      </c>
      <c r="D8" s="6" t="s">
        <v>0</v>
      </c>
      <c r="E8" s="6" t="s">
        <v>184</v>
      </c>
      <c r="F8" s="6" t="s">
        <v>72</v>
      </c>
      <c r="G8" s="6" t="s">
        <v>185</v>
      </c>
      <c r="H8" s="6" t="s">
        <v>6</v>
      </c>
      <c r="I8" s="6" t="s">
        <v>74</v>
      </c>
      <c r="J8" s="6" t="s">
        <v>75</v>
      </c>
      <c r="K8" s="6" t="s">
        <v>186</v>
      </c>
      <c r="L8" s="6" t="s">
        <v>187</v>
      </c>
      <c r="M8" s="6" t="s">
        <v>188</v>
      </c>
      <c r="N8" s="299" t="s">
        <v>204</v>
      </c>
      <c r="O8" s="300" t="s">
        <v>205</v>
      </c>
      <c r="P8" s="301" t="s">
        <v>206</v>
      </c>
      <c r="Q8" s="302" t="s">
        <v>207</v>
      </c>
    </row>
    <row r="9" spans="2:17">
      <c r="B9" s="6" t="s">
        <v>30</v>
      </c>
      <c r="C9" s="6" t="s">
        <v>69</v>
      </c>
      <c r="D9" s="6" t="s">
        <v>196</v>
      </c>
      <c r="E9" s="6" t="s">
        <v>197</v>
      </c>
      <c r="F9" s="5"/>
      <c r="G9" s="6" t="s">
        <v>69</v>
      </c>
      <c r="H9" s="6" t="s">
        <v>78</v>
      </c>
      <c r="I9" s="5"/>
      <c r="J9" s="5"/>
      <c r="K9" s="6" t="s">
        <v>78</v>
      </c>
      <c r="L9" s="6" t="s">
        <v>78</v>
      </c>
      <c r="M9" s="6" t="s">
        <v>69</v>
      </c>
      <c r="N9" s="327" t="s">
        <v>208</v>
      </c>
      <c r="O9" s="328" t="s">
        <v>208</v>
      </c>
      <c r="P9" s="316" t="s">
        <v>208</v>
      </c>
      <c r="Q9" s="329" t="s">
        <v>208</v>
      </c>
    </row>
    <row r="10" spans="2:17">
      <c r="B10" s="120">
        <v>0</v>
      </c>
      <c r="C10" s="7" cm="1">
        <f t="array" ref="C10">Linterp(B10,atmos_h,atmos_aspeed)</f>
        <v>1116.45</v>
      </c>
      <c r="D10" s="7" cm="1">
        <f t="array" ref="D10">Linterp(B10,atmos_h,atmos_qms)</f>
        <v>1481.354</v>
      </c>
      <c r="E10" s="16">
        <v>496</v>
      </c>
      <c r="F10" s="11">
        <f t="shared" ref="F10:F41" si="0">E10/C10*6076.4/3600</f>
        <v>0.74987047238021309</v>
      </c>
      <c r="G10" s="7">
        <f t="shared" ref="G10:G41" si="1">F10*C10</f>
        <v>837.19288888888889</v>
      </c>
      <c r="H10" s="120">
        <v>10000</v>
      </c>
      <c r="I10" s="11">
        <f t="shared" ref="I10:I41" si="2">H10/(D10*F10*F10*_xlfn.SINGLE(S))</f>
        <v>7.0618700020515374E-2</v>
      </c>
      <c r="J10" s="11">
        <f t="shared" ref="J10:J40" si="3">InterpolateXY(I10,F10,CD_CL,CD_M,CD_table)</f>
        <v>1.5582992805496017E-2</v>
      </c>
      <c r="K10" s="12">
        <f t="shared" ref="K10:K41" si="4">J10*D10*F10*F10*_xlfn.SINGLE(S)</f>
        <v>2206.6382984916199</v>
      </c>
      <c r="L10" s="12">
        <f t="shared" ref="L10:L41" si="5">_xlfn.SINGLE(InterpolateXY(B10,F10,Tmil_h,Tmil_M,Tmil_table))*_xlfn.SINGLE(numeng)</f>
        <v>4099.9481889520848</v>
      </c>
      <c r="M10" s="16">
        <f t="shared" ref="M10:M60" si="6">(L10-K10)*G10/H10</f>
        <v>158.50655767565021</v>
      </c>
      <c r="N10" s="273">
        <f>M10*60</f>
        <v>9510.3934605390132</v>
      </c>
      <c r="O10" s="121">
        <f>N10-100</f>
        <v>9410.3934605390132</v>
      </c>
      <c r="P10" s="121">
        <f>N10-300</f>
        <v>9210.3934605390132</v>
      </c>
      <c r="Q10" s="303">
        <f>N10-500</f>
        <v>9010.3934605390132</v>
      </c>
    </row>
    <row r="11" spans="2:17">
      <c r="B11" s="120">
        <v>1000</v>
      </c>
      <c r="C11" s="7" cm="1">
        <f t="array" ref="C11">Linterp(B11,atmos_h,atmos_aspeed)</f>
        <v>1112.6054288919283</v>
      </c>
      <c r="D11" s="7" cm="1">
        <f t="array" ref="D11">Linterp(B11,atmos_h,atmos_qms)</f>
        <v>1428.5989841193521</v>
      </c>
      <c r="E11" s="16">
        <v>496</v>
      </c>
      <c r="F11" s="11">
        <f t="shared" si="0"/>
        <v>0.75246162489308566</v>
      </c>
      <c r="G11" s="7">
        <f t="shared" si="1"/>
        <v>837.19288888888889</v>
      </c>
      <c r="H11" s="120">
        <v>10000</v>
      </c>
      <c r="I11" s="11">
        <f t="shared" si="2"/>
        <v>7.2723040732496663E-2</v>
      </c>
      <c r="J11" s="11">
        <f t="shared" si="3"/>
        <v>1.5604114759370038E-2</v>
      </c>
      <c r="K11" s="12">
        <f t="shared" si="4"/>
        <v>2145.690636997424</v>
      </c>
      <c r="L11" s="12">
        <f t="shared" si="5"/>
        <v>4039.394983577462</v>
      </c>
      <c r="M11" s="16">
        <f t="shared" si="6"/>
        <v>158.53958126147876</v>
      </c>
      <c r="N11" s="273">
        <f t="shared" ref="N11:N60" si="7">M11*60</f>
        <v>9512.3748756887253</v>
      </c>
      <c r="O11" s="121">
        <f t="shared" ref="O11:O60" si="8">N11-100</f>
        <v>9412.3748756887253</v>
      </c>
      <c r="P11" s="121">
        <f t="shared" ref="P11:P60" si="9">N11-300</f>
        <v>9212.3748756887253</v>
      </c>
      <c r="Q11" s="303">
        <f t="shared" ref="Q11:Q60" si="10">N11-500</f>
        <v>9012.3748756887253</v>
      </c>
    </row>
    <row r="12" spans="2:17">
      <c r="B12" s="120">
        <v>2000</v>
      </c>
      <c r="C12" s="7" cm="1">
        <f t="array" ref="C12">Linterp(B12,atmos_h,atmos_aspeed)</f>
        <v>1108.7475268516198</v>
      </c>
      <c r="D12" s="7" cm="1">
        <f t="array" ref="D12">Linterp(B12,atmos_h,atmos_qms)</f>
        <v>1377.3756937914036</v>
      </c>
      <c r="E12" s="16">
        <v>496</v>
      </c>
      <c r="F12" s="11">
        <f t="shared" si="0"/>
        <v>0.75507982531078766</v>
      </c>
      <c r="G12" s="7">
        <f t="shared" si="1"/>
        <v>837.19288888888889</v>
      </c>
      <c r="H12" s="120">
        <v>10000</v>
      </c>
      <c r="I12" s="11">
        <f t="shared" si="2"/>
        <v>7.4905366008632651E-2</v>
      </c>
      <c r="J12" s="11">
        <f t="shared" si="3"/>
        <v>1.5626157424486333E-2</v>
      </c>
      <c r="K12" s="12">
        <f t="shared" si="4"/>
        <v>2086.1198946261684</v>
      </c>
      <c r="L12" s="12">
        <f t="shared" si="5"/>
        <v>3979.1556115883363</v>
      </c>
      <c r="M12" s="16">
        <f t="shared" si="6"/>
        <v>158.48360406534064</v>
      </c>
      <c r="N12" s="273">
        <f t="shared" si="7"/>
        <v>9509.0162439204378</v>
      </c>
      <c r="O12" s="121">
        <f t="shared" si="8"/>
        <v>9409.0162439204378</v>
      </c>
      <c r="P12" s="121">
        <f t="shared" si="9"/>
        <v>9209.0162439204378</v>
      </c>
      <c r="Q12" s="303">
        <f t="shared" si="10"/>
        <v>9009.0162439204378</v>
      </c>
    </row>
    <row r="13" spans="2:17">
      <c r="B13" s="120">
        <v>3000</v>
      </c>
      <c r="C13" s="7" cm="1">
        <f t="array" ref="C13">Linterp(B13,atmos_h,atmos_aspeed)</f>
        <v>1104.8761542360191</v>
      </c>
      <c r="D13" s="7" cm="1">
        <f t="array" ref="D13">Linterp(B13,atmos_h,atmos_qms)</f>
        <v>1327.6498704479548</v>
      </c>
      <c r="E13" s="16">
        <v>496</v>
      </c>
      <c r="F13" s="11">
        <f t="shared" si="0"/>
        <v>0.7577255475006397</v>
      </c>
      <c r="G13" s="7">
        <f t="shared" si="1"/>
        <v>837.19288888888889</v>
      </c>
      <c r="H13" s="120">
        <v>10000</v>
      </c>
      <c r="I13" s="11">
        <f t="shared" si="2"/>
        <v>7.7169140085552534E-2</v>
      </c>
      <c r="J13" s="11">
        <f t="shared" si="3"/>
        <v>1.5649163156068128E-2</v>
      </c>
      <c r="K13" s="12">
        <f t="shared" si="4"/>
        <v>2027.9043071775698</v>
      </c>
      <c r="L13" s="12">
        <f t="shared" si="5"/>
        <v>3919.2350403296032</v>
      </c>
      <c r="M13" s="16">
        <f t="shared" si="6"/>
        <v>158.34086403318912</v>
      </c>
      <c r="N13" s="273">
        <f t="shared" si="7"/>
        <v>9500.4518419913475</v>
      </c>
      <c r="O13" s="121">
        <f t="shared" si="8"/>
        <v>9400.4518419913475</v>
      </c>
      <c r="P13" s="121">
        <f t="shared" si="9"/>
        <v>9200.4518419913475</v>
      </c>
      <c r="Q13" s="303">
        <f t="shared" si="10"/>
        <v>9000.4518419913475</v>
      </c>
    </row>
    <row r="14" spans="2:17">
      <c r="B14" s="120">
        <v>4000</v>
      </c>
      <c r="C14" s="7" cm="1">
        <f t="array" ref="C14">Linterp(B14,atmos_h,atmos_aspeed)</f>
        <v>1100.9911689469482</v>
      </c>
      <c r="D14" s="7" cm="1">
        <f t="array" ref="D14">Linterp(B14,atmos_h,atmos_qms)</f>
        <v>1279.3877901163921</v>
      </c>
      <c r="E14" s="16">
        <v>496</v>
      </c>
      <c r="F14" s="11">
        <f t="shared" si="0"/>
        <v>0.76039927703473642</v>
      </c>
      <c r="G14" s="7">
        <f t="shared" si="1"/>
        <v>837.19288888888877</v>
      </c>
      <c r="H14" s="120">
        <v>10000</v>
      </c>
      <c r="I14" s="11">
        <f t="shared" si="2"/>
        <v>7.9518006960370563E-2</v>
      </c>
      <c r="J14" s="11">
        <f t="shared" si="3"/>
        <v>1.5673176532935162E-2</v>
      </c>
      <c r="K14" s="12">
        <f t="shared" si="4"/>
        <v>1971.0223045135187</v>
      </c>
      <c r="L14" s="12">
        <f t="shared" si="5"/>
        <v>3859.6383542222497</v>
      </c>
      <c r="M14" s="16">
        <f t="shared" si="6"/>
        <v>158.11359266575735</v>
      </c>
      <c r="N14" s="273">
        <f t="shared" si="7"/>
        <v>9486.8155599454403</v>
      </c>
      <c r="O14" s="121">
        <f t="shared" si="8"/>
        <v>9386.8155599454403</v>
      </c>
      <c r="P14" s="121">
        <f t="shared" si="9"/>
        <v>9186.8155599454403</v>
      </c>
      <c r="Q14" s="303">
        <f t="shared" si="10"/>
        <v>8986.8155599454403</v>
      </c>
    </row>
    <row r="15" spans="2:17">
      <c r="B15" s="120">
        <v>5000</v>
      </c>
      <c r="C15" s="7" cm="1">
        <f t="array" ref="C15">Linterp(B15,atmos_h,atmos_aspeed)</f>
        <v>1097.0924263702484</v>
      </c>
      <c r="D15" s="7" cm="1">
        <f t="array" ref="D15">Linterp(B15,atmos_h,atmos_qms)</f>
        <v>1232.5562587425445</v>
      </c>
      <c r="E15" s="16">
        <v>496</v>
      </c>
      <c r="F15" s="11">
        <f t="shared" si="0"/>
        <v>0.76310151156430617</v>
      </c>
      <c r="G15" s="7">
        <f t="shared" si="1"/>
        <v>837.19288888888877</v>
      </c>
      <c r="H15" s="120">
        <v>10000</v>
      </c>
      <c r="I15" s="11">
        <f t="shared" si="2"/>
        <v>8.1955801080324367E-2</v>
      </c>
      <c r="J15" s="11">
        <f t="shared" si="3"/>
        <v>1.5698244490375442E-2</v>
      </c>
      <c r="K15" s="12">
        <f t="shared" si="4"/>
        <v>1915.4525101877402</v>
      </c>
      <c r="L15" s="12">
        <f t="shared" si="5"/>
        <v>3800.370758408013</v>
      </c>
      <c r="M15" s="16">
        <f t="shared" si="6"/>
        <v>157.80401535469139</v>
      </c>
      <c r="N15" s="273">
        <f t="shared" si="7"/>
        <v>9468.2409212814837</v>
      </c>
      <c r="O15" s="121">
        <f t="shared" si="8"/>
        <v>9368.2409212814837</v>
      </c>
      <c r="P15" s="121">
        <f t="shared" si="9"/>
        <v>9168.2409212814837</v>
      </c>
      <c r="Q15" s="303">
        <f t="shared" si="10"/>
        <v>8968.2409212814837</v>
      </c>
    </row>
    <row r="16" spans="2:17">
      <c r="B16" s="120">
        <v>6000</v>
      </c>
      <c r="C16" s="7" cm="1">
        <f t="array" ref="C16">Linterp(B16,atmos_h,atmos_aspeed)</f>
        <v>1093.1797793129685</v>
      </c>
      <c r="D16" s="7" cm="1">
        <f t="array" ref="D16">Linterp(B16,atmos_h,atmos_qms)</f>
        <v>1187.1226075219445</v>
      </c>
      <c r="E16" s="16">
        <v>496</v>
      </c>
      <c r="F16" s="11">
        <f t="shared" si="0"/>
        <v>0.76583276120881061</v>
      </c>
      <c r="G16" s="7">
        <f t="shared" si="1"/>
        <v>837.19288888888889</v>
      </c>
      <c r="H16" s="120">
        <v>10000</v>
      </c>
      <c r="I16" s="11">
        <f t="shared" si="2"/>
        <v>8.4486558750236918E-2</v>
      </c>
      <c r="J16" s="11">
        <f t="shared" si="3"/>
        <v>1.572441646196034E-2</v>
      </c>
      <c r="K16" s="12">
        <f t="shared" si="4"/>
        <v>1861.173741073487</v>
      </c>
      <c r="L16" s="12">
        <f t="shared" si="5"/>
        <v>3738.7754942880824</v>
      </c>
      <c r="M16" s="16">
        <f t="shared" si="6"/>
        <v>157.19148359565699</v>
      </c>
      <c r="N16" s="273">
        <f t="shared" si="7"/>
        <v>9431.4890157394202</v>
      </c>
      <c r="O16" s="121">
        <f t="shared" si="8"/>
        <v>9331.4890157394202</v>
      </c>
      <c r="P16" s="121">
        <f t="shared" si="9"/>
        <v>9131.4890157394202</v>
      </c>
      <c r="Q16" s="303">
        <f t="shared" si="10"/>
        <v>8931.4890157394202</v>
      </c>
    </row>
    <row r="17" spans="2:17">
      <c r="B17" s="120">
        <v>7000</v>
      </c>
      <c r="C17" s="7" cm="1">
        <f t="array" ref="C17">Linterp(B17,atmos_h,atmos_aspeed)</f>
        <v>1089.2530779385215</v>
      </c>
      <c r="D17" s="7" cm="1">
        <f t="array" ref="D17">Linterp(B17,atmos_h,atmos_qms)</f>
        <v>1143.0546882395377</v>
      </c>
      <c r="E17" s="16">
        <v>496</v>
      </c>
      <c r="F17" s="11">
        <f t="shared" si="0"/>
        <v>0.76859354896047472</v>
      </c>
      <c r="G17" s="7">
        <f t="shared" si="1"/>
        <v>837.19288888888877</v>
      </c>
      <c r="H17" s="120">
        <v>10000</v>
      </c>
      <c r="I17" s="11">
        <f t="shared" si="2"/>
        <v>8.7114530311601768E-2</v>
      </c>
      <c r="J17" s="11">
        <f t="shared" si="3"/>
        <v>1.5751744530974075E-2</v>
      </c>
      <c r="K17" s="12">
        <f t="shared" si="4"/>
        <v>1808.1650069892282</v>
      </c>
      <c r="L17" s="12">
        <f t="shared" si="5"/>
        <v>3677.4179604051105</v>
      </c>
      <c r="M17" s="16">
        <f t="shared" si="6"/>
        <v>156.492528013433</v>
      </c>
      <c r="N17" s="273">
        <f t="shared" si="7"/>
        <v>9389.5516808059801</v>
      </c>
      <c r="O17" s="121">
        <f t="shared" si="8"/>
        <v>9289.5516808059801</v>
      </c>
      <c r="P17" s="121">
        <f t="shared" si="9"/>
        <v>9089.5516808059801</v>
      </c>
      <c r="Q17" s="303">
        <f t="shared" si="10"/>
        <v>8889.5516808059801</v>
      </c>
    </row>
    <row r="18" spans="2:17">
      <c r="B18" s="120">
        <v>8000</v>
      </c>
      <c r="C18" s="7" cm="1">
        <f t="array" ref="C18">Linterp(B18,atmos_h,atmos_aspeed)</f>
        <v>1085.3121696997296</v>
      </c>
      <c r="D18" s="7" cm="1">
        <f t="array" ref="D18">Linterp(B18,atmos_h,atmos_qms)</f>
        <v>1100.320868617878</v>
      </c>
      <c r="E18" s="16">
        <v>496</v>
      </c>
      <c r="F18" s="11">
        <f t="shared" si="0"/>
        <v>0.77138441110497524</v>
      </c>
      <c r="G18" s="7">
        <f t="shared" si="1"/>
        <v>837.19288888888889</v>
      </c>
      <c r="H18" s="120">
        <v>10000</v>
      </c>
      <c r="I18" s="11">
        <f t="shared" si="2"/>
        <v>8.984419315155022E-2</v>
      </c>
      <c r="J18" s="11">
        <f t="shared" si="3"/>
        <v>1.5780283592184429E-2</v>
      </c>
      <c r="K18" s="12">
        <f t="shared" si="4"/>
        <v>1756.4055103223045</v>
      </c>
      <c r="L18" s="12">
        <f t="shared" si="5"/>
        <v>3616.3020782672361</v>
      </c>
      <c r="M18" s="16">
        <f t="shared" si="6"/>
        <v>155.7092180752347</v>
      </c>
      <c r="N18" s="273">
        <f t="shared" si="7"/>
        <v>9342.553084514082</v>
      </c>
      <c r="O18" s="121">
        <f t="shared" si="8"/>
        <v>9242.553084514082</v>
      </c>
      <c r="P18" s="121">
        <f t="shared" si="9"/>
        <v>9042.553084514082</v>
      </c>
      <c r="Q18" s="303">
        <f t="shared" si="10"/>
        <v>8842.553084514082</v>
      </c>
    </row>
    <row r="19" spans="2:17">
      <c r="B19" s="120">
        <v>9000</v>
      </c>
      <c r="C19" s="7" cm="1">
        <f t="array" ref="C19">Linterp(B19,atmos_h,atmos_aspeed)</f>
        <v>1081.3568992696751</v>
      </c>
      <c r="D19" s="7" cm="1">
        <f t="array" ref="D19">Linterp(B19,atmos_h,atmos_qms)</f>
        <v>1058.8900276738709</v>
      </c>
      <c r="E19" s="16">
        <v>496</v>
      </c>
      <c r="F19" s="11">
        <f t="shared" si="0"/>
        <v>0.77420589765905279</v>
      </c>
      <c r="G19" s="7">
        <f t="shared" si="1"/>
        <v>837.19288888888866</v>
      </c>
      <c r="H19" s="120">
        <v>10000</v>
      </c>
      <c r="I19" s="11">
        <f t="shared" si="2"/>
        <v>9.2680265604820983E-2</v>
      </c>
      <c r="J19" s="11">
        <f t="shared" si="3"/>
        <v>1.5810091524742158E-2</v>
      </c>
      <c r="K19" s="12">
        <f t="shared" si="4"/>
        <v>1705.874645650536</v>
      </c>
      <c r="L19" s="12">
        <f t="shared" si="5"/>
        <v>3555.4318654582257</v>
      </c>
      <c r="M19" s="16">
        <f t="shared" si="6"/>
        <v>154.84361520161011</v>
      </c>
      <c r="N19" s="273">
        <f t="shared" si="7"/>
        <v>9290.616912096606</v>
      </c>
      <c r="O19" s="121">
        <f t="shared" si="8"/>
        <v>9190.616912096606</v>
      </c>
      <c r="P19" s="121">
        <f t="shared" si="9"/>
        <v>8990.616912096606</v>
      </c>
      <c r="Q19" s="303">
        <f t="shared" si="10"/>
        <v>8790.616912096606</v>
      </c>
    </row>
    <row r="20" spans="2:17">
      <c r="B20" s="120">
        <v>10000</v>
      </c>
      <c r="C20" s="7" cm="1">
        <f t="array" ref="C20">Linterp(B20,atmos_h,atmos_aspeed)</f>
        <v>1077.3871084702648</v>
      </c>
      <c r="D20" s="7" cm="1">
        <f t="array" ref="D20">Linterp(B20,atmos_h,atmos_qms)</f>
        <v>1018.7315510840876</v>
      </c>
      <c r="E20" s="16">
        <v>496</v>
      </c>
      <c r="F20" s="11">
        <f t="shared" si="0"/>
        <v>0.77705857282586444</v>
      </c>
      <c r="G20" s="7">
        <f t="shared" si="1"/>
        <v>837.19288888888877</v>
      </c>
      <c r="H20" s="120">
        <v>10000</v>
      </c>
      <c r="I20" s="11">
        <f t="shared" si="2"/>
        <v>9.5627721817161976E-2</v>
      </c>
      <c r="J20" s="11">
        <f t="shared" si="3"/>
        <v>1.5841229377062796E-2</v>
      </c>
      <c r="K20" s="12">
        <f t="shared" si="4"/>
        <v>1656.5519993617402</v>
      </c>
      <c r="L20" s="12">
        <f t="shared" si="5"/>
        <v>3494.8114387437531</v>
      </c>
      <c r="M20" s="16">
        <f t="shared" si="6"/>
        <v>153.89777305834966</v>
      </c>
      <c r="N20" s="273">
        <f t="shared" si="7"/>
        <v>9233.8663835009793</v>
      </c>
      <c r="O20" s="121">
        <f t="shared" si="8"/>
        <v>9133.8663835009793</v>
      </c>
      <c r="P20" s="121">
        <f t="shared" si="9"/>
        <v>8933.8663835009793</v>
      </c>
      <c r="Q20" s="303">
        <f t="shared" si="10"/>
        <v>8733.8663835009793</v>
      </c>
    </row>
    <row r="21" spans="2:17">
      <c r="B21" s="120">
        <v>11000</v>
      </c>
      <c r="C21" s="7" cm="1">
        <f t="array" ref="C21">Linterp(B21,atmos_h,atmos_aspeed)</f>
        <v>1073.4026361984163</v>
      </c>
      <c r="D21" s="7" cm="1">
        <f t="array" ref="D21">Linterp(B21,atmos_h,atmos_qms)</f>
        <v>979.81532655871706</v>
      </c>
      <c r="E21" s="16">
        <v>496</v>
      </c>
      <c r="F21" s="11">
        <f t="shared" si="0"/>
        <v>0.7799430154689273</v>
      </c>
      <c r="G21" s="7">
        <f t="shared" si="1"/>
        <v>837.19288888888877</v>
      </c>
      <c r="H21" s="120">
        <v>10000</v>
      </c>
      <c r="I21" s="11">
        <f t="shared" si="2"/>
        <v>9.8691807644391435E-2</v>
      </c>
      <c r="J21" s="11">
        <f t="shared" si="3"/>
        <v>1.5873761564617037E-2</v>
      </c>
      <c r="K21" s="12">
        <f t="shared" si="4"/>
        <v>1608.4173492711509</v>
      </c>
      <c r="L21" s="12">
        <f t="shared" si="5"/>
        <v>3413.5251569220231</v>
      </c>
      <c r="M21" s="16">
        <f t="shared" si="6"/>
        <v>151.12234202431225</v>
      </c>
      <c r="N21" s="273">
        <f t="shared" si="7"/>
        <v>9067.3405214587347</v>
      </c>
      <c r="O21" s="121">
        <f t="shared" si="8"/>
        <v>8967.3405214587347</v>
      </c>
      <c r="P21" s="121">
        <f t="shared" si="9"/>
        <v>8767.3405214587347</v>
      </c>
      <c r="Q21" s="303">
        <f t="shared" si="10"/>
        <v>8567.3405214587347</v>
      </c>
    </row>
    <row r="22" spans="2:17">
      <c r="B22" s="120">
        <v>12000</v>
      </c>
      <c r="C22" s="7" cm="1">
        <f t="array" ref="C22">Linterp(B22,atmos_h,atmos_aspeed)</f>
        <v>1069.4033183497709</v>
      </c>
      <c r="D22" s="7" cm="1">
        <f t="array" ref="D22">Linterp(B22,atmos_h,atmos_qms)</f>
        <v>942.11173922419323</v>
      </c>
      <c r="E22" s="16">
        <v>496</v>
      </c>
      <c r="F22" s="11">
        <f t="shared" si="0"/>
        <v>0.78285981960556006</v>
      </c>
      <c r="G22" s="7">
        <f t="shared" si="1"/>
        <v>837.19288888888889</v>
      </c>
      <c r="H22" s="120">
        <v>10000</v>
      </c>
      <c r="I22" s="11">
        <f t="shared" si="2"/>
        <v>0.10187805766768343</v>
      </c>
      <c r="J22" s="11">
        <f t="shared" si="3"/>
        <v>1.5954707523327005E-2</v>
      </c>
      <c r="K22" s="12">
        <f t="shared" si="4"/>
        <v>1566.0592563876462</v>
      </c>
      <c r="L22" s="12">
        <f t="shared" si="5"/>
        <v>3332.2614340231726</v>
      </c>
      <c r="M22" s="16">
        <f t="shared" si="6"/>
        <v>147.86519034565328</v>
      </c>
      <c r="N22" s="273">
        <f t="shared" si="7"/>
        <v>8871.9114207391958</v>
      </c>
      <c r="O22" s="121">
        <f t="shared" si="8"/>
        <v>8771.9114207391958</v>
      </c>
      <c r="P22" s="121">
        <f t="shared" si="9"/>
        <v>8571.9114207391958</v>
      </c>
      <c r="Q22" s="303">
        <f t="shared" si="10"/>
        <v>8371.9114207391958</v>
      </c>
    </row>
    <row r="23" spans="2:17">
      <c r="B23" s="120">
        <v>13000</v>
      </c>
      <c r="C23" s="7" cm="1">
        <f t="array" ref="C23">Linterp(B23,atmos_h,atmos_aspeed)</f>
        <v>1065.3889877398271</v>
      </c>
      <c r="D23" s="7" cm="1">
        <f t="array" ref="D23">Linterp(B23,atmos_h,atmos_qms)</f>
        <v>905.59166701454205</v>
      </c>
      <c r="E23" s="16">
        <v>496</v>
      </c>
      <c r="F23" s="11">
        <f t="shared" si="0"/>
        <v>0.78580959492077573</v>
      </c>
      <c r="G23" s="7">
        <f t="shared" si="1"/>
        <v>837.19288888888889</v>
      </c>
      <c r="H23" s="120">
        <v>10000</v>
      </c>
      <c r="I23" s="11">
        <f t="shared" si="2"/>
        <v>0.10519231341257328</v>
      </c>
      <c r="J23" s="11">
        <f t="shared" si="3"/>
        <v>1.6073092563129946E-2</v>
      </c>
      <c r="K23" s="12">
        <f t="shared" si="4"/>
        <v>1527.972153258946</v>
      </c>
      <c r="L23" s="12">
        <f t="shared" si="5"/>
        <v>3251.0207065815343</v>
      </c>
      <c r="M23" s="16">
        <f t="shared" si="6"/>
        <v>144.25239960519582</v>
      </c>
      <c r="N23" s="273">
        <f t="shared" si="7"/>
        <v>8655.1439763117487</v>
      </c>
      <c r="O23" s="121">
        <f t="shared" si="8"/>
        <v>8555.1439763117487</v>
      </c>
      <c r="P23" s="121">
        <f t="shared" si="9"/>
        <v>8355.1439763117487</v>
      </c>
      <c r="Q23" s="303">
        <f t="shared" si="10"/>
        <v>8155.1439763117487</v>
      </c>
    </row>
    <row r="24" spans="2:17">
      <c r="B24" s="120">
        <v>14000</v>
      </c>
      <c r="C24" s="7" cm="1">
        <f t="array" ref="C24">Linterp(B24,atmos_h,atmos_aspeed)</f>
        <v>1061.3594740223903</v>
      </c>
      <c r="D24" s="7" cm="1">
        <f t="array" ref="D24">Linterp(B24,atmos_h,atmos_qms)</f>
        <v>870.22647607150509</v>
      </c>
      <c r="E24" s="16">
        <v>496</v>
      </c>
      <c r="F24" s="11">
        <f t="shared" si="0"/>
        <v>0.78879296730263848</v>
      </c>
      <c r="G24" s="7">
        <f t="shared" si="1"/>
        <v>837.19288888888889</v>
      </c>
      <c r="H24" s="120">
        <v>10000</v>
      </c>
      <c r="I24" s="11">
        <f t="shared" si="2"/>
        <v>0.10864074286676199</v>
      </c>
      <c r="J24" s="11">
        <f t="shared" si="3"/>
        <v>1.6196441922898298E-2</v>
      </c>
      <c r="K24" s="12">
        <f t="shared" si="4"/>
        <v>1490.8257708401131</v>
      </c>
      <c r="L24" s="12">
        <f t="shared" si="5"/>
        <v>3169.8034228641295</v>
      </c>
      <c r="M24" s="16">
        <f t="shared" si="6"/>
        <v>140.56281508778699</v>
      </c>
      <c r="N24" s="273">
        <f t="shared" si="7"/>
        <v>8433.7689052672195</v>
      </c>
      <c r="O24" s="121">
        <f t="shared" si="8"/>
        <v>8333.7689052672195</v>
      </c>
      <c r="P24" s="121">
        <f t="shared" si="9"/>
        <v>8133.7689052672195</v>
      </c>
      <c r="Q24" s="303">
        <f t="shared" si="10"/>
        <v>7933.7689052672195</v>
      </c>
    </row>
    <row r="25" spans="2:17">
      <c r="B25" s="120">
        <v>15000</v>
      </c>
      <c r="C25" s="7" cm="1">
        <f t="array" ref="C25">Linterp(B25,atmos_h,atmos_aspeed)</f>
        <v>1057.3146036052262</v>
      </c>
      <c r="D25" s="7" cm="1">
        <f t="array" ref="D25">Linterp(B25,atmos_h,atmos_qms)</f>
        <v>835.98801615348191</v>
      </c>
      <c r="E25" s="16">
        <v>496</v>
      </c>
      <c r="F25" s="11">
        <f t="shared" si="0"/>
        <v>0.79181057940014499</v>
      </c>
      <c r="G25" s="7">
        <f t="shared" si="1"/>
        <v>837.19288888888877</v>
      </c>
      <c r="H25" s="120">
        <v>10000</v>
      </c>
      <c r="I25" s="11">
        <f t="shared" si="2"/>
        <v>0.11222986140010888</v>
      </c>
      <c r="J25" s="11">
        <f t="shared" si="3"/>
        <v>1.6324998643703792E-2</v>
      </c>
      <c r="K25" s="12">
        <f t="shared" si="4"/>
        <v>1454.603831818325</v>
      </c>
      <c r="L25" s="12">
        <f t="shared" si="5"/>
        <v>3088.61004327714</v>
      </c>
      <c r="M25" s="16">
        <f t="shared" si="6"/>
        <v>136.79783806335936</v>
      </c>
      <c r="N25" s="273">
        <f t="shared" si="7"/>
        <v>8207.8702838015615</v>
      </c>
      <c r="O25" s="121">
        <f t="shared" si="8"/>
        <v>8107.8702838015615</v>
      </c>
      <c r="P25" s="121">
        <f t="shared" si="9"/>
        <v>7907.8702838015615</v>
      </c>
      <c r="Q25" s="303">
        <f t="shared" si="10"/>
        <v>7707.8702838015615</v>
      </c>
    </row>
    <row r="26" spans="2:17">
      <c r="B26" s="120">
        <v>16000</v>
      </c>
      <c r="C26" s="7" cm="1">
        <f t="array" ref="C26">Linterp(B26,atmos_h,atmos_aspeed)</f>
        <v>1053.2541995627971</v>
      </c>
      <c r="D26" s="7" cm="1">
        <f t="array" ref="D26">Linterp(B26,atmos_h,atmos_qms)</f>
        <v>802.84861605334584</v>
      </c>
      <c r="E26" s="16">
        <v>496</v>
      </c>
      <c r="F26" s="11">
        <f t="shared" si="0"/>
        <v>0.79486309120476828</v>
      </c>
      <c r="G26" s="7">
        <f t="shared" si="1"/>
        <v>837.19288888888877</v>
      </c>
      <c r="H26" s="120">
        <v>10000</v>
      </c>
      <c r="I26" s="11">
        <f t="shared" si="2"/>
        <v>0.11596655419929799</v>
      </c>
      <c r="J26" s="11">
        <f t="shared" si="3"/>
        <v>1.6459019600064136E-2</v>
      </c>
      <c r="K26" s="12">
        <f t="shared" si="4"/>
        <v>1419.2902180897754</v>
      </c>
      <c r="L26" s="12">
        <f t="shared" si="5"/>
        <v>3013.4941686035181</v>
      </c>
      <c r="M26" s="16">
        <f t="shared" si="6"/>
        <v>133.46562108086792</v>
      </c>
      <c r="N26" s="273">
        <f t="shared" si="7"/>
        <v>8007.9372648520748</v>
      </c>
      <c r="O26" s="121">
        <f t="shared" si="8"/>
        <v>7907.9372648520748</v>
      </c>
      <c r="P26" s="121">
        <f t="shared" si="9"/>
        <v>7707.9372648520748</v>
      </c>
      <c r="Q26" s="303">
        <f t="shared" si="10"/>
        <v>7507.9372648520748</v>
      </c>
    </row>
    <row r="27" spans="2:17">
      <c r="B27" s="120">
        <v>17000</v>
      </c>
      <c r="C27" s="7" cm="1">
        <f t="array" ref="C27">Linterp(B27,atmos_h,atmos_aspeed)</f>
        <v>1049.1780815459595</v>
      </c>
      <c r="D27" s="7" cm="1">
        <f t="array" ref="D27">Linterp(B27,atmos_h,atmos_qms)</f>
        <v>770.78107902517468</v>
      </c>
      <c r="E27" s="16">
        <v>496</v>
      </c>
      <c r="F27" s="11">
        <f t="shared" si="0"/>
        <v>0.79795118065685167</v>
      </c>
      <c r="G27" s="7">
        <f t="shared" si="1"/>
        <v>837.192888888889</v>
      </c>
      <c r="H27" s="120">
        <v>10000</v>
      </c>
      <c r="I27" s="11">
        <f t="shared" si="2"/>
        <v>0.11985810033965391</v>
      </c>
      <c r="J27" s="11">
        <f t="shared" si="3"/>
        <v>1.6598776401423317E-2</v>
      </c>
      <c r="K27" s="12">
        <f t="shared" si="4"/>
        <v>1384.8689704230005</v>
      </c>
      <c r="L27" s="12">
        <f t="shared" si="5"/>
        <v>2938.37450969573</v>
      </c>
      <c r="M27" s="16">
        <f t="shared" si="6"/>
        <v>130.0583790328628</v>
      </c>
      <c r="N27" s="273">
        <f t="shared" si="7"/>
        <v>7803.502741971768</v>
      </c>
      <c r="O27" s="121">
        <f t="shared" si="8"/>
        <v>7703.502741971768</v>
      </c>
      <c r="P27" s="121">
        <f t="shared" si="9"/>
        <v>7503.502741971768</v>
      </c>
      <c r="Q27" s="303">
        <f t="shared" si="10"/>
        <v>7303.502741971768</v>
      </c>
    </row>
    <row r="28" spans="2:17">
      <c r="B28" s="120">
        <v>18000</v>
      </c>
      <c r="C28" s="7" cm="1">
        <f t="array" ref="C28">Linterp(B28,atmos_h,atmos_aspeed)</f>
        <v>1045.0860656884925</v>
      </c>
      <c r="D28" s="7" cm="1">
        <f t="array" ref="D28">Linterp(B28,atmos_h,atmos_qms)</f>
        <v>739.75867821996189</v>
      </c>
      <c r="E28" s="16">
        <v>496</v>
      </c>
      <c r="F28" s="11">
        <f t="shared" si="0"/>
        <v>0.80107554427812055</v>
      </c>
      <c r="G28" s="7">
        <f t="shared" si="1"/>
        <v>837.19288888888877</v>
      </c>
      <c r="H28" s="120">
        <v>10000</v>
      </c>
      <c r="I28" s="11">
        <f t="shared" si="2"/>
        <v>0.1239121986275295</v>
      </c>
      <c r="J28" s="11">
        <f t="shared" si="3"/>
        <v>1.6755311802757321E-2</v>
      </c>
      <c r="K28" s="12">
        <f t="shared" si="4"/>
        <v>1352.1922771399202</v>
      </c>
      <c r="L28" s="12">
        <f t="shared" si="5"/>
        <v>2863.2510612364176</v>
      </c>
      <c r="M28" s="16">
        <f t="shared" si="6"/>
        <v>126.50476687386784</v>
      </c>
      <c r="N28" s="273">
        <f t="shared" si="7"/>
        <v>7590.2860124320705</v>
      </c>
      <c r="O28" s="121">
        <f t="shared" si="8"/>
        <v>7490.2860124320705</v>
      </c>
      <c r="P28" s="121">
        <f t="shared" si="9"/>
        <v>7290.2860124320705</v>
      </c>
      <c r="Q28" s="303">
        <f t="shared" si="10"/>
        <v>7090.2860124320705</v>
      </c>
    </row>
    <row r="29" spans="2:17">
      <c r="B29" s="120">
        <v>19000</v>
      </c>
      <c r="C29" s="7" cm="1">
        <f t="array" ref="C29">Linterp(B29,atmos_h,atmos_aspeed)</f>
        <v>1040.9779645103174</v>
      </c>
      <c r="D29" s="7" cm="1">
        <f t="array" ref="D29">Linterp(B29,atmos_h,atmos_qms)</f>
        <v>709.75515213034032</v>
      </c>
      <c r="E29" s="16">
        <v>496</v>
      </c>
      <c r="F29" s="11">
        <f t="shared" si="0"/>
        <v>0.80423689783165553</v>
      </c>
      <c r="G29" s="7">
        <f t="shared" si="1"/>
        <v>837.19288888888889</v>
      </c>
      <c r="H29" s="120">
        <v>10000</v>
      </c>
      <c r="I29" s="11">
        <f t="shared" si="2"/>
        <v>0.1281369953587228</v>
      </c>
      <c r="J29" s="11">
        <f t="shared" si="3"/>
        <v>1.6939032508605345E-2</v>
      </c>
      <c r="K29" s="12">
        <f t="shared" si="4"/>
        <v>1321.9470661992727</v>
      </c>
      <c r="L29" s="12">
        <f t="shared" si="5"/>
        <v>2788.1238185755205</v>
      </c>
      <c r="M29" s="16">
        <f t="shared" si="6"/>
        <v>122.74727509435999</v>
      </c>
      <c r="N29" s="273">
        <f t="shared" si="7"/>
        <v>7364.8365056615994</v>
      </c>
      <c r="O29" s="121">
        <f t="shared" si="8"/>
        <v>7264.8365056615994</v>
      </c>
      <c r="P29" s="121">
        <f t="shared" si="9"/>
        <v>7064.8365056615994</v>
      </c>
      <c r="Q29" s="303">
        <f t="shared" si="10"/>
        <v>6864.8365056615994</v>
      </c>
    </row>
    <row r="30" spans="2:17">
      <c r="B30" s="120">
        <v>20000</v>
      </c>
      <c r="C30" s="7" cm="1">
        <f t="array" ref="C30">Linterp(B30,atmos_h,atmos_aspeed)</f>
        <v>1036.8535868172689</v>
      </c>
      <c r="D30" s="7" cm="1">
        <f t="array" ref="D30">Linterp(B30,atmos_h,atmos_qms)</f>
        <v>680.74470004439161</v>
      </c>
      <c r="E30" s="16">
        <v>496</v>
      </c>
      <c r="F30" s="11">
        <f t="shared" si="0"/>
        <v>0.80743597701073733</v>
      </c>
      <c r="G30" s="7">
        <f t="shared" si="1"/>
        <v>837.19288888888889</v>
      </c>
      <c r="H30" s="120">
        <v>10000</v>
      </c>
      <c r="I30" s="11">
        <f t="shared" si="2"/>
        <v>0.13254111415159864</v>
      </c>
      <c r="J30" s="11">
        <f t="shared" si="3"/>
        <v>1.7129779596770846E-2</v>
      </c>
      <c r="K30" s="12">
        <f t="shared" si="4"/>
        <v>1292.4125247036966</v>
      </c>
      <c r="L30" s="12">
        <f t="shared" si="5"/>
        <v>2712.9927777703588</v>
      </c>
      <c r="M30" s="16">
        <f t="shared" si="6"/>
        <v>118.92996859633878</v>
      </c>
      <c r="N30" s="273">
        <f t="shared" si="7"/>
        <v>7135.798115780327</v>
      </c>
      <c r="O30" s="121">
        <f t="shared" si="8"/>
        <v>7035.798115780327</v>
      </c>
      <c r="P30" s="121">
        <f t="shared" si="9"/>
        <v>6835.798115780327</v>
      </c>
      <c r="Q30" s="303">
        <f t="shared" si="10"/>
        <v>6635.798115780327</v>
      </c>
    </row>
    <row r="31" spans="2:17">
      <c r="B31" s="120">
        <v>21000</v>
      </c>
      <c r="C31" s="7" cm="1">
        <f t="array" ref="C31">Linterp(B31,atmos_h,atmos_aspeed)</f>
        <v>1032.7127375972602</v>
      </c>
      <c r="D31" s="7" cm="1">
        <f t="array" ref="D31">Linterp(B31,atmos_h,atmos_qms)</f>
        <v>652.70197750857403</v>
      </c>
      <c r="E31" s="16">
        <v>496</v>
      </c>
      <c r="F31" s="11">
        <f t="shared" si="0"/>
        <v>0.81067353815808096</v>
      </c>
      <c r="G31" s="7">
        <f t="shared" si="1"/>
        <v>837.19288888888877</v>
      </c>
      <c r="H31" s="120">
        <v>10000</v>
      </c>
      <c r="I31" s="11">
        <f t="shared" si="2"/>
        <v>0.13713368802812947</v>
      </c>
      <c r="J31" s="11">
        <f t="shared" si="3"/>
        <v>1.7327901606319505E-2</v>
      </c>
      <c r="K31" s="12">
        <f t="shared" si="4"/>
        <v>1263.5773058743328</v>
      </c>
      <c r="L31" s="12">
        <f t="shared" si="5"/>
        <v>2643.9470563065956</v>
      </c>
      <c r="M31" s="16">
        <f t="shared" si="6"/>
        <v>115.56357390992206</v>
      </c>
      <c r="N31" s="273">
        <f t="shared" si="7"/>
        <v>6933.8144345953233</v>
      </c>
      <c r="O31" s="121">
        <f t="shared" si="8"/>
        <v>6833.8144345953233</v>
      </c>
      <c r="P31" s="121">
        <f t="shared" si="9"/>
        <v>6633.8144345953233</v>
      </c>
      <c r="Q31" s="303">
        <f t="shared" si="10"/>
        <v>6433.8144345953233</v>
      </c>
    </row>
    <row r="32" spans="2:17">
      <c r="B32" s="120">
        <v>22000</v>
      </c>
      <c r="C32" s="7" cm="1">
        <f t="array" ref="C32">Linterp(B32,atmos_h,atmos_aspeed)</f>
        <v>1028.5552179126889</v>
      </c>
      <c r="D32" s="7" cm="1">
        <f t="array" ref="D32">Linterp(B32,atmos_h,atmos_qms)</f>
        <v>625.60209179984054</v>
      </c>
      <c r="E32" s="16">
        <v>496</v>
      </c>
      <c r="F32" s="11">
        <f t="shared" si="0"/>
        <v>0.81395035901704571</v>
      </c>
      <c r="G32" s="7">
        <f t="shared" si="1"/>
        <v>837.19288888888889</v>
      </c>
      <c r="H32" s="120">
        <v>10000</v>
      </c>
      <c r="I32" s="11">
        <f t="shared" si="2"/>
        <v>0.14192439393207124</v>
      </c>
      <c r="J32" s="11">
        <f t="shared" si="3"/>
        <v>1.7533767644589037E-2</v>
      </c>
      <c r="K32" s="12">
        <f t="shared" si="4"/>
        <v>1235.4301581855732</v>
      </c>
      <c r="L32" s="12">
        <f t="shared" si="5"/>
        <v>2574.8746605663277</v>
      </c>
      <c r="M32" s="16">
        <f t="shared" si="6"/>
        <v>112.1373412454484</v>
      </c>
      <c r="N32" s="273">
        <f t="shared" si="7"/>
        <v>6728.2404747269038</v>
      </c>
      <c r="O32" s="121">
        <f t="shared" si="8"/>
        <v>6628.2404747269038</v>
      </c>
      <c r="P32" s="121">
        <f t="shared" si="9"/>
        <v>6428.2404747269038</v>
      </c>
      <c r="Q32" s="303">
        <f t="shared" si="10"/>
        <v>6228.2404747269038</v>
      </c>
    </row>
    <row r="33" spans="2:17">
      <c r="B33" s="120">
        <v>23000</v>
      </c>
      <c r="C33" s="7" cm="1">
        <f t="array" ref="C33">Linterp(B33,atmos_h,atmos_aspeed)</f>
        <v>1024.3808247889115</v>
      </c>
      <c r="D33" s="7" cm="1">
        <f t="array" ref="D33">Linterp(B33,atmos_h,atmos_qms)</f>
        <v>599.42059740698846</v>
      </c>
      <c r="E33" s="16">
        <v>496</v>
      </c>
      <c r="F33" s="11">
        <f t="shared" si="0"/>
        <v>0.81726723951651925</v>
      </c>
      <c r="G33" s="7">
        <f t="shared" si="1"/>
        <v>837.19288888888889</v>
      </c>
      <c r="H33" s="120">
        <v>10000</v>
      </c>
      <c r="I33" s="11">
        <f t="shared" si="2"/>
        <v>0.14692348989111664</v>
      </c>
      <c r="J33" s="11">
        <f t="shared" si="3"/>
        <v>1.7747768787049027E-2</v>
      </c>
      <c r="K33" s="12">
        <f t="shared" si="4"/>
        <v>1207.9599252782314</v>
      </c>
      <c r="L33" s="12">
        <f t="shared" si="5"/>
        <v>2505.7751695985862</v>
      </c>
      <c r="M33" s="16">
        <f t="shared" si="6"/>
        <v>108.65216936365971</v>
      </c>
      <c r="N33" s="273">
        <f t="shared" si="7"/>
        <v>6519.130161819583</v>
      </c>
      <c r="O33" s="121">
        <f t="shared" si="8"/>
        <v>6419.130161819583</v>
      </c>
      <c r="P33" s="121">
        <f t="shared" si="9"/>
        <v>6219.130161819583</v>
      </c>
      <c r="Q33" s="303">
        <f t="shared" si="10"/>
        <v>6019.130161819583</v>
      </c>
    </row>
    <row r="34" spans="2:17">
      <c r="B34" s="120">
        <v>24000</v>
      </c>
      <c r="C34" s="7" cm="1">
        <f t="array" ref="C34">Linterp(B34,atmos_h,atmos_aspeed)</f>
        <v>1020.1893510986098</v>
      </c>
      <c r="D34" s="7" cm="1">
        <f t="array" ref="D34">Linterp(B34,atmos_h,atmos_qms)</f>
        <v>574.13349152130138</v>
      </c>
      <c r="E34" s="16">
        <v>496</v>
      </c>
      <c r="F34" s="11">
        <f t="shared" si="0"/>
        <v>0.82062500259127602</v>
      </c>
      <c r="G34" s="7">
        <f t="shared" si="1"/>
        <v>837.19288888888889</v>
      </c>
      <c r="H34" s="120">
        <v>10000</v>
      </c>
      <c r="I34" s="11">
        <f t="shared" si="2"/>
        <v>0.15214185504929112</v>
      </c>
      <c r="J34" s="11">
        <f t="shared" si="3"/>
        <v>1.7970319585078623E-2</v>
      </c>
      <c r="K34" s="12">
        <f t="shared" si="4"/>
        <v>1181.1555458724083</v>
      </c>
      <c r="L34" s="12">
        <f t="shared" si="5"/>
        <v>2436.6481518563919</v>
      </c>
      <c r="M34" s="16">
        <f t="shared" si="6"/>
        <v>105.10894817823707</v>
      </c>
      <c r="N34" s="273">
        <f t="shared" si="7"/>
        <v>6306.536890694224</v>
      </c>
      <c r="O34" s="121">
        <f t="shared" si="8"/>
        <v>6206.536890694224</v>
      </c>
      <c r="P34" s="121">
        <f t="shared" si="9"/>
        <v>6006.536890694224</v>
      </c>
      <c r="Q34" s="303">
        <f t="shared" si="10"/>
        <v>5806.536890694224</v>
      </c>
    </row>
    <row r="35" spans="2:17">
      <c r="B35" s="120">
        <v>25000</v>
      </c>
      <c r="C35" s="7" cm="1">
        <f t="array" ref="C35">Linterp(B35,atmos_h,atmos_aspeed)</f>
        <v>1015.9805854418648</v>
      </c>
      <c r="D35" s="7" cm="1">
        <f t="array" ref="D35">Linterp(B35,atmos_h,atmos_qms)</f>
        <v>549.71720953653789</v>
      </c>
      <c r="E35" s="16">
        <v>496</v>
      </c>
      <c r="F35" s="11">
        <f t="shared" si="0"/>
        <v>0.82402449503971698</v>
      </c>
      <c r="G35" s="7">
        <f t="shared" si="1"/>
        <v>837.19288888888866</v>
      </c>
      <c r="H35" s="120">
        <v>10000</v>
      </c>
      <c r="I35" s="11">
        <f t="shared" si="2"/>
        <v>0.1575910328172902</v>
      </c>
      <c r="J35" s="11">
        <f t="shared" si="3"/>
        <v>1.8201859690966118E-2</v>
      </c>
      <c r="K35" s="12">
        <f t="shared" si="4"/>
        <v>1155.0060536800472</v>
      </c>
      <c r="L35" s="12">
        <f t="shared" si="5"/>
        <v>2367.4931648329825</v>
      </c>
      <c r="M35" s="16">
        <f t="shared" si="6"/>
        <v>101.5085587326669</v>
      </c>
      <c r="N35" s="273">
        <f t="shared" si="7"/>
        <v>6090.513523960014</v>
      </c>
      <c r="O35" s="121">
        <f t="shared" si="8"/>
        <v>5990.513523960014</v>
      </c>
      <c r="P35" s="121">
        <f t="shared" si="9"/>
        <v>5790.513523960014</v>
      </c>
      <c r="Q35" s="303">
        <f t="shared" si="10"/>
        <v>5590.513523960014</v>
      </c>
    </row>
    <row r="36" spans="2:17">
      <c r="B36" s="120">
        <v>26000</v>
      </c>
      <c r="C36" s="7" cm="1">
        <f t="array" ref="C36">Linterp(B36,atmos_h,atmos_aspeed)</f>
        <v>1011.7543120217408</v>
      </c>
      <c r="D36" s="7" cm="1">
        <f t="array" ref="D36">Linterp(B36,atmos_h,atmos_qms)</f>
        <v>526.14862055832521</v>
      </c>
      <c r="E36" s="16">
        <v>496</v>
      </c>
      <c r="F36" s="11">
        <f t="shared" si="0"/>
        <v>0.82746658842102272</v>
      </c>
      <c r="G36" s="7">
        <f t="shared" si="1"/>
        <v>837.19288888888877</v>
      </c>
      <c r="H36" s="120">
        <v>10000</v>
      </c>
      <c r="I36" s="11">
        <f t="shared" si="2"/>
        <v>0.16328327741211407</v>
      </c>
      <c r="J36" s="11">
        <f t="shared" si="3"/>
        <v>1.8442855610322457E-2</v>
      </c>
      <c r="K36" s="12">
        <f t="shared" si="4"/>
        <v>1129.5005773171829</v>
      </c>
      <c r="L36" s="12">
        <f t="shared" si="5"/>
        <v>2304.3833362977443</v>
      </c>
      <c r="M36" s="16">
        <f t="shared" si="6"/>
        <v>98.360349109668419</v>
      </c>
      <c r="N36" s="273">
        <f t="shared" si="7"/>
        <v>5901.6209465801048</v>
      </c>
      <c r="O36" s="121">
        <f t="shared" si="8"/>
        <v>5801.6209465801048</v>
      </c>
      <c r="P36" s="121">
        <f t="shared" si="9"/>
        <v>5601.6209465801048</v>
      </c>
      <c r="Q36" s="303">
        <f t="shared" si="10"/>
        <v>5401.6209465801048</v>
      </c>
    </row>
    <row r="37" spans="2:17">
      <c r="B37" s="120">
        <v>27000</v>
      </c>
      <c r="C37" s="7" cm="1">
        <f t="array" ref="C37">Linterp(B37,atmos_h,atmos_aspeed)</f>
        <v>1007.5103105151719</v>
      </c>
      <c r="D37" s="7" cm="1">
        <f t="array" ref="D37">Linterp(B37,atmos_h,atmos_qms)</f>
        <v>503.40502292301625</v>
      </c>
      <c r="E37" s="16">
        <v>496</v>
      </c>
      <c r="F37" s="11">
        <f t="shared" si="0"/>
        <v>0.83095217999387572</v>
      </c>
      <c r="G37" s="7">
        <f t="shared" si="1"/>
        <v>837.19288888888877</v>
      </c>
      <c r="H37" s="120">
        <v>10000</v>
      </c>
      <c r="I37" s="11">
        <f t="shared" si="2"/>
        <v>0.16923160408349502</v>
      </c>
      <c r="J37" s="11">
        <f t="shared" si="3"/>
        <v>1.8693802593082069E-2</v>
      </c>
      <c r="K37" s="12">
        <f t="shared" si="4"/>
        <v>1104.6283402158717</v>
      </c>
      <c r="L37" s="12">
        <f t="shared" si="5"/>
        <v>2241.2272397003921</v>
      </c>
      <c r="M37" s="16">
        <f t="shared" si="6"/>
        <v>95.155251616737729</v>
      </c>
      <c r="N37" s="273">
        <f t="shared" si="7"/>
        <v>5709.3150970042634</v>
      </c>
      <c r="O37" s="121">
        <f t="shared" si="8"/>
        <v>5609.3150970042634</v>
      </c>
      <c r="P37" s="121">
        <f t="shared" si="9"/>
        <v>5409.3150970042634</v>
      </c>
      <c r="Q37" s="303">
        <f t="shared" si="10"/>
        <v>5209.3150970042634</v>
      </c>
    </row>
    <row r="38" spans="2:17">
      <c r="B38" s="120">
        <v>28000</v>
      </c>
      <c r="C38" s="7" cm="1">
        <f t="array" ref="C38">Linterp(B38,atmos_h,atmos_aspeed)</f>
        <v>1003.2483559389319</v>
      </c>
      <c r="D38" s="7" cm="1">
        <f t="array" ref="D38">Linterp(B38,atmos_h,atmos_qms)</f>
        <v>481.46413972606013</v>
      </c>
      <c r="E38" s="16">
        <v>496</v>
      </c>
      <c r="F38" s="11">
        <f t="shared" si="0"/>
        <v>0.83448219369905363</v>
      </c>
      <c r="G38" s="7">
        <f t="shared" si="1"/>
        <v>837.19288888888889</v>
      </c>
      <c r="H38" s="120">
        <v>10000</v>
      </c>
      <c r="I38" s="11">
        <f t="shared" si="2"/>
        <v>0.1754498433535211</v>
      </c>
      <c r="J38" s="11">
        <f t="shared" si="3"/>
        <v>1.8955226675349473E-2</v>
      </c>
      <c r="K38" s="12">
        <f t="shared" si="4"/>
        <v>1080.3786605358093</v>
      </c>
      <c r="L38" s="12">
        <f t="shared" si="5"/>
        <v>2178.0240650731821</v>
      </c>
      <c r="M38" s="16">
        <f t="shared" si="6"/>
        <v>91.894092720025625</v>
      </c>
      <c r="N38" s="273">
        <f t="shared" si="7"/>
        <v>5513.6455632015377</v>
      </c>
      <c r="O38" s="121">
        <f t="shared" si="8"/>
        <v>5413.6455632015377</v>
      </c>
      <c r="P38" s="121">
        <f t="shared" si="9"/>
        <v>5213.6455632015377</v>
      </c>
      <c r="Q38" s="303">
        <f t="shared" si="10"/>
        <v>5013.6455632015377</v>
      </c>
    </row>
    <row r="39" spans="2:17">
      <c r="B39" s="120">
        <v>29000</v>
      </c>
      <c r="C39" s="7" cm="1">
        <f t="array" ref="C39">Linterp(B39,atmos_h,atmos_aspeed)</f>
        <v>998.96821851045968</v>
      </c>
      <c r="D39" s="7" cm="1">
        <f t="array" ref="D39">Linterp(B39,atmos_h,atmos_qms)</f>
        <v>460.30411435996132</v>
      </c>
      <c r="E39" s="16">
        <v>496</v>
      </c>
      <c r="F39" s="11">
        <f t="shared" si="0"/>
        <v>0.83805758118832796</v>
      </c>
      <c r="G39" s="7">
        <f t="shared" si="1"/>
        <v>837.19288888888889</v>
      </c>
      <c r="H39" s="120">
        <v>10000</v>
      </c>
      <c r="I39" s="11">
        <f t="shared" si="2"/>
        <v>0.18195269962784549</v>
      </c>
      <c r="J39" s="11">
        <f t="shared" si="3"/>
        <v>1.9227686885550831E-2</v>
      </c>
      <c r="K39" s="12">
        <f t="shared" si="4"/>
        <v>1056.7409510756324</v>
      </c>
      <c r="L39" s="12">
        <f t="shared" si="5"/>
        <v>2114.7729803769712</v>
      </c>
      <c r="M39" s="16">
        <f t="shared" si="6"/>
        <v>88.577689114776135</v>
      </c>
      <c r="N39" s="273">
        <f t="shared" si="7"/>
        <v>5314.661346886568</v>
      </c>
      <c r="O39" s="121">
        <f t="shared" si="8"/>
        <v>5214.661346886568</v>
      </c>
      <c r="P39" s="121">
        <f t="shared" si="9"/>
        <v>5014.661346886568</v>
      </c>
      <c r="Q39" s="303">
        <f t="shared" si="10"/>
        <v>4814.661346886568</v>
      </c>
    </row>
    <row r="40" spans="2:17">
      <c r="B40" s="120">
        <v>30000</v>
      </c>
      <c r="C40" s="7" cm="1">
        <f t="array" ref="C40">Linterp(B40,atmos_h,atmos_aspeed)</f>
        <v>994.66966350329255</v>
      </c>
      <c r="D40" s="7" cm="1">
        <f t="array" ref="D40">Linterp(B40,atmos_h,atmos_qms)</f>
        <v>439.90350606186917</v>
      </c>
      <c r="E40" s="16">
        <v>496</v>
      </c>
      <c r="F40" s="11">
        <f t="shared" si="0"/>
        <v>0.84167932290227887</v>
      </c>
      <c r="G40" s="7">
        <f t="shared" si="1"/>
        <v>837.19288888888889</v>
      </c>
      <c r="H40" s="120">
        <v>10000</v>
      </c>
      <c r="I40" s="11">
        <f t="shared" si="2"/>
        <v>0.18875581457231158</v>
      </c>
      <c r="J40" s="11">
        <f t="shared" si="3"/>
        <v>1.9511777629679913E-2</v>
      </c>
      <c r="K40" s="12">
        <f t="shared" si="4"/>
        <v>1033.7047191838972</v>
      </c>
      <c r="L40" s="12">
        <f t="shared" si="5"/>
        <v>2051.4731306907593</v>
      </c>
      <c r="M40" s="16">
        <f t="shared" si="6"/>
        <v>85.206847664928532</v>
      </c>
      <c r="N40" s="273">
        <f t="shared" si="7"/>
        <v>5112.4108598957118</v>
      </c>
      <c r="O40" s="121">
        <f t="shared" si="8"/>
        <v>5012.4108598957118</v>
      </c>
      <c r="P40" s="121">
        <f t="shared" si="9"/>
        <v>4812.4108598957118</v>
      </c>
      <c r="Q40" s="303">
        <f t="shared" si="10"/>
        <v>4612.4108598957118</v>
      </c>
    </row>
    <row r="41" spans="2:17">
      <c r="B41" s="120">
        <v>31000</v>
      </c>
      <c r="C41" s="7" cm="1">
        <f t="array" ref="C41">Linterp(B41,atmos_h,atmos_aspeed)</f>
        <v>990.35245109685331</v>
      </c>
      <c r="D41" s="7" cm="1">
        <f t="array" ref="D41">Linterp(B41,atmos_h,atmos_qms)</f>
        <v>420.24128547087412</v>
      </c>
      <c r="E41" s="16">
        <v>496</v>
      </c>
      <c r="F41" s="11">
        <f t="shared" si="0"/>
        <v>0.84534842919979192</v>
      </c>
      <c r="G41" s="7">
        <f t="shared" si="1"/>
        <v>837.19288888888866</v>
      </c>
      <c r="H41" s="120">
        <v>10000</v>
      </c>
      <c r="I41" s="11">
        <f t="shared" si="2"/>
        <v>0.19587583568809894</v>
      </c>
      <c r="J41" s="11">
        <f t="shared" ref="J41:J60" si="11">InterpolateXY(I41,F41,CD_CL,CD_M,CD_table)</f>
        <v>1.9808131271902046E-2</v>
      </c>
      <c r="K41" s="12">
        <f t="shared" si="4"/>
        <v>1011.2595666697414</v>
      </c>
      <c r="L41" s="12">
        <f t="shared" si="5"/>
        <v>1994.1335672912637</v>
      </c>
      <c r="M41" s="16">
        <f t="shared" si="6"/>
        <v>82.285512399411161</v>
      </c>
      <c r="N41" s="273">
        <f t="shared" si="7"/>
        <v>4937.1307439646698</v>
      </c>
      <c r="O41" s="121">
        <f t="shared" si="8"/>
        <v>4837.1307439646698</v>
      </c>
      <c r="P41" s="121">
        <f t="shared" si="9"/>
        <v>4637.1307439646698</v>
      </c>
      <c r="Q41" s="303">
        <f t="shared" si="10"/>
        <v>4437.1307439646698</v>
      </c>
    </row>
    <row r="42" spans="2:17">
      <c r="B42" s="120">
        <v>32000</v>
      </c>
      <c r="C42" s="7" cm="1">
        <f t="array" ref="C42">Linterp(B42,atmos_h,atmos_aspeed)</f>
        <v>986.01633622031693</v>
      </c>
      <c r="D42" s="7" cm="1">
        <f t="array" ref="D42">Linterp(B42,atmos_h,atmos_qms)</f>
        <v>401.29683019506137</v>
      </c>
      <c r="E42" s="16">
        <v>496</v>
      </c>
      <c r="F42" s="11">
        <f t="shared" ref="F42:F60" si="12">E42/C42*6076.4/3600</f>
        <v>0.84906594154219495</v>
      </c>
      <c r="G42" s="7">
        <f t="shared" ref="G42:G60" si="13">F42*C42</f>
        <v>837.19288888888889</v>
      </c>
      <c r="H42" s="120">
        <v>10000</v>
      </c>
      <c r="I42" s="11">
        <f t="shared" ref="I42:I60" si="14">H42/(D42*F42*F42*_xlfn.SINGLE(S))</f>
        <v>0.20333049056208827</v>
      </c>
      <c r="J42" s="11">
        <f t="shared" si="11"/>
        <v>2.0200683192468073E-2</v>
      </c>
      <c r="K42" s="12">
        <f t="shared" ref="K42:K60" si="15">J42*D42*F42*F42*_xlfn.SINGLE(S)</f>
        <v>993.49011240887501</v>
      </c>
      <c r="L42" s="12">
        <f t="shared" ref="L42:L60" si="16">_xlfn.SINGLE(InterpolateXY(B42,F42,Tmil_h,Tmil_M,Tmil_table))*_xlfn.SINGLE(numeng)</f>
        <v>1936.7312792954383</v>
      </c>
      <c r="M42" s="16">
        <f t="shared" si="6"/>
        <v>78.967479742468853</v>
      </c>
      <c r="N42" s="273">
        <f t="shared" si="7"/>
        <v>4738.0487845481312</v>
      </c>
      <c r="O42" s="121">
        <f t="shared" si="8"/>
        <v>4638.0487845481312</v>
      </c>
      <c r="P42" s="121">
        <f t="shared" si="9"/>
        <v>4438.0487845481312</v>
      </c>
      <c r="Q42" s="303">
        <f t="shared" si="10"/>
        <v>4238.0487845481312</v>
      </c>
    </row>
    <row r="43" spans="2:17">
      <c r="B43" s="120">
        <v>33000</v>
      </c>
      <c r="C43" s="7" cm="1">
        <f t="array" ref="C43">Linterp(B43,atmos_h,atmos_aspeed)</f>
        <v>981.66106839027111</v>
      </c>
      <c r="D43" s="7" cm="1">
        <f t="array" ref="D43">Linterp(B43,atmos_h,atmos_qms)</f>
        <v>383.0499203883931</v>
      </c>
      <c r="E43" s="16">
        <v>496</v>
      </c>
      <c r="F43" s="11">
        <f t="shared" si="12"/>
        <v>0.85283293373518276</v>
      </c>
      <c r="G43" s="7">
        <f t="shared" si="13"/>
        <v>837.19288888888877</v>
      </c>
      <c r="H43" s="120">
        <v>10000</v>
      </c>
      <c r="I43" s="11">
        <f t="shared" si="14"/>
        <v>0.21113866731754569</v>
      </c>
      <c r="J43" s="11">
        <f t="shared" si="11"/>
        <v>2.0755407280102497E-2</v>
      </c>
      <c r="K43" s="12">
        <f t="shared" si="15"/>
        <v>983.02255781917222</v>
      </c>
      <c r="L43" s="12">
        <f t="shared" si="16"/>
        <v>1879.2650947630436</v>
      </c>
      <c r="M43" s="16">
        <f t="shared" si="6"/>
        <v>75.032787864914624</v>
      </c>
      <c r="N43" s="273">
        <f t="shared" si="7"/>
        <v>4501.9672718948777</v>
      </c>
      <c r="O43" s="121">
        <f t="shared" si="8"/>
        <v>4401.9672718948777</v>
      </c>
      <c r="P43" s="121">
        <f t="shared" si="9"/>
        <v>4201.9672718948777</v>
      </c>
      <c r="Q43" s="303">
        <f t="shared" si="10"/>
        <v>4001.9672718948777</v>
      </c>
    </row>
    <row r="44" spans="2:17">
      <c r="B44" s="120">
        <v>34000</v>
      </c>
      <c r="C44" s="7" cm="1">
        <f t="array" ref="C44">Linterp(B44,atmos_h,atmos_aspeed)</f>
        <v>977.28639154186544</v>
      </c>
      <c r="D44" s="7" cm="1">
        <f t="array" ref="D44">Linterp(B44,atmos_h,atmos_qms)</f>
        <v>365.48073433747794</v>
      </c>
      <c r="E44" s="16">
        <v>496</v>
      </c>
      <c r="F44" s="11">
        <f t="shared" si="12"/>
        <v>0.85665051323189823</v>
      </c>
      <c r="G44" s="7">
        <f t="shared" si="13"/>
        <v>837.19288888888889</v>
      </c>
      <c r="H44" s="120">
        <v>10000</v>
      </c>
      <c r="I44" s="11">
        <f t="shared" si="14"/>
        <v>0.21932050184403395</v>
      </c>
      <c r="J44" s="11">
        <f t="shared" si="11"/>
        <v>2.1347146953007212E-2</v>
      </c>
      <c r="K44" s="12">
        <f t="shared" si="15"/>
        <v>973.33111923060778</v>
      </c>
      <c r="L44" s="12">
        <f t="shared" si="16"/>
        <v>1821.7338079791473</v>
      </c>
      <c r="M44" s="16">
        <f t="shared" si="6"/>
        <v>71.027669793449064</v>
      </c>
      <c r="N44" s="273">
        <f t="shared" si="7"/>
        <v>4261.6601876069435</v>
      </c>
      <c r="O44" s="121">
        <f t="shared" si="8"/>
        <v>4161.6601876069435</v>
      </c>
      <c r="P44" s="121">
        <f t="shared" si="9"/>
        <v>3961.6601876069435</v>
      </c>
      <c r="Q44" s="303">
        <f t="shared" si="10"/>
        <v>3761.6601876069435</v>
      </c>
    </row>
    <row r="45" spans="2:17">
      <c r="B45" s="120">
        <v>35000</v>
      </c>
      <c r="C45" s="7" cm="1">
        <f t="array" ref="C45">Linterp(B45,atmos_h,atmos_aspeed)</f>
        <v>972.89204385312564</v>
      </c>
      <c r="D45" s="7" cm="1">
        <f t="array" ref="D45">Linterp(B45,atmos_h,atmos_qms)</f>
        <v>348.56984405829382</v>
      </c>
      <c r="E45" s="16">
        <v>496</v>
      </c>
      <c r="F45" s="11">
        <f t="shared" si="12"/>
        <v>0.86051982250075543</v>
      </c>
      <c r="G45" s="7">
        <f t="shared" si="13"/>
        <v>837.19288888888889</v>
      </c>
      <c r="H45" s="120">
        <v>10000</v>
      </c>
      <c r="I45" s="11">
        <f t="shared" si="14"/>
        <v>0.22789747244532477</v>
      </c>
      <c r="J45" s="11">
        <f t="shared" si="11"/>
        <v>2.1965339100431955E-2</v>
      </c>
      <c r="K45" s="12">
        <f t="shared" si="15"/>
        <v>963.82548102641613</v>
      </c>
      <c r="L45" s="12">
        <f t="shared" si="16"/>
        <v>1764.1361781477037</v>
      </c>
      <c r="M45" s="16">
        <f t="shared" si="6"/>
        <v>67.001442453165126</v>
      </c>
      <c r="N45" s="273">
        <f t="shared" si="7"/>
        <v>4020.0865471899074</v>
      </c>
      <c r="O45" s="121">
        <f t="shared" si="8"/>
        <v>3920.0865471899074</v>
      </c>
      <c r="P45" s="121">
        <f t="shared" si="9"/>
        <v>3720.0865471899074</v>
      </c>
      <c r="Q45" s="303">
        <f t="shared" si="10"/>
        <v>3520.0865471899074</v>
      </c>
    </row>
    <row r="46" spans="2:17">
      <c r="B46" s="120">
        <v>36000</v>
      </c>
      <c r="C46" s="7" cm="1">
        <f t="array" ref="C46">Linterp(B46,atmos_h,atmos_aspeed)</f>
        <v>968.47775756209501</v>
      </c>
      <c r="D46" s="7" cm="1">
        <f t="array" ref="D46">Linterp(B46,atmos_h,atmos_qms)</f>
        <v>332.29821090292938</v>
      </c>
      <c r="E46" s="16">
        <v>496</v>
      </c>
      <c r="F46" s="11">
        <f t="shared" si="12"/>
        <v>0.86444204046184447</v>
      </c>
      <c r="G46" s="7">
        <f t="shared" si="13"/>
        <v>837.19288888888889</v>
      </c>
      <c r="H46" s="120">
        <v>10000</v>
      </c>
      <c r="I46" s="11">
        <f t="shared" si="14"/>
        <v>0.23689250261075254</v>
      </c>
      <c r="J46" s="11">
        <f t="shared" si="11"/>
        <v>2.261150388493283E-2</v>
      </c>
      <c r="K46" s="12">
        <f t="shared" si="15"/>
        <v>954.50483386916994</v>
      </c>
      <c r="L46" s="12">
        <f t="shared" si="16"/>
        <v>1702.6804614949097</v>
      </c>
      <c r="M46" s="16">
        <f t="shared" si="6"/>
        <v>62.636731508825058</v>
      </c>
      <c r="N46" s="273">
        <f t="shared" si="7"/>
        <v>3758.2038905295035</v>
      </c>
      <c r="O46" s="121">
        <f t="shared" si="8"/>
        <v>3658.2038905295035</v>
      </c>
      <c r="P46" s="121">
        <f t="shared" si="9"/>
        <v>3458.2038905295035</v>
      </c>
      <c r="Q46" s="303">
        <f t="shared" si="10"/>
        <v>3258.2038905295035</v>
      </c>
    </row>
    <row r="47" spans="2:17">
      <c r="B47" s="120">
        <v>37000</v>
      </c>
      <c r="C47" s="7" cm="1">
        <f t="array" ref="C47">Linterp(B47,atmos_h,atmos_aspeed)</f>
        <v>968.1005104214338</v>
      </c>
      <c r="D47" s="7" cm="1">
        <f t="array" ref="D47">Linterp(B47,atmos_h,atmos_qms)</f>
        <v>316.70457937064464</v>
      </c>
      <c r="E47" s="16">
        <v>496</v>
      </c>
      <c r="F47" s="11">
        <f t="shared" si="12"/>
        <v>0.86477889421258736</v>
      </c>
      <c r="G47" s="7">
        <f t="shared" si="13"/>
        <v>837.19288888888889</v>
      </c>
      <c r="H47" s="120">
        <v>10000</v>
      </c>
      <c r="I47" s="11">
        <f t="shared" si="14"/>
        <v>0.24836281418981809</v>
      </c>
      <c r="J47" s="11">
        <f t="shared" si="11"/>
        <v>2.3337224375632792E-2</v>
      </c>
      <c r="K47" s="12">
        <f t="shared" si="15"/>
        <v>939.64245218274402</v>
      </c>
      <c r="L47" s="12">
        <f t="shared" si="16"/>
        <v>1638.7683003467519</v>
      </c>
      <c r="M47" s="16">
        <f t="shared" si="6"/>
        <v>58.530318852132048</v>
      </c>
      <c r="N47" s="273">
        <f t="shared" si="7"/>
        <v>3511.8191311279229</v>
      </c>
      <c r="O47" s="121">
        <f t="shared" si="8"/>
        <v>3411.8191311279229</v>
      </c>
      <c r="P47" s="121">
        <f t="shared" si="9"/>
        <v>3211.8191311279229</v>
      </c>
      <c r="Q47" s="303">
        <f t="shared" si="10"/>
        <v>3011.8191311279229</v>
      </c>
    </row>
    <row r="48" spans="2:17">
      <c r="B48" s="120">
        <v>38000</v>
      </c>
      <c r="C48" s="7" cm="1">
        <f t="array" ref="C48">Linterp(B48,atmos_h,atmos_aspeed)</f>
        <v>968.1005104214338</v>
      </c>
      <c r="D48" s="7" cm="1">
        <f t="array" ref="D48">Linterp(B48,atmos_h,atmos_qms)</f>
        <v>301.84260713385146</v>
      </c>
      <c r="E48" s="16">
        <v>496</v>
      </c>
      <c r="F48" s="11">
        <f t="shared" si="12"/>
        <v>0.86477889421258736</v>
      </c>
      <c r="G48" s="7">
        <f t="shared" si="13"/>
        <v>837.19288888888889</v>
      </c>
      <c r="H48" s="120">
        <v>10000</v>
      </c>
      <c r="I48" s="11">
        <f t="shared" si="14"/>
        <v>0.26059157567644303</v>
      </c>
      <c r="J48" s="11">
        <f t="shared" si="11"/>
        <v>2.4103329244270468E-2</v>
      </c>
      <c r="K48" s="12">
        <f t="shared" si="15"/>
        <v>924.94660204203069</v>
      </c>
      <c r="L48" s="12">
        <f t="shared" si="16"/>
        <v>1574.6326255849865</v>
      </c>
      <c r="M48" s="16">
        <f t="shared" si="6"/>
        <v>54.391251892066187</v>
      </c>
      <c r="N48" s="273">
        <f t="shared" si="7"/>
        <v>3263.4751135239712</v>
      </c>
      <c r="O48" s="121">
        <f t="shared" si="8"/>
        <v>3163.4751135239712</v>
      </c>
      <c r="P48" s="121">
        <f t="shared" si="9"/>
        <v>2963.4751135239712</v>
      </c>
      <c r="Q48" s="303">
        <f t="shared" si="10"/>
        <v>2763.4751135239712</v>
      </c>
    </row>
    <row r="49" spans="2:17">
      <c r="B49" s="120">
        <v>39000</v>
      </c>
      <c r="C49" s="7" cm="1">
        <f t="array" ref="C49">Linterp(B49,atmos_h,atmos_aspeed)</f>
        <v>968.1005104214338</v>
      </c>
      <c r="D49" s="7" cm="1">
        <f t="array" ref="D49">Linterp(B49,atmos_h,atmos_qms)</f>
        <v>287.67806156264714</v>
      </c>
      <c r="E49" s="16">
        <v>496</v>
      </c>
      <c r="F49" s="11">
        <f t="shared" si="12"/>
        <v>0.86477889421258736</v>
      </c>
      <c r="G49" s="7">
        <f t="shared" si="13"/>
        <v>837.19288888888889</v>
      </c>
      <c r="H49" s="120">
        <v>10000</v>
      </c>
      <c r="I49" s="11">
        <f t="shared" si="14"/>
        <v>0.27342245067987841</v>
      </c>
      <c r="J49" s="11">
        <f t="shared" si="11"/>
        <v>2.4907155193428485E-2</v>
      </c>
      <c r="K49" s="12">
        <f t="shared" si="15"/>
        <v>910.94038296766109</v>
      </c>
      <c r="L49" s="12">
        <f t="shared" si="16"/>
        <v>1510.4969508232209</v>
      </c>
      <c r="M49" s="16">
        <f t="shared" si="6"/>
        <v>50.19444950953033</v>
      </c>
      <c r="N49" s="273">
        <f t="shared" si="7"/>
        <v>3011.6669705718195</v>
      </c>
      <c r="O49" s="121">
        <f t="shared" si="8"/>
        <v>2911.6669705718195</v>
      </c>
      <c r="P49" s="121">
        <f t="shared" si="9"/>
        <v>2711.6669705718195</v>
      </c>
      <c r="Q49" s="303">
        <f t="shared" si="10"/>
        <v>2511.6669705718195</v>
      </c>
    </row>
    <row r="50" spans="2:17">
      <c r="B50" s="120">
        <v>40000</v>
      </c>
      <c r="C50" s="7" cm="1">
        <f t="array" ref="C50">Linterp(B50,atmos_h,atmos_aspeed)</f>
        <v>968.1005104214338</v>
      </c>
      <c r="D50" s="7" cm="1">
        <f t="array" ref="D50">Linterp(B50,atmos_h,atmos_qms)</f>
        <v>274.17821456777654</v>
      </c>
      <c r="E50" s="16">
        <v>496</v>
      </c>
      <c r="F50" s="11">
        <f t="shared" si="12"/>
        <v>0.86477889421258736</v>
      </c>
      <c r="G50" s="7">
        <f t="shared" si="13"/>
        <v>837.19288888888889</v>
      </c>
      <c r="H50" s="120">
        <v>10000</v>
      </c>
      <c r="I50" s="11">
        <f t="shared" si="14"/>
        <v>0.28688508575816052</v>
      </c>
      <c r="J50" s="11">
        <f t="shared" si="11"/>
        <v>2.5750559514417563E-2</v>
      </c>
      <c r="K50" s="12">
        <f t="shared" si="15"/>
        <v>897.59143269388585</v>
      </c>
      <c r="L50" s="12">
        <f t="shared" si="16"/>
        <v>1446.3612760614556</v>
      </c>
      <c r="M50" s="16">
        <f t="shared" si="6"/>
        <v>45.942621050399872</v>
      </c>
      <c r="N50" s="273">
        <f t="shared" si="7"/>
        <v>2756.5572630239922</v>
      </c>
      <c r="O50" s="121">
        <f t="shared" si="8"/>
        <v>2656.5572630239922</v>
      </c>
      <c r="P50" s="121">
        <f t="shared" si="9"/>
        <v>2456.5572630239922</v>
      </c>
      <c r="Q50" s="303">
        <f t="shared" si="10"/>
        <v>2256.5572630239922</v>
      </c>
    </row>
    <row r="51" spans="2:17">
      <c r="B51" s="120">
        <v>41000</v>
      </c>
      <c r="C51" s="7" cm="1">
        <f t="array" ref="C51">Linterp(B51,atmos_h,atmos_aspeed)</f>
        <v>968.1005104214338</v>
      </c>
      <c r="D51" s="7" cm="1">
        <f t="array" ref="D51">Linterp(B51,atmos_h,atmos_qms)</f>
        <v>261.31187388859428</v>
      </c>
      <c r="E51" s="16">
        <v>496</v>
      </c>
      <c r="F51" s="11">
        <f t="shared" si="12"/>
        <v>0.86477889421258736</v>
      </c>
      <c r="G51" s="7">
        <f t="shared" si="13"/>
        <v>837.19288888888889</v>
      </c>
      <c r="H51" s="120">
        <v>10000</v>
      </c>
      <c r="I51" s="11">
        <f t="shared" si="14"/>
        <v>0.30101058719141949</v>
      </c>
      <c r="J51" s="11">
        <f t="shared" si="11"/>
        <v>2.6654484262832769E-2</v>
      </c>
      <c r="K51" s="12">
        <f t="shared" si="15"/>
        <v>885.49989259622203</v>
      </c>
      <c r="L51" s="12">
        <f t="shared" si="16"/>
        <v>1371.1737152773205</v>
      </c>
      <c r="M51" s="16">
        <f t="shared" si="6"/>
        <v>40.660267066809887</v>
      </c>
      <c r="N51" s="273">
        <f t="shared" si="7"/>
        <v>2439.6160240085933</v>
      </c>
      <c r="O51" s="121">
        <f t="shared" si="8"/>
        <v>2339.6160240085933</v>
      </c>
      <c r="P51" s="121">
        <f t="shared" si="9"/>
        <v>2139.6160240085933</v>
      </c>
      <c r="Q51" s="303">
        <f t="shared" si="10"/>
        <v>1939.6160240085933</v>
      </c>
    </row>
    <row r="52" spans="2:17">
      <c r="B52" s="120">
        <v>42000</v>
      </c>
      <c r="C52" s="7" cm="1">
        <f t="array" ref="C52">Linterp(B52,atmos_h,atmos_aspeed)</f>
        <v>968.1005104214338</v>
      </c>
      <c r="D52" s="7" cm="1">
        <f t="array" ref="D52">Linterp(B52,atmos_h,atmos_qms)</f>
        <v>249.04931102134992</v>
      </c>
      <c r="E52" s="16">
        <v>496</v>
      </c>
      <c r="F52" s="11">
        <f t="shared" si="12"/>
        <v>0.86477889421258736</v>
      </c>
      <c r="G52" s="7">
        <f t="shared" si="13"/>
        <v>837.19288888888889</v>
      </c>
      <c r="H52" s="120">
        <v>10000</v>
      </c>
      <c r="I52" s="11">
        <f t="shared" si="14"/>
        <v>0.3158315928549304</v>
      </c>
      <c r="J52" s="11">
        <f t="shared" si="11"/>
        <v>2.7861538467965755E-2</v>
      </c>
      <c r="K52" s="12">
        <f t="shared" si="15"/>
        <v>882.16439071575974</v>
      </c>
      <c r="L52" s="12">
        <f t="shared" si="16"/>
        <v>1295.9861544931853</v>
      </c>
      <c r="M52" s="16">
        <f t="shared" si="6"/>
        <v>34.644863790191827</v>
      </c>
      <c r="N52" s="273">
        <f t="shared" si="7"/>
        <v>2078.6918274115096</v>
      </c>
      <c r="O52" s="121">
        <f t="shared" si="8"/>
        <v>1978.6918274115096</v>
      </c>
      <c r="P52" s="121">
        <f t="shared" si="9"/>
        <v>1778.6918274115096</v>
      </c>
      <c r="Q52" s="303">
        <f t="shared" si="10"/>
        <v>1578.6918274115096</v>
      </c>
    </row>
    <row r="53" spans="2:17">
      <c r="B53" s="120">
        <v>43000</v>
      </c>
      <c r="C53" s="7" cm="1">
        <f t="array" ref="C53">Linterp(B53,atmos_h,atmos_aspeed)</f>
        <v>968.1005104214338</v>
      </c>
      <c r="D53" s="7" cm="1">
        <f t="array" ref="D53">Linterp(B53,atmos_h,atmos_qms)</f>
        <v>237.36219252957719</v>
      </c>
      <c r="E53" s="16">
        <v>496</v>
      </c>
      <c r="F53" s="11">
        <f t="shared" si="12"/>
        <v>0.86477889421258736</v>
      </c>
      <c r="G53" s="7">
        <f t="shared" si="13"/>
        <v>837.19288888888889</v>
      </c>
      <c r="H53" s="120">
        <v>10000</v>
      </c>
      <c r="I53" s="11">
        <f t="shared" si="14"/>
        <v>0.33138234763101354</v>
      </c>
      <c r="J53" s="11">
        <f t="shared" si="11"/>
        <v>2.9128024991999412E-2</v>
      </c>
      <c r="K53" s="12">
        <f t="shared" si="15"/>
        <v>878.98541368391716</v>
      </c>
      <c r="L53" s="12">
        <f t="shared" si="16"/>
        <v>1220.7985937090502</v>
      </c>
      <c r="M53" s="16">
        <f t="shared" si="6"/>
        <v>28.616356364553898</v>
      </c>
      <c r="N53" s="273">
        <f t="shared" si="7"/>
        <v>1716.9813818732339</v>
      </c>
      <c r="O53" s="121">
        <f t="shared" si="8"/>
        <v>1616.9813818732339</v>
      </c>
      <c r="P53" s="121">
        <f t="shared" si="9"/>
        <v>1416.9813818732339</v>
      </c>
      <c r="Q53" s="303">
        <f t="shared" si="10"/>
        <v>1216.9813818732339</v>
      </c>
    </row>
    <row r="54" spans="2:17">
      <c r="B54" s="120">
        <v>44000</v>
      </c>
      <c r="C54" s="7" cm="1">
        <f t="array" ref="C54">Linterp(B54,atmos_h,atmos_aspeed)</f>
        <v>968.1005104214338</v>
      </c>
      <c r="D54" s="7" cm="1">
        <f t="array" ref="D54">Linterp(B54,atmos_h,atmos_qms)</f>
        <v>226.22351457787488</v>
      </c>
      <c r="E54" s="16">
        <v>496</v>
      </c>
      <c r="F54" s="11">
        <f t="shared" si="12"/>
        <v>0.86477889421258736</v>
      </c>
      <c r="G54" s="7">
        <f t="shared" si="13"/>
        <v>837.19288888888889</v>
      </c>
      <c r="H54" s="120">
        <v>10000</v>
      </c>
      <c r="I54" s="11">
        <f t="shared" si="14"/>
        <v>0.34769878253402747</v>
      </c>
      <c r="J54" s="11">
        <f t="shared" si="11"/>
        <v>3.045687013311895E-2</v>
      </c>
      <c r="K54" s="12">
        <f t="shared" si="15"/>
        <v>875.95561627076722</v>
      </c>
      <c r="L54" s="12">
        <f t="shared" si="16"/>
        <v>1145.611032924915</v>
      </c>
      <c r="M54" s="16">
        <f t="shared" si="6"/>
        <v>22.575359727322297</v>
      </c>
      <c r="N54" s="273">
        <f t="shared" si="7"/>
        <v>1354.5215836393379</v>
      </c>
      <c r="O54" s="121">
        <f t="shared" si="8"/>
        <v>1254.5215836393379</v>
      </c>
      <c r="P54" s="121">
        <f t="shared" si="9"/>
        <v>1054.5215836393379</v>
      </c>
      <c r="Q54" s="303">
        <f t="shared" si="10"/>
        <v>854.5215836393379</v>
      </c>
    </row>
    <row r="55" spans="2:17">
      <c r="B55" s="120">
        <v>45000</v>
      </c>
      <c r="C55" s="7" cm="1">
        <f t="array" ref="C55">Linterp(B55,atmos_h,atmos_aspeed)</f>
        <v>968.1005104214338</v>
      </c>
      <c r="D55" s="7" cm="1">
        <f t="array" ref="D55">Linterp(B55,atmos_h,atmos_qms)</f>
        <v>215.60754053781716</v>
      </c>
      <c r="E55" s="16">
        <v>496</v>
      </c>
      <c r="F55" s="11">
        <f t="shared" si="12"/>
        <v>0.86477889421258736</v>
      </c>
      <c r="G55" s="7">
        <f t="shared" si="13"/>
        <v>837.19288888888889</v>
      </c>
      <c r="H55" s="120">
        <v>10000</v>
      </c>
      <c r="I55" s="11">
        <f t="shared" si="14"/>
        <v>0.36481859773127701</v>
      </c>
      <c r="J55" s="11">
        <f t="shared" si="11"/>
        <v>3.2454945240112561E-2</v>
      </c>
      <c r="K55" s="12">
        <f t="shared" si="15"/>
        <v>889.61871576565466</v>
      </c>
      <c r="L55" s="12">
        <f t="shared" si="16"/>
        <v>1070.4234721407799</v>
      </c>
      <c r="M55" s="16">
        <f t="shared" si="6"/>
        <v>15.136845631454289</v>
      </c>
      <c r="N55" s="273">
        <f t="shared" si="7"/>
        <v>908.21073788725732</v>
      </c>
      <c r="O55" s="121">
        <f t="shared" si="8"/>
        <v>808.21073788725732</v>
      </c>
      <c r="P55" s="121">
        <f t="shared" si="9"/>
        <v>608.21073788725732</v>
      </c>
      <c r="Q55" s="303">
        <f t="shared" si="10"/>
        <v>408.21073788725732</v>
      </c>
    </row>
    <row r="56" spans="2:17">
      <c r="B56" s="120">
        <v>46000</v>
      </c>
      <c r="C56" s="7" cm="1">
        <f t="array" ref="C56">Linterp(B56,atmos_h,atmos_aspeed)</f>
        <v>968.1005104214338</v>
      </c>
      <c r="D56" s="7" cm="1">
        <f t="array" ref="D56">Linterp(B56,atmos_h,atmos_qms)</f>
        <v>205.48974152182566</v>
      </c>
      <c r="E56" s="16">
        <v>496</v>
      </c>
      <c r="F56" s="11">
        <f t="shared" si="12"/>
        <v>0.86477889421258736</v>
      </c>
      <c r="G56" s="7">
        <f t="shared" si="13"/>
        <v>837.19288888888889</v>
      </c>
      <c r="H56" s="120">
        <v>10000</v>
      </c>
      <c r="I56" s="11">
        <f t="shared" si="14"/>
        <v>0.38278134965166355</v>
      </c>
      <c r="J56" s="11">
        <f t="shared" si="11"/>
        <v>3.4649783117995166E-2</v>
      </c>
      <c r="K56" s="12">
        <f t="shared" si="15"/>
        <v>905.21085077752525</v>
      </c>
      <c r="L56" s="12">
        <f t="shared" si="16"/>
        <v>1014.158608809567</v>
      </c>
      <c r="M56" s="16">
        <f t="shared" si="6"/>
        <v>9.1210288284812684</v>
      </c>
      <c r="N56" s="273">
        <f t="shared" si="7"/>
        <v>547.26172970887615</v>
      </c>
      <c r="O56" s="121">
        <f t="shared" si="8"/>
        <v>447.26172970887615</v>
      </c>
      <c r="P56" s="121">
        <f t="shared" si="9"/>
        <v>247.26172970887615</v>
      </c>
      <c r="Q56" s="303">
        <f t="shared" si="10"/>
        <v>47.261729708876146</v>
      </c>
    </row>
    <row r="57" spans="2:17">
      <c r="B57" s="120">
        <v>47000</v>
      </c>
      <c r="C57" s="7" cm="1">
        <f t="array" ref="C57">Linterp(B57,atmos_h,atmos_aspeed)</f>
        <v>968.1005104214338</v>
      </c>
      <c r="D57" s="7" cm="1">
        <f t="array" ref="D57">Linterp(B57,atmos_h,atmos_qms)</f>
        <v>195.84673970760483</v>
      </c>
      <c r="E57" s="16">
        <v>496</v>
      </c>
      <c r="F57" s="11">
        <f t="shared" si="12"/>
        <v>0.86477889421258736</v>
      </c>
      <c r="G57" s="7">
        <f t="shared" si="13"/>
        <v>837.19288888888889</v>
      </c>
      <c r="H57" s="120">
        <v>10000</v>
      </c>
      <c r="I57" s="11">
        <f t="shared" si="14"/>
        <v>0.40162854238334611</v>
      </c>
      <c r="J57" s="11">
        <f t="shared" si="11"/>
        <v>3.703502494434803E-2</v>
      </c>
      <c r="K57" s="12">
        <f t="shared" si="15"/>
        <v>922.12133939920204</v>
      </c>
      <c r="L57" s="12">
        <f t="shared" si="16"/>
        <v>957.89374547835428</v>
      </c>
      <c r="M57" s="16">
        <f t="shared" si="6"/>
        <v>2.9948403987911907</v>
      </c>
      <c r="N57" s="273">
        <f t="shared" si="7"/>
        <v>179.69042392747144</v>
      </c>
      <c r="O57" s="121">
        <f t="shared" si="8"/>
        <v>79.690423927471443</v>
      </c>
      <c r="P57" s="121">
        <f t="shared" si="9"/>
        <v>-120.30957607252856</v>
      </c>
      <c r="Q57" s="303">
        <f t="shared" si="10"/>
        <v>-320.30957607252856</v>
      </c>
    </row>
    <row r="58" spans="2:17">
      <c r="B58" s="120">
        <v>48000</v>
      </c>
      <c r="C58" s="7" cm="1">
        <f t="array" ref="C58">Linterp(B58,atmos_h,atmos_aspeed)</f>
        <v>968.1005104214338</v>
      </c>
      <c r="D58" s="7" cm="1">
        <f t="array" ref="D58">Linterp(B58,atmos_h,atmos_qms)</f>
        <v>186.65625432218673</v>
      </c>
      <c r="E58" s="16">
        <v>496</v>
      </c>
      <c r="F58" s="11">
        <f t="shared" si="12"/>
        <v>0.86477889421258736</v>
      </c>
      <c r="G58" s="7">
        <f t="shared" si="13"/>
        <v>837.19288888888889</v>
      </c>
      <c r="H58" s="120">
        <v>10000</v>
      </c>
      <c r="I58" s="11">
        <f t="shared" si="14"/>
        <v>0.42140372357159395</v>
      </c>
      <c r="J58" s="11">
        <f t="shared" si="11"/>
        <v>4.0451111575126548E-2</v>
      </c>
      <c r="K58" s="12">
        <f t="shared" si="15"/>
        <v>959.91348230823462</v>
      </c>
      <c r="L58" s="12">
        <f t="shared" si="16"/>
        <v>901.62888214714133</v>
      </c>
      <c r="M58" s="16">
        <f t="shared" si="6"/>
        <v>-4.8795452786599496</v>
      </c>
      <c r="N58" s="273">
        <f t="shared" si="7"/>
        <v>-292.77271671959699</v>
      </c>
      <c r="O58" s="121">
        <f t="shared" si="8"/>
        <v>-392.77271671959699</v>
      </c>
      <c r="P58" s="121">
        <f t="shared" si="9"/>
        <v>-592.77271671959693</v>
      </c>
      <c r="Q58" s="303">
        <f t="shared" si="10"/>
        <v>-792.77271671959693</v>
      </c>
    </row>
    <row r="59" spans="2:17">
      <c r="B59" s="120">
        <v>49000</v>
      </c>
      <c r="C59" s="7" cm="1">
        <f t="array" ref="C59">Linterp(B59,atmos_h,atmos_aspeed)</f>
        <v>968.1005104214338</v>
      </c>
      <c r="D59" s="7" cm="1">
        <f t="array" ref="D59">Linterp(B59,atmos_h,atmos_qms)</f>
        <v>177.89705016077923</v>
      </c>
      <c r="E59" s="16">
        <v>496</v>
      </c>
      <c r="F59" s="11">
        <f t="shared" si="12"/>
        <v>0.86477889421258736</v>
      </c>
      <c r="G59" s="7">
        <f t="shared" si="13"/>
        <v>837.19288888888889</v>
      </c>
      <c r="H59" s="120">
        <v>10000</v>
      </c>
      <c r="I59" s="11">
        <f t="shared" si="14"/>
        <v>0.44215258503840826</v>
      </c>
      <c r="J59" s="11">
        <f t="shared" si="11"/>
        <v>4.4035397735942255E-2</v>
      </c>
      <c r="K59" s="12">
        <f t="shared" si="15"/>
        <v>995.93215613829454</v>
      </c>
      <c r="L59" s="12">
        <f t="shared" si="16"/>
        <v>845.36401881592849</v>
      </c>
      <c r="M59" s="16">
        <f t="shared" si="6"/>
        <v>-12.605457385953057</v>
      </c>
      <c r="N59" s="273">
        <f t="shared" si="7"/>
        <v>-756.32744315718344</v>
      </c>
      <c r="O59" s="121">
        <f t="shared" si="8"/>
        <v>-856.32744315718344</v>
      </c>
      <c r="P59" s="121">
        <f t="shared" si="9"/>
        <v>-1056.3274431571836</v>
      </c>
      <c r="Q59" s="303">
        <f t="shared" si="10"/>
        <v>-1256.3274431571836</v>
      </c>
    </row>
    <row r="60" spans="2:17" ht="15" thickBot="1">
      <c r="B60" s="120">
        <v>50000</v>
      </c>
      <c r="C60" s="7" cm="1">
        <f t="array" ref="C60">Linterp(B60,atmos_h,atmos_aspeed)</f>
        <v>968.1005104214338</v>
      </c>
      <c r="D60" s="7" cm="1">
        <f t="array" ref="D60">Linterp(B60,atmos_h,atmos_qms)</f>
        <v>169.54888852146578</v>
      </c>
      <c r="E60" s="16">
        <v>496</v>
      </c>
      <c r="F60" s="11">
        <f t="shared" si="12"/>
        <v>0.86477889421258736</v>
      </c>
      <c r="G60" s="7">
        <f t="shared" si="13"/>
        <v>837.19288888888889</v>
      </c>
      <c r="H60" s="120">
        <v>10000</v>
      </c>
      <c r="I60" s="11">
        <f t="shared" si="14"/>
        <v>0.46392306835640185</v>
      </c>
      <c r="J60" s="11">
        <f t="shared" si="11"/>
        <v>4.779616514941009E-2</v>
      </c>
      <c r="K60" s="12">
        <f t="shared" si="15"/>
        <v>1030.2605843409242</v>
      </c>
      <c r="L60" s="12">
        <f t="shared" si="16"/>
        <v>789.09915548471565</v>
      </c>
      <c r="M60" s="16">
        <f t="shared" si="6"/>
        <v>-20.189863331270146</v>
      </c>
      <c r="N60" s="274">
        <f t="shared" si="7"/>
        <v>-1211.3917998762088</v>
      </c>
      <c r="O60" s="304">
        <f t="shared" si="8"/>
        <v>-1311.3917998762088</v>
      </c>
      <c r="P60" s="304">
        <f t="shared" si="9"/>
        <v>-1511.3917998762088</v>
      </c>
      <c r="Q60" s="305">
        <f t="shared" si="10"/>
        <v>-1711.3917998762088</v>
      </c>
    </row>
    <row r="61" spans="2:17">
      <c r="B61" s="55"/>
      <c r="C61" s="55"/>
      <c r="D61" s="55"/>
      <c r="E61" s="55"/>
    </row>
    <row r="62" spans="2:17" ht="15" thickBot="1">
      <c r="C62" s="3"/>
      <c r="D62" s="15"/>
      <c r="E62" s="132"/>
      <c r="F62" s="1"/>
      <c r="G62" s="2"/>
      <c r="J62" s="178" t="s">
        <v>209</v>
      </c>
      <c r="M62" s="4"/>
    </row>
    <row r="63" spans="2:17" ht="15" thickBot="1">
      <c r="D63" s="14"/>
      <c r="F63" s="4"/>
      <c r="G63" s="131"/>
      <c r="I63" s="55" t="s">
        <v>358</v>
      </c>
      <c r="J63" s="178" t="s">
        <v>210</v>
      </c>
      <c r="K63" s="182" cm="1">
        <f t="array" ref="K63">x_at_y0(B10:B60,N10:N60)</f>
        <v>47407.120593366897</v>
      </c>
      <c r="L63" t="s">
        <v>2</v>
      </c>
      <c r="M63" s="4"/>
    </row>
    <row r="64" spans="2:17">
      <c r="C64" s="3"/>
      <c r="D64" s="14"/>
      <c r="E64" s="132"/>
      <c r="F64" s="1"/>
      <c r="G64" s="2"/>
      <c r="H64" s="14"/>
      <c r="M64" s="4"/>
    </row>
    <row r="65" spans="3:14" ht="15" thickBot="1">
      <c r="C65" s="3"/>
      <c r="D65" s="14"/>
      <c r="E65" s="132"/>
      <c r="F65" s="1"/>
      <c r="G65" s="2"/>
      <c r="H65" s="14"/>
      <c r="J65" s="151" t="s">
        <v>211</v>
      </c>
      <c r="M65" s="4"/>
      <c r="N65" s="1"/>
    </row>
    <row r="66" spans="3:14" ht="15" thickBot="1">
      <c r="C66" s="3"/>
      <c r="D66" s="14"/>
      <c r="E66" s="132"/>
      <c r="F66" s="1"/>
      <c r="G66" s="2"/>
      <c r="H66" s="14"/>
      <c r="I66" s="55" t="s">
        <v>358</v>
      </c>
      <c r="J66" s="151" t="s">
        <v>212</v>
      </c>
      <c r="K66" s="182" cm="1">
        <f t="array" ref="K66">x_at_y0(B10:B60,O10:O60)</f>
        <v>47185.437542897707</v>
      </c>
      <c r="L66" t="s">
        <v>2</v>
      </c>
      <c r="M66" s="4"/>
      <c r="N66" s="1"/>
    </row>
    <row r="67" spans="3:14">
      <c r="C67" s="3"/>
      <c r="D67" s="14"/>
      <c r="E67" s="132"/>
      <c r="F67" s="1"/>
      <c r="G67" s="2"/>
      <c r="H67" s="14"/>
      <c r="M67" s="4"/>
      <c r="N67" s="1"/>
    </row>
    <row r="68" spans="3:14" ht="15" thickBot="1">
      <c r="C68" s="3"/>
      <c r="D68" s="14"/>
      <c r="E68" s="132"/>
      <c r="F68" s="1"/>
      <c r="G68" s="2"/>
      <c r="H68" s="14"/>
      <c r="J68" s="180" t="s">
        <v>213</v>
      </c>
      <c r="M68" s="4"/>
      <c r="N68" s="2"/>
    </row>
    <row r="69" spans="3:14" ht="15" thickBot="1">
      <c r="C69" s="3"/>
      <c r="D69" s="14"/>
      <c r="E69" s="132"/>
      <c r="F69" s="1"/>
      <c r="G69" s="2"/>
      <c r="H69" s="14"/>
      <c r="I69" s="55" t="s">
        <v>358</v>
      </c>
      <c r="J69" s="180" t="s">
        <v>214</v>
      </c>
      <c r="K69" s="182" cm="1">
        <f t="array" ref="K69">x_at_y0(B10:B60,P10:P60)</f>
        <v>46702.509661095763</v>
      </c>
      <c r="L69" t="s">
        <v>2</v>
      </c>
      <c r="N69" s="1"/>
    </row>
    <row r="70" spans="3:14">
      <c r="C70" s="3"/>
      <c r="D70" s="14"/>
      <c r="E70" s="132"/>
      <c r="F70" s="1"/>
      <c r="G70" s="2"/>
      <c r="H70" s="14"/>
      <c r="M70" s="4"/>
    </row>
    <row r="71" spans="3:14" ht="15" thickBot="1">
      <c r="C71" s="3"/>
      <c r="D71" s="14"/>
      <c r="E71" s="132"/>
      <c r="F71" s="1"/>
      <c r="G71" s="2"/>
      <c r="H71" s="14"/>
      <c r="J71" s="181" t="s">
        <v>215</v>
      </c>
      <c r="M71" s="4"/>
    </row>
    <row r="72" spans="3:14" ht="15" thickBot="1">
      <c r="C72" s="3"/>
      <c r="D72" s="14"/>
      <c r="E72" s="132"/>
      <c r="F72" s="1"/>
      <c r="G72" s="2"/>
      <c r="H72" s="14"/>
      <c r="I72" s="55" t="s">
        <v>358</v>
      </c>
      <c r="J72" s="181" t="s">
        <v>216</v>
      </c>
      <c r="K72" s="182" cm="1">
        <f t="array" ref="K72">x_at_y0(B10:B60,Q10:Q60)</f>
        <v>46129.594518981146</v>
      </c>
      <c r="L72" t="s">
        <v>2</v>
      </c>
      <c r="M72" s="4"/>
    </row>
    <row r="73" spans="3:14">
      <c r="C73" s="3"/>
      <c r="D73" s="14"/>
      <c r="E73" s="132"/>
      <c r="F73" s="1"/>
      <c r="G73" s="2"/>
      <c r="H73" s="14"/>
      <c r="M73" s="4"/>
      <c r="N73" s="1"/>
    </row>
    <row r="74" spans="3:14">
      <c r="C74" s="3"/>
      <c r="D74" s="3"/>
      <c r="E74" s="132"/>
      <c r="F74" s="1"/>
      <c r="G74" s="2"/>
      <c r="M74" s="4"/>
      <c r="N74" s="1"/>
    </row>
    <row r="75" spans="3:14">
      <c r="C75" s="3"/>
      <c r="D75" s="3"/>
      <c r="E75" s="132"/>
      <c r="F75" s="1"/>
      <c r="G75" s="2"/>
      <c r="M75" s="4"/>
      <c r="N75" s="1"/>
    </row>
    <row r="76" spans="3:14">
      <c r="C76" s="3"/>
      <c r="D76" s="3"/>
      <c r="E76" s="132"/>
      <c r="F76" s="1"/>
      <c r="G76" s="2"/>
      <c r="M76" s="4"/>
      <c r="N76" s="2"/>
    </row>
    <row r="77" spans="3:14">
      <c r="C77" s="3"/>
      <c r="D77" s="3"/>
      <c r="E77" s="132"/>
      <c r="F77" s="1"/>
      <c r="G77" s="2"/>
      <c r="N77" s="1"/>
    </row>
    <row r="78" spans="3:14">
      <c r="C78" s="3"/>
      <c r="D78" s="3"/>
      <c r="E78" s="132"/>
      <c r="F78" s="1"/>
      <c r="G78" s="2"/>
      <c r="M78" s="4"/>
    </row>
    <row r="79" spans="3:14">
      <c r="C79" s="3"/>
      <c r="D79" s="3"/>
      <c r="E79" s="132"/>
      <c r="F79" s="1"/>
      <c r="G79" s="2"/>
      <c r="M79" s="4"/>
    </row>
    <row r="80" spans="3:14">
      <c r="C80" s="3"/>
      <c r="D80" s="3"/>
      <c r="E80" s="132"/>
      <c r="F80" s="1"/>
      <c r="G80" s="2"/>
      <c r="M80" s="4"/>
    </row>
    <row r="81" spans="3:14">
      <c r="C81" s="3"/>
      <c r="D81" s="3"/>
      <c r="E81" s="132"/>
      <c r="F81" s="1"/>
      <c r="G81" s="2"/>
      <c r="M81" s="4"/>
      <c r="N81" s="1"/>
    </row>
    <row r="82" spans="3:14">
      <c r="C82" s="3"/>
      <c r="D82" s="3"/>
      <c r="E82" s="132"/>
      <c r="F82" s="1"/>
      <c r="G82" s="2"/>
      <c r="M82" s="4"/>
      <c r="N82" s="1"/>
    </row>
    <row r="83" spans="3:14">
      <c r="C83" s="3"/>
      <c r="D83" s="3"/>
      <c r="E83" s="132"/>
      <c r="F83" s="1"/>
      <c r="G83" s="2"/>
      <c r="M83" s="4"/>
      <c r="N83" s="1"/>
    </row>
    <row r="84" spans="3:14">
      <c r="C84" s="3"/>
      <c r="D84" s="3"/>
      <c r="E84" s="132"/>
      <c r="F84" s="1"/>
      <c r="G84" s="2"/>
      <c r="M84" s="4"/>
      <c r="N84" s="2"/>
    </row>
    <row r="85" spans="3:14">
      <c r="C85" s="3"/>
      <c r="D85" s="3"/>
      <c r="E85" s="132"/>
      <c r="F85" s="1"/>
      <c r="G85" s="2"/>
    </row>
    <row r="86" spans="3:14">
      <c r="C86" s="3"/>
      <c r="D86" s="3"/>
      <c r="E86" s="132"/>
      <c r="F86" s="1"/>
      <c r="G86" s="2"/>
      <c r="M86" s="4"/>
    </row>
    <row r="87" spans="3:14">
      <c r="C87" s="3"/>
      <c r="D87" s="3"/>
      <c r="E87" s="132"/>
      <c r="F87" s="1"/>
      <c r="G87" s="2"/>
      <c r="M87" s="4"/>
    </row>
    <row r="88" spans="3:14">
      <c r="C88" s="3"/>
      <c r="D88" s="3"/>
      <c r="E88" s="132"/>
      <c r="F88" s="1"/>
      <c r="G88" s="2"/>
      <c r="M88" s="4"/>
    </row>
    <row r="89" spans="3:14">
      <c r="C89" s="3"/>
      <c r="D89" s="3"/>
      <c r="E89" s="132"/>
      <c r="F89" s="1"/>
      <c r="G89" s="2"/>
      <c r="M89" s="4"/>
      <c r="N89" s="1"/>
    </row>
    <row r="90" spans="3:14">
      <c r="C90" s="3"/>
      <c r="D90" s="3"/>
      <c r="E90" s="132"/>
      <c r="F90" s="1"/>
      <c r="G90" s="2"/>
      <c r="M90" s="4"/>
      <c r="N90" s="1"/>
    </row>
    <row r="91" spans="3:14" ht="15" thickBot="1">
      <c r="C91" s="3"/>
      <c r="D91" s="3"/>
      <c r="E91" s="132"/>
      <c r="F91" s="1"/>
      <c r="G91" s="2"/>
      <c r="M91" s="4"/>
      <c r="N91" s="1"/>
    </row>
    <row r="92" spans="3:14" ht="15" thickBot="1">
      <c r="C92" s="3"/>
      <c r="D92" s="3"/>
      <c r="E92" s="132"/>
      <c r="F92" s="1"/>
      <c r="G92" s="2"/>
      <c r="J92" s="625" t="s">
        <v>679</v>
      </c>
      <c r="K92" s="626"/>
      <c r="L92" s="626" t="s">
        <v>680</v>
      </c>
      <c r="M92" s="627"/>
      <c r="N92" s="2"/>
    </row>
    <row r="93" spans="3:14">
      <c r="J93" s="528" t="s">
        <v>220</v>
      </c>
      <c r="K93" s="82" t="s">
        <v>221</v>
      </c>
      <c r="L93" s="528" t="s">
        <v>220</v>
      </c>
      <c r="M93" s="82" t="s">
        <v>221</v>
      </c>
    </row>
    <row r="94" spans="3:14">
      <c r="J94" s="126" t="s">
        <v>209</v>
      </c>
      <c r="K94" s="41">
        <v>47407.120593366897</v>
      </c>
      <c r="L94" s="126" t="s">
        <v>209</v>
      </c>
      <c r="M94" s="41">
        <v>54900.057484569326</v>
      </c>
    </row>
    <row r="95" spans="3:14">
      <c r="J95" s="126" t="s">
        <v>211</v>
      </c>
      <c r="K95" s="41">
        <v>47185.437542897707</v>
      </c>
      <c r="L95" s="126" t="s">
        <v>211</v>
      </c>
      <c r="M95" s="41">
        <v>54747.655258423125</v>
      </c>
    </row>
    <row r="96" spans="3:14">
      <c r="J96" s="126" t="s">
        <v>213</v>
      </c>
      <c r="K96" s="41">
        <v>46702.509661095763</v>
      </c>
      <c r="L96" s="126" t="s">
        <v>213</v>
      </c>
      <c r="M96" s="41">
        <v>54462.960340151098</v>
      </c>
    </row>
    <row r="97" spans="10:13" ht="15" thickBot="1">
      <c r="J97" s="529" t="s">
        <v>215</v>
      </c>
      <c r="K97" s="530">
        <v>46129.594518981146</v>
      </c>
      <c r="L97" s="529" t="s">
        <v>215</v>
      </c>
      <c r="M97" s="530">
        <v>54155.334410581563</v>
      </c>
    </row>
    <row r="98" spans="10:13" ht="15" thickBot="1">
      <c r="J98" s="628" t="s">
        <v>681</v>
      </c>
      <c r="K98" s="629"/>
      <c r="L98" s="629"/>
      <c r="M98" s="630"/>
    </row>
  </sheetData>
  <mergeCells count="5">
    <mergeCell ref="B2:C2"/>
    <mergeCell ref="B3:C3"/>
    <mergeCell ref="J92:K92"/>
    <mergeCell ref="L92:M92"/>
    <mergeCell ref="J98:M98"/>
  </mergeCells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D8B07-D005-420F-8157-AD136F349966}">
  <sheetPr codeName="Sheet12">
    <tabColor theme="2" tint="-9.9978637043366805E-2"/>
  </sheetPr>
  <dimension ref="B1:Q103"/>
  <sheetViews>
    <sheetView workbookViewId="0">
      <selection activeCell="I2" sqref="I2:J6"/>
    </sheetView>
  </sheetViews>
  <sheetFormatPr defaultRowHeight="14.5"/>
  <cols>
    <col min="1" max="1" width="2.7265625" customWidth="1"/>
    <col min="2" max="17" width="12.7265625" customWidth="1"/>
  </cols>
  <sheetData>
    <row r="1" spans="2:17" ht="15" thickBot="1"/>
    <row r="2" spans="2:17">
      <c r="B2" s="621" t="s">
        <v>329</v>
      </c>
      <c r="C2" s="622"/>
      <c r="F2" t="s">
        <v>6</v>
      </c>
      <c r="G2" s="18">
        <v>10000</v>
      </c>
      <c r="H2" t="s">
        <v>5</v>
      </c>
      <c r="I2" s="123" t="s">
        <v>220</v>
      </c>
      <c r="J2" s="133" t="s">
        <v>221</v>
      </c>
    </row>
    <row r="3" spans="2:17" ht="15" thickBot="1">
      <c r="B3" s="623" t="s">
        <v>222</v>
      </c>
      <c r="C3" s="624"/>
      <c r="I3" s="126" t="s">
        <v>209</v>
      </c>
      <c r="J3" s="41">
        <f>K73</f>
        <v>54900.057484569326</v>
      </c>
    </row>
    <row r="4" spans="2:17">
      <c r="I4" s="126" t="s">
        <v>211</v>
      </c>
      <c r="J4" s="41">
        <f>K81</f>
        <v>54747.655258423125</v>
      </c>
    </row>
    <row r="5" spans="2:17">
      <c r="I5" s="126" t="s">
        <v>213</v>
      </c>
      <c r="J5" s="41">
        <f>K89</f>
        <v>54462.960340151098</v>
      </c>
    </row>
    <row r="6" spans="2:17" ht="15" thickBot="1">
      <c r="I6" s="128" t="s">
        <v>215</v>
      </c>
      <c r="J6" s="47">
        <f>K97</f>
        <v>54155.334410581563</v>
      </c>
    </row>
    <row r="7" spans="2:17" ht="15" thickBot="1"/>
    <row r="8" spans="2:17">
      <c r="B8" s="6" t="s">
        <v>1</v>
      </c>
      <c r="C8" s="6" t="s">
        <v>17</v>
      </c>
      <c r="D8" s="6" t="s">
        <v>0</v>
      </c>
      <c r="E8" s="6" t="s">
        <v>184</v>
      </c>
      <c r="F8" s="6" t="s">
        <v>72</v>
      </c>
      <c r="G8" s="6" t="s">
        <v>185</v>
      </c>
      <c r="H8" s="6" t="s">
        <v>6</v>
      </c>
      <c r="I8" s="6" t="s">
        <v>74</v>
      </c>
      <c r="J8" s="6" t="s">
        <v>75</v>
      </c>
      <c r="K8" s="6" t="s">
        <v>186</v>
      </c>
      <c r="L8" s="6" t="s">
        <v>202</v>
      </c>
      <c r="M8" s="6" t="s">
        <v>188</v>
      </c>
      <c r="N8" s="299" t="s">
        <v>204</v>
      </c>
      <c r="O8" s="300" t="s">
        <v>205</v>
      </c>
      <c r="P8" s="301" t="s">
        <v>206</v>
      </c>
      <c r="Q8" s="302" t="s">
        <v>207</v>
      </c>
    </row>
    <row r="9" spans="2:17">
      <c r="B9" s="6" t="s">
        <v>30</v>
      </c>
      <c r="C9" s="6" t="s">
        <v>69</v>
      </c>
      <c r="D9" s="6" t="s">
        <v>196</v>
      </c>
      <c r="E9" s="6" t="s">
        <v>197</v>
      </c>
      <c r="F9" s="5"/>
      <c r="G9" s="6" t="s">
        <v>69</v>
      </c>
      <c r="H9" s="6" t="s">
        <v>78</v>
      </c>
      <c r="I9" s="5"/>
      <c r="J9" s="5"/>
      <c r="K9" s="6" t="s">
        <v>78</v>
      </c>
      <c r="L9" s="6" t="s">
        <v>78</v>
      </c>
      <c r="M9" s="6" t="s">
        <v>69</v>
      </c>
      <c r="N9" s="327" t="s">
        <v>208</v>
      </c>
      <c r="O9" s="328" t="s">
        <v>208</v>
      </c>
      <c r="P9" s="316" t="s">
        <v>208</v>
      </c>
      <c r="Q9" s="329" t="s">
        <v>208</v>
      </c>
    </row>
    <row r="10" spans="2:17">
      <c r="B10" s="120">
        <v>0</v>
      </c>
      <c r="C10" s="7" cm="1">
        <f t="array" ref="C10">Linterp(B10,atmos_h,atmos_aspeed)</f>
        <v>1116.45</v>
      </c>
      <c r="D10" s="7" cm="1">
        <f t="array" ref="D10">Linterp(B10,atmos_h,atmos_qms)</f>
        <v>1481.354</v>
      </c>
      <c r="E10" s="16">
        <f t="shared" ref="E10:E41" si="0">F10*C10*3600/6076.4</f>
        <v>595.96425844249893</v>
      </c>
      <c r="F10" s="11">
        <v>0.90100000000000002</v>
      </c>
      <c r="G10" s="7">
        <f t="shared" ref="G10:G41" si="1">F10*C10</f>
        <v>1005.92145</v>
      </c>
      <c r="H10" s="120">
        <v>10000</v>
      </c>
      <c r="I10" s="11">
        <f t="shared" ref="I10:I41" si="2">H10/(D10*F10*F10*_xlfn.SINGLE(S))</f>
        <v>4.8915065808183548E-2</v>
      </c>
      <c r="J10" s="11">
        <f t="shared" ref="J10:J60" si="3">InterpolateXY(I10,F10,CD_CL,CD_M,CD_table)</f>
        <v>1.6641574404512156E-2</v>
      </c>
      <c r="K10" s="12">
        <f t="shared" ref="K10:K41" si="4">J10*D10*F10*F10*_xlfn.SINGLE(S)</f>
        <v>3402.1367710657355</v>
      </c>
      <c r="L10" s="12">
        <f t="shared" ref="L10:L41" si="5">_xlfn.SINGLE(InterpolateXY(B10,F10,Tmax_h,Tmax_M,Tmax_table))*_xlfn.SINGLE(numeng)</f>
        <v>7662.4</v>
      </c>
      <c r="M10" s="16">
        <f t="shared" ref="M10:M70" si="6">(L10-K10)*G10/H10</f>
        <v>428.54901646312362</v>
      </c>
      <c r="N10" s="273">
        <f>M10*60</f>
        <v>25712.940987787417</v>
      </c>
      <c r="O10" s="121">
        <f>N10-100</f>
        <v>25612.940987787417</v>
      </c>
      <c r="P10" s="121">
        <f>N10-300</f>
        <v>25412.940987787417</v>
      </c>
      <c r="Q10" s="303">
        <f>N10-500</f>
        <v>25212.940987787417</v>
      </c>
    </row>
    <row r="11" spans="2:17">
      <c r="B11" s="120">
        <v>1000</v>
      </c>
      <c r="C11" s="7" cm="1">
        <f t="array" ref="C11">Linterp(B11,atmos_h,atmos_aspeed)</f>
        <v>1112.6054288919283</v>
      </c>
      <c r="D11" s="7" cm="1">
        <f t="array" ref="D11">Linterp(B11,atmos_h,atmos_qms)</f>
        <v>1428.5989841193521</v>
      </c>
      <c r="E11" s="16">
        <f t="shared" si="0"/>
        <v>594.26796690600111</v>
      </c>
      <c r="F11" s="11">
        <v>0.90154000000000001</v>
      </c>
      <c r="G11" s="7">
        <f t="shared" si="1"/>
        <v>1003.0582983632291</v>
      </c>
      <c r="H11" s="120">
        <v>10000</v>
      </c>
      <c r="I11" s="11">
        <f t="shared" si="2"/>
        <v>5.0660648015207588E-2</v>
      </c>
      <c r="J11" s="11">
        <f t="shared" si="3"/>
        <v>1.6677214251981334E-2</v>
      </c>
      <c r="K11" s="12">
        <f t="shared" si="4"/>
        <v>3291.9464920731139</v>
      </c>
      <c r="L11" s="12">
        <f t="shared" si="5"/>
        <v>7544.8885889596713</v>
      </c>
      <c r="M11" s="16">
        <f t="shared" si="6"/>
        <v>426.59488627403744</v>
      </c>
      <c r="N11" s="273">
        <f t="shared" ref="N11:N70" si="7">M11*60</f>
        <v>25595.693176442248</v>
      </c>
      <c r="O11" s="121">
        <f t="shared" ref="O11:O70" si="8">N11-100</f>
        <v>25495.693176442248</v>
      </c>
      <c r="P11" s="121">
        <f t="shared" ref="P11:P70" si="9">N11-300</f>
        <v>25295.693176442248</v>
      </c>
      <c r="Q11" s="303">
        <f t="shared" ref="Q11:Q70" si="10">N11-500</f>
        <v>25095.693176442248</v>
      </c>
    </row>
    <row r="12" spans="2:17">
      <c r="B12" s="120">
        <v>2000</v>
      </c>
      <c r="C12" s="7" cm="1">
        <f t="array" ref="C12">Linterp(B12,atmos_h,atmos_aspeed)</f>
        <v>1108.7475268516198</v>
      </c>
      <c r="D12" s="7" cm="1">
        <f t="array" ref="D12">Linterp(B12,atmos_h,atmos_qms)</f>
        <v>1377.3756937914036</v>
      </c>
      <c r="E12" s="16">
        <f t="shared" si="0"/>
        <v>592.56209079065127</v>
      </c>
      <c r="F12" s="11">
        <v>0.90207999999999999</v>
      </c>
      <c r="G12" s="7">
        <f t="shared" si="1"/>
        <v>1000.1789690223092</v>
      </c>
      <c r="H12" s="120">
        <v>10000</v>
      </c>
      <c r="I12" s="11">
        <f t="shared" si="2"/>
        <v>5.248177988264676E-2</v>
      </c>
      <c r="J12" s="11">
        <f t="shared" si="3"/>
        <v>1.6713816237032126E-2</v>
      </c>
      <c r="K12" s="12">
        <f t="shared" si="4"/>
        <v>3184.6892911035957</v>
      </c>
      <c r="L12" s="12">
        <f t="shared" si="5"/>
        <v>7427.4171388179866</v>
      </c>
      <c r="M12" s="16">
        <f t="shared" si="6"/>
        <v>424.34871645692203</v>
      </c>
      <c r="N12" s="273">
        <f t="shared" si="7"/>
        <v>25460.922987415321</v>
      </c>
      <c r="O12" s="121">
        <f t="shared" si="8"/>
        <v>25360.922987415321</v>
      </c>
      <c r="P12" s="121">
        <f t="shared" si="9"/>
        <v>25160.922987415321</v>
      </c>
      <c r="Q12" s="303">
        <f t="shared" si="10"/>
        <v>24960.922987415321</v>
      </c>
    </row>
    <row r="13" spans="2:17">
      <c r="B13" s="120">
        <v>3000</v>
      </c>
      <c r="C13" s="7" cm="1">
        <f t="array" ref="C13">Linterp(B13,atmos_h,atmos_aspeed)</f>
        <v>1104.8761542360191</v>
      </c>
      <c r="D13" s="7" cm="1">
        <f t="array" ref="D13">Linterp(B13,atmos_h,atmos_qms)</f>
        <v>1327.6498704479548</v>
      </c>
      <c r="E13" s="16">
        <f t="shared" si="0"/>
        <v>590.84654262580739</v>
      </c>
      <c r="F13" s="11">
        <v>0.90261999999999998</v>
      </c>
      <c r="G13" s="7">
        <f t="shared" si="1"/>
        <v>997.28331433651556</v>
      </c>
      <c r="H13" s="120">
        <v>10000</v>
      </c>
      <c r="I13" s="11">
        <f t="shared" si="2"/>
        <v>5.4382305676639743E-2</v>
      </c>
      <c r="J13" s="11">
        <f t="shared" si="3"/>
        <v>1.6751429459730023E-2</v>
      </c>
      <c r="K13" s="12">
        <f t="shared" si="4"/>
        <v>3080.3087973751917</v>
      </c>
      <c r="L13" s="12">
        <f t="shared" si="5"/>
        <v>7309.9856495749455</v>
      </c>
      <c r="M13" s="16">
        <f t="shared" si="6"/>
        <v>421.81861497342101</v>
      </c>
      <c r="N13" s="273">
        <f t="shared" si="7"/>
        <v>25309.11689840526</v>
      </c>
      <c r="O13" s="121">
        <f t="shared" si="8"/>
        <v>25209.11689840526</v>
      </c>
      <c r="P13" s="121">
        <f t="shared" si="9"/>
        <v>25009.11689840526</v>
      </c>
      <c r="Q13" s="303">
        <f t="shared" si="10"/>
        <v>24809.11689840526</v>
      </c>
    </row>
    <row r="14" spans="2:17">
      <c r="B14" s="120">
        <v>4000</v>
      </c>
      <c r="C14" s="7" cm="1">
        <f t="array" ref="C14">Linterp(B14,atmos_h,atmos_aspeed)</f>
        <v>1100.9911689469482</v>
      </c>
      <c r="D14" s="7" cm="1">
        <f t="array" ref="D14">Linterp(B14,atmos_h,atmos_qms)</f>
        <v>1279.3877901163921</v>
      </c>
      <c r="E14" s="16">
        <f t="shared" si="0"/>
        <v>589.12123344843201</v>
      </c>
      <c r="F14" s="11">
        <v>0.90315999999999996</v>
      </c>
      <c r="G14" s="7">
        <f t="shared" si="1"/>
        <v>994.37118414612564</v>
      </c>
      <c r="H14" s="120">
        <v>10000</v>
      </c>
      <c r="I14" s="11">
        <f t="shared" si="2"/>
        <v>5.6366294724564517E-2</v>
      </c>
      <c r="J14" s="11">
        <f t="shared" si="3"/>
        <v>1.679010590098616E-2</v>
      </c>
      <c r="K14" s="12">
        <f t="shared" si="4"/>
        <v>2978.749265501925</v>
      </c>
      <c r="L14" s="12">
        <f t="shared" si="5"/>
        <v>7192.594121230547</v>
      </c>
      <c r="M14" s="16">
        <f t="shared" si="6"/>
        <v>419.01258989989299</v>
      </c>
      <c r="N14" s="273">
        <f t="shared" si="7"/>
        <v>25140.755393993579</v>
      </c>
      <c r="O14" s="121">
        <f t="shared" si="8"/>
        <v>25040.755393993579</v>
      </c>
      <c r="P14" s="121">
        <f t="shared" si="9"/>
        <v>24840.755393993579</v>
      </c>
      <c r="Q14" s="303">
        <f t="shared" si="10"/>
        <v>24640.755393993579</v>
      </c>
    </row>
    <row r="15" spans="2:17">
      <c r="B15" s="120">
        <v>5000</v>
      </c>
      <c r="C15" s="7" cm="1">
        <f t="array" ref="C15">Linterp(B15,atmos_h,atmos_aspeed)</f>
        <v>1097.0924263702484</v>
      </c>
      <c r="D15" s="7" cm="1">
        <f t="array" ref="D15">Linterp(B15,atmos_h,atmos_qms)</f>
        <v>1232.5562587425445</v>
      </c>
      <c r="E15" s="16">
        <f t="shared" si="0"/>
        <v>587.38607276658161</v>
      </c>
      <c r="F15" s="11">
        <v>0.90369999999999995</v>
      </c>
      <c r="G15" s="7">
        <f t="shared" si="1"/>
        <v>991.44242571079337</v>
      </c>
      <c r="H15" s="120">
        <v>10000</v>
      </c>
      <c r="I15" s="11">
        <f t="shared" si="2"/>
        <v>5.8438056333137436E-2</v>
      </c>
      <c r="J15" s="11">
        <f t="shared" si="3"/>
        <v>1.6829900613839693E-2</v>
      </c>
      <c r="K15" s="12">
        <f t="shared" si="4"/>
        <v>2879.9555751645107</v>
      </c>
      <c r="L15" s="12">
        <f t="shared" si="5"/>
        <v>7075.242553784793</v>
      </c>
      <c r="M15" s="16">
        <f t="shared" si="6"/>
        <v>415.93854986361987</v>
      </c>
      <c r="N15" s="273">
        <f t="shared" si="7"/>
        <v>24956.312991817191</v>
      </c>
      <c r="O15" s="121">
        <f t="shared" si="8"/>
        <v>24856.312991817191</v>
      </c>
      <c r="P15" s="121">
        <f t="shared" si="9"/>
        <v>24656.312991817191</v>
      </c>
      <c r="Q15" s="303">
        <f t="shared" si="10"/>
        <v>24456.312991817191</v>
      </c>
    </row>
    <row r="16" spans="2:17">
      <c r="B16" s="120">
        <v>6000</v>
      </c>
      <c r="C16" s="7" cm="1">
        <f t="array" ref="C16">Linterp(B16,atmos_h,atmos_aspeed)</f>
        <v>1093.1797793129685</v>
      </c>
      <c r="D16" s="7" cm="1">
        <f t="array" ref="D16">Linterp(B16,atmos_h,atmos_qms)</f>
        <v>1187.1226075219445</v>
      </c>
      <c r="E16" s="16">
        <f t="shared" si="0"/>
        <v>585.66687496110728</v>
      </c>
      <c r="F16" s="11">
        <v>0.90427999999999997</v>
      </c>
      <c r="G16" s="7">
        <f t="shared" si="1"/>
        <v>988.54061083713123</v>
      </c>
      <c r="H16" s="120">
        <v>10000</v>
      </c>
      <c r="I16" s="11">
        <f t="shared" si="2"/>
        <v>6.0596794568727602E-2</v>
      </c>
      <c r="J16" s="11">
        <f t="shared" si="3"/>
        <v>1.6871816382969737E-2</v>
      </c>
      <c r="K16" s="12">
        <f t="shared" si="4"/>
        <v>2784.2753899852046</v>
      </c>
      <c r="L16" s="12">
        <f t="shared" si="5"/>
        <v>6954.5236335317686</v>
      </c>
      <c r="M16" s="16">
        <f t="shared" si="6"/>
        <v>412.24597460179945</v>
      </c>
      <c r="N16" s="273">
        <f t="shared" si="7"/>
        <v>24734.758476107967</v>
      </c>
      <c r="O16" s="121">
        <f t="shared" si="8"/>
        <v>24634.758476107967</v>
      </c>
      <c r="P16" s="121">
        <f t="shared" si="9"/>
        <v>24434.758476107967</v>
      </c>
      <c r="Q16" s="303">
        <f t="shared" si="10"/>
        <v>24234.758476107967</v>
      </c>
    </row>
    <row r="17" spans="2:17">
      <c r="B17" s="120">
        <v>7000</v>
      </c>
      <c r="C17" s="7" cm="1">
        <f t="array" ref="C17">Linterp(B17,atmos_h,atmos_aspeed)</f>
        <v>1089.2530779385215</v>
      </c>
      <c r="D17" s="7" cm="1">
        <f t="array" ref="D17">Linterp(B17,atmos_h,atmos_qms)</f>
        <v>1143.0546882395377</v>
      </c>
      <c r="E17" s="16">
        <f t="shared" si="0"/>
        <v>583.9374538168031</v>
      </c>
      <c r="F17" s="11">
        <v>0.90486</v>
      </c>
      <c r="G17" s="7">
        <f t="shared" si="1"/>
        <v>985.62154010345057</v>
      </c>
      <c r="H17" s="120">
        <v>10000</v>
      </c>
      <c r="I17" s="11">
        <f t="shared" si="2"/>
        <v>6.285231648978748E-2</v>
      </c>
      <c r="J17" s="11">
        <f t="shared" si="3"/>
        <v>1.6914966499062024E-2</v>
      </c>
      <c r="K17" s="12">
        <f t="shared" si="4"/>
        <v>2691.2240381482902</v>
      </c>
      <c r="L17" s="12">
        <f t="shared" si="5"/>
        <v>6833.8217667117615</v>
      </c>
      <c r="M17" s="16">
        <f t="shared" si="6"/>
        <v>408.30335532557842</v>
      </c>
      <c r="N17" s="273">
        <f t="shared" si="7"/>
        <v>24498.201319534706</v>
      </c>
      <c r="O17" s="121">
        <f t="shared" si="8"/>
        <v>24398.201319534706</v>
      </c>
      <c r="P17" s="121">
        <f t="shared" si="9"/>
        <v>24198.201319534706</v>
      </c>
      <c r="Q17" s="303">
        <f t="shared" si="10"/>
        <v>23998.201319534706</v>
      </c>
    </row>
    <row r="18" spans="2:17">
      <c r="B18" s="120">
        <v>8000</v>
      </c>
      <c r="C18" s="7" cm="1">
        <f t="array" ref="C18">Linterp(B18,atmos_h,atmos_aspeed)</f>
        <v>1085.3121696997296</v>
      </c>
      <c r="D18" s="7" cm="1">
        <f t="array" ref="D18">Linterp(B18,atmos_h,atmos_qms)</f>
        <v>1100.320868617878</v>
      </c>
      <c r="E18" s="16">
        <f t="shared" si="0"/>
        <v>582.19771301404182</v>
      </c>
      <c r="F18" s="11">
        <v>0.90544000000000002</v>
      </c>
      <c r="G18" s="7">
        <f t="shared" si="1"/>
        <v>982.68505093292322</v>
      </c>
      <c r="H18" s="120">
        <v>10000</v>
      </c>
      <c r="I18" s="11">
        <f t="shared" si="2"/>
        <v>6.5209726032799148E-2</v>
      </c>
      <c r="J18" s="11">
        <f t="shared" si="3"/>
        <v>1.6959416252561362E-2</v>
      </c>
      <c r="K18" s="12">
        <f t="shared" si="4"/>
        <v>2600.7495023106103</v>
      </c>
      <c r="L18" s="12">
        <f t="shared" si="5"/>
        <v>6713.1369533247744</v>
      </c>
      <c r="M18" s="16">
        <f t="shared" si="6"/>
        <v>404.11816717557679</v>
      </c>
      <c r="N18" s="273">
        <f t="shared" si="7"/>
        <v>24247.090030534608</v>
      </c>
      <c r="O18" s="121">
        <f t="shared" si="8"/>
        <v>24147.090030534608</v>
      </c>
      <c r="P18" s="121">
        <f t="shared" si="9"/>
        <v>23947.090030534608</v>
      </c>
      <c r="Q18" s="303">
        <f t="shared" si="10"/>
        <v>23747.090030534608</v>
      </c>
    </row>
    <row r="19" spans="2:17">
      <c r="B19" s="120">
        <v>9000</v>
      </c>
      <c r="C19" s="7" cm="1">
        <f t="array" ref="C19">Linterp(B19,atmos_h,atmos_aspeed)</f>
        <v>1081.3568992696751</v>
      </c>
      <c r="D19" s="7" cm="1">
        <f t="array" ref="D19">Linterp(B19,atmos_h,atmos_qms)</f>
        <v>1058.8900276738709</v>
      </c>
      <c r="E19" s="16">
        <f t="shared" si="0"/>
        <v>580.44755453141988</v>
      </c>
      <c r="F19" s="11">
        <v>0.90602000000000005</v>
      </c>
      <c r="G19" s="7">
        <f t="shared" si="1"/>
        <v>979.73097787631104</v>
      </c>
      <c r="H19" s="120">
        <v>10000</v>
      </c>
      <c r="I19" s="11">
        <f t="shared" si="2"/>
        <v>6.7674436939488269E-2</v>
      </c>
      <c r="J19" s="11">
        <f t="shared" si="3"/>
        <v>1.7005234905989434E-2</v>
      </c>
      <c r="K19" s="12">
        <f t="shared" si="4"/>
        <v>2512.8003534325412</v>
      </c>
      <c r="L19" s="12">
        <f t="shared" si="5"/>
        <v>6592.4691933708054</v>
      </c>
      <c r="M19" s="16">
        <f t="shared" si="6"/>
        <v>399.6977941964231</v>
      </c>
      <c r="N19" s="273">
        <f t="shared" si="7"/>
        <v>23981.867651785386</v>
      </c>
      <c r="O19" s="121">
        <f t="shared" si="8"/>
        <v>23881.867651785386</v>
      </c>
      <c r="P19" s="121">
        <f t="shared" si="9"/>
        <v>23681.867651785386</v>
      </c>
      <c r="Q19" s="303">
        <f t="shared" si="10"/>
        <v>23481.867651785386</v>
      </c>
    </row>
    <row r="20" spans="2:17">
      <c r="B20" s="120">
        <v>10000</v>
      </c>
      <c r="C20" s="7" cm="1">
        <f t="array" ref="C20">Linterp(B20,atmos_h,atmos_aspeed)</f>
        <v>1077.3871084702648</v>
      </c>
      <c r="D20" s="7" cm="1">
        <f t="array" ref="D20">Linterp(B20,atmos_h,atmos_qms)</f>
        <v>1018.7315510840876</v>
      </c>
      <c r="E20" s="16">
        <f t="shared" si="0"/>
        <v>578.68687860261207</v>
      </c>
      <c r="F20" s="11">
        <v>0.90659999999999996</v>
      </c>
      <c r="G20" s="7">
        <f t="shared" si="1"/>
        <v>976.75915253914206</v>
      </c>
      <c r="H20" s="120">
        <v>10000</v>
      </c>
      <c r="I20" s="11">
        <f t="shared" si="2"/>
        <v>7.0252194055510295E-2</v>
      </c>
      <c r="J20" s="11">
        <f t="shared" si="3"/>
        <v>1.7052495967503259E-2</v>
      </c>
      <c r="K20" s="12">
        <f t="shared" si="4"/>
        <v>2427.3257507130807</v>
      </c>
      <c r="L20" s="12">
        <f t="shared" si="5"/>
        <v>6471.8184868498538</v>
      </c>
      <c r="M20" s="16">
        <f t="shared" si="6"/>
        <v>395.04952973996706</v>
      </c>
      <c r="N20" s="273">
        <f t="shared" si="7"/>
        <v>23702.971784398025</v>
      </c>
      <c r="O20" s="121">
        <f t="shared" si="8"/>
        <v>23602.971784398025</v>
      </c>
      <c r="P20" s="121">
        <f t="shared" si="9"/>
        <v>23402.971784398025</v>
      </c>
      <c r="Q20" s="303">
        <f t="shared" si="10"/>
        <v>23202.971784398025</v>
      </c>
    </row>
    <row r="21" spans="2:17">
      <c r="B21" s="120">
        <v>11000</v>
      </c>
      <c r="C21" s="7" cm="1">
        <f t="array" ref="C21">Linterp(B21,atmos_h,atmos_aspeed)</f>
        <v>1073.4026361984163</v>
      </c>
      <c r="D21" s="7" cm="1">
        <f t="array" ref="D21">Linterp(B21,atmos_h,atmos_qms)</f>
        <v>979.81532655871706</v>
      </c>
      <c r="E21" s="16">
        <f t="shared" si="0"/>
        <v>576.94102142764439</v>
      </c>
      <c r="F21" s="11">
        <v>0.90721999999999992</v>
      </c>
      <c r="G21" s="7">
        <f t="shared" si="1"/>
        <v>973.8123396119272</v>
      </c>
      <c r="H21" s="120">
        <v>10000</v>
      </c>
      <c r="I21" s="11">
        <f t="shared" si="2"/>
        <v>7.2942663649670073E-2</v>
      </c>
      <c r="J21" s="11">
        <f t="shared" si="3"/>
        <v>1.7102210792143593E-2</v>
      </c>
      <c r="K21" s="12">
        <f t="shared" si="4"/>
        <v>2344.6101275218439</v>
      </c>
      <c r="L21" s="12">
        <f t="shared" si="5"/>
        <v>6327.6111610399266</v>
      </c>
      <c r="M21" s="16">
        <f t="shared" si="6"/>
        <v>387.86955551269682</v>
      </c>
      <c r="N21" s="273">
        <f t="shared" si="7"/>
        <v>23272.173330761809</v>
      </c>
      <c r="O21" s="121">
        <f t="shared" si="8"/>
        <v>23172.173330761809</v>
      </c>
      <c r="P21" s="121">
        <f t="shared" si="9"/>
        <v>22972.173330761809</v>
      </c>
      <c r="Q21" s="303">
        <f t="shared" si="10"/>
        <v>22772.173330761809</v>
      </c>
    </row>
    <row r="22" spans="2:17">
      <c r="B22" s="120">
        <v>12000</v>
      </c>
      <c r="C22" s="7" cm="1">
        <f t="array" ref="C22">Linterp(B22,atmos_h,atmos_aspeed)</f>
        <v>1069.4033183497709</v>
      </c>
      <c r="D22" s="7" cm="1">
        <f t="array" ref="D22">Linterp(B22,atmos_h,atmos_qms)</f>
        <v>942.11173922419323</v>
      </c>
      <c r="E22" s="16">
        <f t="shared" si="0"/>
        <v>575.18425230570097</v>
      </c>
      <c r="F22" s="11">
        <v>0.90783999999999987</v>
      </c>
      <c r="G22" s="7">
        <f t="shared" si="1"/>
        <v>970.84710853065587</v>
      </c>
      <c r="H22" s="120">
        <v>10000</v>
      </c>
      <c r="I22" s="11">
        <f t="shared" si="2"/>
        <v>7.5758267621789138E-2</v>
      </c>
      <c r="J22" s="11">
        <f t="shared" si="3"/>
        <v>1.7153523896125313E-2</v>
      </c>
      <c r="K22" s="12">
        <f t="shared" si="4"/>
        <v>2264.2444758321958</v>
      </c>
      <c r="L22" s="12">
        <f t="shared" si="5"/>
        <v>6183.3687233897854</v>
      </c>
      <c r="M22" s="16">
        <f t="shared" si="6"/>
        <v>380.48704437136684</v>
      </c>
      <c r="N22" s="273">
        <f t="shared" si="7"/>
        <v>22829.222662282009</v>
      </c>
      <c r="O22" s="121">
        <f t="shared" si="8"/>
        <v>22729.222662282009</v>
      </c>
      <c r="P22" s="121">
        <f t="shared" si="9"/>
        <v>22529.222662282009</v>
      </c>
      <c r="Q22" s="303">
        <f t="shared" si="10"/>
        <v>22329.222662282009</v>
      </c>
    </row>
    <row r="23" spans="2:17">
      <c r="B23" s="120">
        <v>13000</v>
      </c>
      <c r="C23" s="7" cm="1">
        <f t="array" ref="C23">Linterp(B23,atmos_h,atmos_aspeed)</f>
        <v>1065.3889877398271</v>
      </c>
      <c r="D23" s="7" cm="1">
        <f t="array" ref="D23">Linterp(B23,atmos_h,atmos_qms)</f>
        <v>905.59166701454205</v>
      </c>
      <c r="E23" s="16">
        <f t="shared" si="0"/>
        <v>573.41646489494497</v>
      </c>
      <c r="F23" s="11">
        <v>0.90845999999999982</v>
      </c>
      <c r="G23" s="7">
        <f t="shared" si="1"/>
        <v>967.8632798021232</v>
      </c>
      <c r="H23" s="120">
        <v>10000</v>
      </c>
      <c r="I23" s="11">
        <f t="shared" si="2"/>
        <v>7.8705855038489564E-2</v>
      </c>
      <c r="J23" s="11">
        <f t="shared" si="3"/>
        <v>1.7206523031153092E-2</v>
      </c>
      <c r="K23" s="12">
        <f t="shared" si="4"/>
        <v>2186.1808149773074</v>
      </c>
      <c r="L23" s="12">
        <f t="shared" si="5"/>
        <v>6039.0911738994282</v>
      </c>
      <c r="M23" s="16">
        <f t="shared" si="6"/>
        <v>372.90904567699397</v>
      </c>
      <c r="N23" s="273">
        <f t="shared" si="7"/>
        <v>22374.54274061964</v>
      </c>
      <c r="O23" s="121">
        <f t="shared" si="8"/>
        <v>22274.54274061964</v>
      </c>
      <c r="P23" s="121">
        <f t="shared" si="9"/>
        <v>22074.54274061964</v>
      </c>
      <c r="Q23" s="303">
        <f t="shared" si="10"/>
        <v>21874.54274061964</v>
      </c>
    </row>
    <row r="24" spans="2:17">
      <c r="B24" s="120">
        <v>14000</v>
      </c>
      <c r="C24" s="7" cm="1">
        <f t="array" ref="C24">Linterp(B24,atmos_h,atmos_aspeed)</f>
        <v>1061.3594740223903</v>
      </c>
      <c r="D24" s="7" cm="1">
        <f t="array" ref="D24">Linterp(B24,atmos_h,atmos_qms)</f>
        <v>870.22647607150509</v>
      </c>
      <c r="E24" s="16">
        <f t="shared" si="0"/>
        <v>571.63755090504037</v>
      </c>
      <c r="F24" s="11">
        <v>0.90907999999999978</v>
      </c>
      <c r="G24" s="7">
        <f t="shared" si="1"/>
        <v>964.86067064427425</v>
      </c>
      <c r="H24" s="120">
        <v>10000</v>
      </c>
      <c r="I24" s="11">
        <f t="shared" si="2"/>
        <v>8.179270662460239E-2</v>
      </c>
      <c r="J24" s="11">
        <f t="shared" si="3"/>
        <v>1.7261301492350743E-2</v>
      </c>
      <c r="K24" s="12">
        <f t="shared" si="4"/>
        <v>2110.371719519394</v>
      </c>
      <c r="L24" s="12">
        <f t="shared" si="5"/>
        <v>5894.7785125688561</v>
      </c>
      <c r="M24" s="16">
        <f t="shared" si="6"/>
        <v>365.14252763324509</v>
      </c>
      <c r="N24" s="273">
        <f t="shared" si="7"/>
        <v>21908.551657994707</v>
      </c>
      <c r="O24" s="121">
        <f t="shared" si="8"/>
        <v>21808.551657994707</v>
      </c>
      <c r="P24" s="121">
        <f t="shared" si="9"/>
        <v>21608.551657994707</v>
      </c>
      <c r="Q24" s="303">
        <f t="shared" si="10"/>
        <v>21408.551657994707</v>
      </c>
    </row>
    <row r="25" spans="2:17">
      <c r="B25" s="120">
        <v>15000</v>
      </c>
      <c r="C25" s="7" cm="1">
        <f t="array" ref="C25">Linterp(B25,atmos_h,atmos_aspeed)</f>
        <v>1057.3146036052262</v>
      </c>
      <c r="D25" s="7" cm="1">
        <f t="array" ref="D25">Linterp(B25,atmos_h,atmos_qms)</f>
        <v>835.98801615348191</v>
      </c>
      <c r="E25" s="16">
        <f t="shared" si="0"/>
        <v>569.84740004588696</v>
      </c>
      <c r="F25" s="11">
        <v>0.90969999999999995</v>
      </c>
      <c r="G25" s="7">
        <f t="shared" si="1"/>
        <v>961.83909489967425</v>
      </c>
      <c r="H25" s="120">
        <v>10000</v>
      </c>
      <c r="I25" s="11">
        <f t="shared" si="2"/>
        <v>8.5026565587027064E-2</v>
      </c>
      <c r="J25" s="11">
        <f t="shared" si="3"/>
        <v>1.7317958514827512E-2</v>
      </c>
      <c r="K25" s="12">
        <f t="shared" si="4"/>
        <v>2036.7703194011876</v>
      </c>
      <c r="L25" s="12">
        <f t="shared" si="5"/>
        <v>5750.4307393980689</v>
      </c>
      <c r="M25" s="16">
        <f t="shared" si="6"/>
        <v>357.19437771345446</v>
      </c>
      <c r="N25" s="273">
        <f t="shared" si="7"/>
        <v>21431.662662807266</v>
      </c>
      <c r="O25" s="121">
        <f t="shared" si="8"/>
        <v>21331.662662807266</v>
      </c>
      <c r="P25" s="121">
        <f t="shared" si="9"/>
        <v>21131.662662807266</v>
      </c>
      <c r="Q25" s="303">
        <f t="shared" si="10"/>
        <v>20931.662662807266</v>
      </c>
    </row>
    <row r="26" spans="2:17">
      <c r="B26" s="120">
        <v>16000</v>
      </c>
      <c r="C26" s="7" cm="1">
        <f t="array" ref="C26">Linterp(B26,atmos_h,atmos_aspeed)</f>
        <v>1053.2541995627971</v>
      </c>
      <c r="D26" s="7" cm="1">
        <f t="array" ref="D26">Linterp(B26,atmos_h,atmos_qms)</f>
        <v>802.84861605334584</v>
      </c>
      <c r="E26" s="16">
        <f t="shared" si="0"/>
        <v>568.25806229772309</v>
      </c>
      <c r="F26" s="11">
        <v>0.91065999999999991</v>
      </c>
      <c r="G26" s="7">
        <f t="shared" si="1"/>
        <v>959.15646937385668</v>
      </c>
      <c r="H26" s="120">
        <v>10000</v>
      </c>
      <c r="I26" s="11">
        <f t="shared" si="2"/>
        <v>8.8349662256407807E-2</v>
      </c>
      <c r="J26" s="11">
        <f t="shared" si="3"/>
        <v>1.7384414781429002E-2</v>
      </c>
      <c r="K26" s="12">
        <f t="shared" si="4"/>
        <v>1967.683218864614</v>
      </c>
      <c r="L26" s="12">
        <f t="shared" si="5"/>
        <v>5615.3443955672537</v>
      </c>
      <c r="M26" s="16">
        <f t="shared" si="6"/>
        <v>349.86778157181919</v>
      </c>
      <c r="N26" s="273">
        <f t="shared" si="7"/>
        <v>20992.066894309151</v>
      </c>
      <c r="O26" s="121">
        <f t="shared" si="8"/>
        <v>20892.066894309151</v>
      </c>
      <c r="P26" s="121">
        <f t="shared" si="9"/>
        <v>20692.066894309151</v>
      </c>
      <c r="Q26" s="303">
        <f t="shared" si="10"/>
        <v>20492.066894309151</v>
      </c>
    </row>
    <row r="27" spans="2:17">
      <c r="B27" s="120">
        <v>17000</v>
      </c>
      <c r="C27" s="7" cm="1">
        <f t="array" ref="C27">Linterp(B27,atmos_h,atmos_aspeed)</f>
        <v>1049.1780815459595</v>
      </c>
      <c r="D27" s="7" cm="1">
        <f t="array" ref="D27">Linterp(B27,atmos_h,atmos_qms)</f>
        <v>770.78107902517468</v>
      </c>
      <c r="E27" s="16">
        <f t="shared" si="0"/>
        <v>566.65561874072466</v>
      </c>
      <c r="F27" s="11">
        <v>0.91161999999999987</v>
      </c>
      <c r="G27" s="7">
        <f t="shared" si="1"/>
        <v>956.45172269892748</v>
      </c>
      <c r="H27" s="120">
        <v>10000</v>
      </c>
      <c r="I27" s="11">
        <f t="shared" si="2"/>
        <v>9.1831640837048187E-2</v>
      </c>
      <c r="J27" s="11">
        <f t="shared" si="3"/>
        <v>1.7452914092879437E-2</v>
      </c>
      <c r="K27" s="12">
        <f t="shared" si="4"/>
        <v>1900.5338392949968</v>
      </c>
      <c r="L27" s="12">
        <f t="shared" si="5"/>
        <v>5480.191779240994</v>
      </c>
      <c r="M27" s="16">
        <f t="shared" si="6"/>
        <v>342.37700033342429</v>
      </c>
      <c r="N27" s="273">
        <f t="shared" si="7"/>
        <v>20542.620020005459</v>
      </c>
      <c r="O27" s="121">
        <f t="shared" si="8"/>
        <v>20442.620020005459</v>
      </c>
      <c r="P27" s="121">
        <f t="shared" si="9"/>
        <v>20242.620020005459</v>
      </c>
      <c r="Q27" s="303">
        <f t="shared" si="10"/>
        <v>20042.620020005459</v>
      </c>
    </row>
    <row r="28" spans="2:17">
      <c r="B28" s="120">
        <v>18000</v>
      </c>
      <c r="C28" s="7" cm="1">
        <f t="array" ref="C28">Linterp(B28,atmos_h,atmos_aspeed)</f>
        <v>1045.0860656884925</v>
      </c>
      <c r="D28" s="7" cm="1">
        <f t="array" ref="D28">Linterp(B28,atmos_h,atmos_qms)</f>
        <v>739.75867821996189</v>
      </c>
      <c r="E28" s="16">
        <f t="shared" si="0"/>
        <v>565.03994315279044</v>
      </c>
      <c r="F28" s="11">
        <v>0.91257999999999984</v>
      </c>
      <c r="G28" s="7">
        <f t="shared" si="1"/>
        <v>953.72464182600424</v>
      </c>
      <c r="H28" s="120">
        <v>10000</v>
      </c>
      <c r="I28" s="11">
        <f t="shared" si="2"/>
        <v>9.5481474433537619E-2</v>
      </c>
      <c r="J28" s="11">
        <f t="shared" si="3"/>
        <v>1.7523572362604437E-2</v>
      </c>
      <c r="K28" s="12">
        <f t="shared" si="4"/>
        <v>1835.2850609572622</v>
      </c>
      <c r="L28" s="12">
        <f t="shared" si="5"/>
        <v>5344.9728904192907</v>
      </c>
      <c r="M28" s="16">
        <f t="shared" si="6"/>
        <v>334.72757680747594</v>
      </c>
      <c r="N28" s="273">
        <f t="shared" si="7"/>
        <v>20083.654608448556</v>
      </c>
      <c r="O28" s="121">
        <f t="shared" si="8"/>
        <v>19983.654608448556</v>
      </c>
      <c r="P28" s="121">
        <f t="shared" si="9"/>
        <v>19783.654608448556</v>
      </c>
      <c r="Q28" s="303">
        <f t="shared" si="10"/>
        <v>19583.654608448556</v>
      </c>
    </row>
    <row r="29" spans="2:17">
      <c r="B29" s="120">
        <v>19000</v>
      </c>
      <c r="C29" s="7" cm="1">
        <f t="array" ref="C29">Linterp(B29,atmos_h,atmos_aspeed)</f>
        <v>1040.9779645103174</v>
      </c>
      <c r="D29" s="7" cm="1">
        <f t="array" ref="D29">Linterp(B29,atmos_h,atmos_qms)</f>
        <v>709.75515213034032</v>
      </c>
      <c r="E29" s="16">
        <f t="shared" si="0"/>
        <v>563.41090693758122</v>
      </c>
      <c r="F29" s="11">
        <v>0.9135399999999998</v>
      </c>
      <c r="G29" s="7">
        <f t="shared" si="1"/>
        <v>950.97500969875512</v>
      </c>
      <c r="H29" s="120">
        <v>10000</v>
      </c>
      <c r="I29" s="11">
        <f t="shared" si="2"/>
        <v>9.9308721051739546E-2</v>
      </c>
      <c r="J29" s="11">
        <f t="shared" si="3"/>
        <v>1.7596513085667117E-2</v>
      </c>
      <c r="K29" s="12">
        <f t="shared" si="4"/>
        <v>1771.9000808095577</v>
      </c>
      <c r="L29" s="12">
        <f t="shared" si="5"/>
        <v>5209.6877291021419</v>
      </c>
      <c r="M29" s="16">
        <f t="shared" si="6"/>
        <v>326.92501421773005</v>
      </c>
      <c r="N29" s="273">
        <f t="shared" si="7"/>
        <v>19615.500853063804</v>
      </c>
      <c r="O29" s="121">
        <f t="shared" si="8"/>
        <v>19515.500853063804</v>
      </c>
      <c r="P29" s="121">
        <f t="shared" si="9"/>
        <v>19315.500853063804</v>
      </c>
      <c r="Q29" s="303">
        <f t="shared" si="10"/>
        <v>19115.500853063804</v>
      </c>
    </row>
    <row r="30" spans="2:17">
      <c r="B30" s="120">
        <v>20000</v>
      </c>
      <c r="C30" s="7" cm="1">
        <f t="array" ref="C30">Linterp(B30,atmos_h,atmos_aspeed)</f>
        <v>1036.8535868172689</v>
      </c>
      <c r="D30" s="7" cm="1">
        <f t="array" ref="D30">Linterp(B30,atmos_h,atmos_qms)</f>
        <v>680.74470004439161</v>
      </c>
      <c r="E30" s="16">
        <f t="shared" si="0"/>
        <v>561.76837905993898</v>
      </c>
      <c r="F30" s="11">
        <v>0.91449999999999998</v>
      </c>
      <c r="G30" s="7">
        <f t="shared" si="1"/>
        <v>948.20260514439246</v>
      </c>
      <c r="H30" s="120">
        <v>10000</v>
      </c>
      <c r="I30" s="11">
        <f t="shared" si="2"/>
        <v>0.10332356686683181</v>
      </c>
      <c r="J30" s="11">
        <f t="shared" si="3"/>
        <v>1.7756103703359775E-2</v>
      </c>
      <c r="K30" s="12">
        <f t="shared" si="4"/>
        <v>1718.495038624118</v>
      </c>
      <c r="L30" s="12">
        <f t="shared" si="5"/>
        <v>5074.3362952895486</v>
      </c>
      <c r="M30" s="16">
        <f t="shared" si="6"/>
        <v>318.20174220211931</v>
      </c>
      <c r="N30" s="273">
        <f t="shared" si="7"/>
        <v>19092.104532127159</v>
      </c>
      <c r="O30" s="121">
        <f t="shared" si="8"/>
        <v>18992.104532127159</v>
      </c>
      <c r="P30" s="121">
        <f t="shared" si="9"/>
        <v>18792.104532127159</v>
      </c>
      <c r="Q30" s="303">
        <f t="shared" si="10"/>
        <v>18592.104532127159</v>
      </c>
    </row>
    <row r="31" spans="2:17">
      <c r="B31" s="120">
        <v>21000</v>
      </c>
      <c r="C31" s="7" cm="1">
        <f t="array" ref="C31">Linterp(B31,atmos_h,atmos_aspeed)</f>
        <v>1032.7127375972602</v>
      </c>
      <c r="D31" s="7" cm="1">
        <f t="array" ref="D31">Linterp(B31,atmos_h,atmos_qms)</f>
        <v>652.70197750857403</v>
      </c>
      <c r="E31" s="16">
        <f t="shared" si="0"/>
        <v>560.07551576385947</v>
      </c>
      <c r="F31" s="11">
        <v>0.91539999999999999</v>
      </c>
      <c r="G31" s="7">
        <f t="shared" si="1"/>
        <v>945.34523999653197</v>
      </c>
      <c r="H31" s="120">
        <v>10000</v>
      </c>
      <c r="I31" s="11">
        <f t="shared" si="2"/>
        <v>0.10755097057291009</v>
      </c>
      <c r="J31" s="11">
        <f t="shared" si="3"/>
        <v>1.7939870961858343E-2</v>
      </c>
      <c r="K31" s="12">
        <f t="shared" si="4"/>
        <v>1668.0343158499618</v>
      </c>
      <c r="L31" s="12">
        <f t="shared" si="5"/>
        <v>4947.8768504891341</v>
      </c>
      <c r="M31" s="16">
        <f t="shared" si="6"/>
        <v>310.05835280593021</v>
      </c>
      <c r="N31" s="273">
        <f t="shared" si="7"/>
        <v>18603.501168355811</v>
      </c>
      <c r="O31" s="121">
        <f t="shared" si="8"/>
        <v>18503.501168355811</v>
      </c>
      <c r="P31" s="121">
        <f t="shared" si="9"/>
        <v>18303.501168355811</v>
      </c>
      <c r="Q31" s="303">
        <f t="shared" si="10"/>
        <v>18103.501168355811</v>
      </c>
    </row>
    <row r="32" spans="2:17">
      <c r="B32" s="120">
        <v>22000</v>
      </c>
      <c r="C32" s="7" cm="1">
        <f t="array" ref="C32">Linterp(B32,atmos_h,atmos_aspeed)</f>
        <v>1028.5552179126889</v>
      </c>
      <c r="D32" s="7" cm="1">
        <f t="array" ref="D32">Linterp(B32,atmos_h,atmos_qms)</f>
        <v>625.60209179984054</v>
      </c>
      <c r="E32" s="16">
        <f t="shared" si="0"/>
        <v>558.36918672638876</v>
      </c>
      <c r="F32" s="11">
        <v>0.9163</v>
      </c>
      <c r="G32" s="7">
        <f t="shared" si="1"/>
        <v>942.46514617339687</v>
      </c>
      <c r="H32" s="120">
        <v>10000</v>
      </c>
      <c r="I32" s="11">
        <f t="shared" si="2"/>
        <v>0.11198955354604243</v>
      </c>
      <c r="J32" s="11">
        <f t="shared" si="3"/>
        <v>1.8131786569882413E-2</v>
      </c>
      <c r="K32" s="12">
        <f t="shared" si="4"/>
        <v>1619.0605280364716</v>
      </c>
      <c r="L32" s="12">
        <f t="shared" si="5"/>
        <v>4821.3477814137059</v>
      </c>
      <c r="M32" s="16">
        <f t="shared" si="6"/>
        <v>301.80441243433808</v>
      </c>
      <c r="N32" s="273">
        <f t="shared" si="7"/>
        <v>18108.264746060286</v>
      </c>
      <c r="O32" s="121">
        <f t="shared" si="8"/>
        <v>18008.264746060286</v>
      </c>
      <c r="P32" s="121">
        <f t="shared" si="9"/>
        <v>17808.264746060286</v>
      </c>
      <c r="Q32" s="303">
        <f t="shared" si="10"/>
        <v>17608.264746060286</v>
      </c>
    </row>
    <row r="33" spans="2:17">
      <c r="B33" s="120">
        <v>23000</v>
      </c>
      <c r="C33" s="7" cm="1">
        <f t="array" ref="C33">Linterp(B33,atmos_h,atmos_aspeed)</f>
        <v>1024.3808247889115</v>
      </c>
      <c r="D33" s="7" cm="1">
        <f t="array" ref="D33">Linterp(B33,atmos_h,atmos_qms)</f>
        <v>599.42059740698846</v>
      </c>
      <c r="E33" s="16">
        <f t="shared" si="0"/>
        <v>556.64925498436628</v>
      </c>
      <c r="F33" s="11">
        <v>0.91720000000000002</v>
      </c>
      <c r="G33" s="7">
        <f t="shared" si="1"/>
        <v>939.5620924963896</v>
      </c>
      <c r="H33" s="120">
        <v>10000</v>
      </c>
      <c r="I33" s="11">
        <f t="shared" si="2"/>
        <v>0.11665176770068937</v>
      </c>
      <c r="J33" s="11">
        <f t="shared" si="3"/>
        <v>1.8332332975152837E-2</v>
      </c>
      <c r="K33" s="12">
        <f t="shared" si="4"/>
        <v>1571.5435210712628</v>
      </c>
      <c r="L33" s="12">
        <f t="shared" si="5"/>
        <v>4694.7490880632658</v>
      </c>
      <c r="M33" s="16">
        <f t="shared" si="6"/>
        <v>293.44455578193788</v>
      </c>
      <c r="N33" s="273">
        <f t="shared" si="7"/>
        <v>17606.673346916272</v>
      </c>
      <c r="O33" s="121">
        <f t="shared" si="8"/>
        <v>17506.673346916272</v>
      </c>
      <c r="P33" s="121">
        <f t="shared" si="9"/>
        <v>17306.673346916272</v>
      </c>
      <c r="Q33" s="303">
        <f t="shared" si="10"/>
        <v>17106.673346916272</v>
      </c>
    </row>
    <row r="34" spans="2:17">
      <c r="B34" s="120">
        <v>24000</v>
      </c>
      <c r="C34" s="7" cm="1">
        <f t="array" ref="C34">Linterp(B34,atmos_h,atmos_aspeed)</f>
        <v>1020.1893510986098</v>
      </c>
      <c r="D34" s="7" cm="1">
        <f t="array" ref="D34">Linterp(B34,atmos_h,atmos_qms)</f>
        <v>574.13349152130138</v>
      </c>
      <c r="E34" s="16">
        <f t="shared" si="0"/>
        <v>554.91558088293743</v>
      </c>
      <c r="F34" s="11">
        <v>0.91810000000000003</v>
      </c>
      <c r="G34" s="7">
        <f t="shared" si="1"/>
        <v>936.63584324363364</v>
      </c>
      <c r="H34" s="120">
        <v>10000</v>
      </c>
      <c r="I34" s="11">
        <f t="shared" si="2"/>
        <v>0.12155091210296455</v>
      </c>
      <c r="J34" s="11">
        <f t="shared" si="3"/>
        <v>1.8542025550128016E-2</v>
      </c>
      <c r="K34" s="12">
        <f t="shared" si="4"/>
        <v>1525.4534276485933</v>
      </c>
      <c r="L34" s="12">
        <f t="shared" si="5"/>
        <v>4568.0807704378112</v>
      </c>
      <c r="M34" s="16">
        <f t="shared" si="6"/>
        <v>284.98338268895156</v>
      </c>
      <c r="N34" s="273">
        <f t="shared" si="7"/>
        <v>17099.002961337093</v>
      </c>
      <c r="O34" s="121">
        <f t="shared" si="8"/>
        <v>16999.002961337093</v>
      </c>
      <c r="P34" s="121">
        <f t="shared" si="9"/>
        <v>16799.002961337093</v>
      </c>
      <c r="Q34" s="303">
        <f t="shared" si="10"/>
        <v>16599.002961337093</v>
      </c>
    </row>
    <row r="35" spans="2:17">
      <c r="B35" s="120">
        <v>25000</v>
      </c>
      <c r="C35" s="7" cm="1">
        <f t="array" ref="C35">Linterp(B35,atmos_h,atmos_aspeed)</f>
        <v>1015.9805854418648</v>
      </c>
      <c r="D35" s="7" cm="1">
        <f t="array" ref="D35">Linterp(B35,atmos_h,atmos_qms)</f>
        <v>549.71720953653789</v>
      </c>
      <c r="E35" s="16">
        <f t="shared" si="0"/>
        <v>553.168021999188</v>
      </c>
      <c r="F35" s="11">
        <v>0.91900000000000004</v>
      </c>
      <c r="G35" s="7">
        <f t="shared" si="1"/>
        <v>933.68615802107377</v>
      </c>
      <c r="H35" s="120">
        <v>10000</v>
      </c>
      <c r="I35" s="11">
        <f t="shared" si="2"/>
        <v>0.12670119837408306</v>
      </c>
      <c r="J35" s="11">
        <f t="shared" si="3"/>
        <v>1.8761415140076954E-2</v>
      </c>
      <c r="K35" s="12">
        <f t="shared" si="4"/>
        <v>1480.7606700517704</v>
      </c>
      <c r="L35" s="12">
        <f t="shared" si="5"/>
        <v>4441.3428285373429</v>
      </c>
      <c r="M35" s="16">
        <f t="shared" si="6"/>
        <v>276.42545810621323</v>
      </c>
      <c r="N35" s="273">
        <f t="shared" si="7"/>
        <v>16585.527486372794</v>
      </c>
      <c r="O35" s="121">
        <f t="shared" si="8"/>
        <v>16485.527486372794</v>
      </c>
      <c r="P35" s="121">
        <f t="shared" si="9"/>
        <v>16285.527486372794</v>
      </c>
      <c r="Q35" s="303">
        <f t="shared" si="10"/>
        <v>16085.527486372794</v>
      </c>
    </row>
    <row r="36" spans="2:17">
      <c r="B36" s="120">
        <v>26000</v>
      </c>
      <c r="C36" s="7" cm="1">
        <f t="array" ref="C36">Linterp(B36,atmos_h,atmos_aspeed)</f>
        <v>1011.7543120217408</v>
      </c>
      <c r="D36" s="7" cm="1">
        <f t="array" ref="D36">Linterp(B36,atmos_h,atmos_qms)</f>
        <v>526.14862055832521</v>
      </c>
      <c r="E36" s="16">
        <f t="shared" si="0"/>
        <v>551.57427065535444</v>
      </c>
      <c r="F36" s="11">
        <v>0.92018</v>
      </c>
      <c r="G36" s="7">
        <f t="shared" si="1"/>
        <v>930.99608283616544</v>
      </c>
      <c r="H36" s="120">
        <v>10000</v>
      </c>
      <c r="I36" s="11">
        <f t="shared" si="2"/>
        <v>0.13203743017139083</v>
      </c>
      <c r="J36" s="11">
        <f t="shared" si="3"/>
        <v>1.899980259059145E-2</v>
      </c>
      <c r="K36" s="12">
        <f t="shared" si="4"/>
        <v>1438.9709467935575</v>
      </c>
      <c r="L36" s="12">
        <f t="shared" si="5"/>
        <v>4324.679434096458</v>
      </c>
      <c r="M36" s="16">
        <f t="shared" si="6"/>
        <v>268.65832978860766</v>
      </c>
      <c r="N36" s="273">
        <f t="shared" si="7"/>
        <v>16119.499787316459</v>
      </c>
      <c r="O36" s="121">
        <f t="shared" si="8"/>
        <v>16019.499787316459</v>
      </c>
      <c r="P36" s="121">
        <f t="shared" si="9"/>
        <v>15819.499787316459</v>
      </c>
      <c r="Q36" s="303">
        <f t="shared" si="10"/>
        <v>15619.499787316459</v>
      </c>
    </row>
    <row r="37" spans="2:17">
      <c r="B37" s="120">
        <v>27000</v>
      </c>
      <c r="C37" s="7" cm="1">
        <f t="array" ref="C37">Linterp(B37,atmos_h,atmos_aspeed)</f>
        <v>1007.5103105151719</v>
      </c>
      <c r="D37" s="7" cm="1">
        <f t="array" ref="D37">Linterp(B37,atmos_h,atmos_qms)</f>
        <v>503.40502292301625</v>
      </c>
      <c r="E37" s="16">
        <f t="shared" si="0"/>
        <v>549.96493300416887</v>
      </c>
      <c r="F37" s="11">
        <v>0.92135999999999996</v>
      </c>
      <c r="G37" s="7">
        <f t="shared" si="1"/>
        <v>928.27969969625872</v>
      </c>
      <c r="H37" s="120">
        <v>10000</v>
      </c>
      <c r="I37" s="11">
        <f t="shared" si="2"/>
        <v>0.13764955964669739</v>
      </c>
      <c r="J37" s="11">
        <f t="shared" si="3"/>
        <v>1.9273896273555961E-2</v>
      </c>
      <c r="K37" s="12">
        <f t="shared" si="4"/>
        <v>1400.2148879390477</v>
      </c>
      <c r="L37" s="12">
        <f t="shared" si="5"/>
        <v>4207.9190512218329</v>
      </c>
      <c r="M37" s="16">
        <f t="shared" si="6"/>
        <v>260.63347775280789</v>
      </c>
      <c r="N37" s="273">
        <f t="shared" si="7"/>
        <v>15638.008665168474</v>
      </c>
      <c r="O37" s="121">
        <f t="shared" si="8"/>
        <v>15538.008665168474</v>
      </c>
      <c r="P37" s="121">
        <f t="shared" si="9"/>
        <v>15338.008665168474</v>
      </c>
      <c r="Q37" s="303">
        <f t="shared" si="10"/>
        <v>15138.008665168474</v>
      </c>
    </row>
    <row r="38" spans="2:17">
      <c r="B38" s="120">
        <v>28000</v>
      </c>
      <c r="C38" s="7" cm="1">
        <f t="array" ref="C38">Linterp(B38,atmos_h,atmos_aspeed)</f>
        <v>1003.2483559389319</v>
      </c>
      <c r="D38" s="7" cm="1">
        <f t="array" ref="D38">Linterp(B38,atmos_h,atmos_qms)</f>
        <v>481.46413972606013</v>
      </c>
      <c r="E38" s="16">
        <f t="shared" si="0"/>
        <v>548.33984889678879</v>
      </c>
      <c r="F38" s="11">
        <v>0.92253999999999992</v>
      </c>
      <c r="G38" s="7">
        <f t="shared" si="1"/>
        <v>925.53673828790215</v>
      </c>
      <c r="H38" s="120">
        <v>10000</v>
      </c>
      <c r="I38" s="11">
        <f t="shared" si="2"/>
        <v>0.14355447053099796</v>
      </c>
      <c r="J38" s="11">
        <f t="shared" si="3"/>
        <v>1.9559354752558249E-2</v>
      </c>
      <c r="K38" s="12">
        <f t="shared" si="4"/>
        <v>1362.504050219374</v>
      </c>
      <c r="L38" s="12">
        <f t="shared" si="5"/>
        <v>4091.0616799134696</v>
      </c>
      <c r="M38" s="16">
        <f t="shared" si="6"/>
        <v>252.53803288176428</v>
      </c>
      <c r="N38" s="273">
        <f t="shared" si="7"/>
        <v>15152.281972905857</v>
      </c>
      <c r="O38" s="121">
        <f t="shared" si="8"/>
        <v>15052.281972905857</v>
      </c>
      <c r="P38" s="121">
        <f t="shared" si="9"/>
        <v>14852.281972905857</v>
      </c>
      <c r="Q38" s="303">
        <f t="shared" si="10"/>
        <v>14652.281972905857</v>
      </c>
    </row>
    <row r="39" spans="2:17">
      <c r="B39" s="120">
        <v>29000</v>
      </c>
      <c r="C39" s="7" cm="1">
        <f t="array" ref="C39">Linterp(B39,atmos_h,atmos_aspeed)</f>
        <v>998.96821851045968</v>
      </c>
      <c r="D39" s="7" cm="1">
        <f t="array" ref="D39">Linterp(B39,atmos_h,atmos_qms)</f>
        <v>460.30411435996132</v>
      </c>
      <c r="E39" s="16">
        <f t="shared" si="0"/>
        <v>546.69885492872993</v>
      </c>
      <c r="F39" s="11">
        <v>0.92371999999999987</v>
      </c>
      <c r="G39" s="7">
        <f t="shared" si="1"/>
        <v>922.76692280248164</v>
      </c>
      <c r="H39" s="120">
        <v>10000</v>
      </c>
      <c r="I39" s="11">
        <f t="shared" si="2"/>
        <v>0.14977024080369727</v>
      </c>
      <c r="J39" s="11">
        <f t="shared" si="3"/>
        <v>1.9856883354057706E-2</v>
      </c>
      <c r="K39" s="12">
        <f t="shared" si="4"/>
        <v>1325.8230238197971</v>
      </c>
      <c r="L39" s="12">
        <f t="shared" si="5"/>
        <v>3974.1073201713671</v>
      </c>
      <c r="M39" s="16">
        <f t="shared" si="6"/>
        <v>244.37491508504735</v>
      </c>
      <c r="N39" s="273">
        <f t="shared" si="7"/>
        <v>14662.494905102842</v>
      </c>
      <c r="O39" s="121">
        <f t="shared" si="8"/>
        <v>14562.494905102842</v>
      </c>
      <c r="P39" s="121">
        <f t="shared" si="9"/>
        <v>14362.494905102842</v>
      </c>
      <c r="Q39" s="303">
        <f t="shared" si="10"/>
        <v>14162.494905102842</v>
      </c>
    </row>
    <row r="40" spans="2:17">
      <c r="B40" s="120">
        <v>30000</v>
      </c>
      <c r="C40" s="7" cm="1">
        <f t="array" ref="C40">Linterp(B40,atmos_h,atmos_aspeed)</f>
        <v>994.66966350329255</v>
      </c>
      <c r="D40" s="7" cm="1">
        <f t="array" ref="D40">Linterp(B40,atmos_h,atmos_qms)</f>
        <v>439.90350606186917</v>
      </c>
      <c r="E40" s="16">
        <f t="shared" si="0"/>
        <v>545.04178434387188</v>
      </c>
      <c r="F40" s="11">
        <v>0.92490000000000006</v>
      </c>
      <c r="G40" s="7">
        <f t="shared" si="1"/>
        <v>919.9699717741953</v>
      </c>
      <c r="H40" s="120">
        <v>10000</v>
      </c>
      <c r="I40" s="11">
        <f t="shared" si="2"/>
        <v>0.15631623867352118</v>
      </c>
      <c r="J40" s="11">
        <f t="shared" si="3"/>
        <v>2.0167237937003663E-2</v>
      </c>
      <c r="K40" s="12">
        <f t="shared" si="4"/>
        <v>1290.1562952217994</v>
      </c>
      <c r="L40" s="12">
        <f t="shared" si="5"/>
        <v>3857.0559719955263</v>
      </c>
      <c r="M40" s="16">
        <f t="shared" si="6"/>
        <v>236.14706231887169</v>
      </c>
      <c r="N40" s="273">
        <f t="shared" si="7"/>
        <v>14168.823739132302</v>
      </c>
      <c r="O40" s="121">
        <f t="shared" si="8"/>
        <v>14068.823739132302</v>
      </c>
      <c r="P40" s="121">
        <f t="shared" si="9"/>
        <v>13868.823739132302</v>
      </c>
      <c r="Q40" s="303">
        <f t="shared" si="10"/>
        <v>13668.823739132302</v>
      </c>
    </row>
    <row r="41" spans="2:17">
      <c r="B41" s="120">
        <v>31000</v>
      </c>
      <c r="C41" s="7" cm="1">
        <f t="array" ref="C41">Linterp(B41,atmos_h,atmos_aspeed)</f>
        <v>990.35245109685331</v>
      </c>
      <c r="D41" s="7" cm="1">
        <f t="array" ref="D41">Linterp(B41,atmos_h,atmos_qms)</f>
        <v>420.24128547087412</v>
      </c>
      <c r="E41" s="16">
        <f t="shared" si="0"/>
        <v>543.42420726427849</v>
      </c>
      <c r="F41" s="11">
        <v>0.92617500000000008</v>
      </c>
      <c r="G41" s="7">
        <f t="shared" si="1"/>
        <v>917.23968139462818</v>
      </c>
      <c r="H41" s="120">
        <v>10000</v>
      </c>
      <c r="I41" s="11">
        <f t="shared" si="2"/>
        <v>0.16317974657996973</v>
      </c>
      <c r="J41" s="11">
        <f t="shared" si="3"/>
        <v>2.049483786872382E-2</v>
      </c>
      <c r="K41" s="12">
        <f t="shared" si="4"/>
        <v>1255.9670117320525</v>
      </c>
      <c r="L41" s="12">
        <f t="shared" si="5"/>
        <v>3749.919920408116</v>
      </c>
      <c r="M41" s="16">
        <f t="shared" si="6"/>
        <v>228.75525713672386</v>
      </c>
      <c r="N41" s="273">
        <f t="shared" si="7"/>
        <v>13725.315428203432</v>
      </c>
      <c r="O41" s="121">
        <f t="shared" si="8"/>
        <v>13625.315428203432</v>
      </c>
      <c r="P41" s="121">
        <f t="shared" si="9"/>
        <v>13425.315428203432</v>
      </c>
      <c r="Q41" s="303">
        <f t="shared" si="10"/>
        <v>13225.315428203432</v>
      </c>
    </row>
    <row r="42" spans="2:17">
      <c r="B42" s="120">
        <v>32000</v>
      </c>
      <c r="C42" s="7" cm="1">
        <f t="array" ref="C42">Linterp(B42,atmos_h,atmos_aspeed)</f>
        <v>986.01633622031693</v>
      </c>
      <c r="D42" s="7" cm="1">
        <f t="array" ref="D42">Linterp(B42,atmos_h,atmos_qms)</f>
        <v>401.29683019506137</v>
      </c>
      <c r="E42" s="16">
        <f t="shared" ref="E42:E70" si="11">F42*C42*3600/6076.4</f>
        <v>541.78972149613571</v>
      </c>
      <c r="F42" s="11">
        <v>0.92745000000000011</v>
      </c>
      <c r="G42" s="7">
        <f t="shared" ref="G42:G70" si="12">F42*C42</f>
        <v>914.48085102753305</v>
      </c>
      <c r="H42" s="120">
        <v>10000</v>
      </c>
      <c r="I42" s="11">
        <f t="shared" ref="I42:I70" si="13">H42/(D42*F42*F42*_xlfn.SINGLE(S))</f>
        <v>0.17041363420362021</v>
      </c>
      <c r="J42" s="11">
        <f t="shared" si="3"/>
        <v>2.0836853186780191E-2</v>
      </c>
      <c r="K42" s="12">
        <f t="shared" ref="K42:K70" si="14">J42*D42*F42*F42*_xlfn.SINGLE(S)</f>
        <v>1222.7221891109425</v>
      </c>
      <c r="L42" s="12">
        <f t="shared" ref="L42:L70" si="15">_xlfn.SINGLE(InterpolateXY(B42,F42,Tmax_h,Tmax_M,Tmax_table))*_xlfn.SINGLE(numeng)</f>
        <v>3642.6766733282498</v>
      </c>
      <c r="M42" s="16">
        <f t="shared" si="6"/>
        <v>221.30020361749382</v>
      </c>
      <c r="N42" s="273">
        <f t="shared" si="7"/>
        <v>13278.012217049629</v>
      </c>
      <c r="O42" s="121">
        <f t="shared" si="8"/>
        <v>13178.012217049629</v>
      </c>
      <c r="P42" s="121">
        <f t="shared" si="9"/>
        <v>12978.012217049629</v>
      </c>
      <c r="Q42" s="303">
        <f t="shared" si="10"/>
        <v>12778.012217049629</v>
      </c>
    </row>
    <row r="43" spans="2:17">
      <c r="B43" s="120">
        <v>33000</v>
      </c>
      <c r="C43" s="7" cm="1">
        <f t="array" ref="C43">Linterp(B43,atmos_h,atmos_aspeed)</f>
        <v>981.66106839027111</v>
      </c>
      <c r="D43" s="7" cm="1">
        <f t="array" ref="D43">Linterp(B43,atmos_h,atmos_qms)</f>
        <v>383.0499203883931</v>
      </c>
      <c r="E43" s="16">
        <f t="shared" si="11"/>
        <v>540.13814638054055</v>
      </c>
      <c r="F43" s="11">
        <v>0.92872500000000013</v>
      </c>
      <c r="G43" s="7">
        <f t="shared" si="12"/>
        <v>911.69317574075467</v>
      </c>
      <c r="H43" s="120">
        <v>10000</v>
      </c>
      <c r="I43" s="11">
        <f t="shared" si="13"/>
        <v>0.17804157584958893</v>
      </c>
      <c r="J43" s="11">
        <f t="shared" si="3"/>
        <v>2.1194210231108662E-2</v>
      </c>
      <c r="K43" s="12">
        <f t="shared" si="14"/>
        <v>1190.4079218560564</v>
      </c>
      <c r="L43" s="12">
        <f t="shared" si="15"/>
        <v>3535.3262307559271</v>
      </c>
      <c r="M43" s="16">
        <f t="shared" si="6"/>
        <v>213.78460198935628</v>
      </c>
      <c r="N43" s="273">
        <f t="shared" si="7"/>
        <v>12827.076119361376</v>
      </c>
      <c r="O43" s="121">
        <f t="shared" si="8"/>
        <v>12727.076119361376</v>
      </c>
      <c r="P43" s="121">
        <f t="shared" si="9"/>
        <v>12527.076119361376</v>
      </c>
      <c r="Q43" s="303">
        <f t="shared" si="10"/>
        <v>12327.076119361376</v>
      </c>
    </row>
    <row r="44" spans="2:17">
      <c r="B44" s="120">
        <v>34000</v>
      </c>
      <c r="C44" s="7" cm="1">
        <f t="array" ref="C44">Linterp(B44,atmos_h,atmos_aspeed)</f>
        <v>977.28639154186544</v>
      </c>
      <c r="D44" s="7" cm="1">
        <f t="array" ref="D44">Linterp(B44,atmos_h,atmos_qms)</f>
        <v>365.48073433747794</v>
      </c>
      <c r="E44" s="16">
        <f t="shared" si="11"/>
        <v>538.4692974264641</v>
      </c>
      <c r="F44" s="11">
        <v>0.93</v>
      </c>
      <c r="G44" s="7">
        <f t="shared" si="12"/>
        <v>908.87634413393494</v>
      </c>
      <c r="H44" s="120">
        <v>10000</v>
      </c>
      <c r="I44" s="11">
        <f t="shared" si="13"/>
        <v>0.18608899596434486</v>
      </c>
      <c r="J44" s="11">
        <f t="shared" si="3"/>
        <v>2.1567904095636196E-2</v>
      </c>
      <c r="K44" s="12">
        <f t="shared" si="14"/>
        <v>1159.0101813311228</v>
      </c>
      <c r="L44" s="12">
        <f t="shared" si="15"/>
        <v>3427.868592691148</v>
      </c>
      <c r="M44" s="16">
        <f t="shared" si="6"/>
        <v>206.21117382744274</v>
      </c>
      <c r="N44" s="273">
        <f t="shared" si="7"/>
        <v>12372.670429646565</v>
      </c>
      <c r="O44" s="121">
        <f t="shared" si="8"/>
        <v>12272.670429646565</v>
      </c>
      <c r="P44" s="121">
        <f t="shared" si="9"/>
        <v>12072.670429646565</v>
      </c>
      <c r="Q44" s="303">
        <f t="shared" si="10"/>
        <v>11872.670429646565</v>
      </c>
    </row>
    <row r="45" spans="2:17">
      <c r="B45" s="120">
        <v>35000</v>
      </c>
      <c r="C45" s="7" cm="1">
        <f t="array" ref="C45">Linterp(B45,atmos_h,atmos_aspeed)</f>
        <v>972.89204385312564</v>
      </c>
      <c r="D45" s="7" cm="1">
        <f t="array" ref="D45">Linterp(B45,atmos_h,atmos_qms)</f>
        <v>348.56984405829382</v>
      </c>
      <c r="E45" s="16">
        <f t="shared" si="11"/>
        <v>536.04808156478589</v>
      </c>
      <c r="F45" s="11">
        <v>0.93</v>
      </c>
      <c r="G45" s="7">
        <f t="shared" si="12"/>
        <v>904.78960078340685</v>
      </c>
      <c r="H45" s="120">
        <v>10000</v>
      </c>
      <c r="I45" s="11">
        <f t="shared" si="13"/>
        <v>0.19511711657362593</v>
      </c>
      <c r="J45" s="11">
        <f t="shared" si="3"/>
        <v>2.1913229708941197E-2</v>
      </c>
      <c r="K45" s="12">
        <f t="shared" si="14"/>
        <v>1123.0808497865644</v>
      </c>
      <c r="L45" s="12">
        <f t="shared" si="15"/>
        <v>3318.091285116755</v>
      </c>
      <c r="M45" s="16">
        <f t="shared" si="6"/>
        <v>198.6022615497815</v>
      </c>
      <c r="N45" s="273">
        <f t="shared" si="7"/>
        <v>11916.135692986891</v>
      </c>
      <c r="O45" s="121">
        <f t="shared" si="8"/>
        <v>11816.135692986891</v>
      </c>
      <c r="P45" s="121">
        <f t="shared" si="9"/>
        <v>11616.135692986891</v>
      </c>
      <c r="Q45" s="303">
        <f t="shared" si="10"/>
        <v>11416.135692986891</v>
      </c>
    </row>
    <row r="46" spans="2:17">
      <c r="B46" s="120">
        <v>36000</v>
      </c>
      <c r="C46" s="7" cm="1">
        <f t="array" ref="C46">Linterp(B46,atmos_h,atmos_aspeed)</f>
        <v>968.47775756209501</v>
      </c>
      <c r="D46" s="7" cm="1">
        <f t="array" ref="D46">Linterp(B46,atmos_h,atmos_qms)</f>
        <v>332.29821090292938</v>
      </c>
      <c r="E46" s="16">
        <f t="shared" si="11"/>
        <v>533.61587984956464</v>
      </c>
      <c r="F46" s="11">
        <v>0.93</v>
      </c>
      <c r="G46" s="7">
        <f t="shared" si="12"/>
        <v>900.68431453274843</v>
      </c>
      <c r="H46" s="120">
        <v>10000</v>
      </c>
      <c r="I46" s="11">
        <f t="shared" si="13"/>
        <v>0.20467140858919736</v>
      </c>
      <c r="J46" s="11">
        <f t="shared" si="3"/>
        <v>2.2397802297561335E-2</v>
      </c>
      <c r="K46" s="12">
        <f t="shared" si="14"/>
        <v>1094.3298065885056</v>
      </c>
      <c r="L46" s="12">
        <f t="shared" si="15"/>
        <v>3199.9846117550755</v>
      </c>
      <c r="M46" s="16">
        <f t="shared" si="6"/>
        <v>189.65302548340401</v>
      </c>
      <c r="N46" s="273">
        <f t="shared" si="7"/>
        <v>11379.18152900424</v>
      </c>
      <c r="O46" s="121">
        <f t="shared" si="8"/>
        <v>11279.18152900424</v>
      </c>
      <c r="P46" s="121">
        <f t="shared" si="9"/>
        <v>11079.18152900424</v>
      </c>
      <c r="Q46" s="303">
        <f t="shared" si="10"/>
        <v>10879.18152900424</v>
      </c>
    </row>
    <row r="47" spans="2:17">
      <c r="B47" s="120">
        <v>37000</v>
      </c>
      <c r="C47" s="7" cm="1">
        <f t="array" ref="C47">Linterp(B47,atmos_h,atmos_aspeed)</f>
        <v>968.1005104214338</v>
      </c>
      <c r="D47" s="7" cm="1">
        <f t="array" ref="D47">Linterp(B47,atmos_h,atmos_qms)</f>
        <v>316.70457937064464</v>
      </c>
      <c r="E47" s="16">
        <f t="shared" si="11"/>
        <v>533.4080226599566</v>
      </c>
      <c r="F47" s="11">
        <v>0.93</v>
      </c>
      <c r="G47" s="7">
        <f t="shared" si="12"/>
        <v>900.33347469193347</v>
      </c>
      <c r="H47" s="120">
        <v>10000</v>
      </c>
      <c r="I47" s="11">
        <f t="shared" si="13"/>
        <v>0.21474884585605319</v>
      </c>
      <c r="J47" s="11">
        <f t="shared" si="3"/>
        <v>2.3040238923323395E-2</v>
      </c>
      <c r="K47" s="12">
        <f t="shared" si="14"/>
        <v>1072.8923283139475</v>
      </c>
      <c r="L47" s="12">
        <f t="shared" si="15"/>
        <v>3081.8779383933957</v>
      </c>
      <c r="M47" s="16">
        <f t="shared" si="6"/>
        <v>180.87569949289235</v>
      </c>
      <c r="N47" s="273">
        <f t="shared" si="7"/>
        <v>10852.541969573542</v>
      </c>
      <c r="O47" s="121">
        <f t="shared" si="8"/>
        <v>10752.541969573542</v>
      </c>
      <c r="P47" s="121">
        <f t="shared" si="9"/>
        <v>10552.541969573542</v>
      </c>
      <c r="Q47" s="303">
        <f t="shared" si="10"/>
        <v>10352.541969573542</v>
      </c>
    </row>
    <row r="48" spans="2:17">
      <c r="B48" s="120">
        <v>38000</v>
      </c>
      <c r="C48" s="7" cm="1">
        <f t="array" ref="C48">Linterp(B48,atmos_h,atmos_aspeed)</f>
        <v>968.1005104214338</v>
      </c>
      <c r="D48" s="7" cm="1">
        <f t="array" ref="D48">Linterp(B48,atmos_h,atmos_qms)</f>
        <v>301.84260713385146</v>
      </c>
      <c r="E48" s="16">
        <f t="shared" si="11"/>
        <v>533.4080226599566</v>
      </c>
      <c r="F48" s="11">
        <v>0.93</v>
      </c>
      <c r="G48" s="7">
        <f t="shared" si="12"/>
        <v>900.33347469193347</v>
      </c>
      <c r="H48" s="120">
        <v>10000</v>
      </c>
      <c r="I48" s="11">
        <f t="shared" si="13"/>
        <v>0.22532253992562748</v>
      </c>
      <c r="J48" s="11">
        <f t="shared" si="3"/>
        <v>2.3714311920258756E-2</v>
      </c>
      <c r="K48" s="12">
        <f t="shared" si="14"/>
        <v>1052.4607049115536</v>
      </c>
      <c r="L48" s="12">
        <f t="shared" si="15"/>
        <v>2963.7712650317167</v>
      </c>
      <c r="M48" s="16">
        <f t="shared" si="6"/>
        <v>172.0816877808372</v>
      </c>
      <c r="N48" s="273">
        <f t="shared" si="7"/>
        <v>10324.901266850233</v>
      </c>
      <c r="O48" s="121">
        <f t="shared" si="8"/>
        <v>10224.901266850233</v>
      </c>
      <c r="P48" s="121">
        <f t="shared" si="9"/>
        <v>10024.901266850233</v>
      </c>
      <c r="Q48" s="303">
        <f t="shared" si="10"/>
        <v>9824.9012668502328</v>
      </c>
    </row>
    <row r="49" spans="2:17">
      <c r="B49" s="120">
        <v>39000</v>
      </c>
      <c r="C49" s="7" cm="1">
        <f t="array" ref="C49">Linterp(B49,atmos_h,atmos_aspeed)</f>
        <v>968.1005104214338</v>
      </c>
      <c r="D49" s="7" cm="1">
        <f t="array" ref="D49">Linterp(B49,atmos_h,atmos_qms)</f>
        <v>287.67806156264714</v>
      </c>
      <c r="E49" s="16">
        <f t="shared" si="11"/>
        <v>533.4080226599566</v>
      </c>
      <c r="F49" s="11">
        <v>0.93</v>
      </c>
      <c r="G49" s="7">
        <f t="shared" si="12"/>
        <v>900.33347469193347</v>
      </c>
      <c r="H49" s="120">
        <v>10000</v>
      </c>
      <c r="I49" s="11">
        <f t="shared" si="13"/>
        <v>0.23641685614723837</v>
      </c>
      <c r="J49" s="11">
        <f t="shared" si="3"/>
        <v>2.442157457938645E-2</v>
      </c>
      <c r="K49" s="12">
        <f t="shared" si="14"/>
        <v>1032.9878747806756</v>
      </c>
      <c r="L49" s="12">
        <f t="shared" si="15"/>
        <v>2845.6645916700368</v>
      </c>
      <c r="M49" s="16">
        <f t="shared" si="6"/>
        <v>163.20135270101648</v>
      </c>
      <c r="N49" s="273">
        <f t="shared" si="7"/>
        <v>9792.0811620609893</v>
      </c>
      <c r="O49" s="121">
        <f t="shared" si="8"/>
        <v>9692.0811620609893</v>
      </c>
      <c r="P49" s="121">
        <f t="shared" si="9"/>
        <v>9492.0811620609893</v>
      </c>
      <c r="Q49" s="303">
        <f t="shared" si="10"/>
        <v>9292.0811620609893</v>
      </c>
    </row>
    <row r="50" spans="2:17">
      <c r="B50" s="120">
        <v>40000</v>
      </c>
      <c r="C50" s="7" cm="1">
        <f t="array" ref="C50">Linterp(B50,atmos_h,atmos_aspeed)</f>
        <v>968.1005104214338</v>
      </c>
      <c r="D50" s="7" cm="1">
        <f t="array" ref="D50">Linterp(B50,atmos_h,atmos_qms)</f>
        <v>274.17821456777654</v>
      </c>
      <c r="E50" s="16">
        <f t="shared" si="11"/>
        <v>533.4080226599566</v>
      </c>
      <c r="F50" s="11">
        <v>0.93</v>
      </c>
      <c r="G50" s="7">
        <f t="shared" si="12"/>
        <v>900.33347469193347</v>
      </c>
      <c r="H50" s="120">
        <v>10000</v>
      </c>
      <c r="I50" s="11">
        <f t="shared" si="13"/>
        <v>0.24805742864869471</v>
      </c>
      <c r="J50" s="11">
        <f t="shared" si="3"/>
        <v>2.5163661076354291E-2</v>
      </c>
      <c r="K50" s="12">
        <f t="shared" si="14"/>
        <v>1014.4288447007855</v>
      </c>
      <c r="L50" s="12">
        <f t="shared" si="15"/>
        <v>2727.5579183083573</v>
      </c>
      <c r="M50" s="16">
        <f t="shared" si="6"/>
        <v>154.23874514368782</v>
      </c>
      <c r="N50" s="273">
        <f t="shared" si="7"/>
        <v>9254.3247086212687</v>
      </c>
      <c r="O50" s="121">
        <f t="shared" si="8"/>
        <v>9154.3247086212687</v>
      </c>
      <c r="P50" s="121">
        <f t="shared" si="9"/>
        <v>8954.3247086212687</v>
      </c>
      <c r="Q50" s="303">
        <f t="shared" si="10"/>
        <v>8754.3247086212687</v>
      </c>
    </row>
    <row r="51" spans="2:17">
      <c r="B51" s="120">
        <v>41000</v>
      </c>
      <c r="C51" s="7" cm="1">
        <f t="array" ref="C51">Linterp(B51,atmos_h,atmos_aspeed)</f>
        <v>968.1005104214338</v>
      </c>
      <c r="D51" s="7" cm="1">
        <f t="array" ref="D51">Linterp(B51,atmos_h,atmos_qms)</f>
        <v>261.31187388859428</v>
      </c>
      <c r="E51" s="16">
        <f t="shared" si="11"/>
        <v>533.4080226599566</v>
      </c>
      <c r="F51" s="11">
        <v>0.93</v>
      </c>
      <c r="G51" s="7">
        <f t="shared" si="12"/>
        <v>900.33347469193347</v>
      </c>
      <c r="H51" s="120">
        <v>10000</v>
      </c>
      <c r="I51" s="11">
        <f t="shared" si="13"/>
        <v>0.26027115371790738</v>
      </c>
      <c r="J51" s="11">
        <f t="shared" si="3"/>
        <v>2.5942286049516601E-2</v>
      </c>
      <c r="K51" s="12">
        <f t="shared" si="14"/>
        <v>996.74073284486701</v>
      </c>
      <c r="L51" s="12">
        <f t="shared" si="15"/>
        <v>2596.62178455614</v>
      </c>
      <c r="M51" s="16">
        <f t="shared" si="6"/>
        <v>144.04264663809951</v>
      </c>
      <c r="N51" s="273">
        <f t="shared" si="7"/>
        <v>8642.5587982859706</v>
      </c>
      <c r="O51" s="121">
        <f t="shared" si="8"/>
        <v>8542.5587982859706</v>
      </c>
      <c r="P51" s="121">
        <f t="shared" si="9"/>
        <v>8342.5587982859706</v>
      </c>
      <c r="Q51" s="303">
        <f t="shared" si="10"/>
        <v>8142.5587982859706</v>
      </c>
    </row>
    <row r="52" spans="2:17">
      <c r="B52" s="120">
        <v>42000</v>
      </c>
      <c r="C52" s="7" cm="1">
        <f t="array" ref="C52">Linterp(B52,atmos_h,atmos_aspeed)</f>
        <v>968.1005104214338</v>
      </c>
      <c r="D52" s="7" cm="1">
        <f t="array" ref="D52">Linterp(B52,atmos_h,atmos_qms)</f>
        <v>249.04931102134992</v>
      </c>
      <c r="E52" s="16">
        <f t="shared" si="11"/>
        <v>533.4080226599566</v>
      </c>
      <c r="F52" s="11">
        <v>0.93</v>
      </c>
      <c r="G52" s="7">
        <f t="shared" si="12"/>
        <v>900.33347469193347</v>
      </c>
      <c r="H52" s="120">
        <v>10000</v>
      </c>
      <c r="I52" s="11">
        <f t="shared" si="13"/>
        <v>0.27308625194848407</v>
      </c>
      <c r="J52" s="11">
        <f t="shared" si="3"/>
        <v>2.6759248561715864E-2</v>
      </c>
      <c r="K52" s="12">
        <f t="shared" si="14"/>
        <v>979.88266969821018</v>
      </c>
      <c r="L52" s="12">
        <f t="shared" si="15"/>
        <v>2465.6856508039227</v>
      </c>
      <c r="M52" s="16">
        <f t="shared" si="6"/>
        <v>133.77181606865395</v>
      </c>
      <c r="N52" s="273">
        <f t="shared" si="7"/>
        <v>8026.3089641192364</v>
      </c>
      <c r="O52" s="121">
        <f t="shared" si="8"/>
        <v>7926.3089641192364</v>
      </c>
      <c r="P52" s="121">
        <f t="shared" si="9"/>
        <v>7726.3089641192364</v>
      </c>
      <c r="Q52" s="303">
        <f t="shared" si="10"/>
        <v>7526.3089641192364</v>
      </c>
    </row>
    <row r="53" spans="2:17">
      <c r="B53" s="120">
        <v>43000</v>
      </c>
      <c r="C53" s="7" cm="1">
        <f t="array" ref="C53">Linterp(B53,atmos_h,atmos_aspeed)</f>
        <v>968.1005104214338</v>
      </c>
      <c r="D53" s="7" cm="1">
        <f t="array" ref="D53">Linterp(B53,atmos_h,atmos_qms)</f>
        <v>237.36219252957719</v>
      </c>
      <c r="E53" s="16">
        <f t="shared" si="11"/>
        <v>533.4080226599566</v>
      </c>
      <c r="F53" s="11">
        <v>0.93</v>
      </c>
      <c r="G53" s="7">
        <f t="shared" si="12"/>
        <v>900.33347469193347</v>
      </c>
      <c r="H53" s="120">
        <v>10000</v>
      </c>
      <c r="I53" s="11">
        <f t="shared" si="13"/>
        <v>0.2865323334452175</v>
      </c>
      <c r="J53" s="11">
        <f t="shared" si="3"/>
        <v>2.7616436257132622E-2</v>
      </c>
      <c r="K53" s="12">
        <f t="shared" si="14"/>
        <v>963.81570362678247</v>
      </c>
      <c r="L53" s="12">
        <f t="shared" si="15"/>
        <v>2334.7495170517059</v>
      </c>
      <c r="M53" s="16">
        <f t="shared" si="6"/>
        <v>123.42976038135241</v>
      </c>
      <c r="N53" s="273">
        <f t="shared" si="7"/>
        <v>7405.7856228811443</v>
      </c>
      <c r="O53" s="121">
        <f t="shared" si="8"/>
        <v>7305.7856228811443</v>
      </c>
      <c r="P53" s="121">
        <f t="shared" si="9"/>
        <v>7105.7856228811443</v>
      </c>
      <c r="Q53" s="303">
        <f t="shared" si="10"/>
        <v>6905.7856228811443</v>
      </c>
    </row>
    <row r="54" spans="2:17">
      <c r="B54" s="120">
        <v>44000</v>
      </c>
      <c r="C54" s="7" cm="1">
        <f t="array" ref="C54">Linterp(B54,atmos_h,atmos_aspeed)</f>
        <v>968.1005104214338</v>
      </c>
      <c r="D54" s="7" cm="1">
        <f t="array" ref="D54">Linterp(B54,atmos_h,atmos_qms)</f>
        <v>226.22351457787488</v>
      </c>
      <c r="E54" s="16">
        <f t="shared" si="11"/>
        <v>533.4080226599566</v>
      </c>
      <c r="F54" s="11">
        <v>0.93</v>
      </c>
      <c r="G54" s="7">
        <f t="shared" si="12"/>
        <v>900.33347469193347</v>
      </c>
      <c r="H54" s="120">
        <v>10000</v>
      </c>
      <c r="I54" s="11">
        <f t="shared" si="13"/>
        <v>0.30064046624012819</v>
      </c>
      <c r="J54" s="11">
        <f t="shared" si="3"/>
        <v>2.8528078639650629E-2</v>
      </c>
      <c r="K54" s="12">
        <f t="shared" si="14"/>
        <v>948.9101382933801</v>
      </c>
      <c r="L54" s="12">
        <f t="shared" si="15"/>
        <v>2203.813383299489</v>
      </c>
      <c r="M54" s="16">
        <f t="shared" si="6"/>
        <v>112.98313989785328</v>
      </c>
      <c r="N54" s="273">
        <f t="shared" si="7"/>
        <v>6778.9883938711964</v>
      </c>
      <c r="O54" s="121">
        <f t="shared" si="8"/>
        <v>6678.9883938711964</v>
      </c>
      <c r="P54" s="121">
        <f t="shared" si="9"/>
        <v>6478.9883938711964</v>
      </c>
      <c r="Q54" s="303">
        <f t="shared" si="10"/>
        <v>6278.9883938711964</v>
      </c>
    </row>
    <row r="55" spans="2:17">
      <c r="B55" s="120">
        <v>45000</v>
      </c>
      <c r="C55" s="7" cm="1">
        <f t="array" ref="C55">Linterp(B55,atmos_h,atmos_aspeed)</f>
        <v>968.1005104214338</v>
      </c>
      <c r="D55" s="7" cm="1">
        <f t="array" ref="D55">Linterp(B55,atmos_h,atmos_qms)</f>
        <v>215.60754053781716</v>
      </c>
      <c r="E55" s="16">
        <f t="shared" si="11"/>
        <v>533.4080226599566</v>
      </c>
      <c r="F55" s="11">
        <v>0.93</v>
      </c>
      <c r="G55" s="7">
        <f t="shared" si="12"/>
        <v>900.33347469193347</v>
      </c>
      <c r="H55" s="120">
        <v>10000</v>
      </c>
      <c r="I55" s="11">
        <f t="shared" si="13"/>
        <v>0.31544324807714025</v>
      </c>
      <c r="J55" s="11">
        <f t="shared" si="3"/>
        <v>2.9754859184393006E-2</v>
      </c>
      <c r="K55" s="12">
        <f t="shared" si="14"/>
        <v>943.27139242227747</v>
      </c>
      <c r="L55" s="12">
        <f t="shared" si="15"/>
        <v>2072.8772495472722</v>
      </c>
      <c r="M55" s="16">
        <f t="shared" si="6"/>
        <v>101.70219663777061</v>
      </c>
      <c r="N55" s="273">
        <f t="shared" si="7"/>
        <v>6102.1317982662367</v>
      </c>
      <c r="O55" s="121">
        <f t="shared" si="8"/>
        <v>6002.1317982662367</v>
      </c>
      <c r="P55" s="121">
        <f t="shared" si="9"/>
        <v>5802.1317982662367</v>
      </c>
      <c r="Q55" s="303">
        <f t="shared" si="10"/>
        <v>5602.1317982662367</v>
      </c>
    </row>
    <row r="56" spans="2:17">
      <c r="B56" s="120">
        <v>46000</v>
      </c>
      <c r="C56" s="7" cm="1">
        <f t="array" ref="C56">Linterp(B56,atmos_h,atmos_aspeed)</f>
        <v>968.1005104214338</v>
      </c>
      <c r="D56" s="7" cm="1">
        <f t="array" ref="D56">Linterp(B56,atmos_h,atmos_qms)</f>
        <v>205.48974152182566</v>
      </c>
      <c r="E56" s="16">
        <f t="shared" si="11"/>
        <v>533.4080226599566</v>
      </c>
      <c r="F56" s="11">
        <v>0.93</v>
      </c>
      <c r="G56" s="7">
        <f t="shared" si="12"/>
        <v>900.33347469193347</v>
      </c>
      <c r="H56" s="120">
        <v>10000</v>
      </c>
      <c r="I56" s="11">
        <f t="shared" si="13"/>
        <v>0.33097488173125661</v>
      </c>
      <c r="J56" s="11">
        <f t="shared" si="3"/>
        <v>3.1042043323477899E-2</v>
      </c>
      <c r="K56" s="12">
        <f t="shared" si="14"/>
        <v>937.89725555920802</v>
      </c>
      <c r="L56" s="12">
        <f t="shared" si="15"/>
        <v>1961.6629332978612</v>
      </c>
      <c r="M56" s="16">
        <f t="shared" si="6"/>
        <v>92.17305099087838</v>
      </c>
      <c r="N56" s="273">
        <f t="shared" si="7"/>
        <v>5530.3830594527026</v>
      </c>
      <c r="O56" s="121">
        <f t="shared" si="8"/>
        <v>5430.3830594527026</v>
      </c>
      <c r="P56" s="121">
        <f t="shared" si="9"/>
        <v>5230.3830594527026</v>
      </c>
      <c r="Q56" s="303">
        <f t="shared" si="10"/>
        <v>5030.3830594527026</v>
      </c>
    </row>
    <row r="57" spans="2:17">
      <c r="B57" s="120">
        <v>47000</v>
      </c>
      <c r="C57" s="7" cm="1">
        <f t="array" ref="C57">Linterp(B57,atmos_h,atmos_aspeed)</f>
        <v>968.1005104214338</v>
      </c>
      <c r="D57" s="7" cm="1">
        <f t="array" ref="D57">Linterp(B57,atmos_h,atmos_qms)</f>
        <v>195.84673970760483</v>
      </c>
      <c r="E57" s="16">
        <f t="shared" si="11"/>
        <v>533.4080226599566</v>
      </c>
      <c r="F57" s="11">
        <v>0.93</v>
      </c>
      <c r="G57" s="7">
        <f t="shared" si="12"/>
        <v>900.33347469193347</v>
      </c>
      <c r="H57" s="120">
        <v>10000</v>
      </c>
      <c r="I57" s="11">
        <f t="shared" si="13"/>
        <v>0.34727125403625897</v>
      </c>
      <c r="J57" s="11">
        <f t="shared" si="3"/>
        <v>3.2392605178254964E-2</v>
      </c>
      <c r="K57" s="12">
        <f t="shared" si="14"/>
        <v>932.77531041693453</v>
      </c>
      <c r="L57" s="12">
        <f t="shared" si="15"/>
        <v>1850.4486170484506</v>
      </c>
      <c r="M57" s="16">
        <f t="shared" si="6"/>
        <v>82.621199679158892</v>
      </c>
      <c r="N57" s="273">
        <f t="shared" si="7"/>
        <v>4957.2719807495332</v>
      </c>
      <c r="O57" s="121">
        <f t="shared" si="8"/>
        <v>4857.2719807495332</v>
      </c>
      <c r="P57" s="121">
        <f t="shared" si="9"/>
        <v>4657.2719807495332</v>
      </c>
      <c r="Q57" s="303">
        <f t="shared" si="10"/>
        <v>4457.2719807495332</v>
      </c>
    </row>
    <row r="58" spans="2:17">
      <c r="B58" s="120">
        <v>48000</v>
      </c>
      <c r="C58" s="7" cm="1">
        <f t="array" ref="C58">Linterp(B58,atmos_h,atmos_aspeed)</f>
        <v>968.1005104214338</v>
      </c>
      <c r="D58" s="7" cm="1">
        <f t="array" ref="D58">Linterp(B58,atmos_h,atmos_qms)</f>
        <v>186.65625432218673</v>
      </c>
      <c r="E58" s="16">
        <f t="shared" si="11"/>
        <v>533.4080226599566</v>
      </c>
      <c r="F58" s="11">
        <v>0.93</v>
      </c>
      <c r="G58" s="7">
        <f t="shared" si="12"/>
        <v>900.33347469193347</v>
      </c>
      <c r="H58" s="120">
        <v>10000</v>
      </c>
      <c r="I58" s="11">
        <f t="shared" si="13"/>
        <v>0.36437001880353581</v>
      </c>
      <c r="J58" s="11">
        <f t="shared" si="3"/>
        <v>3.4245795379030344E-2</v>
      </c>
      <c r="K58" s="12">
        <f t="shared" si="14"/>
        <v>939.86315041730404</v>
      </c>
      <c r="L58" s="12">
        <f t="shared" si="15"/>
        <v>1739.2343007990401</v>
      </c>
      <c r="M58" s="16">
        <f t="shared" si="6"/>
        <v>71.970060539167648</v>
      </c>
      <c r="N58" s="273">
        <f t="shared" si="7"/>
        <v>4318.2036323500588</v>
      </c>
      <c r="O58" s="121">
        <f t="shared" si="8"/>
        <v>4218.2036323500588</v>
      </c>
      <c r="P58" s="121">
        <f t="shared" si="9"/>
        <v>4018.2036323500588</v>
      </c>
      <c r="Q58" s="303">
        <f t="shared" si="10"/>
        <v>3818.2036323500588</v>
      </c>
    </row>
    <row r="59" spans="2:17">
      <c r="B59" s="120">
        <v>49000</v>
      </c>
      <c r="C59" s="7" cm="1">
        <f t="array" ref="C59">Linterp(B59,atmos_h,atmos_aspeed)</f>
        <v>968.1005104214338</v>
      </c>
      <c r="D59" s="7" cm="1">
        <f t="array" ref="D59">Linterp(B59,atmos_h,atmos_qms)</f>
        <v>177.89705016077923</v>
      </c>
      <c r="E59" s="16">
        <f t="shared" si="11"/>
        <v>533.4080226599566</v>
      </c>
      <c r="F59" s="11">
        <v>0.93</v>
      </c>
      <c r="G59" s="7">
        <f t="shared" si="12"/>
        <v>900.33347469193347</v>
      </c>
      <c r="H59" s="120">
        <v>10000</v>
      </c>
      <c r="I59" s="11">
        <f t="shared" si="13"/>
        <v>0.38231068382362221</v>
      </c>
      <c r="J59" s="11">
        <f t="shared" si="3"/>
        <v>3.6277127175929631E-2</v>
      </c>
      <c r="K59" s="12">
        <f t="shared" si="14"/>
        <v>948.89127379620822</v>
      </c>
      <c r="L59" s="12">
        <f t="shared" si="15"/>
        <v>1628.0199845496293</v>
      </c>
      <c r="M59" s="16">
        <f t="shared" si="6"/>
        <v>61.144231191568068</v>
      </c>
      <c r="N59" s="273">
        <f t="shared" si="7"/>
        <v>3668.6538714940839</v>
      </c>
      <c r="O59" s="121">
        <f t="shared" si="8"/>
        <v>3568.6538714940839</v>
      </c>
      <c r="P59" s="121">
        <f t="shared" si="9"/>
        <v>3368.6538714940839</v>
      </c>
      <c r="Q59" s="303">
        <f t="shared" si="10"/>
        <v>3168.6538714940839</v>
      </c>
    </row>
    <row r="60" spans="2:17">
      <c r="B60" s="120">
        <v>50000</v>
      </c>
      <c r="C60" s="7" cm="1">
        <f t="array" ref="C60">Linterp(B60,atmos_h,atmos_aspeed)</f>
        <v>968.1005104214338</v>
      </c>
      <c r="D60" s="7" cm="1">
        <f t="array" ref="D60">Linterp(B60,atmos_h,atmos_qms)</f>
        <v>169.54888852146578</v>
      </c>
      <c r="E60" s="16">
        <f t="shared" si="11"/>
        <v>533.4080226599566</v>
      </c>
      <c r="F60" s="11">
        <v>0.93</v>
      </c>
      <c r="G60" s="7">
        <f t="shared" si="12"/>
        <v>900.33347469193347</v>
      </c>
      <c r="H60" s="120">
        <v>10000</v>
      </c>
      <c r="I60" s="11">
        <f t="shared" si="13"/>
        <v>0.40113470215148045</v>
      </c>
      <c r="J60" s="11">
        <f t="shared" si="3"/>
        <v>3.8464048688970132E-2</v>
      </c>
      <c r="K60" s="12">
        <f t="shared" si="14"/>
        <v>958.88110608902048</v>
      </c>
      <c r="L60" s="12">
        <f t="shared" si="15"/>
        <v>1516.8056683002185</v>
      </c>
      <c r="M60" s="16">
        <f t="shared" si="6"/>
        <v>50.231815971158369</v>
      </c>
      <c r="N60" s="273">
        <f t="shared" si="7"/>
        <v>3013.9089582695024</v>
      </c>
      <c r="O60" s="121">
        <f t="shared" si="8"/>
        <v>2913.9089582695024</v>
      </c>
      <c r="P60" s="121">
        <f t="shared" si="9"/>
        <v>2713.9089582695024</v>
      </c>
      <c r="Q60" s="303">
        <f t="shared" si="10"/>
        <v>2513.9089582695024</v>
      </c>
    </row>
    <row r="61" spans="2:17">
      <c r="B61" s="120">
        <v>51000</v>
      </c>
      <c r="C61" s="7" cm="1">
        <f t="array" ref="C61">Linterp(B61,atmos_h,atmos_aspeed)</f>
        <v>968.1005104214338</v>
      </c>
      <c r="D61" s="7" cm="1">
        <f t="array" ref="D61">Linterp(B61,atmos_h,atmos_qms)</f>
        <v>161.59248044238913</v>
      </c>
      <c r="E61" s="16">
        <f t="shared" si="11"/>
        <v>533.4080226599566</v>
      </c>
      <c r="F61" s="11">
        <v>0.93</v>
      </c>
      <c r="G61" s="7">
        <f t="shared" si="12"/>
        <v>900.33347469193347</v>
      </c>
      <c r="H61" s="120">
        <v>10001</v>
      </c>
      <c r="I61" s="11">
        <f t="shared" si="13"/>
        <v>0.42092765644322461</v>
      </c>
      <c r="J61" s="11">
        <f t="shared" ref="J61:J70" si="16">InterpolateXY(I61,F61,CD_CL,CD_M,CD_table)</f>
        <v>4.1674465875091035E-2</v>
      </c>
      <c r="K61" s="12">
        <f t="shared" si="14"/>
        <v>990.16143709483788</v>
      </c>
      <c r="L61" s="12">
        <f t="shared" si="15"/>
        <v>1434.1881455116225</v>
      </c>
      <c r="M61" s="16">
        <f t="shared" si="6"/>
        <v>39.973213603130255</v>
      </c>
      <c r="N61" s="273">
        <f t="shared" si="7"/>
        <v>2398.3928161878152</v>
      </c>
      <c r="O61" s="121">
        <f t="shared" si="8"/>
        <v>2298.3928161878152</v>
      </c>
      <c r="P61" s="121">
        <f t="shared" si="9"/>
        <v>2098.3928161878152</v>
      </c>
      <c r="Q61" s="303">
        <f t="shared" si="10"/>
        <v>1898.3928161878152</v>
      </c>
    </row>
    <row r="62" spans="2:17">
      <c r="B62" s="120">
        <v>52000</v>
      </c>
      <c r="C62" s="7" cm="1">
        <f t="array" ref="C62">Linterp(B62,atmos_h,atmos_aspeed)</f>
        <v>968.1005104214338</v>
      </c>
      <c r="D62" s="7" cm="1">
        <f t="array" ref="D62">Linterp(B62,atmos_h,atmos_qms)</f>
        <v>154.00944213337016</v>
      </c>
      <c r="E62" s="16">
        <f t="shared" si="11"/>
        <v>533.4080226599566</v>
      </c>
      <c r="F62" s="11">
        <v>0.93</v>
      </c>
      <c r="G62" s="7">
        <f t="shared" si="12"/>
        <v>900.33347469193347</v>
      </c>
      <c r="H62" s="120">
        <v>10002</v>
      </c>
      <c r="I62" s="11">
        <f t="shared" si="13"/>
        <v>0.44169723845141223</v>
      </c>
      <c r="J62" s="11">
        <f t="shared" si="16"/>
        <v>4.5043292076819064E-2</v>
      </c>
      <c r="K62" s="12">
        <f t="shared" si="14"/>
        <v>1019.9814898817914</v>
      </c>
      <c r="L62" s="12">
        <f t="shared" si="15"/>
        <v>1351.5706227230262</v>
      </c>
      <c r="M62" s="16">
        <f t="shared" si="6"/>
        <v>29.848109992104984</v>
      </c>
      <c r="N62" s="273">
        <f t="shared" si="7"/>
        <v>1790.8865995262991</v>
      </c>
      <c r="O62" s="121">
        <f t="shared" si="8"/>
        <v>1690.8865995262991</v>
      </c>
      <c r="P62" s="121">
        <f t="shared" si="9"/>
        <v>1490.8865995262991</v>
      </c>
      <c r="Q62" s="303">
        <f t="shared" si="10"/>
        <v>1290.8865995262991</v>
      </c>
    </row>
    <row r="63" spans="2:17">
      <c r="B63" s="120">
        <v>53000</v>
      </c>
      <c r="C63" s="7" cm="1">
        <f t="array" ref="C63">Linterp(B63,atmos_h,atmos_aspeed)</f>
        <v>968.1005104214338</v>
      </c>
      <c r="D63" s="7" cm="1">
        <f t="array" ref="D63">Linterp(B63,atmos_h,atmos_qms)</f>
        <v>146.78225249898398</v>
      </c>
      <c r="E63" s="16">
        <f t="shared" si="11"/>
        <v>533.4080226599566</v>
      </c>
      <c r="F63" s="11">
        <v>0.93</v>
      </c>
      <c r="G63" s="7">
        <f t="shared" si="12"/>
        <v>900.33347469193347</v>
      </c>
      <c r="H63" s="120">
        <v>10003</v>
      </c>
      <c r="I63" s="11">
        <f t="shared" si="13"/>
        <v>0.46349163690966527</v>
      </c>
      <c r="J63" s="11">
        <f t="shared" si="16"/>
        <v>4.8578343506747709E-2</v>
      </c>
      <c r="K63" s="12">
        <f t="shared" si="14"/>
        <v>1048.4097908172294</v>
      </c>
      <c r="L63" s="12">
        <f t="shared" si="15"/>
        <v>1268.9530999344302</v>
      </c>
      <c r="M63" s="16">
        <f t="shared" si="6"/>
        <v>19.850297292566889</v>
      </c>
      <c r="N63" s="273">
        <f t="shared" si="7"/>
        <v>1191.0178375540133</v>
      </c>
      <c r="O63" s="121">
        <f t="shared" si="8"/>
        <v>1091.0178375540133</v>
      </c>
      <c r="P63" s="121">
        <f t="shared" si="9"/>
        <v>891.01783755401334</v>
      </c>
      <c r="Q63" s="303">
        <f t="shared" si="10"/>
        <v>691.01783755401334</v>
      </c>
    </row>
    <row r="64" spans="2:17">
      <c r="B64" s="120">
        <v>54000</v>
      </c>
      <c r="C64" s="7" cm="1">
        <f t="array" ref="C64">Linterp(B64,atmos_h,atmos_aspeed)</f>
        <v>968.1005104214338</v>
      </c>
      <c r="D64" s="7" cm="1">
        <f t="array" ref="D64">Linterp(B64,atmos_h,atmos_qms)</f>
        <v>139.8942126549473</v>
      </c>
      <c r="E64" s="16">
        <f t="shared" si="11"/>
        <v>533.4080226599566</v>
      </c>
      <c r="F64" s="11">
        <v>0.93</v>
      </c>
      <c r="G64" s="7">
        <f t="shared" si="12"/>
        <v>900.33347469193347</v>
      </c>
      <c r="H64" s="120">
        <v>10004</v>
      </c>
      <c r="I64" s="11">
        <f t="shared" si="13"/>
        <v>0.48636141826790169</v>
      </c>
      <c r="J64" s="11">
        <f t="shared" si="16"/>
        <v>5.2287822043053656E-2</v>
      </c>
      <c r="K64" s="12">
        <f t="shared" si="14"/>
        <v>1075.5116505367566</v>
      </c>
      <c r="L64" s="12">
        <f t="shared" si="15"/>
        <v>1186.3355771458337</v>
      </c>
      <c r="M64" s="16">
        <f t="shared" si="6"/>
        <v>9.9738595484760246</v>
      </c>
      <c r="N64" s="273">
        <f t="shared" si="7"/>
        <v>598.43157290856152</v>
      </c>
      <c r="O64" s="121">
        <f t="shared" si="8"/>
        <v>498.43157290856152</v>
      </c>
      <c r="P64" s="121">
        <f t="shared" si="9"/>
        <v>298.43157290856152</v>
      </c>
      <c r="Q64" s="303">
        <f t="shared" si="10"/>
        <v>98.43157290856152</v>
      </c>
    </row>
    <row r="65" spans="2:17">
      <c r="B65" s="120">
        <v>55000</v>
      </c>
      <c r="C65" s="7" cm="1">
        <f t="array" ref="C65">Linterp(B65,atmos_h,atmos_aspeed)</f>
        <v>968.1005104214338</v>
      </c>
      <c r="D65" s="7" cm="1">
        <f t="array" ref="D65">Linterp(B65,atmos_h,atmos_qms)</f>
        <v>133.32940734427746</v>
      </c>
      <c r="E65" s="16">
        <f t="shared" si="11"/>
        <v>533.4080226599566</v>
      </c>
      <c r="F65" s="11">
        <v>0.93</v>
      </c>
      <c r="G65" s="7">
        <f t="shared" si="12"/>
        <v>900.33347469193347</v>
      </c>
      <c r="H65" s="120">
        <v>10005</v>
      </c>
      <c r="I65" s="11">
        <f t="shared" si="13"/>
        <v>0.51035964401248712</v>
      </c>
      <c r="J65" s="11">
        <f t="shared" si="16"/>
        <v>5.6917940912514495E-2</v>
      </c>
      <c r="K65" s="12">
        <f t="shared" si="14"/>
        <v>1115.8092249468189</v>
      </c>
      <c r="L65" s="12">
        <f t="shared" si="15"/>
        <v>1103.7180543572376</v>
      </c>
      <c r="M65" s="16">
        <f t="shared" si="6"/>
        <v>-1.08806453073569</v>
      </c>
      <c r="N65" s="273">
        <f t="shared" si="7"/>
        <v>-65.283871844141402</v>
      </c>
      <c r="O65" s="121">
        <f t="shared" si="8"/>
        <v>-165.2838718441414</v>
      </c>
      <c r="P65" s="121">
        <f t="shared" si="9"/>
        <v>-365.2838718441414</v>
      </c>
      <c r="Q65" s="303">
        <f t="shared" si="10"/>
        <v>-565.28387184414146</v>
      </c>
    </row>
    <row r="66" spans="2:17">
      <c r="B66" s="120">
        <v>56000</v>
      </c>
      <c r="C66" s="7" cm="1">
        <f t="array" ref="C66">Linterp(B66,atmos_h,atmos_aspeed)</f>
        <v>968.1005104214338</v>
      </c>
      <c r="D66" s="7" cm="1">
        <f t="array" ref="D66">Linterp(B66,atmos_h,atmos_qms)</f>
        <v>127.07266816407217</v>
      </c>
      <c r="E66" s="16">
        <f t="shared" si="11"/>
        <v>533.4080226599566</v>
      </c>
      <c r="F66" s="11">
        <v>0.93</v>
      </c>
      <c r="G66" s="7">
        <f t="shared" si="12"/>
        <v>900.33347469193347</v>
      </c>
      <c r="H66" s="120">
        <v>10006</v>
      </c>
      <c r="I66" s="11">
        <f t="shared" si="13"/>
        <v>0.53554199377511691</v>
      </c>
      <c r="J66" s="11">
        <f t="shared" si="16"/>
        <v>6.2795501347112287E-2</v>
      </c>
      <c r="K66" s="12">
        <f t="shared" si="14"/>
        <v>1173.2633365499487</v>
      </c>
      <c r="L66" s="12">
        <f t="shared" si="15"/>
        <v>1042.5547044308896</v>
      </c>
      <c r="M66" s="16">
        <f t="shared" si="6"/>
        <v>-11.761079045370989</v>
      </c>
      <c r="N66" s="273">
        <f t="shared" si="7"/>
        <v>-705.66474272225935</v>
      </c>
      <c r="O66" s="121">
        <f t="shared" si="8"/>
        <v>-805.66474272225935</v>
      </c>
      <c r="P66" s="121">
        <f t="shared" si="9"/>
        <v>-1005.6647427222593</v>
      </c>
      <c r="Q66" s="303">
        <f t="shared" si="10"/>
        <v>-1205.6647427222592</v>
      </c>
    </row>
    <row r="67" spans="2:17">
      <c r="B67" s="120">
        <v>57000</v>
      </c>
      <c r="C67" s="7" cm="1">
        <f t="array" ref="C67">Linterp(B67,atmos_h,atmos_aspeed)</f>
        <v>968.1005104214338</v>
      </c>
      <c r="D67" s="7" cm="1">
        <f t="array" ref="D67">Linterp(B67,atmos_h,atmos_qms)</f>
        <v>121.10953851794386</v>
      </c>
      <c r="E67" s="16">
        <f t="shared" si="11"/>
        <v>533.4080226599566</v>
      </c>
      <c r="F67" s="11">
        <v>0.93</v>
      </c>
      <c r="G67" s="7">
        <f t="shared" si="12"/>
        <v>900.33347469193347</v>
      </c>
      <c r="H67" s="120">
        <v>10007</v>
      </c>
      <c r="I67" s="11">
        <f t="shared" si="13"/>
        <v>0.5619668945160492</v>
      </c>
      <c r="J67" s="11">
        <f t="shared" si="16"/>
        <v>6.8963073180045881E-2</v>
      </c>
      <c r="K67" s="12">
        <f t="shared" si="14"/>
        <v>1228.0322560762697</v>
      </c>
      <c r="L67" s="12">
        <f t="shared" si="15"/>
        <v>981.39135450454171</v>
      </c>
      <c r="M67" s="16">
        <f t="shared" si="6"/>
        <v>-22.190372730411216</v>
      </c>
      <c r="N67" s="273">
        <f t="shared" si="7"/>
        <v>-1331.4223638246729</v>
      </c>
      <c r="O67" s="121">
        <f t="shared" si="8"/>
        <v>-1431.4223638246729</v>
      </c>
      <c r="P67" s="121">
        <f t="shared" si="9"/>
        <v>-1631.4223638246729</v>
      </c>
      <c r="Q67" s="303">
        <f t="shared" si="10"/>
        <v>-1831.4223638246729</v>
      </c>
    </row>
    <row r="68" spans="2:17">
      <c r="B68" s="120">
        <v>58000</v>
      </c>
      <c r="C68" s="7" cm="1">
        <f t="array" ref="C68">Linterp(B68,atmos_h,atmos_aspeed)</f>
        <v>968.1005104214338</v>
      </c>
      <c r="D68" s="7" cm="1">
        <f t="array" ref="D68">Linterp(B68,atmos_h,atmos_qms)</f>
        <v>115.42624021312828</v>
      </c>
      <c r="E68" s="16">
        <f t="shared" si="11"/>
        <v>533.4080226599566</v>
      </c>
      <c r="F68" s="11">
        <v>0.93</v>
      </c>
      <c r="G68" s="7">
        <f t="shared" si="12"/>
        <v>900.33347469193347</v>
      </c>
      <c r="H68" s="120">
        <v>10008</v>
      </c>
      <c r="I68" s="11">
        <f t="shared" si="13"/>
        <v>0.58969565608140451</v>
      </c>
      <c r="J68" s="11">
        <f t="shared" si="16"/>
        <v>7.5434966129399816E-2</v>
      </c>
      <c r="K68" s="12">
        <f t="shared" si="14"/>
        <v>1280.2419913346216</v>
      </c>
      <c r="L68" s="12">
        <f t="shared" si="15"/>
        <v>920.22800457819358</v>
      </c>
      <c r="M68" s="16">
        <f t="shared" si="6"/>
        <v>-32.387354479827195</v>
      </c>
      <c r="N68" s="273">
        <f t="shared" si="7"/>
        <v>-1943.2412687896317</v>
      </c>
      <c r="O68" s="121">
        <f t="shared" si="8"/>
        <v>-2043.2412687896317</v>
      </c>
      <c r="P68" s="121">
        <f t="shared" si="9"/>
        <v>-2243.2412687896317</v>
      </c>
      <c r="Q68" s="303">
        <f t="shared" si="10"/>
        <v>-2443.2412687896317</v>
      </c>
    </row>
    <row r="69" spans="2:17">
      <c r="B69" s="120">
        <v>59000</v>
      </c>
      <c r="C69" s="7" cm="1">
        <f t="array" ref="C69">Linterp(B69,atmos_h,atmos_aspeed)</f>
        <v>968.1005104214338</v>
      </c>
      <c r="D69" s="7" cm="1">
        <f t="array" ref="D69">Linterp(B69,atmos_h,atmos_qms)</f>
        <v>110.00964162508797</v>
      </c>
      <c r="E69" s="16">
        <f t="shared" si="11"/>
        <v>533.4080226599566</v>
      </c>
      <c r="F69" s="11">
        <v>0.93</v>
      </c>
      <c r="G69" s="7">
        <f t="shared" si="12"/>
        <v>900.33347469193347</v>
      </c>
      <c r="H69" s="120">
        <v>10009</v>
      </c>
      <c r="I69" s="11">
        <f t="shared" si="13"/>
        <v>0.61879261344903735</v>
      </c>
      <c r="J69" s="11">
        <f t="shared" si="16"/>
        <v>8.3488119972108185E-2</v>
      </c>
      <c r="K69" s="12">
        <f t="shared" si="14"/>
        <v>1350.4243176775606</v>
      </c>
      <c r="L69" s="12">
        <f t="shared" si="15"/>
        <v>859.06465465184544</v>
      </c>
      <c r="M69" s="16">
        <f t="shared" si="6"/>
        <v>-44.198976194964494</v>
      </c>
      <c r="N69" s="273">
        <f t="shared" si="7"/>
        <v>-2651.9385716978695</v>
      </c>
      <c r="O69" s="121">
        <f t="shared" si="8"/>
        <v>-2751.9385716978695</v>
      </c>
      <c r="P69" s="121">
        <f t="shared" si="9"/>
        <v>-2951.9385716978695</v>
      </c>
      <c r="Q69" s="303">
        <f t="shared" si="10"/>
        <v>-3151.9385716978695</v>
      </c>
    </row>
    <row r="70" spans="2:17" ht="15" thickBot="1">
      <c r="B70" s="120">
        <v>60000</v>
      </c>
      <c r="C70" s="7" cm="1">
        <f t="array" ref="C70">Linterp(B70,atmos_h,atmos_aspeed)</f>
        <v>968.1005104214338</v>
      </c>
      <c r="D70" s="7" cm="1">
        <f t="array" ref="D70">Linterp(B70,atmos_h,atmos_qms)</f>
        <v>104.84722735605332</v>
      </c>
      <c r="E70" s="16">
        <f t="shared" si="11"/>
        <v>533.4080226599566</v>
      </c>
      <c r="F70" s="11">
        <v>0.93</v>
      </c>
      <c r="G70" s="7">
        <f t="shared" si="12"/>
        <v>900.33347469193347</v>
      </c>
      <c r="H70" s="120">
        <v>10010</v>
      </c>
      <c r="I70" s="11">
        <f t="shared" si="13"/>
        <v>0.64932527599299772</v>
      </c>
      <c r="J70" s="11">
        <f t="shared" si="16"/>
        <v>9.2664711699695465E-2</v>
      </c>
      <c r="K70" s="12">
        <f t="shared" si="14"/>
        <v>1428.5194160899327</v>
      </c>
      <c r="L70" s="12">
        <f t="shared" si="15"/>
        <v>797.90130472549743</v>
      </c>
      <c r="M70" s="16">
        <f t="shared" si="6"/>
        <v>-56.719939601239432</v>
      </c>
      <c r="N70" s="274">
        <f t="shared" si="7"/>
        <v>-3403.1963760743661</v>
      </c>
      <c r="O70" s="304">
        <f t="shared" si="8"/>
        <v>-3503.1963760743661</v>
      </c>
      <c r="P70" s="304">
        <f t="shared" si="9"/>
        <v>-3703.1963760743661</v>
      </c>
      <c r="Q70" s="305">
        <f t="shared" si="10"/>
        <v>-3903.1963760743661</v>
      </c>
    </row>
    <row r="71" spans="2:17">
      <c r="B71" s="55"/>
      <c r="C71" s="55"/>
      <c r="D71" s="55"/>
      <c r="E71" s="55"/>
    </row>
    <row r="72" spans="2:17" ht="15" thickBot="1">
      <c r="C72" s="3"/>
      <c r="D72" s="15"/>
      <c r="E72" s="132"/>
      <c r="F72" s="1"/>
      <c r="G72" s="2"/>
      <c r="J72" s="178" t="s">
        <v>209</v>
      </c>
      <c r="M72" s="4"/>
    </row>
    <row r="73" spans="2:17" ht="15" thickBot="1">
      <c r="D73" s="14"/>
      <c r="F73" s="4"/>
      <c r="G73" s="131"/>
      <c r="I73" s="55" t="s">
        <v>358</v>
      </c>
      <c r="J73" s="178" t="s">
        <v>210</v>
      </c>
      <c r="K73" s="182" cm="1">
        <f t="array" ref="K73">x_at_y0(B10:B70,N10:N70)</f>
        <v>54900.057484569326</v>
      </c>
      <c r="L73" t="s">
        <v>2</v>
      </c>
      <c r="M73" s="4"/>
    </row>
    <row r="74" spans="2:17">
      <c r="C74" s="3"/>
      <c r="D74" s="14"/>
      <c r="E74" s="132"/>
      <c r="F74" s="1"/>
      <c r="G74" s="2"/>
      <c r="H74" s="14"/>
      <c r="M74" s="4"/>
    </row>
    <row r="75" spans="2:17">
      <c r="C75" s="3"/>
      <c r="D75" s="14"/>
      <c r="E75" s="132"/>
      <c r="F75" s="1"/>
      <c r="G75" s="2"/>
      <c r="H75" s="14"/>
      <c r="M75" s="4"/>
      <c r="N75" s="1"/>
    </row>
    <row r="76" spans="2:17">
      <c r="C76" s="3"/>
      <c r="D76" s="14"/>
      <c r="E76" s="132"/>
      <c r="F76" s="1"/>
      <c r="G76" s="2"/>
      <c r="H76" s="14"/>
      <c r="M76" s="4"/>
      <c r="N76" s="1"/>
    </row>
    <row r="77" spans="2:17">
      <c r="C77" s="3"/>
      <c r="D77" s="14"/>
      <c r="E77" s="132"/>
      <c r="F77" s="1"/>
      <c r="G77" s="2"/>
      <c r="H77" s="14"/>
      <c r="M77" s="4"/>
      <c r="N77" s="1"/>
    </row>
    <row r="78" spans="2:17">
      <c r="C78" s="3"/>
      <c r="D78" s="14"/>
      <c r="E78" s="132"/>
      <c r="F78" s="1"/>
      <c r="G78" s="2"/>
      <c r="H78" s="14"/>
      <c r="M78" s="4"/>
      <c r="N78" s="2"/>
    </row>
    <row r="79" spans="2:17">
      <c r="C79" s="3"/>
      <c r="D79" s="14"/>
      <c r="E79" s="132"/>
      <c r="F79" s="1"/>
      <c r="G79" s="2"/>
      <c r="H79" s="14"/>
      <c r="N79" s="1"/>
    </row>
    <row r="80" spans="2:17" ht="15" thickBot="1">
      <c r="C80" s="3"/>
      <c r="D80" s="14"/>
      <c r="E80" s="132"/>
      <c r="F80" s="1"/>
      <c r="G80" s="2"/>
      <c r="H80" s="14"/>
      <c r="J80" s="151" t="s">
        <v>211</v>
      </c>
      <c r="M80" s="4"/>
    </row>
    <row r="81" spans="3:14" ht="15" thickBot="1">
      <c r="C81" s="3"/>
      <c r="D81" s="14"/>
      <c r="E81" s="132"/>
      <c r="F81" s="1"/>
      <c r="G81" s="2"/>
      <c r="H81" s="14"/>
      <c r="I81" s="55" t="s">
        <v>358</v>
      </c>
      <c r="J81" s="151" t="s">
        <v>212</v>
      </c>
      <c r="K81" s="182" cm="1">
        <f t="array" ref="K81">x_at_y0(B10:B70,O10:O70)</f>
        <v>54747.655258423125</v>
      </c>
      <c r="L81" t="s">
        <v>2</v>
      </c>
      <c r="M81" s="4"/>
    </row>
    <row r="82" spans="3:14">
      <c r="C82" s="3"/>
      <c r="D82" s="14"/>
      <c r="E82" s="132"/>
      <c r="F82" s="1"/>
      <c r="G82" s="2"/>
      <c r="H82" s="14"/>
      <c r="M82" s="4"/>
    </row>
    <row r="83" spans="3:14">
      <c r="C83" s="3"/>
      <c r="D83" s="14"/>
      <c r="E83" s="132"/>
      <c r="F83" s="1"/>
      <c r="G83" s="2"/>
      <c r="H83" s="14"/>
      <c r="M83" s="4"/>
      <c r="N83" s="1"/>
    </row>
    <row r="84" spans="3:14">
      <c r="C84" s="3"/>
      <c r="D84" s="14"/>
      <c r="E84" s="132"/>
      <c r="F84" s="1"/>
      <c r="G84" s="2"/>
      <c r="H84" s="14"/>
      <c r="M84" s="4"/>
      <c r="N84" s="1"/>
    </row>
    <row r="85" spans="3:14">
      <c r="C85" s="3"/>
      <c r="D85" s="14"/>
      <c r="E85" s="132"/>
      <c r="F85" s="1"/>
      <c r="G85" s="2"/>
      <c r="H85" s="14"/>
      <c r="M85" s="4"/>
      <c r="N85" s="1"/>
    </row>
    <row r="86" spans="3:14">
      <c r="C86" s="3"/>
      <c r="D86" s="3"/>
      <c r="E86" s="132"/>
      <c r="F86" s="1"/>
      <c r="G86" s="2"/>
      <c r="M86" s="4"/>
      <c r="N86" s="2"/>
    </row>
    <row r="87" spans="3:14">
      <c r="C87" s="3"/>
      <c r="D87" s="3"/>
      <c r="E87" s="132"/>
      <c r="F87" s="1"/>
      <c r="G87" s="2"/>
      <c r="N87" s="1"/>
    </row>
    <row r="88" spans="3:14" ht="15" thickBot="1">
      <c r="C88" s="3"/>
      <c r="D88" s="3"/>
      <c r="E88" s="132"/>
      <c r="F88" s="1"/>
      <c r="G88" s="2"/>
      <c r="J88" s="180" t="s">
        <v>213</v>
      </c>
      <c r="M88" s="4"/>
    </row>
    <row r="89" spans="3:14" ht="15" thickBot="1">
      <c r="C89" s="3"/>
      <c r="D89" s="3"/>
      <c r="E89" s="132"/>
      <c r="F89" s="1"/>
      <c r="G89" s="2"/>
      <c r="I89" s="55" t="s">
        <v>358</v>
      </c>
      <c r="J89" s="180" t="s">
        <v>214</v>
      </c>
      <c r="K89" s="182" cm="1">
        <f t="array" ref="K89">x_at_y0(B10:B70,P10:P70)</f>
        <v>54462.960340151098</v>
      </c>
      <c r="L89" t="s">
        <v>2</v>
      </c>
      <c r="M89" s="4"/>
    </row>
    <row r="90" spans="3:14">
      <c r="C90" s="3"/>
      <c r="D90" s="3"/>
      <c r="E90" s="132"/>
      <c r="F90" s="1"/>
      <c r="G90" s="2"/>
      <c r="M90" s="4"/>
    </row>
    <row r="91" spans="3:14">
      <c r="C91" s="3"/>
      <c r="D91" s="3"/>
      <c r="E91" s="132"/>
      <c r="F91" s="1"/>
      <c r="G91" s="2"/>
      <c r="M91" s="4"/>
      <c r="N91" s="1"/>
    </row>
    <row r="92" spans="3:14">
      <c r="C92" s="3"/>
      <c r="D92" s="3"/>
      <c r="E92" s="132"/>
      <c r="F92" s="1"/>
      <c r="G92" s="2"/>
      <c r="M92" s="4"/>
      <c r="N92" s="1"/>
    </row>
    <row r="93" spans="3:14">
      <c r="C93" s="3"/>
      <c r="D93" s="3"/>
      <c r="E93" s="132"/>
      <c r="F93" s="1"/>
      <c r="G93" s="2"/>
      <c r="M93" s="4"/>
      <c r="N93" s="1"/>
    </row>
    <row r="94" spans="3:14">
      <c r="C94" s="3"/>
      <c r="D94" s="3"/>
      <c r="E94" s="132"/>
      <c r="F94" s="1"/>
      <c r="G94" s="2"/>
      <c r="M94" s="4"/>
      <c r="N94" s="2"/>
    </row>
    <row r="95" spans="3:14">
      <c r="C95" s="3"/>
      <c r="D95" s="3"/>
      <c r="E95" s="132"/>
      <c r="F95" s="1"/>
      <c r="G95" s="2"/>
    </row>
    <row r="96" spans="3:14" ht="15" thickBot="1">
      <c r="C96" s="3"/>
      <c r="D96" s="3"/>
      <c r="E96" s="132"/>
      <c r="F96" s="1"/>
      <c r="G96" s="2"/>
      <c r="J96" s="181" t="s">
        <v>215</v>
      </c>
      <c r="M96" s="4"/>
    </row>
    <row r="97" spans="3:14" ht="15" thickBot="1">
      <c r="C97" s="3"/>
      <c r="D97" s="3"/>
      <c r="E97" s="132"/>
      <c r="F97" s="1"/>
      <c r="G97" s="2"/>
      <c r="I97" s="55" t="s">
        <v>358</v>
      </c>
      <c r="J97" s="181" t="s">
        <v>216</v>
      </c>
      <c r="K97" s="182" cm="1">
        <f t="array" ref="K97">x_at_y0(B10:B70,Q10:Q70)</f>
        <v>54155.334410581563</v>
      </c>
      <c r="L97" t="s">
        <v>2</v>
      </c>
      <c r="M97" s="4"/>
    </row>
    <row r="98" spans="3:14">
      <c r="C98" s="3"/>
      <c r="D98" s="3"/>
      <c r="E98" s="132"/>
      <c r="F98" s="1"/>
      <c r="G98" s="2"/>
      <c r="M98" s="4"/>
    </row>
    <row r="99" spans="3:14">
      <c r="C99" s="3"/>
      <c r="D99" s="3"/>
      <c r="E99" s="132"/>
      <c r="F99" s="1"/>
      <c r="G99" s="2"/>
      <c r="M99" s="4"/>
      <c r="N99" s="1"/>
    </row>
    <row r="100" spans="3:14">
      <c r="C100" s="3"/>
      <c r="D100" s="3"/>
      <c r="E100" s="132"/>
      <c r="F100" s="1"/>
      <c r="G100" s="2"/>
      <c r="M100" s="4"/>
      <c r="N100" s="1"/>
    </row>
    <row r="101" spans="3:14">
      <c r="C101" s="3"/>
      <c r="D101" s="3"/>
      <c r="E101" s="132"/>
      <c r="F101" s="1"/>
      <c r="G101" s="2"/>
      <c r="M101" s="4"/>
      <c r="N101" s="1"/>
    </row>
    <row r="102" spans="3:14">
      <c r="C102" s="3"/>
      <c r="D102" s="3"/>
      <c r="E102" s="132"/>
      <c r="F102" s="1"/>
      <c r="G102" s="2"/>
      <c r="M102" s="4"/>
      <c r="N102" s="2"/>
    </row>
    <row r="103" spans="3:14">
      <c r="C103" s="3"/>
      <c r="D103" s="3"/>
      <c r="E103" s="132"/>
      <c r="F103" s="1"/>
      <c r="G103" s="2"/>
    </row>
  </sheetData>
  <mergeCells count="2">
    <mergeCell ref="B2:C2"/>
    <mergeCell ref="B3:C3"/>
  </mergeCells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F7A39-B8D1-40C8-B536-C1E48F7673F5}">
  <sheetPr codeName="Sheet13">
    <tabColor theme="5" tint="-0.249977111117893"/>
  </sheetPr>
  <dimension ref="B1:S49"/>
  <sheetViews>
    <sheetView topLeftCell="C1" workbookViewId="0">
      <selection activeCell="T11" sqref="T11"/>
    </sheetView>
  </sheetViews>
  <sheetFormatPr defaultRowHeight="14.5"/>
  <cols>
    <col min="1" max="1" width="2.7265625" customWidth="1"/>
    <col min="2" max="19" width="10.7265625" customWidth="1"/>
  </cols>
  <sheetData>
    <row r="1" spans="2:19" ht="15" thickBot="1"/>
    <row r="2" spans="2:19">
      <c r="B2" s="631" t="s">
        <v>330</v>
      </c>
      <c r="C2" s="632"/>
      <c r="D2" s="633"/>
      <c r="F2" t="s">
        <v>6</v>
      </c>
      <c r="G2" s="8">
        <v>10000</v>
      </c>
      <c r="H2" t="s">
        <v>5</v>
      </c>
      <c r="I2" s="123" t="s">
        <v>108</v>
      </c>
      <c r="J2" s="124">
        <f>M48</f>
        <v>29.889611593396399</v>
      </c>
      <c r="K2" s="125" t="s">
        <v>223</v>
      </c>
      <c r="M2" t="s">
        <v>17</v>
      </c>
      <c r="N2" s="3">
        <f>Linterp(G3,atmos_h,atmos_aspeed)</f>
        <v>1077.3871084702648</v>
      </c>
      <c r="O2" t="s">
        <v>20</v>
      </c>
    </row>
    <row r="3" spans="2:19" ht="15" thickBot="1">
      <c r="B3" s="634" t="s">
        <v>228</v>
      </c>
      <c r="C3" s="635"/>
      <c r="D3" s="636"/>
      <c r="F3" t="s">
        <v>1</v>
      </c>
      <c r="G3" s="8">
        <v>10000</v>
      </c>
      <c r="H3" s="10" t="s">
        <v>2</v>
      </c>
      <c r="I3" s="126" t="s">
        <v>111</v>
      </c>
      <c r="J3" s="122">
        <f>P48</f>
        <v>119.55420201365075</v>
      </c>
      <c r="K3" s="127" t="s">
        <v>5</v>
      </c>
      <c r="M3" t="s">
        <v>0</v>
      </c>
      <c r="N3" s="1">
        <f>Linterp(G3,atmos_h,atmos_qms)</f>
        <v>1018.7315510840876</v>
      </c>
      <c r="O3" t="s">
        <v>224</v>
      </c>
    </row>
    <row r="4" spans="2:19" ht="15" thickBot="1">
      <c r="B4" s="55"/>
      <c r="G4" s="8"/>
      <c r="H4" s="8"/>
      <c r="I4" s="128" t="s">
        <v>182</v>
      </c>
      <c r="J4" s="129">
        <f>S48</f>
        <v>3.1705920967933454</v>
      </c>
      <c r="K4" s="130" t="s">
        <v>183</v>
      </c>
    </row>
    <row r="5" spans="2:19" ht="15" thickBot="1">
      <c r="B5" s="55"/>
      <c r="D5" s="8"/>
      <c r="E5" s="8"/>
      <c r="G5" s="9"/>
    </row>
    <row r="6" spans="2:19">
      <c r="B6" s="6" t="s">
        <v>1</v>
      </c>
      <c r="C6" s="6" t="s">
        <v>72</v>
      </c>
      <c r="D6" s="6" t="s">
        <v>185</v>
      </c>
      <c r="E6" s="6" t="s">
        <v>6</v>
      </c>
      <c r="F6" s="6" t="s">
        <v>74</v>
      </c>
      <c r="G6" s="6" t="s">
        <v>75</v>
      </c>
      <c r="H6" s="6" t="s">
        <v>186</v>
      </c>
      <c r="I6" s="6" t="s">
        <v>202</v>
      </c>
      <c r="J6" s="6" t="s">
        <v>188</v>
      </c>
      <c r="K6" s="312" t="s">
        <v>225</v>
      </c>
      <c r="L6" s="310" t="s">
        <v>192</v>
      </c>
      <c r="M6" s="183" t="s">
        <v>108</v>
      </c>
      <c r="N6" s="6" t="s">
        <v>193</v>
      </c>
      <c r="O6" s="308" t="s">
        <v>110</v>
      </c>
      <c r="P6" s="185" t="s">
        <v>111</v>
      </c>
      <c r="Q6" s="308" t="s">
        <v>195</v>
      </c>
      <c r="R6" s="6" t="s">
        <v>182</v>
      </c>
      <c r="S6" s="187" t="s">
        <v>182</v>
      </c>
    </row>
    <row r="7" spans="2:19" ht="16.5">
      <c r="B7" s="6" t="s">
        <v>30</v>
      </c>
      <c r="C7" s="5"/>
      <c r="D7" s="6" t="s">
        <v>69</v>
      </c>
      <c r="E7" s="6" t="s">
        <v>78</v>
      </c>
      <c r="F7" s="5"/>
      <c r="G7" s="5"/>
      <c r="H7" s="6" t="s">
        <v>78</v>
      </c>
      <c r="I7" s="6" t="s">
        <v>78</v>
      </c>
      <c r="J7" s="6" t="s">
        <v>69</v>
      </c>
      <c r="K7" s="317" t="s">
        <v>417</v>
      </c>
      <c r="L7" s="318" t="s">
        <v>112</v>
      </c>
      <c r="M7" s="183" t="s">
        <v>112</v>
      </c>
      <c r="N7" s="6" t="s">
        <v>227</v>
      </c>
      <c r="O7" s="330" t="s">
        <v>78</v>
      </c>
      <c r="P7" s="185" t="s">
        <v>78</v>
      </c>
      <c r="Q7" s="330" t="s">
        <v>30</v>
      </c>
      <c r="R7" s="6" t="s">
        <v>30</v>
      </c>
      <c r="S7" s="187" t="s">
        <v>203</v>
      </c>
    </row>
    <row r="8" spans="2:19">
      <c r="B8" s="120">
        <f>G3</f>
        <v>10000</v>
      </c>
      <c r="C8" s="11">
        <v>0.4</v>
      </c>
      <c r="D8" s="7">
        <f t="shared" ref="D8:D48" si="0">C8*N$2</f>
        <v>430.95484338810593</v>
      </c>
      <c r="E8" s="121">
        <f>G2</f>
        <v>10000</v>
      </c>
      <c r="F8" s="11">
        <f t="shared" ref="F8:F48" si="1">E8/(N$3*C8*C8*_xlfn.SINGLE(S))</f>
        <v>0.36088708397447411</v>
      </c>
      <c r="G8" s="11">
        <f t="shared" ref="G8:G48" si="2">InterpolateXY(F8,C8,CD_CL,CD_M,CD_table)</f>
        <v>3.2255744153381706E-2</v>
      </c>
      <c r="H8" s="12">
        <f t="shared" ref="H8:H48" si="3">G8*N$3*C8*C8*_xlfn.SINGLE(S)</f>
        <v>893.79048421869231</v>
      </c>
      <c r="I8" s="12">
        <f t="shared" ref="I8:I48" si="4">_xlfn.SINGLE(InterpolateXY(B8,C8,Tmax_h,Tmax_M,Tmax_table))*_xlfn.SINGLE(numeng)</f>
        <v>5125.0171500289816</v>
      </c>
      <c r="J8" s="16">
        <f t="shared" ref="J8:J48" si="5">(I8-H8)*D8/E8</f>
        <v>182.34676251038505</v>
      </c>
      <c r="K8" s="323">
        <f>J8*32.174/D8</f>
        <v>13.613548674578022</v>
      </c>
      <c r="L8" s="324">
        <v>0</v>
      </c>
      <c r="M8" s="7">
        <v>0</v>
      </c>
      <c r="N8" s="7">
        <f t="shared" ref="N8:N48" si="6">_xlfn.SINGLE(InterpolateXY(B8,C8,FFmax_h,FFmax_M,FFmax_table))*_xlfn.SINGLE(numeng)/3600</f>
        <v>3.6268470336274747</v>
      </c>
      <c r="O8" s="176">
        <f>0</f>
        <v>0</v>
      </c>
      <c r="P8" s="16">
        <v>0</v>
      </c>
      <c r="Q8" s="172">
        <f>AVERAGE(P8:P9)*L8</f>
        <v>0</v>
      </c>
      <c r="R8" s="16">
        <v>0</v>
      </c>
      <c r="S8" s="7">
        <f>R8/6076.4</f>
        <v>0</v>
      </c>
    </row>
    <row r="9" spans="2:19">
      <c r="B9" s="120">
        <f>B8</f>
        <v>10000</v>
      </c>
      <c r="C9" s="11">
        <v>0.41</v>
      </c>
      <c r="D9" s="7">
        <f t="shared" si="0"/>
        <v>441.72871447280858</v>
      </c>
      <c r="E9" s="121">
        <f t="shared" ref="E9:E49" si="7">E8-O8</f>
        <v>10000</v>
      </c>
      <c r="F9" s="11">
        <f t="shared" si="1"/>
        <v>0.34349752192692362</v>
      </c>
      <c r="G9" s="11">
        <f t="shared" si="2"/>
        <v>3.0164173656562543E-2</v>
      </c>
      <c r="H9" s="12">
        <f t="shared" si="3"/>
        <v>878.14821741216883</v>
      </c>
      <c r="I9" s="12">
        <f t="shared" si="4"/>
        <v>5151.6022534008898</v>
      </c>
      <c r="J9" s="16">
        <f t="shared" si="5"/>
        <v>188.77073576759332</v>
      </c>
      <c r="K9" s="323">
        <f>J9*32.174/D9</f>
        <v>13.749411015390111</v>
      </c>
      <c r="L9" s="324">
        <f>(D9-D8)/AVERAGE(K8:K9)</f>
        <v>0.78747848966444867</v>
      </c>
      <c r="M9" s="7">
        <f>M8+L9</f>
        <v>0.78747848966444867</v>
      </c>
      <c r="N9" s="7">
        <f t="shared" si="6"/>
        <v>3.645660649363871</v>
      </c>
      <c r="O9" s="176">
        <f>AVERAGE(N8:N9)*L9</f>
        <v>2.8634716831375622</v>
      </c>
      <c r="P9" s="16">
        <f>P8+O9</f>
        <v>2.8634716831375622</v>
      </c>
      <c r="Q9" s="172">
        <f>AVERAGE(D8:D9)*L9</f>
        <v>343.60976504965527</v>
      </c>
      <c r="R9" s="16">
        <f>R8+Q9</f>
        <v>343.60976504965527</v>
      </c>
      <c r="S9" s="7">
        <f t="shared" ref="S9:S48" si="8">R9/6076.4</f>
        <v>5.6548246502806807E-2</v>
      </c>
    </row>
    <row r="10" spans="2:19">
      <c r="B10" s="120">
        <f t="shared" ref="B10:B48" si="9">B9</f>
        <v>10000</v>
      </c>
      <c r="C10" s="11">
        <v>0.42</v>
      </c>
      <c r="D10" s="7">
        <f t="shared" si="0"/>
        <v>452.50258555751122</v>
      </c>
      <c r="E10" s="121">
        <f t="shared" si="7"/>
        <v>9997.1365283168616</v>
      </c>
      <c r="F10" s="11">
        <f t="shared" si="1"/>
        <v>0.32724149204525804</v>
      </c>
      <c r="G10" s="11">
        <f t="shared" si="2"/>
        <v>2.8823371228677216E-2</v>
      </c>
      <c r="H10" s="12">
        <f t="shared" si="3"/>
        <v>880.54597104573293</v>
      </c>
      <c r="I10" s="12">
        <f t="shared" si="4"/>
        <v>5178.187356772798</v>
      </c>
      <c r="J10" s="16">
        <f t="shared" si="5"/>
        <v>194.52508559147137</v>
      </c>
      <c r="K10" s="323">
        <f t="shared" ref="K10:K48" si="10">J10*32.174/D10</f>
        <v>13.831191917078119</v>
      </c>
      <c r="L10" s="324">
        <f t="shared" ref="L10:L48" si="11">(D10-D9)/AVERAGE(K9:K10)</f>
        <v>0.78126436257269138</v>
      </c>
      <c r="M10" s="7">
        <f t="shared" ref="M10:M48" si="12">M9+L10</f>
        <v>1.5687428522371401</v>
      </c>
      <c r="N10" s="7">
        <f t="shared" si="6"/>
        <v>3.6644742651002669</v>
      </c>
      <c r="O10" s="176">
        <f t="shared" ref="O10:O48" si="13">AVERAGE(N9:N10)*L10</f>
        <v>2.8555739471346002</v>
      </c>
      <c r="P10" s="16">
        <f t="shared" ref="P10:P48" si="14">P9+O10</f>
        <v>5.7190456302721628</v>
      </c>
      <c r="Q10" s="172">
        <f t="shared" ref="Q10:Q48" si="15">AVERAGE(D9:D10)*L10</f>
        <v>349.31552330536846</v>
      </c>
      <c r="R10" s="16">
        <f t="shared" ref="R10:R48" si="16">R9+Q10</f>
        <v>692.92528835502367</v>
      </c>
      <c r="S10" s="7">
        <f t="shared" si="8"/>
        <v>0.11403549607580536</v>
      </c>
    </row>
    <row r="11" spans="2:19">
      <c r="B11" s="120">
        <f t="shared" si="9"/>
        <v>10000</v>
      </c>
      <c r="C11" s="11">
        <v>0.43</v>
      </c>
      <c r="D11" s="7">
        <f t="shared" si="0"/>
        <v>463.27645664221387</v>
      </c>
      <c r="E11" s="121">
        <f t="shared" si="7"/>
        <v>9994.2809543697276</v>
      </c>
      <c r="F11" s="11">
        <f t="shared" si="1"/>
        <v>0.31210876452518038</v>
      </c>
      <c r="G11" s="11">
        <f t="shared" si="2"/>
        <v>2.7573837117670905E-2</v>
      </c>
      <c r="H11" s="12">
        <f t="shared" si="3"/>
        <v>882.96358983471623</v>
      </c>
      <c r="I11" s="12">
        <f t="shared" si="4"/>
        <v>5204.7724601447062</v>
      </c>
      <c r="J11" s="16">
        <f t="shared" si="5"/>
        <v>200.33380178758105</v>
      </c>
      <c r="K11" s="323">
        <f t="shared" si="10"/>
        <v>13.912944735914976</v>
      </c>
      <c r="L11" s="324">
        <f t="shared" si="11"/>
        <v>0.77665931504416374</v>
      </c>
      <c r="M11" s="7">
        <f t="shared" si="12"/>
        <v>2.3454021672813039</v>
      </c>
      <c r="N11" s="7">
        <f t="shared" si="6"/>
        <v>3.6832878808366631</v>
      </c>
      <c r="O11" s="176">
        <f t="shared" si="13"/>
        <v>2.853353957685405</v>
      </c>
      <c r="P11" s="16">
        <f t="shared" si="14"/>
        <v>8.5723995879575678</v>
      </c>
      <c r="Q11" s="172">
        <f t="shared" si="15"/>
        <v>355.62416182331941</v>
      </c>
      <c r="R11" s="16">
        <f t="shared" si="16"/>
        <v>1048.549450178343</v>
      </c>
      <c r="S11" s="7">
        <f t="shared" si="8"/>
        <v>0.17256096540358487</v>
      </c>
    </row>
    <row r="12" spans="2:19">
      <c r="B12" s="120">
        <f t="shared" si="9"/>
        <v>10000</v>
      </c>
      <c r="C12" s="11">
        <v>0.44</v>
      </c>
      <c r="D12" s="7">
        <f t="shared" si="0"/>
        <v>474.05032772691652</v>
      </c>
      <c r="E12" s="121">
        <f t="shared" si="7"/>
        <v>9991.427600412042</v>
      </c>
      <c r="F12" s="11">
        <f t="shared" si="1"/>
        <v>0.29799811334337017</v>
      </c>
      <c r="G12" s="11">
        <f t="shared" si="2"/>
        <v>2.6444882083960636E-2</v>
      </c>
      <c r="H12" s="12">
        <f t="shared" si="3"/>
        <v>886.65703879431828</v>
      </c>
      <c r="I12" s="12">
        <f t="shared" si="4"/>
        <v>5231.3575635166144</v>
      </c>
      <c r="J12" s="16">
        <f t="shared" si="5"/>
        <v>206.13737996109518</v>
      </c>
      <c r="K12" s="323">
        <f t="shared" si="10"/>
        <v>13.990632797724563</v>
      </c>
      <c r="L12" s="324">
        <f t="shared" si="11"/>
        <v>0.7722214882098225</v>
      </c>
      <c r="M12" s="7">
        <f t="shared" si="12"/>
        <v>3.1176236554911263</v>
      </c>
      <c r="N12" s="7">
        <f t="shared" si="6"/>
        <v>3.702101496573059</v>
      </c>
      <c r="O12" s="176">
        <f t="shared" si="13"/>
        <v>2.851578188016175</v>
      </c>
      <c r="P12" s="16">
        <f t="shared" si="14"/>
        <v>11.423977775973743</v>
      </c>
      <c r="Q12" s="172">
        <f t="shared" si="15"/>
        <v>361.91194218222859</v>
      </c>
      <c r="R12" s="16">
        <f t="shared" si="16"/>
        <v>1410.4613923605716</v>
      </c>
      <c r="S12" s="7">
        <f t="shared" si="8"/>
        <v>0.2321212218353913</v>
      </c>
    </row>
    <row r="13" spans="2:19">
      <c r="B13" s="120">
        <f t="shared" si="9"/>
        <v>10000</v>
      </c>
      <c r="C13" s="11">
        <v>0.45</v>
      </c>
      <c r="D13" s="7">
        <f t="shared" si="0"/>
        <v>484.82419881161917</v>
      </c>
      <c r="E13" s="121">
        <f t="shared" si="7"/>
        <v>9988.576022224026</v>
      </c>
      <c r="F13" s="11">
        <f t="shared" si="1"/>
        <v>0.28481960088634317</v>
      </c>
      <c r="G13" s="11">
        <f t="shared" si="2"/>
        <v>2.560122505539645E-2</v>
      </c>
      <c r="H13" s="12">
        <f t="shared" si="3"/>
        <v>897.83070382834558</v>
      </c>
      <c r="I13" s="12">
        <f t="shared" si="4"/>
        <v>5257.9426668885226</v>
      </c>
      <c r="J13" s="16">
        <f t="shared" si="5"/>
        <v>211.63054518645336</v>
      </c>
      <c r="K13" s="323">
        <f t="shared" si="10"/>
        <v>14.044268370924739</v>
      </c>
      <c r="L13" s="324">
        <f t="shared" si="11"/>
        <v>0.76860417804866654</v>
      </c>
      <c r="M13" s="7">
        <f t="shared" si="12"/>
        <v>3.8862278335397926</v>
      </c>
      <c r="N13" s="7">
        <f t="shared" si="6"/>
        <v>3.7209151123094548</v>
      </c>
      <c r="O13" s="176">
        <f t="shared" si="13"/>
        <v>2.8526807896558721</v>
      </c>
      <c r="P13" s="16">
        <f t="shared" si="14"/>
        <v>14.276658565629615</v>
      </c>
      <c r="Q13" s="172">
        <f t="shared" si="15"/>
        <v>368.49748366097776</v>
      </c>
      <c r="R13" s="16">
        <f t="shared" si="16"/>
        <v>1778.9588760215493</v>
      </c>
      <c r="S13" s="7">
        <f t="shared" si="8"/>
        <v>0.29276526825448446</v>
      </c>
    </row>
    <row r="14" spans="2:19">
      <c r="B14" s="120">
        <f t="shared" si="9"/>
        <v>10000</v>
      </c>
      <c r="C14" s="11">
        <v>0.46</v>
      </c>
      <c r="D14" s="7">
        <f t="shared" si="0"/>
        <v>495.59806989632182</v>
      </c>
      <c r="E14" s="121">
        <f t="shared" si="7"/>
        <v>9985.72334143437</v>
      </c>
      <c r="F14" s="11">
        <f t="shared" si="1"/>
        <v>0.27249289815244548</v>
      </c>
      <c r="G14" s="11">
        <f t="shared" si="2"/>
        <v>2.4810806134527845E-2</v>
      </c>
      <c r="H14" s="12">
        <f t="shared" si="3"/>
        <v>909.21212118619121</v>
      </c>
      <c r="I14" s="12">
        <f t="shared" si="4"/>
        <v>5284.5277702604308</v>
      </c>
      <c r="J14" s="16">
        <f t="shared" si="5"/>
        <v>217.14981646556333</v>
      </c>
      <c r="K14" s="323">
        <f t="shared" si="10"/>
        <v>14.0972667557495</v>
      </c>
      <c r="L14" s="324">
        <f t="shared" si="11"/>
        <v>0.7656917816463058</v>
      </c>
      <c r="M14" s="7">
        <f t="shared" si="12"/>
        <v>4.6519196151860989</v>
      </c>
      <c r="N14" s="7">
        <f t="shared" si="6"/>
        <v>3.7397287280458511</v>
      </c>
      <c r="O14" s="176">
        <f t="shared" si="13"/>
        <v>2.8562768371750957</v>
      </c>
      <c r="P14" s="16">
        <f t="shared" si="14"/>
        <v>17.132935402804712</v>
      </c>
      <c r="Q14" s="172">
        <f t="shared" si="15"/>
        <v>375.35063684634821</v>
      </c>
      <c r="R14" s="16">
        <f t="shared" si="16"/>
        <v>2154.3095128678974</v>
      </c>
      <c r="S14" s="7">
        <f t="shared" si="8"/>
        <v>0.35453714582119306</v>
      </c>
    </row>
    <row r="15" spans="2:19">
      <c r="B15" s="120">
        <f t="shared" si="9"/>
        <v>10000</v>
      </c>
      <c r="C15" s="11">
        <v>0.47</v>
      </c>
      <c r="D15" s="7">
        <f t="shared" si="0"/>
        <v>506.37194098102441</v>
      </c>
      <c r="E15" s="121">
        <f t="shared" si="7"/>
        <v>9982.8670645971943</v>
      </c>
      <c r="F15" s="11">
        <f t="shared" si="1"/>
        <v>0.260946150087627</v>
      </c>
      <c r="G15" s="11">
        <f t="shared" si="2"/>
        <v>2.4069134380476691E-2</v>
      </c>
      <c r="H15" s="12">
        <f t="shared" si="3"/>
        <v>920.79905681512412</v>
      </c>
      <c r="I15" s="12">
        <f t="shared" si="4"/>
        <v>5311.112873632339</v>
      </c>
      <c r="J15" s="16">
        <f t="shared" si="5"/>
        <v>222.69471430923488</v>
      </c>
      <c r="K15" s="323">
        <f t="shared" si="10"/>
        <v>14.14963815788091</v>
      </c>
      <c r="L15" s="324">
        <f t="shared" si="11"/>
        <v>0.76283551190089582</v>
      </c>
      <c r="M15" s="7">
        <f t="shared" si="12"/>
        <v>5.4147551270869947</v>
      </c>
      <c r="N15" s="7">
        <f t="shared" si="6"/>
        <v>3.7585423437822474</v>
      </c>
      <c r="O15" s="176">
        <f t="shared" si="13"/>
        <v>2.8599737257248328</v>
      </c>
      <c r="P15" s="16">
        <f t="shared" si="14"/>
        <v>19.992909128529543</v>
      </c>
      <c r="Q15" s="172">
        <f t="shared" si="15"/>
        <v>382.1691530784833</v>
      </c>
      <c r="R15" s="16">
        <f t="shared" si="16"/>
        <v>2536.4786659463807</v>
      </c>
      <c r="S15" s="7">
        <f t="shared" si="8"/>
        <v>0.4174311542930651</v>
      </c>
    </row>
    <row r="16" spans="2:19">
      <c r="B16" s="120">
        <f t="shared" si="9"/>
        <v>10000</v>
      </c>
      <c r="C16" s="11">
        <v>0.48</v>
      </c>
      <c r="D16" s="7">
        <f t="shared" si="0"/>
        <v>517.14581206572711</v>
      </c>
      <c r="E16" s="121">
        <f t="shared" si="7"/>
        <v>9980.0070908714697</v>
      </c>
      <c r="F16" s="11">
        <f t="shared" si="1"/>
        <v>0.25011497618535966</v>
      </c>
      <c r="G16" s="11">
        <f t="shared" si="2"/>
        <v>2.3372186011584979E-2</v>
      </c>
      <c r="H16" s="12">
        <f t="shared" si="3"/>
        <v>932.58942620021514</v>
      </c>
      <c r="I16" s="12">
        <f t="shared" si="4"/>
        <v>5337.6979770042472</v>
      </c>
      <c r="J16" s="16">
        <f t="shared" si="5"/>
        <v>228.26471143762521</v>
      </c>
      <c r="K16" s="323">
        <f t="shared" si="10"/>
        <v>14.201388959253018</v>
      </c>
      <c r="L16" s="324">
        <f t="shared" si="11"/>
        <v>0.76003391624506766</v>
      </c>
      <c r="M16" s="7">
        <f t="shared" si="12"/>
        <v>6.174789043332062</v>
      </c>
      <c r="N16" s="7">
        <f t="shared" si="6"/>
        <v>3.7773559595186437</v>
      </c>
      <c r="O16" s="176">
        <f t="shared" si="13"/>
        <v>2.8637691499411688</v>
      </c>
      <c r="P16" s="16">
        <f t="shared" si="14"/>
        <v>22.856678278470714</v>
      </c>
      <c r="Q16" s="172">
        <f t="shared" si="15"/>
        <v>388.95410309723729</v>
      </c>
      <c r="R16" s="16">
        <f t="shared" si="16"/>
        <v>2925.432769043618</v>
      </c>
      <c r="S16" s="7">
        <f t="shared" si="8"/>
        <v>0.48144176964051383</v>
      </c>
    </row>
    <row r="17" spans="2:19">
      <c r="B17" s="120">
        <f t="shared" si="9"/>
        <v>10000</v>
      </c>
      <c r="C17" s="11">
        <v>0.49</v>
      </c>
      <c r="D17" s="7">
        <f t="shared" si="0"/>
        <v>527.91968315042971</v>
      </c>
      <c r="E17" s="121">
        <f t="shared" si="7"/>
        <v>9977.143321721529</v>
      </c>
      <c r="F17" s="11">
        <f t="shared" si="1"/>
        <v>0.23994150169239359</v>
      </c>
      <c r="G17" s="11">
        <f t="shared" si="2"/>
        <v>2.27163438557746E-2</v>
      </c>
      <c r="H17" s="12">
        <f t="shared" si="3"/>
        <v>944.58114497062161</v>
      </c>
      <c r="I17" s="12">
        <f t="shared" si="4"/>
        <v>5364.2830803761553</v>
      </c>
      <c r="J17" s="16">
        <f t="shared" si="5"/>
        <v>233.85928918940647</v>
      </c>
      <c r="K17" s="323">
        <f t="shared" si="10"/>
        <v>14.25252554608001</v>
      </c>
      <c r="L17" s="324">
        <f t="shared" si="11"/>
        <v>0.75728568613526115</v>
      </c>
      <c r="M17" s="7">
        <f t="shared" si="12"/>
        <v>6.9320747294673231</v>
      </c>
      <c r="N17" s="7">
        <f t="shared" si="6"/>
        <v>3.7961695752550395</v>
      </c>
      <c r="O17" s="176">
        <f t="shared" si="13"/>
        <v>2.8676612405320046</v>
      </c>
      <c r="P17" s="16">
        <f t="shared" si="14"/>
        <v>25.724339519002719</v>
      </c>
      <c r="Q17" s="172">
        <f t="shared" si="15"/>
        <v>395.70657030052683</v>
      </c>
      <c r="R17" s="16">
        <f t="shared" si="16"/>
        <v>3321.1393393441449</v>
      </c>
      <c r="S17" s="7">
        <f t="shared" si="8"/>
        <v>0.54656364612996922</v>
      </c>
    </row>
    <row r="18" spans="2:19">
      <c r="B18" s="120">
        <f t="shared" si="9"/>
        <v>10000</v>
      </c>
      <c r="C18" s="11">
        <v>0.5</v>
      </c>
      <c r="D18" s="7">
        <f t="shared" si="0"/>
        <v>538.69355423513241</v>
      </c>
      <c r="E18" s="121">
        <f t="shared" si="7"/>
        <v>9974.2756604809965</v>
      </c>
      <c r="F18" s="11">
        <f t="shared" si="1"/>
        <v>0.23037358450358777</v>
      </c>
      <c r="G18" s="11">
        <f t="shared" si="2"/>
        <v>2.2098349031474236E-2</v>
      </c>
      <c r="H18" s="12">
        <f t="shared" si="3"/>
        <v>956.77212887232997</v>
      </c>
      <c r="I18" s="12">
        <f t="shared" si="4"/>
        <v>5390.8681837480635</v>
      </c>
      <c r="J18" s="16">
        <f t="shared" si="5"/>
        <v>239.47793753935608</v>
      </c>
      <c r="K18" s="323">
        <f t="shared" si="10"/>
        <v>14.303054309478762</v>
      </c>
      <c r="L18" s="324">
        <f t="shared" si="11"/>
        <v>0.75458955056767374</v>
      </c>
      <c r="M18" s="7">
        <f t="shared" si="12"/>
        <v>7.6866642800349965</v>
      </c>
      <c r="N18" s="7">
        <f t="shared" si="6"/>
        <v>3.8149831909914358</v>
      </c>
      <c r="O18" s="176">
        <f t="shared" si="13"/>
        <v>2.8716481725919172</v>
      </c>
      <c r="P18" s="16">
        <f t="shared" si="14"/>
        <v>28.595987691594637</v>
      </c>
      <c r="Q18" s="172">
        <f t="shared" si="15"/>
        <v>402.42760171415142</v>
      </c>
      <c r="R18" s="16">
        <f t="shared" si="16"/>
        <v>3723.5669410582964</v>
      </c>
      <c r="S18" s="7">
        <f t="shared" si="8"/>
        <v>0.61279161033807794</v>
      </c>
    </row>
    <row r="19" spans="2:19">
      <c r="B19" s="120">
        <f t="shared" si="9"/>
        <v>10000</v>
      </c>
      <c r="C19" s="11">
        <v>0.50999999999999901</v>
      </c>
      <c r="D19" s="7">
        <f t="shared" si="0"/>
        <v>549.46742531983398</v>
      </c>
      <c r="E19" s="121">
        <f t="shared" si="7"/>
        <v>9971.4040123084051</v>
      </c>
      <c r="F19" s="11">
        <f t="shared" si="1"/>
        <v>0.22136414715161035</v>
      </c>
      <c r="G19" s="11">
        <f t="shared" si="2"/>
        <v>2.1515259196975649E-2</v>
      </c>
      <c r="H19" s="12">
        <f t="shared" si="3"/>
        <v>969.16029376538359</v>
      </c>
      <c r="I19" s="12">
        <f t="shared" si="4"/>
        <v>5417.453287119969</v>
      </c>
      <c r="J19" s="16">
        <f t="shared" si="5"/>
        <v>245.12015510651895</v>
      </c>
      <c r="K19" s="323">
        <f t="shared" si="10"/>
        <v>14.352981645466189</v>
      </c>
      <c r="L19" s="324">
        <f t="shared" si="11"/>
        <v>0.75194427461223257</v>
      </c>
      <c r="M19" s="7">
        <f t="shared" si="12"/>
        <v>8.4386085546472298</v>
      </c>
      <c r="N19" s="7">
        <f t="shared" si="6"/>
        <v>3.8337968067278299</v>
      </c>
      <c r="O19" s="176">
        <f t="shared" si="13"/>
        <v>2.8757281635267837</v>
      </c>
      <c r="P19" s="16">
        <f t="shared" si="14"/>
        <v>31.47171585512142</v>
      </c>
      <c r="Q19" s="172">
        <f t="shared" si="15"/>
        <v>409.11820921639782</v>
      </c>
      <c r="R19" s="16">
        <f t="shared" si="16"/>
        <v>4132.685150274694</v>
      </c>
      <c r="S19" s="7">
        <f t="shared" si="8"/>
        <v>0.68012065536743704</v>
      </c>
    </row>
    <row r="20" spans="2:19">
      <c r="B20" s="120">
        <f t="shared" si="9"/>
        <v>10000</v>
      </c>
      <c r="C20" s="11">
        <v>0.51999999999999902</v>
      </c>
      <c r="D20" s="7">
        <f t="shared" si="0"/>
        <v>560.24129640453668</v>
      </c>
      <c r="E20" s="121">
        <f t="shared" si="7"/>
        <v>9968.5282841448789</v>
      </c>
      <c r="F20" s="11">
        <f t="shared" si="1"/>
        <v>0.21287059786876492</v>
      </c>
      <c r="G20" s="11">
        <f t="shared" si="2"/>
        <v>2.0964412366797809E-2</v>
      </c>
      <c r="H20" s="12">
        <f t="shared" si="3"/>
        <v>981.74355562124106</v>
      </c>
      <c r="I20" s="12">
        <f t="shared" si="4"/>
        <v>5444.0383904918772</v>
      </c>
      <c r="J20" s="16">
        <f t="shared" si="5"/>
        <v>250.78544916238306</v>
      </c>
      <c r="K20" s="323">
        <f t="shared" si="10"/>
        <v>14.402313954957451</v>
      </c>
      <c r="L20" s="324">
        <f t="shared" si="11"/>
        <v>0.74934865802902595</v>
      </c>
      <c r="M20" s="7">
        <f t="shared" si="12"/>
        <v>9.1879572126762561</v>
      </c>
      <c r="N20" s="7">
        <f t="shared" si="6"/>
        <v>3.8526104224642261</v>
      </c>
      <c r="O20" s="176">
        <f t="shared" si="13"/>
        <v>2.8798994711298356</v>
      </c>
      <c r="P20" s="16">
        <f t="shared" si="14"/>
        <v>34.351615326251256</v>
      </c>
      <c r="Q20" s="172">
        <f t="shared" si="15"/>
        <v>415.77937071363147</v>
      </c>
      <c r="R20" s="16">
        <f t="shared" si="16"/>
        <v>4548.4645209883256</v>
      </c>
      <c r="S20" s="7">
        <f t="shared" si="8"/>
        <v>0.74854593525579716</v>
      </c>
    </row>
    <row r="21" spans="2:19">
      <c r="B21" s="120">
        <f t="shared" si="9"/>
        <v>10000</v>
      </c>
      <c r="C21" s="11">
        <v>0.52999999999999903</v>
      </c>
      <c r="D21" s="7">
        <f t="shared" si="0"/>
        <v>571.01516748923927</v>
      </c>
      <c r="E21" s="121">
        <f t="shared" si="7"/>
        <v>9965.6483846737483</v>
      </c>
      <c r="F21" s="11">
        <f t="shared" si="1"/>
        <v>0.20485432740248347</v>
      </c>
      <c r="G21" s="11">
        <f t="shared" si="2"/>
        <v>2.0443395462655223E-2</v>
      </c>
      <c r="H21" s="12">
        <f t="shared" si="3"/>
        <v>994.51983052024502</v>
      </c>
      <c r="I21" s="12">
        <f t="shared" si="4"/>
        <v>5470.6234938637854</v>
      </c>
      <c r="J21" s="16">
        <f t="shared" si="5"/>
        <v>256.47333563906227</v>
      </c>
      <c r="K21" s="323">
        <f t="shared" si="10"/>
        <v>14.451057643765116</v>
      </c>
      <c r="L21" s="324">
        <f t="shared" si="11"/>
        <v>0.74680153394479454</v>
      </c>
      <c r="M21" s="7">
        <f t="shared" si="12"/>
        <v>9.9347587466210499</v>
      </c>
      <c r="N21" s="7">
        <f t="shared" si="6"/>
        <v>3.871424038200622</v>
      </c>
      <c r="O21" s="176">
        <f t="shared" si="13"/>
        <v>2.8841603917334813</v>
      </c>
      <c r="P21" s="16">
        <f t="shared" si="14"/>
        <v>37.235775717984737</v>
      </c>
      <c r="Q21" s="172">
        <f t="shared" si="15"/>
        <v>422.41203126041802</v>
      </c>
      <c r="R21" s="16">
        <f t="shared" si="16"/>
        <v>4970.8765522487438</v>
      </c>
      <c r="S21" s="7">
        <f t="shared" si="8"/>
        <v>0.81806275956960439</v>
      </c>
    </row>
    <row r="22" spans="2:19">
      <c r="B22" s="120">
        <f t="shared" si="9"/>
        <v>10000</v>
      </c>
      <c r="C22" s="11">
        <v>0.53999999999999904</v>
      </c>
      <c r="D22" s="7">
        <f t="shared" si="0"/>
        <v>581.78903857394198</v>
      </c>
      <c r="E22" s="121">
        <f t="shared" si="7"/>
        <v>9962.7642242820148</v>
      </c>
      <c r="F22" s="11">
        <f t="shared" si="1"/>
        <v>0.19728027046509539</v>
      </c>
      <c r="G22" s="11">
        <f t="shared" si="2"/>
        <v>2.0018010142441079E-2</v>
      </c>
      <c r="H22" s="12">
        <f t="shared" si="3"/>
        <v>1010.9207312938693</v>
      </c>
      <c r="I22" s="12">
        <f t="shared" si="4"/>
        <v>5497.2085972356945</v>
      </c>
      <c r="J22" s="16">
        <f t="shared" si="5"/>
        <v>261.98282379610731</v>
      </c>
      <c r="K22" s="323">
        <f t="shared" si="10"/>
        <v>14.488130256762608</v>
      </c>
      <c r="L22" s="324">
        <f t="shared" si="11"/>
        <v>0.74458696779851496</v>
      </c>
      <c r="M22" s="7">
        <f t="shared" si="12"/>
        <v>10.679345714419565</v>
      </c>
      <c r="N22" s="7">
        <f t="shared" si="6"/>
        <v>3.8902376539370183</v>
      </c>
      <c r="O22" s="176">
        <f t="shared" si="13"/>
        <v>2.8896160722133279</v>
      </c>
      <c r="P22" s="16">
        <f t="shared" si="14"/>
        <v>40.125391790198066</v>
      </c>
      <c r="Q22" s="172">
        <f t="shared" si="15"/>
        <v>429.1814941289793</v>
      </c>
      <c r="R22" s="16">
        <f t="shared" si="16"/>
        <v>5400.0580463777233</v>
      </c>
      <c r="S22" s="7">
        <f t="shared" si="8"/>
        <v>0.88869364202121715</v>
      </c>
    </row>
    <row r="23" spans="2:19">
      <c r="B23" s="120">
        <f t="shared" si="9"/>
        <v>10000</v>
      </c>
      <c r="C23" s="11">
        <v>0.54999999999999905</v>
      </c>
      <c r="D23" s="7">
        <f t="shared" si="0"/>
        <v>592.56290965864457</v>
      </c>
      <c r="E23" s="121">
        <f t="shared" si="7"/>
        <v>9959.8746082098023</v>
      </c>
      <c r="F23" s="11">
        <f t="shared" si="1"/>
        <v>0.19011650137432098</v>
      </c>
      <c r="G23" s="11">
        <f t="shared" si="2"/>
        <v>1.9729368801537039E-2</v>
      </c>
      <c r="H23" s="12">
        <f t="shared" si="3"/>
        <v>1033.5874999905554</v>
      </c>
      <c r="I23" s="12">
        <f t="shared" si="4"/>
        <v>5523.7937006076027</v>
      </c>
      <c r="J23" s="16">
        <f t="shared" si="5"/>
        <v>267.14489447605274</v>
      </c>
      <c r="K23" s="323">
        <f t="shared" si="10"/>
        <v>14.504991275650173</v>
      </c>
      <c r="L23" s="324">
        <f t="shared" si="11"/>
        <v>0.74320187101330037</v>
      </c>
      <c r="M23" s="7">
        <f t="shared" si="12"/>
        <v>11.422547585432865</v>
      </c>
      <c r="N23" s="7">
        <f t="shared" si="6"/>
        <v>3.9090512696734145</v>
      </c>
      <c r="O23" s="176">
        <f t="shared" si="13"/>
        <v>2.8982230603002916</v>
      </c>
      <c r="P23" s="16">
        <f t="shared" si="14"/>
        <v>43.023614850498355</v>
      </c>
      <c r="Q23" s="172">
        <f t="shared" si="15"/>
        <v>436.39028257728637</v>
      </c>
      <c r="R23" s="16">
        <f t="shared" si="16"/>
        <v>5836.4483289550099</v>
      </c>
      <c r="S23" s="7">
        <f t="shared" si="8"/>
        <v>0.96051088291669573</v>
      </c>
    </row>
    <row r="24" spans="2:19">
      <c r="B24" s="120">
        <f t="shared" si="9"/>
        <v>10000</v>
      </c>
      <c r="C24" s="11">
        <v>0.55999999999999905</v>
      </c>
      <c r="D24" s="7">
        <f t="shared" si="0"/>
        <v>603.33678074334728</v>
      </c>
      <c r="E24" s="121">
        <f t="shared" si="7"/>
        <v>9956.9763851495027</v>
      </c>
      <c r="F24" s="11">
        <f t="shared" si="1"/>
        <v>0.18333388636935288</v>
      </c>
      <c r="G24" s="11">
        <f t="shared" si="2"/>
        <v>1.9455020738850737E-2</v>
      </c>
      <c r="H24" s="12">
        <f t="shared" si="3"/>
        <v>1056.6141694016517</v>
      </c>
      <c r="I24" s="12">
        <f t="shared" si="4"/>
        <v>5550.3788039795108</v>
      </c>
      <c r="J24" s="16">
        <f t="shared" si="5"/>
        <v>272.29686836339732</v>
      </c>
      <c r="K24" s="323">
        <f t="shared" si="10"/>
        <v>14.520711685984091</v>
      </c>
      <c r="L24" s="324">
        <f t="shared" si="11"/>
        <v>0.74236762492494635</v>
      </c>
      <c r="M24" s="7">
        <f t="shared" si="12"/>
        <v>12.164915210357812</v>
      </c>
      <c r="N24" s="7">
        <f t="shared" si="6"/>
        <v>3.9278648854098108</v>
      </c>
      <c r="O24" s="176">
        <f t="shared" si="13"/>
        <v>2.908936416392538</v>
      </c>
      <c r="P24" s="16">
        <f t="shared" si="14"/>
        <v>45.93255126689089</v>
      </c>
      <c r="Q24" s="172">
        <f t="shared" si="15"/>
        <v>443.89860640610266</v>
      </c>
      <c r="R24" s="16">
        <f t="shared" si="16"/>
        <v>6280.3469353611126</v>
      </c>
      <c r="S24" s="7">
        <f t="shared" si="8"/>
        <v>1.0335637771313793</v>
      </c>
    </row>
    <row r="25" spans="2:19">
      <c r="B25" s="120">
        <f t="shared" si="9"/>
        <v>10000</v>
      </c>
      <c r="C25" s="11">
        <v>0.56999999999999895</v>
      </c>
      <c r="D25" s="7">
        <f t="shared" si="0"/>
        <v>614.11065182804987</v>
      </c>
      <c r="E25" s="121">
        <f t="shared" si="7"/>
        <v>9954.0674487331107</v>
      </c>
      <c r="F25" s="11">
        <f t="shared" si="1"/>
        <v>0.17690584796594835</v>
      </c>
      <c r="G25" s="11">
        <f t="shared" si="2"/>
        <v>1.9193969298723065E-2</v>
      </c>
      <c r="H25" s="12">
        <f t="shared" si="3"/>
        <v>1079.9985823259935</v>
      </c>
      <c r="I25" s="12">
        <f t="shared" si="4"/>
        <v>5576.963907351419</v>
      </c>
      <c r="J25" s="16">
        <f t="shared" si="5"/>
        <v>277.43777317391846</v>
      </c>
      <c r="K25" s="323">
        <f t="shared" si="10"/>
        <v>14.535300580646823</v>
      </c>
      <c r="L25" s="324">
        <f t="shared" si="11"/>
        <v>0.74159323625256968</v>
      </c>
      <c r="M25" s="7">
        <f t="shared" si="12"/>
        <v>12.906508446610381</v>
      </c>
      <c r="N25" s="7">
        <f t="shared" si="6"/>
        <v>3.9466785011462067</v>
      </c>
      <c r="O25" s="176">
        <f t="shared" si="13"/>
        <v>2.9198540570236733</v>
      </c>
      <c r="P25" s="16">
        <f t="shared" si="14"/>
        <v>48.85240532391456</v>
      </c>
      <c r="Q25" s="172">
        <f t="shared" si="15"/>
        <v>451.4253907440023</v>
      </c>
      <c r="R25" s="16">
        <f t="shared" si="16"/>
        <v>6731.7723261051151</v>
      </c>
      <c r="S25" s="7">
        <f t="shared" si="8"/>
        <v>1.1078553627320642</v>
      </c>
    </row>
    <row r="26" spans="2:19">
      <c r="B26" s="120">
        <f t="shared" si="9"/>
        <v>10000</v>
      </c>
      <c r="C26" s="11">
        <v>0.57999999999999896</v>
      </c>
      <c r="D26" s="7">
        <f t="shared" si="0"/>
        <v>624.88452291275246</v>
      </c>
      <c r="E26" s="121">
        <f t="shared" si="7"/>
        <v>9951.1475946760875</v>
      </c>
      <c r="F26" s="11">
        <f t="shared" si="1"/>
        <v>0.17080811594017922</v>
      </c>
      <c r="G26" s="11">
        <f t="shared" si="2"/>
        <v>1.8945304347756722E-2</v>
      </c>
      <c r="H26" s="12">
        <f t="shared" si="3"/>
        <v>1103.7386528905467</v>
      </c>
      <c r="I26" s="12">
        <f t="shared" si="4"/>
        <v>5603.5490107233272</v>
      </c>
      <c r="J26" s="16">
        <f t="shared" si="5"/>
        <v>282.56659062684986</v>
      </c>
      <c r="K26" s="323">
        <f t="shared" si="10"/>
        <v>14.548764057159424</v>
      </c>
      <c r="L26" s="324">
        <f t="shared" si="11"/>
        <v>0.74087794941135454</v>
      </c>
      <c r="M26" s="7">
        <f t="shared" si="12"/>
        <v>13.647386396021735</v>
      </c>
      <c r="N26" s="7">
        <f t="shared" si="6"/>
        <v>3.9654921168826029</v>
      </c>
      <c r="O26" s="176">
        <f t="shared" si="13"/>
        <v>2.9309763714389772</v>
      </c>
      <c r="P26" s="16">
        <f t="shared" si="14"/>
        <v>51.78338169535354</v>
      </c>
      <c r="Q26" s="172">
        <f t="shared" si="15"/>
        <v>458.97210219626425</v>
      </c>
      <c r="R26" s="16">
        <f t="shared" si="16"/>
        <v>7190.7444283013792</v>
      </c>
      <c r="S26" s="7">
        <f t="shared" si="8"/>
        <v>1.183388919146432</v>
      </c>
    </row>
    <row r="27" spans="2:19">
      <c r="B27" s="120">
        <f t="shared" si="9"/>
        <v>10000</v>
      </c>
      <c r="C27" s="11">
        <v>0.58999999999999897</v>
      </c>
      <c r="D27" s="7">
        <f t="shared" si="0"/>
        <v>635.65839399745516</v>
      </c>
      <c r="E27" s="121">
        <f t="shared" si="7"/>
        <v>9948.2166183046484</v>
      </c>
      <c r="F27" s="11">
        <f t="shared" si="1"/>
        <v>0.16501846072399337</v>
      </c>
      <c r="G27" s="11">
        <f t="shared" si="2"/>
        <v>1.8708192277149753E-2</v>
      </c>
      <c r="H27" s="12">
        <f t="shared" si="3"/>
        <v>1127.8322952076799</v>
      </c>
      <c r="I27" s="12">
        <f t="shared" si="4"/>
        <v>5630.1341140952354</v>
      </c>
      <c r="J27" s="16">
        <f t="shared" si="5"/>
        <v>287.68231063846775</v>
      </c>
      <c r="K27" s="323">
        <f t="shared" si="10"/>
        <v>14.561108214546943</v>
      </c>
      <c r="L27" s="324">
        <f t="shared" si="11"/>
        <v>0.7402211170245826</v>
      </c>
      <c r="M27" s="7">
        <f t="shared" si="12"/>
        <v>14.387607513046317</v>
      </c>
      <c r="N27" s="7">
        <f t="shared" si="6"/>
        <v>3.9843057326189992</v>
      </c>
      <c r="O27" s="176">
        <f t="shared" si="13"/>
        <v>2.9423041221388502</v>
      </c>
      <c r="P27" s="16">
        <f t="shared" si="14"/>
        <v>54.725685817492391</v>
      </c>
      <c r="Q27" s="172">
        <f t="shared" si="15"/>
        <v>466.54024300634973</v>
      </c>
      <c r="R27" s="16">
        <f t="shared" si="16"/>
        <v>7657.2846713077288</v>
      </c>
      <c r="S27" s="7">
        <f t="shared" si="8"/>
        <v>1.2601679730280642</v>
      </c>
    </row>
    <row r="28" spans="2:19">
      <c r="B28" s="120">
        <f t="shared" si="9"/>
        <v>10000</v>
      </c>
      <c r="C28" s="11">
        <v>0.59999999999999898</v>
      </c>
      <c r="D28" s="7">
        <f t="shared" si="0"/>
        <v>646.43226508215776</v>
      </c>
      <c r="E28" s="121">
        <f t="shared" si="7"/>
        <v>9945.2743141825104</v>
      </c>
      <c r="F28" s="11">
        <f t="shared" si="1"/>
        <v>0.15951649095873674</v>
      </c>
      <c r="G28" s="11">
        <f t="shared" si="2"/>
        <v>1.8481868410952632E-2</v>
      </c>
      <c r="H28" s="12">
        <f t="shared" si="3"/>
        <v>1152.2774233611688</v>
      </c>
      <c r="I28" s="12">
        <f t="shared" si="4"/>
        <v>5656.7192174671436</v>
      </c>
      <c r="J28" s="16">
        <f t="shared" si="5"/>
        <v>292.78393133332207</v>
      </c>
      <c r="K28" s="323">
        <f t="shared" si="10"/>
        <v>14.572339153772086</v>
      </c>
      <c r="L28" s="324">
        <f t="shared" si="11"/>
        <v>0.73962212219475032</v>
      </c>
      <c r="M28" s="7">
        <f t="shared" si="12"/>
        <v>15.127229635241068</v>
      </c>
      <c r="N28" s="7">
        <f t="shared" si="6"/>
        <v>4.0031193483553951</v>
      </c>
      <c r="O28" s="176">
        <f t="shared" si="13"/>
        <v>2.9538381446309283</v>
      </c>
      <c r="P28" s="16">
        <f t="shared" si="14"/>
        <v>57.679523962123319</v>
      </c>
      <c r="Q28" s="172">
        <f t="shared" si="15"/>
        <v>474.13130705726473</v>
      </c>
      <c r="R28" s="16">
        <f t="shared" si="16"/>
        <v>8131.4159783649939</v>
      </c>
      <c r="S28" s="7">
        <f t="shared" si="8"/>
        <v>1.3381962968805534</v>
      </c>
    </row>
    <row r="29" spans="2:19">
      <c r="B29" s="120">
        <f t="shared" si="9"/>
        <v>10000</v>
      </c>
      <c r="C29" s="11">
        <v>0.60999999999999899</v>
      </c>
      <c r="D29" s="7">
        <f t="shared" si="0"/>
        <v>657.20613616686046</v>
      </c>
      <c r="E29" s="121">
        <f t="shared" si="7"/>
        <v>9942.3204760378794</v>
      </c>
      <c r="F29" s="11">
        <f t="shared" si="1"/>
        <v>0.15428347409995283</v>
      </c>
      <c r="G29" s="11">
        <f t="shared" si="2"/>
        <v>1.8265630278748231E-2</v>
      </c>
      <c r="H29" s="12">
        <f t="shared" si="3"/>
        <v>1177.0719514034561</v>
      </c>
      <c r="I29" s="12">
        <f t="shared" si="4"/>
        <v>5683.3043208390518</v>
      </c>
      <c r="J29" s="16">
        <f t="shared" si="5"/>
        <v>297.87045904669958</v>
      </c>
      <c r="K29" s="323">
        <f t="shared" si="10"/>
        <v>14.582462977696963</v>
      </c>
      <c r="L29" s="324">
        <f t="shared" si="11"/>
        <v>0.73908037764205081</v>
      </c>
      <c r="M29" s="7">
        <f t="shared" si="12"/>
        <v>15.866310012883119</v>
      </c>
      <c r="N29" s="7">
        <f t="shared" si="6"/>
        <v>4.0219329640917909</v>
      </c>
      <c r="O29" s="176">
        <f t="shared" si="13"/>
        <v>2.96557934684034</v>
      </c>
      <c r="P29" s="16">
        <f t="shared" si="14"/>
        <v>60.645103308963662</v>
      </c>
      <c r="Q29" s="172">
        <f t="shared" si="15"/>
        <v>481.74678095190188</v>
      </c>
      <c r="R29" s="16">
        <f t="shared" si="16"/>
        <v>8613.162759316896</v>
      </c>
      <c r="S29" s="7">
        <f t="shared" si="8"/>
        <v>1.4174779078594064</v>
      </c>
    </row>
    <row r="30" spans="2:19">
      <c r="B30" s="120">
        <f t="shared" si="9"/>
        <v>10000</v>
      </c>
      <c r="C30" s="11">
        <v>0.619999999999999</v>
      </c>
      <c r="D30" s="7">
        <f t="shared" si="0"/>
        <v>667.98000725156305</v>
      </c>
      <c r="E30" s="121">
        <f t="shared" si="7"/>
        <v>9939.3548966910384</v>
      </c>
      <c r="F30" s="11">
        <f t="shared" si="1"/>
        <v>0.14930217711776281</v>
      </c>
      <c r="G30" s="11">
        <f t="shared" si="2"/>
        <v>1.8058831641916108E-2</v>
      </c>
      <c r="H30" s="12">
        <f t="shared" si="3"/>
        <v>1202.2137933529386</v>
      </c>
      <c r="I30" s="12">
        <f t="shared" si="4"/>
        <v>5709.88942421096</v>
      </c>
      <c r="J30" s="16">
        <f t="shared" si="5"/>
        <v>302.94090832702381</v>
      </c>
      <c r="K30" s="323">
        <f t="shared" si="10"/>
        <v>14.591485791045518</v>
      </c>
      <c r="L30" s="324">
        <f t="shared" si="11"/>
        <v>0.73859532489793911</v>
      </c>
      <c r="M30" s="7">
        <f t="shared" si="12"/>
        <v>16.604905337781059</v>
      </c>
      <c r="N30" s="7">
        <f t="shared" si="6"/>
        <v>4.0407465798281876</v>
      </c>
      <c r="O30" s="176">
        <f t="shared" si="13"/>
        <v>2.9775287086447721</v>
      </c>
      <c r="P30" s="16">
        <f t="shared" si="14"/>
        <v>63.622632017608431</v>
      </c>
      <c r="Q30" s="172">
        <f t="shared" si="15"/>
        <v>489.38814507418869</v>
      </c>
      <c r="R30" s="16">
        <f t="shared" si="16"/>
        <v>9102.5509043910843</v>
      </c>
      <c r="S30" s="7">
        <f t="shared" si="8"/>
        <v>1.4980170667485821</v>
      </c>
    </row>
    <row r="31" spans="2:19">
      <c r="B31" s="120">
        <f t="shared" si="9"/>
        <v>10000</v>
      </c>
      <c r="C31" s="11">
        <v>0.62999999999999901</v>
      </c>
      <c r="D31" s="7">
        <f t="shared" si="0"/>
        <v>678.75387833626576</v>
      </c>
      <c r="E31" s="121">
        <f t="shared" si="7"/>
        <v>9936.3773679823935</v>
      </c>
      <c r="F31" s="11">
        <f t="shared" si="1"/>
        <v>0.14455672476094281</v>
      </c>
      <c r="G31" s="11">
        <f t="shared" si="2"/>
        <v>1.7860877178535357E-2</v>
      </c>
      <c r="H31" s="12">
        <f t="shared" si="3"/>
        <v>1227.7008631912674</v>
      </c>
      <c r="I31" s="12">
        <f t="shared" si="4"/>
        <v>5736.4745275828682</v>
      </c>
      <c r="J31" s="16">
        <f t="shared" si="5"/>
        <v>307.99430193819489</v>
      </c>
      <c r="K31" s="323">
        <f t="shared" si="10"/>
        <v>14.599413700366657</v>
      </c>
      <c r="L31" s="324">
        <f t="shared" si="11"/>
        <v>0.73816643354017419</v>
      </c>
      <c r="M31" s="7">
        <f t="shared" si="12"/>
        <v>17.343071771321235</v>
      </c>
      <c r="N31" s="7">
        <f t="shared" si="6"/>
        <v>4.0595601955645835</v>
      </c>
      <c r="O31" s="176">
        <f t="shared" si="13"/>
        <v>2.989687281486495</v>
      </c>
      <c r="P31" s="16">
        <f t="shared" si="14"/>
        <v>66.612319299094921</v>
      </c>
      <c r="Q31" s="172">
        <f t="shared" si="15"/>
        <v>497.0568746260343</v>
      </c>
      <c r="R31" s="16">
        <f t="shared" si="16"/>
        <v>9599.6077790171184</v>
      </c>
      <c r="S31" s="7">
        <f t="shared" si="8"/>
        <v>1.5798182771076821</v>
      </c>
    </row>
    <row r="32" spans="2:19">
      <c r="B32" s="120">
        <f t="shared" si="9"/>
        <v>10000</v>
      </c>
      <c r="C32" s="11">
        <v>0.63999999999999901</v>
      </c>
      <c r="D32" s="7">
        <f t="shared" si="0"/>
        <v>689.52774942096846</v>
      </c>
      <c r="E32" s="121">
        <f t="shared" si="7"/>
        <v>9933.3876807009074</v>
      </c>
      <c r="F32" s="11">
        <f t="shared" si="1"/>
        <v>0.14003247320609866</v>
      </c>
      <c r="G32" s="11">
        <f t="shared" si="2"/>
        <v>1.7671217745228705E-2</v>
      </c>
      <c r="H32" s="12">
        <f t="shared" si="3"/>
        <v>1253.5310748606646</v>
      </c>
      <c r="I32" s="12">
        <f t="shared" si="4"/>
        <v>5763.0596309547773</v>
      </c>
      <c r="J32" s="16">
        <f t="shared" si="5"/>
        <v>313.02967086187039</v>
      </c>
      <c r="K32" s="323">
        <f t="shared" si="10"/>
        <v>14.606252813998129</v>
      </c>
      <c r="L32" s="324">
        <f t="shared" si="11"/>
        <v>0.73779320046701102</v>
      </c>
      <c r="M32" s="7">
        <f t="shared" si="12"/>
        <v>18.080864971788245</v>
      </c>
      <c r="N32" s="7">
        <f t="shared" si="6"/>
        <v>4.0783738113009793</v>
      </c>
      <c r="O32" s="176">
        <f t="shared" si="13"/>
        <v>3.0020561880573355</v>
      </c>
      <c r="P32" s="16">
        <f t="shared" si="14"/>
        <v>69.614375487152259</v>
      </c>
      <c r="Q32" s="172">
        <f t="shared" si="15"/>
        <v>504.75444064161064</v>
      </c>
      <c r="R32" s="16">
        <f t="shared" si="16"/>
        <v>10104.362219658729</v>
      </c>
      <c r="S32" s="7">
        <f t="shared" si="8"/>
        <v>1.6628862845860592</v>
      </c>
    </row>
    <row r="33" spans="2:19">
      <c r="B33" s="120">
        <f t="shared" si="9"/>
        <v>10000</v>
      </c>
      <c r="C33" s="11">
        <v>0.64999999999999902</v>
      </c>
      <c r="D33" s="7">
        <f t="shared" si="0"/>
        <v>700.30162050567105</v>
      </c>
      <c r="E33" s="121">
        <f t="shared" si="7"/>
        <v>9930.38562451285</v>
      </c>
      <c r="F33" s="11">
        <f t="shared" si="1"/>
        <v>0.13571589721268601</v>
      </c>
      <c r="G33" s="11">
        <f t="shared" si="2"/>
        <v>1.7489346145475728E-2</v>
      </c>
      <c r="H33" s="12">
        <f t="shared" si="3"/>
        <v>1279.7023422612501</v>
      </c>
      <c r="I33" s="12">
        <f t="shared" si="4"/>
        <v>5789.6447343266855</v>
      </c>
      <c r="J33" s="16">
        <f t="shared" si="5"/>
        <v>318.04605429968717</v>
      </c>
      <c r="K33" s="323">
        <f t="shared" si="10"/>
        <v>14.612009242030975</v>
      </c>
      <c r="L33" s="324">
        <f t="shared" si="11"/>
        <v>0.73747514920925517</v>
      </c>
      <c r="M33" s="7">
        <f t="shared" si="12"/>
        <v>18.818340120997501</v>
      </c>
      <c r="N33" s="7">
        <f t="shared" si="6"/>
        <v>4.0971874270373752</v>
      </c>
      <c r="O33" s="176">
        <f t="shared" si="13"/>
        <v>3.0146366220564902</v>
      </c>
      <c r="P33" s="16">
        <f t="shared" si="14"/>
        <v>72.629012109208745</v>
      </c>
      <c r="Q33" s="172">
        <f t="shared" si="15"/>
        <v>512.48231098102679</v>
      </c>
      <c r="R33" s="16">
        <f t="shared" si="16"/>
        <v>10616.844530639755</v>
      </c>
      <c r="S33" s="7">
        <f t="shared" si="8"/>
        <v>1.7472260764004601</v>
      </c>
    </row>
    <row r="34" spans="2:19">
      <c r="B34" s="120">
        <f t="shared" si="9"/>
        <v>10000</v>
      </c>
      <c r="C34" s="11">
        <v>0.65999999999999903</v>
      </c>
      <c r="D34" s="7">
        <f t="shared" si="0"/>
        <v>711.07549159037376</v>
      </c>
      <c r="E34" s="121">
        <f t="shared" si="7"/>
        <v>9927.3709878907939</v>
      </c>
      <c r="F34" s="11">
        <f t="shared" si="1"/>
        <v>0.13159448915896105</v>
      </c>
      <c r="G34" s="11">
        <f t="shared" si="2"/>
        <v>1.7314793343461039E-2</v>
      </c>
      <c r="H34" s="12">
        <f t="shared" si="3"/>
        <v>1306.2125792483826</v>
      </c>
      <c r="I34" s="12">
        <f t="shared" si="4"/>
        <v>5816.2298376985937</v>
      </c>
      <c r="J34" s="16">
        <f t="shared" si="5"/>
        <v>323.04249967542677</v>
      </c>
      <c r="K34" s="323">
        <f t="shared" si="10"/>
        <v>14.616689096274689</v>
      </c>
      <c r="L34" s="324">
        <f t="shared" si="11"/>
        <v>0.73721182927828244</v>
      </c>
      <c r="M34" s="7">
        <f t="shared" si="12"/>
        <v>19.555551950275785</v>
      </c>
      <c r="N34" s="7">
        <f t="shared" si="6"/>
        <v>4.116001042773771</v>
      </c>
      <c r="O34" s="176">
        <f t="shared" si="13"/>
        <v>3.0274298480183863</v>
      </c>
      <c r="P34" s="16">
        <f t="shared" si="14"/>
        <v>75.656441957227131</v>
      </c>
      <c r="Q34" s="172">
        <f t="shared" si="15"/>
        <v>520.24195130491239</v>
      </c>
      <c r="R34" s="16">
        <f t="shared" si="16"/>
        <v>11137.086481944667</v>
      </c>
      <c r="S34" s="7">
        <f t="shared" si="8"/>
        <v>1.8328428809730544</v>
      </c>
    </row>
    <row r="35" spans="2:19">
      <c r="B35" s="120">
        <f t="shared" si="9"/>
        <v>10000</v>
      </c>
      <c r="C35" s="11">
        <v>0.66999999999999904</v>
      </c>
      <c r="D35" s="7">
        <f t="shared" si="0"/>
        <v>721.84936267507635</v>
      </c>
      <c r="E35" s="121">
        <f t="shared" si="7"/>
        <v>9924.3435580427758</v>
      </c>
      <c r="F35" s="11">
        <f t="shared" si="1"/>
        <v>0.12765666855060548</v>
      </c>
      <c r="G35" s="11">
        <f t="shared" si="2"/>
        <v>1.7147125070647709E-2</v>
      </c>
      <c r="H35" s="12">
        <f t="shared" si="3"/>
        <v>1333.059699629998</v>
      </c>
      <c r="I35" s="12">
        <f t="shared" si="4"/>
        <v>5842.8149410705018</v>
      </c>
      <c r="J35" s="16">
        <f t="shared" si="5"/>
        <v>328.01806263712393</v>
      </c>
      <c r="K35" s="323">
        <f t="shared" si="10"/>
        <v>14.620298490222959</v>
      </c>
      <c r="L35" s="324">
        <f t="shared" si="11"/>
        <v>0.73700281554849567</v>
      </c>
      <c r="M35" s="7">
        <f t="shared" si="12"/>
        <v>20.292554765824281</v>
      </c>
      <c r="N35" s="7">
        <f t="shared" si="6"/>
        <v>4.1348146585101677</v>
      </c>
      <c r="O35" s="176">
        <f t="shared" si="13"/>
        <v>3.0404372012089995</v>
      </c>
      <c r="P35" s="16">
        <f t="shared" si="14"/>
        <v>78.696879158436133</v>
      </c>
      <c r="Q35" s="172">
        <f t="shared" si="15"/>
        <v>528.03482603152725</v>
      </c>
      <c r="R35" s="16">
        <f t="shared" si="16"/>
        <v>11665.121307976195</v>
      </c>
      <c r="S35" s="7">
        <f t="shared" si="8"/>
        <v>1.9197421677269757</v>
      </c>
    </row>
    <row r="36" spans="2:19">
      <c r="B36" s="120">
        <f t="shared" si="9"/>
        <v>10000</v>
      </c>
      <c r="C36" s="11">
        <v>0.67999999999999905</v>
      </c>
      <c r="D36" s="7">
        <f t="shared" si="0"/>
        <v>732.62323375977905</v>
      </c>
      <c r="E36" s="121">
        <f t="shared" si="7"/>
        <v>9921.3031208415669</v>
      </c>
      <c r="F36" s="11">
        <f t="shared" si="1"/>
        <v>0.12389170077880184</v>
      </c>
      <c r="G36" s="11">
        <f t="shared" si="2"/>
        <v>1.6985938779205071E-2</v>
      </c>
      <c r="H36" s="12">
        <f t="shared" si="3"/>
        <v>1360.2416171639618</v>
      </c>
      <c r="I36" s="12">
        <f t="shared" si="4"/>
        <v>5869.40004444241</v>
      </c>
      <c r="J36" s="16">
        <f t="shared" si="5"/>
        <v>332.97180705911933</v>
      </c>
      <c r="K36" s="323">
        <f t="shared" si="10"/>
        <v>14.622843539019975</v>
      </c>
      <c r="L36" s="324">
        <f t="shared" si="11"/>
        <v>0.73684770767306129</v>
      </c>
      <c r="M36" s="7">
        <f t="shared" si="12"/>
        <v>21.029402473497342</v>
      </c>
      <c r="N36" s="7">
        <f t="shared" si="6"/>
        <v>4.1536282742465636</v>
      </c>
      <c r="O36" s="176">
        <f t="shared" si="13"/>
        <v>3.0536600875903912</v>
      </c>
      <c r="P36" s="16">
        <f t="shared" si="14"/>
        <v>81.75053924602652</v>
      </c>
      <c r="Q36" s="172">
        <f t="shared" si="15"/>
        <v>535.86239927815438</v>
      </c>
      <c r="R36" s="16">
        <f t="shared" si="16"/>
        <v>12200.983707254349</v>
      </c>
      <c r="S36" s="7">
        <f t="shared" si="8"/>
        <v>2.0079296470367898</v>
      </c>
    </row>
    <row r="37" spans="2:19">
      <c r="B37" s="120">
        <f t="shared" si="9"/>
        <v>10000</v>
      </c>
      <c r="C37" s="11">
        <v>0.68999999999999895</v>
      </c>
      <c r="D37" s="7">
        <f t="shared" si="0"/>
        <v>743.39710484448165</v>
      </c>
      <c r="E37" s="121">
        <f t="shared" si="7"/>
        <v>9918.2494607539757</v>
      </c>
      <c r="F37" s="11">
        <f t="shared" si="1"/>
        <v>0.12028962406294184</v>
      </c>
      <c r="G37" s="11">
        <f t="shared" si="2"/>
        <v>1.6830860902360325E-2</v>
      </c>
      <c r="H37" s="12">
        <f t="shared" si="3"/>
        <v>1387.7562455554146</v>
      </c>
      <c r="I37" s="12">
        <f t="shared" si="4"/>
        <v>5895.9851478143182</v>
      </c>
      <c r="J37" s="16">
        <f t="shared" si="5"/>
        <v>337.90280504405808</v>
      </c>
      <c r="K37" s="323">
        <f t="shared" si="10"/>
        <v>14.624330359427317</v>
      </c>
      <c r="L37" s="324">
        <f t="shared" si="11"/>
        <v>0.73674612953113849</v>
      </c>
      <c r="M37" s="7">
        <f t="shared" si="12"/>
        <v>21.76614860302848</v>
      </c>
      <c r="N37" s="7">
        <f t="shared" si="6"/>
        <v>4.1724418899829594</v>
      </c>
      <c r="O37" s="176">
        <f t="shared" si="13"/>
        <v>3.0670999838503961</v>
      </c>
      <c r="P37" s="16">
        <f t="shared" si="14"/>
        <v>84.817639229876917</v>
      </c>
      <c r="Q37" s="172">
        <f t="shared" si="15"/>
        <v>543.72613578796484</v>
      </c>
      <c r="R37" s="16">
        <f t="shared" si="16"/>
        <v>12744.709843042314</v>
      </c>
      <c r="S37" s="7">
        <f t="shared" si="8"/>
        <v>2.0974112703314982</v>
      </c>
    </row>
    <row r="38" spans="2:19">
      <c r="B38" s="120">
        <f t="shared" si="9"/>
        <v>10000</v>
      </c>
      <c r="C38" s="11">
        <v>0.69999999999999896</v>
      </c>
      <c r="D38" s="7">
        <f t="shared" si="0"/>
        <v>754.17097592918424</v>
      </c>
      <c r="E38" s="121">
        <f t="shared" si="7"/>
        <v>9915.1823607701244</v>
      </c>
      <c r="F38" s="11">
        <f t="shared" si="1"/>
        <v>0.11684118364909331</v>
      </c>
      <c r="G38" s="11">
        <f t="shared" si="2"/>
        <v>1.6681544386841003E-2</v>
      </c>
      <c r="H38" s="12">
        <f t="shared" si="3"/>
        <v>1415.6014984541221</v>
      </c>
      <c r="I38" s="12">
        <f t="shared" si="4"/>
        <v>5922.5702511862264</v>
      </c>
      <c r="J38" s="16">
        <f t="shared" si="5"/>
        <v>342.81013692483441</v>
      </c>
      <c r="K38" s="323">
        <f t="shared" si="10"/>
        <v>14.624765069791396</v>
      </c>
      <c r="L38" s="324">
        <f t="shared" si="11"/>
        <v>0.73669772870581918</v>
      </c>
      <c r="M38" s="7">
        <f t="shared" si="12"/>
        <v>22.5028463317343</v>
      </c>
      <c r="N38" s="7">
        <f t="shared" si="6"/>
        <v>4.1912555057193552</v>
      </c>
      <c r="O38" s="176">
        <f t="shared" si="13"/>
        <v>3.0807584374983348</v>
      </c>
      <c r="P38" s="16">
        <f t="shared" si="14"/>
        <v>87.898397667375249</v>
      </c>
      <c r="Q38" s="172">
        <f t="shared" si="15"/>
        <v>551.6275018441462</v>
      </c>
      <c r="R38" s="16">
        <f t="shared" si="16"/>
        <v>13296.33734488646</v>
      </c>
      <c r="S38" s="7">
        <f t="shared" si="8"/>
        <v>2.1881932303479794</v>
      </c>
    </row>
    <row r="39" spans="2:19">
      <c r="B39" s="120">
        <f t="shared" si="9"/>
        <v>10000</v>
      </c>
      <c r="C39" s="11">
        <v>0.70999999999999897</v>
      </c>
      <c r="D39" s="7">
        <f t="shared" si="0"/>
        <v>764.94484701388694</v>
      </c>
      <c r="E39" s="121">
        <f t="shared" si="7"/>
        <v>9912.1016023326265</v>
      </c>
      <c r="F39" s="11">
        <f t="shared" si="1"/>
        <v>0.11353777245227674</v>
      </c>
      <c r="G39" s="11">
        <f t="shared" si="2"/>
        <v>1.653766646696038E-2</v>
      </c>
      <c r="H39" s="12">
        <f t="shared" si="3"/>
        <v>1443.775289451818</v>
      </c>
      <c r="I39" s="12">
        <f t="shared" si="4"/>
        <v>5949.1553545581346</v>
      </c>
      <c r="J39" s="16">
        <f t="shared" si="5"/>
        <v>347.69289126648277</v>
      </c>
      <c r="K39" s="323">
        <f t="shared" si="10"/>
        <v>14.624153790011388</v>
      </c>
      <c r="L39" s="324">
        <f t="shared" si="11"/>
        <v>0.73670217599115384</v>
      </c>
      <c r="M39" s="7">
        <f t="shared" si="12"/>
        <v>23.239548507725456</v>
      </c>
      <c r="N39" s="7">
        <f t="shared" si="6"/>
        <v>4.210069121455752</v>
      </c>
      <c r="O39" s="176">
        <f t="shared" si="13"/>
        <v>3.0946370670239856</v>
      </c>
      <c r="P39" s="16">
        <f t="shared" si="14"/>
        <v>90.993034734399231</v>
      </c>
      <c r="Q39" s="172">
        <f t="shared" si="15"/>
        <v>559.56796617237649</v>
      </c>
      <c r="R39" s="16">
        <f t="shared" si="16"/>
        <v>13855.905311058837</v>
      </c>
      <c r="S39" s="7">
        <f t="shared" si="8"/>
        <v>2.2802819615329533</v>
      </c>
    </row>
    <row r="40" spans="2:19">
      <c r="B40" s="120">
        <f t="shared" si="9"/>
        <v>10000</v>
      </c>
      <c r="C40" s="11">
        <v>0.71999999999999897</v>
      </c>
      <c r="D40" s="7">
        <f t="shared" si="0"/>
        <v>775.71871809858953</v>
      </c>
      <c r="E40" s="121">
        <f t="shared" si="7"/>
        <v>9909.006965265602</v>
      </c>
      <c r="F40" s="11">
        <f t="shared" si="1"/>
        <v>0.11037137743140329</v>
      </c>
      <c r="G40" s="11">
        <f t="shared" si="2"/>
        <v>1.6398926653677627E-2</v>
      </c>
      <c r="H40" s="12">
        <f t="shared" si="3"/>
        <v>1472.2755320795432</v>
      </c>
      <c r="I40" s="12">
        <f t="shared" si="4"/>
        <v>5975.7404579300428</v>
      </c>
      <c r="J40" s="16">
        <f t="shared" si="5"/>
        <v>352.55016486801622</v>
      </c>
      <c r="K40" s="323">
        <f t="shared" si="10"/>
        <v>14.62250264150765</v>
      </c>
      <c r="L40" s="324">
        <f t="shared" si="11"/>
        <v>0.73675916492742211</v>
      </c>
      <c r="M40" s="7">
        <f t="shared" si="12"/>
        <v>23.976307672652879</v>
      </c>
      <c r="N40" s="7">
        <f t="shared" si="6"/>
        <v>4.2288827371921478</v>
      </c>
      <c r="O40" s="176">
        <f t="shared" si="13"/>
        <v>3.1087375621200719</v>
      </c>
      <c r="P40" s="16">
        <f t="shared" si="14"/>
        <v>94.1017722965193</v>
      </c>
      <c r="Q40" s="172">
        <f t="shared" si="15"/>
        <v>567.5490008331866</v>
      </c>
      <c r="R40" s="16">
        <f t="shared" si="16"/>
        <v>14423.454311892025</v>
      </c>
      <c r="S40" s="7">
        <f t="shared" si="8"/>
        <v>2.3736841405918021</v>
      </c>
    </row>
    <row r="41" spans="2:19">
      <c r="B41" s="120">
        <f t="shared" si="9"/>
        <v>10000</v>
      </c>
      <c r="C41" s="11">
        <v>0.72999999999999798</v>
      </c>
      <c r="D41" s="7">
        <f t="shared" si="0"/>
        <v>786.4925891832911</v>
      </c>
      <c r="E41" s="121">
        <f t="shared" si="7"/>
        <v>9905.8982277034811</v>
      </c>
      <c r="F41" s="11">
        <f t="shared" si="1"/>
        <v>0.10733453107281188</v>
      </c>
      <c r="G41" s="11">
        <f t="shared" si="2"/>
        <v>1.626504491523045E-2</v>
      </c>
      <c r="H41" s="12">
        <f t="shared" si="3"/>
        <v>1501.1001398049702</v>
      </c>
      <c r="I41" s="12">
        <f t="shared" si="4"/>
        <v>6002.3255613019483</v>
      </c>
      <c r="J41" s="16">
        <f t="shared" si="5"/>
        <v>357.38106276421348</v>
      </c>
      <c r="K41" s="323">
        <f t="shared" si="10"/>
        <v>14.61981774719065</v>
      </c>
      <c r="L41" s="324">
        <f t="shared" si="11"/>
        <v>0.73686841136351833</v>
      </c>
      <c r="M41" s="7">
        <f t="shared" si="12"/>
        <v>24.713176084016396</v>
      </c>
      <c r="N41" s="7">
        <f t="shared" si="6"/>
        <v>4.2476963529285419</v>
      </c>
      <c r="O41" s="176">
        <f t="shared" si="13"/>
        <v>3.1230616839672254</v>
      </c>
      <c r="P41" s="16">
        <f t="shared" si="14"/>
        <v>97.224833980486522</v>
      </c>
      <c r="Q41" s="172">
        <f t="shared" si="15"/>
        <v>575.5720821054623</v>
      </c>
      <c r="R41" s="16">
        <f t="shared" si="16"/>
        <v>14999.026393997487</v>
      </c>
      <c r="S41" s="7">
        <f t="shared" si="8"/>
        <v>2.468406687182787</v>
      </c>
    </row>
    <row r="42" spans="2:19">
      <c r="B42" s="120">
        <f t="shared" si="9"/>
        <v>10000</v>
      </c>
      <c r="C42" s="11">
        <v>0.73999999999999799</v>
      </c>
      <c r="D42" s="7">
        <f t="shared" si="0"/>
        <v>797.26646026799381</v>
      </c>
      <c r="E42" s="121">
        <f t="shared" si="7"/>
        <v>9902.7751660195136</v>
      </c>
      <c r="F42" s="11">
        <f t="shared" si="1"/>
        <v>0.10442026743373675</v>
      </c>
      <c r="G42" s="11">
        <f t="shared" si="2"/>
        <v>1.6135760028765132E-2</v>
      </c>
      <c r="H42" s="12">
        <f t="shared" si="3"/>
        <v>1530.2470260297389</v>
      </c>
      <c r="I42" s="12">
        <f t="shared" si="4"/>
        <v>6028.9106646738574</v>
      </c>
      <c r="J42" s="16">
        <f t="shared" si="5"/>
        <v>362.18469822735568</v>
      </c>
      <c r="K42" s="323">
        <f t="shared" si="10"/>
        <v>14.6161052314303</v>
      </c>
      <c r="L42" s="324">
        <f t="shared" si="11"/>
        <v>0.73702965304575485</v>
      </c>
      <c r="M42" s="7">
        <f t="shared" si="12"/>
        <v>25.450205737062152</v>
      </c>
      <c r="N42" s="7">
        <f t="shared" si="6"/>
        <v>4.2665099686649386</v>
      </c>
      <c r="O42" s="176">
        <f t="shared" si="13"/>
        <v>3.1376112655820076</v>
      </c>
      <c r="P42" s="16">
        <f t="shared" si="14"/>
        <v>100.36244524606853</v>
      </c>
      <c r="Q42" s="172">
        <f t="shared" si="15"/>
        <v>583.63869136257756</v>
      </c>
      <c r="R42" s="16">
        <f t="shared" si="16"/>
        <v>15582.665085360064</v>
      </c>
      <c r="S42" s="7">
        <f t="shared" si="8"/>
        <v>2.5644567647554579</v>
      </c>
    </row>
    <row r="43" spans="2:19">
      <c r="B43" s="120">
        <f t="shared" si="9"/>
        <v>10000</v>
      </c>
      <c r="C43" s="11">
        <v>0.749999999999998</v>
      </c>
      <c r="D43" s="7">
        <f t="shared" si="0"/>
        <v>808.04033135269651</v>
      </c>
      <c r="E43" s="121">
        <f t="shared" si="7"/>
        <v>9899.6375547539319</v>
      </c>
      <c r="F43" s="11">
        <f t="shared" si="1"/>
        <v>0.10162208226245288</v>
      </c>
      <c r="G43" s="11">
        <f t="shared" si="2"/>
        <v>1.6010828084841989E-2</v>
      </c>
      <c r="H43" s="12">
        <f t="shared" si="3"/>
        <v>1559.7141040867407</v>
      </c>
      <c r="I43" s="12">
        <f t="shared" si="4"/>
        <v>6055.4957680457655</v>
      </c>
      <c r="J43" s="16">
        <f t="shared" si="5"/>
        <v>366.96019276890837</v>
      </c>
      <c r="K43" s="323">
        <f t="shared" si="10"/>
        <v>14.611371220025745</v>
      </c>
      <c r="L43" s="324">
        <f t="shared" si="11"/>
        <v>0.73724264923090721</v>
      </c>
      <c r="M43" s="7">
        <f t="shared" si="12"/>
        <v>26.18744838629306</v>
      </c>
      <c r="N43" s="7">
        <f t="shared" si="6"/>
        <v>4.2853235844013344</v>
      </c>
      <c r="O43" s="176">
        <f t="shared" si="13"/>
        <v>3.1523882122221711</v>
      </c>
      <c r="P43" s="16">
        <f t="shared" si="14"/>
        <v>103.51483345829071</v>
      </c>
      <c r="Q43" s="172">
        <f t="shared" si="15"/>
        <v>591.75031594140285</v>
      </c>
      <c r="R43" s="16">
        <f t="shared" si="16"/>
        <v>16174.415401301467</v>
      </c>
      <c r="S43" s="7">
        <f t="shared" si="8"/>
        <v>2.6618417815320696</v>
      </c>
    </row>
    <row r="44" spans="2:19">
      <c r="B44" s="120">
        <f t="shared" si="9"/>
        <v>10000</v>
      </c>
      <c r="C44" s="11">
        <v>0.75999999999999801</v>
      </c>
      <c r="D44" s="7">
        <f t="shared" si="0"/>
        <v>818.8142024373991</v>
      </c>
      <c r="E44" s="121">
        <f t="shared" si="7"/>
        <v>9896.48516654171</v>
      </c>
      <c r="F44" s="11">
        <f t="shared" si="1"/>
        <v>9.8933896768695115E-2</v>
      </c>
      <c r="G44" s="11">
        <f t="shared" si="2"/>
        <v>1.591667370960869E-2</v>
      </c>
      <c r="H44" s="12">
        <f t="shared" si="3"/>
        <v>1592.1653792339994</v>
      </c>
      <c r="I44" s="12">
        <f t="shared" si="4"/>
        <v>6082.0808714176737</v>
      </c>
      <c r="J44" s="16">
        <f t="shared" si="5"/>
        <v>371.48608934139435</v>
      </c>
      <c r="K44" s="323">
        <f t="shared" si="10"/>
        <v>14.596954233196517</v>
      </c>
      <c r="L44" s="324">
        <f t="shared" si="11"/>
        <v>0.73772603649991297</v>
      </c>
      <c r="M44" s="7">
        <f t="shared" si="12"/>
        <v>26.925174422792974</v>
      </c>
      <c r="N44" s="7">
        <f t="shared" si="6"/>
        <v>4.3041372001377303</v>
      </c>
      <c r="O44" s="176">
        <f t="shared" si="13"/>
        <v>3.1683344301247183</v>
      </c>
      <c r="P44" s="16">
        <f t="shared" si="14"/>
        <v>106.68316788841543</v>
      </c>
      <c r="Q44" s="172">
        <f t="shared" si="15"/>
        <v>600.08647358744042</v>
      </c>
      <c r="R44" s="16">
        <f t="shared" si="16"/>
        <v>16774.501874888909</v>
      </c>
      <c r="S44" s="7">
        <f t="shared" si="8"/>
        <v>2.7605986891726859</v>
      </c>
    </row>
    <row r="45" spans="2:19">
      <c r="B45" s="120">
        <f t="shared" si="9"/>
        <v>10000</v>
      </c>
      <c r="C45" s="11">
        <v>0.76999999999999802</v>
      </c>
      <c r="D45" s="7">
        <f t="shared" si="0"/>
        <v>829.58807352210181</v>
      </c>
      <c r="E45" s="121">
        <f t="shared" si="7"/>
        <v>9893.3168321115845</v>
      </c>
      <c r="F45" s="11">
        <f t="shared" si="1"/>
        <v>9.635001551361376E-2</v>
      </c>
      <c r="G45" s="11">
        <f t="shared" si="2"/>
        <v>1.5864375193920175E-2</v>
      </c>
      <c r="H45" s="12">
        <f t="shared" si="3"/>
        <v>1628.9700556900018</v>
      </c>
      <c r="I45" s="12">
        <f t="shared" si="4"/>
        <v>6108.6659747895819</v>
      </c>
      <c r="J45" s="16">
        <f t="shared" si="5"/>
        <v>375.63765222077211</v>
      </c>
      <c r="K45" s="323">
        <f t="shared" si="10"/>
        <v>14.568393891247442</v>
      </c>
      <c r="L45" s="324">
        <f t="shared" si="11"/>
        <v>0.7388131311673215</v>
      </c>
      <c r="M45" s="7">
        <f t="shared" si="12"/>
        <v>27.663987553960297</v>
      </c>
      <c r="N45" s="7">
        <f t="shared" si="6"/>
        <v>4.322950815874127</v>
      </c>
      <c r="O45" s="176">
        <f t="shared" si="13"/>
        <v>3.186902954982898</v>
      </c>
      <c r="P45" s="16">
        <f t="shared" si="14"/>
        <v>109.87007084339832</v>
      </c>
      <c r="Q45" s="172">
        <f t="shared" si="15"/>
        <v>608.93062346248905</v>
      </c>
      <c r="R45" s="16">
        <f t="shared" si="16"/>
        <v>17383.432498351398</v>
      </c>
      <c r="S45" s="7">
        <f t="shared" si="8"/>
        <v>2.8608110885312685</v>
      </c>
    </row>
    <row r="46" spans="2:19">
      <c r="B46" s="120">
        <f t="shared" si="9"/>
        <v>10000</v>
      </c>
      <c r="C46" s="11">
        <v>0.77999999999999803</v>
      </c>
      <c r="D46" s="7">
        <f t="shared" si="0"/>
        <v>840.3619446068044</v>
      </c>
      <c r="E46" s="121">
        <f t="shared" si="7"/>
        <v>9890.1299291566011</v>
      </c>
      <c r="F46" s="11">
        <f t="shared" si="1"/>
        <v>9.3865092709060238E-2</v>
      </c>
      <c r="G46" s="11">
        <f t="shared" si="2"/>
        <v>1.5813313658863258E-2</v>
      </c>
      <c r="H46" s="12">
        <f t="shared" si="3"/>
        <v>1666.1755950257364</v>
      </c>
      <c r="I46" s="12">
        <f t="shared" si="4"/>
        <v>6135.2510781614901</v>
      </c>
      <c r="J46" s="16">
        <f t="shared" si="5"/>
        <v>379.73626135393198</v>
      </c>
      <c r="K46" s="323">
        <f t="shared" si="10"/>
        <v>14.538538484769079</v>
      </c>
      <c r="L46" s="324">
        <f t="shared" si="11"/>
        <v>0.74029588178656891</v>
      </c>
      <c r="M46" s="7">
        <f t="shared" si="12"/>
        <v>28.404283435746866</v>
      </c>
      <c r="N46" s="7">
        <f t="shared" si="6"/>
        <v>4.3417644316105228</v>
      </c>
      <c r="O46" s="176">
        <f t="shared" si="13"/>
        <v>3.2072265072830892</v>
      </c>
      <c r="P46" s="16">
        <f t="shared" si="14"/>
        <v>113.07729735068142</v>
      </c>
      <c r="Q46" s="172">
        <f t="shared" si="15"/>
        <v>618.12856060511774</v>
      </c>
      <c r="R46" s="16">
        <f t="shared" si="16"/>
        <v>18001.561058956515</v>
      </c>
      <c r="S46" s="7">
        <f t="shared" si="8"/>
        <v>2.9625372027773871</v>
      </c>
    </row>
    <row r="47" spans="2:19">
      <c r="B47" s="120">
        <f t="shared" si="9"/>
        <v>10000</v>
      </c>
      <c r="C47" s="11">
        <v>0.78999999999999804</v>
      </c>
      <c r="D47" s="7">
        <f t="shared" si="0"/>
        <v>851.1358156915071</v>
      </c>
      <c r="E47" s="121">
        <f t="shared" si="7"/>
        <v>9886.9227026493172</v>
      </c>
      <c r="F47" s="11">
        <f t="shared" si="1"/>
        <v>9.1474127957446735E-2</v>
      </c>
      <c r="G47" s="11">
        <f t="shared" si="2"/>
        <v>1.5763426599468087E-2</v>
      </c>
      <c r="H47" s="12">
        <f t="shared" si="3"/>
        <v>1703.7798970909955</v>
      </c>
      <c r="I47" s="12">
        <f t="shared" si="4"/>
        <v>6161.8361815333983</v>
      </c>
      <c r="J47" s="16">
        <f t="shared" si="5"/>
        <v>383.78082707582786</v>
      </c>
      <c r="K47" s="323">
        <f t="shared" si="10"/>
        <v>14.507396002723393</v>
      </c>
      <c r="L47" s="324">
        <f t="shared" si="11"/>
        <v>0.74185053948545276</v>
      </c>
      <c r="M47" s="7">
        <f t="shared" si="12"/>
        <v>29.146133975232317</v>
      </c>
      <c r="N47" s="7">
        <f t="shared" si="6"/>
        <v>4.3605780473469196</v>
      </c>
      <c r="O47" s="176">
        <f t="shared" si="13"/>
        <v>3.2279187314008757</v>
      </c>
      <c r="P47" s="16">
        <f t="shared" si="14"/>
        <v>116.3052160820823</v>
      </c>
      <c r="Q47" s="172">
        <f t="shared" si="15"/>
        <v>627.41926300786872</v>
      </c>
      <c r="R47" s="16">
        <f t="shared" si="16"/>
        <v>18628.980321964384</v>
      </c>
      <c r="S47" s="7">
        <f t="shared" si="8"/>
        <v>3.0657922983945074</v>
      </c>
    </row>
    <row r="48" spans="2:19" ht="15" thickBot="1">
      <c r="B48" s="120">
        <f t="shared" si="9"/>
        <v>10000</v>
      </c>
      <c r="C48" s="11">
        <v>0.79999999999999805</v>
      </c>
      <c r="D48" s="7">
        <f t="shared" si="0"/>
        <v>861.9096867762097</v>
      </c>
      <c r="E48" s="121">
        <f t="shared" si="7"/>
        <v>9883.6947839179156</v>
      </c>
      <c r="F48" s="11">
        <f t="shared" si="1"/>
        <v>8.9172444736546855E-2</v>
      </c>
      <c r="G48" s="11">
        <f t="shared" si="2"/>
        <v>1.5714655559206838E-2</v>
      </c>
      <c r="H48" s="12">
        <f t="shared" si="3"/>
        <v>1741.7808790650179</v>
      </c>
      <c r="I48" s="12">
        <f t="shared" si="4"/>
        <v>6188.4212849053065</v>
      </c>
      <c r="J48" s="16">
        <f t="shared" si="5"/>
        <v>387.77021379093924</v>
      </c>
      <c r="K48" s="325">
        <f t="shared" si="10"/>
        <v>14.47497232009766</v>
      </c>
      <c r="L48" s="324">
        <f t="shared" si="11"/>
        <v>0.74347761816408364</v>
      </c>
      <c r="M48" s="7">
        <f t="shared" si="12"/>
        <v>29.889611593396399</v>
      </c>
      <c r="N48" s="7">
        <f t="shared" si="6"/>
        <v>4.3793916630833154</v>
      </c>
      <c r="O48" s="177">
        <f t="shared" si="13"/>
        <v>3.2489859315684533</v>
      </c>
      <c r="P48" s="16">
        <f t="shared" si="14"/>
        <v>119.55420201365075</v>
      </c>
      <c r="Q48" s="175">
        <f t="shared" si="15"/>
        <v>636.80549499069696</v>
      </c>
      <c r="R48" s="16">
        <f t="shared" si="16"/>
        <v>19265.785816955082</v>
      </c>
      <c r="S48" s="7">
        <f t="shared" si="8"/>
        <v>3.1705920967933454</v>
      </c>
    </row>
    <row r="49" spans="2:11">
      <c r="B49" s="55"/>
      <c r="C49" s="18"/>
      <c r="D49" s="1"/>
      <c r="E49" s="121">
        <f t="shared" si="7"/>
        <v>9880.4457979863473</v>
      </c>
      <c r="F49" s="1"/>
      <c r="H49" s="18"/>
      <c r="I49" s="1"/>
      <c r="J49" s="1"/>
      <c r="K49" s="1"/>
    </row>
  </sheetData>
  <mergeCells count="2">
    <mergeCell ref="B2:D2"/>
    <mergeCell ref="B3:D3"/>
  </mergeCells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8FDFC-116F-4D7D-90A7-D3E2E408FF49}">
  <sheetPr codeName="Sheet14">
    <tabColor theme="5" tint="-0.249977111117893"/>
  </sheetPr>
  <dimension ref="B1:S49"/>
  <sheetViews>
    <sheetView topLeftCell="D1" workbookViewId="0">
      <selection activeCell="L9" sqref="L9"/>
    </sheetView>
  </sheetViews>
  <sheetFormatPr defaultRowHeight="14.5"/>
  <cols>
    <col min="1" max="1" width="2.7265625" customWidth="1"/>
    <col min="2" max="19" width="10.7265625" customWidth="1"/>
  </cols>
  <sheetData>
    <row r="1" spans="2:19" ht="15" thickBot="1"/>
    <row r="2" spans="2:19">
      <c r="B2" s="631" t="s">
        <v>330</v>
      </c>
      <c r="C2" s="632"/>
      <c r="D2" s="633"/>
      <c r="F2" t="s">
        <v>6</v>
      </c>
      <c r="G2" s="8">
        <v>10000</v>
      </c>
      <c r="H2" t="s">
        <v>5</v>
      </c>
      <c r="I2" s="123" t="s">
        <v>108</v>
      </c>
      <c r="J2" s="124">
        <f>M48</f>
        <v>50.882616455644396</v>
      </c>
      <c r="K2" s="125" t="s">
        <v>223</v>
      </c>
      <c r="M2" t="s">
        <v>17</v>
      </c>
      <c r="N2" s="3">
        <f>Linterp(G3,atmos_h,atmos_aspeed)</f>
        <v>994.66966350329255</v>
      </c>
      <c r="O2" t="s">
        <v>20</v>
      </c>
    </row>
    <row r="3" spans="2:19" ht="15" thickBot="1">
      <c r="B3" s="634" t="s">
        <v>229</v>
      </c>
      <c r="C3" s="635"/>
      <c r="D3" s="636"/>
      <c r="F3" t="s">
        <v>1</v>
      </c>
      <c r="G3" s="8">
        <v>30000</v>
      </c>
      <c r="H3" s="10" t="s">
        <v>2</v>
      </c>
      <c r="I3" s="126" t="s">
        <v>111</v>
      </c>
      <c r="J3" s="122">
        <f>P48</f>
        <v>112.92698515395648</v>
      </c>
      <c r="K3" s="127" t="s">
        <v>5</v>
      </c>
      <c r="M3" t="s">
        <v>0</v>
      </c>
      <c r="N3" s="1">
        <f>Linterp(G3,atmos_h,atmos_qms)</f>
        <v>439.90350606186917</v>
      </c>
      <c r="O3" t="s">
        <v>224</v>
      </c>
    </row>
    <row r="4" spans="2:19" ht="15" thickBot="1">
      <c r="B4" s="55"/>
      <c r="G4" s="8"/>
      <c r="H4" s="8"/>
      <c r="I4" s="128" t="s">
        <v>182</v>
      </c>
      <c r="J4" s="129">
        <f>S48</f>
        <v>5.7337225064315032</v>
      </c>
      <c r="K4" s="130" t="s">
        <v>183</v>
      </c>
    </row>
    <row r="5" spans="2:19" ht="15" thickBot="1">
      <c r="B5" s="55"/>
      <c r="D5" s="8"/>
      <c r="E5" s="8"/>
      <c r="G5" s="9"/>
    </row>
    <row r="6" spans="2:19">
      <c r="B6" s="6" t="s">
        <v>1</v>
      </c>
      <c r="C6" s="6" t="s">
        <v>72</v>
      </c>
      <c r="D6" s="6" t="s">
        <v>185</v>
      </c>
      <c r="E6" s="6" t="s">
        <v>6</v>
      </c>
      <c r="F6" s="6" t="s">
        <v>74</v>
      </c>
      <c r="G6" s="6" t="s">
        <v>75</v>
      </c>
      <c r="H6" s="6" t="s">
        <v>186</v>
      </c>
      <c r="I6" s="6" t="s">
        <v>202</v>
      </c>
      <c r="J6" s="6" t="s">
        <v>188</v>
      </c>
      <c r="K6" s="312" t="s">
        <v>225</v>
      </c>
      <c r="L6" s="310" t="s">
        <v>192</v>
      </c>
      <c r="M6" s="183" t="s">
        <v>108</v>
      </c>
      <c r="N6" s="6" t="s">
        <v>193</v>
      </c>
      <c r="O6" s="308" t="s">
        <v>110</v>
      </c>
      <c r="P6" s="185" t="s">
        <v>111</v>
      </c>
      <c r="Q6" s="308" t="s">
        <v>195</v>
      </c>
      <c r="R6" s="6" t="s">
        <v>182</v>
      </c>
      <c r="S6" s="187" t="s">
        <v>182</v>
      </c>
    </row>
    <row r="7" spans="2:19" ht="16.5">
      <c r="B7" s="6" t="s">
        <v>30</v>
      </c>
      <c r="C7" s="5"/>
      <c r="D7" s="6" t="s">
        <v>69</v>
      </c>
      <c r="E7" s="6" t="s">
        <v>78</v>
      </c>
      <c r="F7" s="5"/>
      <c r="G7" s="5"/>
      <c r="H7" s="6" t="s">
        <v>78</v>
      </c>
      <c r="I7" s="6" t="s">
        <v>78</v>
      </c>
      <c r="J7" s="6" t="s">
        <v>69</v>
      </c>
      <c r="K7" s="317" t="s">
        <v>417</v>
      </c>
      <c r="L7" s="318" t="s">
        <v>112</v>
      </c>
      <c r="M7" s="183" t="s">
        <v>112</v>
      </c>
      <c r="N7" s="6" t="s">
        <v>227</v>
      </c>
      <c r="O7" s="330" t="s">
        <v>78</v>
      </c>
      <c r="P7" s="185" t="s">
        <v>78</v>
      </c>
      <c r="Q7" s="330" t="s">
        <v>30</v>
      </c>
      <c r="R7" s="6" t="s">
        <v>30</v>
      </c>
      <c r="S7" s="187" t="s">
        <v>203</v>
      </c>
    </row>
    <row r="8" spans="2:19">
      <c r="B8" s="120">
        <f>G3</f>
        <v>30000</v>
      </c>
      <c r="C8" s="11">
        <v>0.5</v>
      </c>
      <c r="D8" s="7">
        <f t="shared" ref="D8:D48" si="0">C8*N$2</f>
        <v>497.33483175164628</v>
      </c>
      <c r="E8" s="121">
        <f>G2</f>
        <v>10000</v>
      </c>
      <c r="F8" s="11">
        <f t="shared" ref="F8:F48" si="1">E8/(N$3*C8*C8*_xlfn.SINGLE(S))</f>
        <v>0.53487665909615745</v>
      </c>
      <c r="G8" s="11">
        <f t="shared" ref="G8:G48" si="2">InterpolateXY(F8,C8,CD_CL,CD_M,CD_table)</f>
        <v>6.8616394297097288E-2</v>
      </c>
      <c r="H8" s="12">
        <f t="shared" ref="H8:H48" si="3">G8*N$3*C8*C8*_xlfn.SINGLE(S)</f>
        <v>1282.8451780462115</v>
      </c>
      <c r="I8" s="12">
        <f t="shared" ref="I8:I48" si="4">_xlfn.SINGLE(InterpolateXY(B8,C8,Tmax_h,Tmax_M,Tmax_table))*_xlfn.SINGLE(numeng)</f>
        <v>3030.4296019938702</v>
      </c>
      <c r="J8" s="16">
        <f t="shared" ref="J8:J48" si="5">(I8-H8)*D8/E8</f>
        <v>86.913460545580648</v>
      </c>
      <c r="K8" s="323">
        <f>J8*32.174/D8</f>
        <v>5.6226781256091964</v>
      </c>
      <c r="L8" s="324">
        <v>0</v>
      </c>
      <c r="M8" s="7">
        <v>0</v>
      </c>
      <c r="N8" s="7">
        <f t="shared" ref="N8:N48" si="6">_xlfn.SINGLE(InterpolateXY(B8,C8,FFmax_h,FFmax_M,FFmax_table))*_xlfn.SINGLE(numeng)/3600</f>
        <v>1.9799088499129132</v>
      </c>
      <c r="O8" s="176">
        <f>0</f>
        <v>0</v>
      </c>
      <c r="P8" s="16">
        <v>0</v>
      </c>
      <c r="Q8" s="172">
        <f>AVERAGE(P8:P9)*L8</f>
        <v>0</v>
      </c>
      <c r="R8" s="16">
        <v>0</v>
      </c>
      <c r="S8" s="7">
        <f>R8/6076.4</f>
        <v>0</v>
      </c>
    </row>
    <row r="9" spans="2:19">
      <c r="B9" s="120">
        <f>B8</f>
        <v>30000</v>
      </c>
      <c r="C9" s="11">
        <v>0.51</v>
      </c>
      <c r="D9" s="7">
        <f t="shared" si="0"/>
        <v>507.28152838667921</v>
      </c>
      <c r="E9" s="121">
        <f t="shared" ref="E9:E49" si="7">E8-O8</f>
        <v>10000</v>
      </c>
      <c r="F9" s="11">
        <f t="shared" si="1"/>
        <v>0.514106746536099</v>
      </c>
      <c r="G9" s="11">
        <f t="shared" si="2"/>
        <v>6.2095411665798989E-2</v>
      </c>
      <c r="H9" s="12">
        <f t="shared" si="3"/>
        <v>1207.8310989727274</v>
      </c>
      <c r="I9" s="12">
        <f t="shared" si="4"/>
        <v>3049.8842117844479</v>
      </c>
      <c r="J9" s="16">
        <f t="shared" si="5"/>
        <v>93.443951843656961</v>
      </c>
      <c r="K9" s="323">
        <f>J9*32.174/D9</f>
        <v>5.9266216851604296</v>
      </c>
      <c r="L9" s="324">
        <f>(D9-D8)/AVERAGE(K8:K9)</f>
        <v>1.7224761324072173</v>
      </c>
      <c r="M9" s="7">
        <f>M8+L9</f>
        <v>1.7224761324072173</v>
      </c>
      <c r="N9" s="7">
        <f t="shared" si="6"/>
        <v>1.9926193758629713</v>
      </c>
      <c r="O9" s="176">
        <f>AVERAGE(N8:N9)*L9</f>
        <v>3.4212925271064756</v>
      </c>
      <c r="P9" s="16">
        <f>P8+O9</f>
        <v>3.4212925271064756</v>
      </c>
      <c r="Q9" s="172">
        <f>AVERAGE(D8:D9)*L9</f>
        <v>865.21385128203951</v>
      </c>
      <c r="R9" s="16">
        <f>R8+Q9</f>
        <v>865.21385128203951</v>
      </c>
      <c r="S9" s="7">
        <f t="shared" ref="S9:S48" si="8">R9/6076.4</f>
        <v>0.14238921915641492</v>
      </c>
    </row>
    <row r="10" spans="2:19">
      <c r="B10" s="120">
        <f t="shared" ref="B10:B48" si="9">B9</f>
        <v>30000</v>
      </c>
      <c r="C10" s="11">
        <v>0.52</v>
      </c>
      <c r="D10" s="7">
        <f t="shared" si="0"/>
        <v>517.22822502171209</v>
      </c>
      <c r="E10" s="121">
        <f t="shared" si="7"/>
        <v>9996.5787074728942</v>
      </c>
      <c r="F10" s="11">
        <f t="shared" si="1"/>
        <v>0.49435434739690126</v>
      </c>
      <c r="G10" s="11">
        <f t="shared" si="2"/>
        <v>5.6525223826777153E-2</v>
      </c>
      <c r="H10" s="12">
        <f t="shared" si="3"/>
        <v>1143.0239299346795</v>
      </c>
      <c r="I10" s="12">
        <f t="shared" si="4"/>
        <v>3069.338821575026</v>
      </c>
      <c r="J10" s="16">
        <f t="shared" si="5"/>
        <v>99.668542747651827</v>
      </c>
      <c r="K10" s="323">
        <f t="shared" ref="K10:K48" si="10">J10*32.174/D10</f>
        <v>6.1998466812756359</v>
      </c>
      <c r="L10" s="324">
        <f t="shared" ref="L10:L48" si="11">(D10-D9)/AVERAGE(K9:K10)</f>
        <v>1.6404935607738176</v>
      </c>
      <c r="M10" s="7">
        <f t="shared" ref="M10:M48" si="12">M9+L10</f>
        <v>3.3629696931810349</v>
      </c>
      <c r="N10" s="7">
        <f t="shared" si="6"/>
        <v>2.0053299018130293</v>
      </c>
      <c r="O10" s="176">
        <f t="shared" ref="O10:O48" si="13">AVERAGE(N9:N10)*L10</f>
        <v>3.2793050231639072</v>
      </c>
      <c r="P10" s="16">
        <f t="shared" ref="P10:P48" si="14">P9+O10</f>
        <v>6.7005975502703823</v>
      </c>
      <c r="Q10" s="172">
        <f t="shared" ref="Q10:Q48" si="15">AVERAGE(D9:D10)*L10</f>
        <v>840.35082670821885</v>
      </c>
      <c r="R10" s="16">
        <f t="shared" ref="R10:R48" si="16">R9+Q10</f>
        <v>1705.5646779902584</v>
      </c>
      <c r="S10" s="7">
        <f t="shared" si="8"/>
        <v>0.28068670232214116</v>
      </c>
    </row>
    <row r="11" spans="2:19">
      <c r="B11" s="120">
        <f t="shared" si="9"/>
        <v>30000</v>
      </c>
      <c r="C11" s="11">
        <v>0.53</v>
      </c>
      <c r="D11" s="7">
        <f t="shared" si="0"/>
        <v>527.17492165674503</v>
      </c>
      <c r="E11" s="121">
        <f t="shared" si="7"/>
        <v>9993.2994024497311</v>
      </c>
      <c r="F11" s="11">
        <f t="shared" si="1"/>
        <v>0.47571934832057122</v>
      </c>
      <c r="G11" s="11">
        <f t="shared" si="2"/>
        <v>5.275958901243482E-2</v>
      </c>
      <c r="H11" s="12">
        <f t="shared" si="3"/>
        <v>1108.3054982160775</v>
      </c>
      <c r="I11" s="12">
        <f t="shared" si="4"/>
        <v>3088.7934313656037</v>
      </c>
      <c r="J11" s="16">
        <f t="shared" si="5"/>
        <v>104.47636250588984</v>
      </c>
      <c r="K11" s="323">
        <f t="shared" si="10"/>
        <v>6.3762943743617502</v>
      </c>
      <c r="L11" s="324">
        <f t="shared" si="11"/>
        <v>1.5818360482803626</v>
      </c>
      <c r="M11" s="7">
        <f t="shared" si="12"/>
        <v>4.9448057414613977</v>
      </c>
      <c r="N11" s="7">
        <f t="shared" si="6"/>
        <v>2.0180404277630877</v>
      </c>
      <c r="O11" s="176">
        <f t="shared" si="13"/>
        <v>3.1821561114525729</v>
      </c>
      <c r="P11" s="16">
        <f t="shared" si="14"/>
        <v>9.8827536617229548</v>
      </c>
      <c r="Q11" s="172">
        <f t="shared" si="15"/>
        <v>826.03727317671337</v>
      </c>
      <c r="R11" s="16">
        <f t="shared" si="16"/>
        <v>2531.601951166972</v>
      </c>
      <c r="S11" s="7">
        <f t="shared" si="8"/>
        <v>0.41662858784263251</v>
      </c>
    </row>
    <row r="12" spans="2:19">
      <c r="B12" s="120">
        <f t="shared" si="9"/>
        <v>30000</v>
      </c>
      <c r="C12" s="11">
        <v>0.54</v>
      </c>
      <c r="D12" s="7">
        <f t="shared" si="0"/>
        <v>537.12161829177796</v>
      </c>
      <c r="E12" s="121">
        <f t="shared" si="7"/>
        <v>9990.1172463382791</v>
      </c>
      <c r="F12" s="11">
        <f t="shared" si="1"/>
        <v>0.45811732996401944</v>
      </c>
      <c r="G12" s="11">
        <f t="shared" si="2"/>
        <v>4.920158332276791E-2</v>
      </c>
      <c r="H12" s="12">
        <f t="shared" si="3"/>
        <v>1072.9338401988382</v>
      </c>
      <c r="I12" s="12">
        <f t="shared" si="4"/>
        <v>3108.2480411561819</v>
      </c>
      <c r="J12" s="16">
        <f t="shared" si="5"/>
        <v>109.42927198888931</v>
      </c>
      <c r="K12" s="323">
        <f t="shared" si="10"/>
        <v>6.5548979543361998</v>
      </c>
      <c r="L12" s="324">
        <f t="shared" si="11"/>
        <v>1.5384036339724714</v>
      </c>
      <c r="M12" s="7">
        <f t="shared" si="12"/>
        <v>6.4832093754338693</v>
      </c>
      <c r="N12" s="7">
        <f t="shared" si="6"/>
        <v>2.0307509537131461</v>
      </c>
      <c r="O12" s="176">
        <f t="shared" si="13"/>
        <v>3.1143376872297299</v>
      </c>
      <c r="P12" s="16">
        <f t="shared" si="14"/>
        <v>12.997091348952685</v>
      </c>
      <c r="Q12" s="172">
        <f t="shared" si="15"/>
        <v>818.65883234056753</v>
      </c>
      <c r="R12" s="16">
        <f t="shared" si="16"/>
        <v>3350.2607835075396</v>
      </c>
      <c r="S12" s="7">
        <f t="shared" si="8"/>
        <v>0.55135619503448419</v>
      </c>
    </row>
    <row r="13" spans="2:19">
      <c r="B13" s="120">
        <f t="shared" si="9"/>
        <v>30000</v>
      </c>
      <c r="C13" s="11">
        <v>0.55000000000000004</v>
      </c>
      <c r="D13" s="7">
        <f t="shared" si="0"/>
        <v>547.0683149268109</v>
      </c>
      <c r="E13" s="121">
        <f t="shared" si="7"/>
        <v>9987.0029086510494</v>
      </c>
      <c r="F13" s="11">
        <f t="shared" si="1"/>
        <v>0.44147229340189081</v>
      </c>
      <c r="G13" s="11">
        <f t="shared" si="2"/>
        <v>4.5835930973780047E-2</v>
      </c>
      <c r="H13" s="12">
        <f t="shared" si="3"/>
        <v>1036.9021630518237</v>
      </c>
      <c r="I13" s="12">
        <f t="shared" si="4"/>
        <v>3127.7026509467596</v>
      </c>
      <c r="J13" s="16">
        <f t="shared" si="5"/>
        <v>114.52992556656139</v>
      </c>
      <c r="K13" s="323">
        <f t="shared" si="10"/>
        <v>6.7356959352901393</v>
      </c>
      <c r="L13" s="324">
        <f t="shared" si="11"/>
        <v>1.4968024330043814</v>
      </c>
      <c r="M13" s="7">
        <f t="shared" si="12"/>
        <v>7.9800118084382508</v>
      </c>
      <c r="N13" s="7">
        <f t="shared" si="6"/>
        <v>2.043461479663204</v>
      </c>
      <c r="O13" s="176">
        <f t="shared" si="13"/>
        <v>3.0491455414272108</v>
      </c>
      <c r="P13" s="16">
        <f t="shared" si="14"/>
        <v>16.046236890379895</v>
      </c>
      <c r="Q13" s="172">
        <f t="shared" si="15"/>
        <v>811.4090649402209</v>
      </c>
      <c r="R13" s="16">
        <f t="shared" si="16"/>
        <v>4161.6698484477602</v>
      </c>
      <c r="S13" s="7">
        <f t="shared" si="8"/>
        <v>0.68489069983012318</v>
      </c>
    </row>
    <row r="14" spans="2:19">
      <c r="B14" s="120">
        <f t="shared" si="9"/>
        <v>30000</v>
      </c>
      <c r="C14" s="11">
        <v>0.56000000000000005</v>
      </c>
      <c r="D14" s="7">
        <f t="shared" si="0"/>
        <v>557.01501156184383</v>
      </c>
      <c r="E14" s="121">
        <f t="shared" si="7"/>
        <v>9983.9537631096227</v>
      </c>
      <c r="F14" s="11">
        <f t="shared" si="1"/>
        <v>0.42571618569695341</v>
      </c>
      <c r="G14" s="11">
        <f t="shared" si="2"/>
        <v>4.2648953325087634E-2</v>
      </c>
      <c r="H14" s="12">
        <f t="shared" si="3"/>
        <v>1000.2090414899218</v>
      </c>
      <c r="I14" s="12">
        <f t="shared" si="4"/>
        <v>3147.1572607373378</v>
      </c>
      <c r="J14" s="16">
        <f t="shared" si="5"/>
        <v>119.7804412501914</v>
      </c>
      <c r="K14" s="323">
        <f t="shared" si="10"/>
        <v>6.9186930994511977</v>
      </c>
      <c r="L14" s="324">
        <f t="shared" si="11"/>
        <v>1.4569229878722818</v>
      </c>
      <c r="M14" s="7">
        <f t="shared" si="12"/>
        <v>9.436934796310533</v>
      </c>
      <c r="N14" s="7">
        <f t="shared" si="6"/>
        <v>2.0561720056132624</v>
      </c>
      <c r="O14" s="176">
        <f t="shared" si="13"/>
        <v>2.986425133275123</v>
      </c>
      <c r="P14" s="16">
        <f t="shared" si="14"/>
        <v>19.032662023655018</v>
      </c>
      <c r="Q14" s="172">
        <f t="shared" si="15"/>
        <v>804.28218944390937</v>
      </c>
      <c r="R14" s="16">
        <f t="shared" si="16"/>
        <v>4965.9520378916695</v>
      </c>
      <c r="S14" s="7">
        <f t="shared" si="8"/>
        <v>0.81725232668877457</v>
      </c>
    </row>
    <row r="15" spans="2:19">
      <c r="B15" s="120">
        <f t="shared" si="9"/>
        <v>30000</v>
      </c>
      <c r="C15" s="11">
        <v>0.56999999999999995</v>
      </c>
      <c r="D15" s="7">
        <f t="shared" si="0"/>
        <v>566.96170819687666</v>
      </c>
      <c r="E15" s="121">
        <f t="shared" si="7"/>
        <v>9980.9673379763481</v>
      </c>
      <c r="F15" s="11">
        <f t="shared" si="1"/>
        <v>0.4107868932198106</v>
      </c>
      <c r="G15" s="11">
        <f t="shared" si="2"/>
        <v>3.9628165537181924E-2</v>
      </c>
      <c r="H15" s="12">
        <f t="shared" si="3"/>
        <v>962.85308129071075</v>
      </c>
      <c r="I15" s="12">
        <f t="shared" si="4"/>
        <v>3166.6118705279155</v>
      </c>
      <c r="J15" s="16">
        <f t="shared" si="5"/>
        <v>125.18294122111945</v>
      </c>
      <c r="K15" s="323">
        <f t="shared" si="10"/>
        <v>7.1038941300947718</v>
      </c>
      <c r="L15" s="324">
        <f t="shared" si="11"/>
        <v>1.4186678210244774</v>
      </c>
      <c r="M15" s="7">
        <f t="shared" si="12"/>
        <v>10.855602617335011</v>
      </c>
      <c r="N15" s="7">
        <f t="shared" si="6"/>
        <v>2.0688825315633204</v>
      </c>
      <c r="O15" s="176">
        <f t="shared" si="13"/>
        <v>2.9260410659317184</v>
      </c>
      <c r="P15" s="16">
        <f t="shared" si="14"/>
        <v>21.958703089586734</v>
      </c>
      <c r="Q15" s="172">
        <f t="shared" si="15"/>
        <v>797.27480195117187</v>
      </c>
      <c r="R15" s="16">
        <f t="shared" si="16"/>
        <v>5763.2268398428414</v>
      </c>
      <c r="S15" s="7">
        <f t="shared" si="8"/>
        <v>0.94846073988592616</v>
      </c>
    </row>
    <row r="16" spans="2:19">
      <c r="B16" s="120">
        <f t="shared" si="9"/>
        <v>30000</v>
      </c>
      <c r="C16" s="11">
        <v>0.57999999999999996</v>
      </c>
      <c r="D16" s="7">
        <f t="shared" si="0"/>
        <v>576.90840483190959</v>
      </c>
      <c r="E16" s="121">
        <f t="shared" si="7"/>
        <v>9978.0412969104163</v>
      </c>
      <c r="F16" s="11">
        <f t="shared" si="1"/>
        <v>0.3966276302924297</v>
      </c>
      <c r="G16" s="11">
        <f t="shared" si="2"/>
        <v>3.6961966593951907E-2</v>
      </c>
      <c r="H16" s="12">
        <f t="shared" si="3"/>
        <v>929.85964900518093</v>
      </c>
      <c r="I16" s="12">
        <f t="shared" si="4"/>
        <v>3186.0664803184932</v>
      </c>
      <c r="J16" s="16">
        <f t="shared" si="5"/>
        <v>130.44891730673166</v>
      </c>
      <c r="K16" s="323">
        <f t="shared" si="10"/>
        <v>7.2750950242260002</v>
      </c>
      <c r="L16" s="324">
        <f t="shared" si="11"/>
        <v>1.3835042962034689</v>
      </c>
      <c r="M16" s="7">
        <f t="shared" si="12"/>
        <v>12.23910691353848</v>
      </c>
      <c r="N16" s="7">
        <f t="shared" si="6"/>
        <v>2.0815930575133783</v>
      </c>
      <c r="O16" s="176">
        <f t="shared" si="13"/>
        <v>2.8711004043876183</v>
      </c>
      <c r="P16" s="16">
        <f t="shared" si="14"/>
        <v>24.829803493974353</v>
      </c>
      <c r="Q16" s="172">
        <f t="shared" si="15"/>
        <v>791.2746078370368</v>
      </c>
      <c r="R16" s="16">
        <f t="shared" si="16"/>
        <v>6554.5014476798779</v>
      </c>
      <c r="S16" s="7">
        <f t="shared" si="8"/>
        <v>1.0786816943716473</v>
      </c>
    </row>
    <row r="17" spans="2:19">
      <c r="B17" s="120">
        <f t="shared" si="9"/>
        <v>30000</v>
      </c>
      <c r="C17" s="11">
        <v>0.59</v>
      </c>
      <c r="D17" s="7">
        <f t="shared" si="0"/>
        <v>586.85510146694253</v>
      </c>
      <c r="E17" s="121">
        <f t="shared" si="7"/>
        <v>9975.1701965060292</v>
      </c>
      <c r="F17" s="11">
        <f t="shared" si="1"/>
        <v>0.38318627611481659</v>
      </c>
      <c r="G17" s="11">
        <f t="shared" si="2"/>
        <v>3.5036654639275251E-2</v>
      </c>
      <c r="H17" s="12">
        <f t="shared" si="3"/>
        <v>912.08014203058588</v>
      </c>
      <c r="I17" s="12">
        <f t="shared" si="4"/>
        <v>3205.5210901090713</v>
      </c>
      <c r="J17" s="16">
        <f t="shared" si="5"/>
        <v>134.92677255416359</v>
      </c>
      <c r="K17" s="323">
        <f t="shared" si="10"/>
        <v>7.3972842176991707</v>
      </c>
      <c r="L17" s="324">
        <f t="shared" si="11"/>
        <v>1.355839631872523</v>
      </c>
      <c r="M17" s="7">
        <f t="shared" si="12"/>
        <v>13.594946545411004</v>
      </c>
      <c r="N17" s="7">
        <f t="shared" si="6"/>
        <v>2.0943035834634367</v>
      </c>
      <c r="O17" s="176">
        <f t="shared" si="13"/>
        <v>2.8309230822198548</v>
      </c>
      <c r="P17" s="16">
        <f t="shared" si="14"/>
        <v>27.660726576194207</v>
      </c>
      <c r="Q17" s="172">
        <f t="shared" si="15"/>
        <v>788.9383419834561</v>
      </c>
      <c r="R17" s="16">
        <f t="shared" si="16"/>
        <v>7343.4397896633336</v>
      </c>
      <c r="S17" s="7">
        <f t="shared" si="8"/>
        <v>1.2085181669513749</v>
      </c>
    </row>
    <row r="18" spans="2:19">
      <c r="B18" s="120">
        <f t="shared" si="9"/>
        <v>30000</v>
      </c>
      <c r="C18" s="11">
        <v>0.6</v>
      </c>
      <c r="D18" s="7">
        <f t="shared" si="0"/>
        <v>596.80179810197546</v>
      </c>
      <c r="E18" s="121">
        <f t="shared" si="7"/>
        <v>9972.3392734238096</v>
      </c>
      <c r="F18" s="11">
        <f t="shared" si="1"/>
        <v>0.37041468846821735</v>
      </c>
      <c r="G18" s="11">
        <f t="shared" si="2"/>
        <v>3.3206282090369812E-2</v>
      </c>
      <c r="H18" s="12">
        <f t="shared" si="3"/>
        <v>893.98266678778771</v>
      </c>
      <c r="I18" s="12">
        <f t="shared" si="4"/>
        <v>3224.975699899649</v>
      </c>
      <c r="J18" s="16">
        <f t="shared" si="5"/>
        <v>139.4999503508383</v>
      </c>
      <c r="K18" s="323">
        <f t="shared" si="10"/>
        <v>7.5205393429812704</v>
      </c>
      <c r="L18" s="324">
        <f t="shared" si="11"/>
        <v>1.3335318781018268</v>
      </c>
      <c r="M18" s="7">
        <f t="shared" si="12"/>
        <v>14.92847842351283</v>
      </c>
      <c r="N18" s="7">
        <f t="shared" si="6"/>
        <v>2.1070141094134947</v>
      </c>
      <c r="O18" s="176">
        <f t="shared" si="13"/>
        <v>2.801295536742304</v>
      </c>
      <c r="P18" s="16">
        <f t="shared" si="14"/>
        <v>30.462022112936513</v>
      </c>
      <c r="Q18" s="172">
        <f t="shared" si="15"/>
        <v>789.22210415516236</v>
      </c>
      <c r="R18" s="16">
        <f t="shared" si="16"/>
        <v>8132.6618938184956</v>
      </c>
      <c r="S18" s="7">
        <f t="shared" si="8"/>
        <v>1.338401338591682</v>
      </c>
    </row>
    <row r="19" spans="2:19">
      <c r="B19" s="120">
        <f t="shared" si="9"/>
        <v>30000</v>
      </c>
      <c r="C19" s="11">
        <v>0.61</v>
      </c>
      <c r="D19" s="7">
        <f t="shared" si="0"/>
        <v>606.7484947370084</v>
      </c>
      <c r="E19" s="121">
        <f t="shared" si="7"/>
        <v>9969.5379778870665</v>
      </c>
      <c r="F19" s="11">
        <f t="shared" si="1"/>
        <v>0.35826882332333349</v>
      </c>
      <c r="G19" s="11">
        <f t="shared" si="2"/>
        <v>3.1464605706082525E-2</v>
      </c>
      <c r="H19" s="12">
        <f t="shared" si="3"/>
        <v>875.56483044278843</v>
      </c>
      <c r="I19" s="12">
        <f t="shared" si="4"/>
        <v>3244.4303096902272</v>
      </c>
      <c r="J19" s="16">
        <f t="shared" si="5"/>
        <v>144.16972651650067</v>
      </c>
      <c r="K19" s="323">
        <f t="shared" si="10"/>
        <v>7.6448756299798166</v>
      </c>
      <c r="L19" s="324">
        <f t="shared" si="11"/>
        <v>1.3117605621431692</v>
      </c>
      <c r="M19" s="7">
        <f t="shared" si="12"/>
        <v>16.240238985655999</v>
      </c>
      <c r="N19" s="7">
        <f t="shared" si="6"/>
        <v>2.119724635363553</v>
      </c>
      <c r="O19" s="176">
        <f t="shared" si="13"/>
        <v>2.7722345959405268</v>
      </c>
      <c r="P19" s="16">
        <f t="shared" si="14"/>
        <v>33.234256708877041</v>
      </c>
      <c r="Q19" s="172">
        <f t="shared" si="15"/>
        <v>789.38490435102062</v>
      </c>
      <c r="R19" s="16">
        <f t="shared" si="16"/>
        <v>8922.0467981695165</v>
      </c>
      <c r="S19" s="7">
        <f t="shared" si="8"/>
        <v>1.4683113024438017</v>
      </c>
    </row>
    <row r="20" spans="2:19">
      <c r="B20" s="120">
        <f t="shared" si="9"/>
        <v>30000</v>
      </c>
      <c r="C20" s="11">
        <v>0.62</v>
      </c>
      <c r="D20" s="7">
        <f t="shared" si="0"/>
        <v>616.69519137204134</v>
      </c>
      <c r="E20" s="121">
        <f t="shared" si="7"/>
        <v>9966.7657432911255</v>
      </c>
      <c r="F20" s="11">
        <f t="shared" si="1"/>
        <v>0.34670853035676302</v>
      </c>
      <c r="G20" s="11">
        <f t="shared" si="2"/>
        <v>3.0005068091486998E-2</v>
      </c>
      <c r="H20" s="12">
        <f t="shared" si="3"/>
        <v>862.55012090883451</v>
      </c>
      <c r="I20" s="12">
        <f t="shared" si="4"/>
        <v>3263.8849194808049</v>
      </c>
      <c r="J20" s="16">
        <f t="shared" si="5"/>
        <v>148.58296676135967</v>
      </c>
      <c r="K20" s="323">
        <f t="shared" si="10"/>
        <v>7.7518171691012743</v>
      </c>
      <c r="L20" s="324">
        <f t="shared" si="11"/>
        <v>1.2920562571238126</v>
      </c>
      <c r="M20" s="7">
        <f t="shared" si="12"/>
        <v>17.53229524277981</v>
      </c>
      <c r="N20" s="7">
        <f t="shared" si="6"/>
        <v>2.1324351613136114</v>
      </c>
      <c r="O20" s="176">
        <f t="shared" si="13"/>
        <v>2.7470148357935242</v>
      </c>
      <c r="P20" s="16">
        <f t="shared" si="14"/>
        <v>35.981271544670562</v>
      </c>
      <c r="Q20" s="172">
        <f t="shared" si="15"/>
        <v>790.37903493790975</v>
      </c>
      <c r="R20" s="16">
        <f t="shared" si="16"/>
        <v>9712.425833107427</v>
      </c>
      <c r="S20" s="7">
        <f t="shared" si="8"/>
        <v>1.5983848714876288</v>
      </c>
    </row>
    <row r="21" spans="2:19">
      <c r="B21" s="120">
        <f t="shared" si="9"/>
        <v>30000</v>
      </c>
      <c r="C21" s="11">
        <v>0.63</v>
      </c>
      <c r="D21" s="7">
        <f t="shared" si="0"/>
        <v>626.64188800707427</v>
      </c>
      <c r="E21" s="121">
        <f t="shared" si="7"/>
        <v>9964.0187284553322</v>
      </c>
      <c r="F21" s="11">
        <f t="shared" si="1"/>
        <v>0.33569671508237159</v>
      </c>
      <c r="G21" s="11">
        <f t="shared" si="2"/>
        <v>2.9090358100442693E-2</v>
      </c>
      <c r="H21" s="12">
        <f t="shared" si="3"/>
        <v>863.44864250208593</v>
      </c>
      <c r="I21" s="12">
        <f t="shared" si="4"/>
        <v>3283.3395292713831</v>
      </c>
      <c r="J21" s="16">
        <f t="shared" si="5"/>
        <v>152.18809151027213</v>
      </c>
      <c r="K21" s="323">
        <f t="shared" si="10"/>
        <v>7.8138722449977962</v>
      </c>
      <c r="L21" s="324">
        <f t="shared" si="11"/>
        <v>1.2780284085616445</v>
      </c>
      <c r="M21" s="7">
        <f t="shared" si="12"/>
        <v>18.810323651341456</v>
      </c>
      <c r="N21" s="7">
        <f t="shared" si="6"/>
        <v>2.1451456872636694</v>
      </c>
      <c r="O21" s="176">
        <f t="shared" si="13"/>
        <v>2.7334349222004954</v>
      </c>
      <c r="P21" s="16">
        <f t="shared" si="14"/>
        <v>38.714706466871057</v>
      </c>
      <c r="Q21" s="172">
        <f t="shared" si="15"/>
        <v>794.51005443228701</v>
      </c>
      <c r="R21" s="16">
        <f t="shared" si="16"/>
        <v>10506.935887539714</v>
      </c>
      <c r="S21" s="7">
        <f t="shared" si="8"/>
        <v>1.7291382870679537</v>
      </c>
    </row>
    <row r="22" spans="2:19">
      <c r="B22" s="120">
        <f t="shared" si="9"/>
        <v>30000</v>
      </c>
      <c r="C22" s="11">
        <v>0.64</v>
      </c>
      <c r="D22" s="7">
        <f t="shared" si="0"/>
        <v>636.58858464210721</v>
      </c>
      <c r="E22" s="121">
        <f t="shared" si="7"/>
        <v>9961.2852935331321</v>
      </c>
      <c r="F22" s="11">
        <f t="shared" si="1"/>
        <v>0.32519891345878221</v>
      </c>
      <c r="G22" s="11">
        <f t="shared" si="2"/>
        <v>2.8217411718526056E-2</v>
      </c>
      <c r="H22" s="12">
        <f t="shared" si="3"/>
        <v>864.33772297627661</v>
      </c>
      <c r="I22" s="12">
        <f t="shared" si="4"/>
        <v>3302.7941390619608</v>
      </c>
      <c r="J22" s="16">
        <f t="shared" si="5"/>
        <v>155.83265340620252</v>
      </c>
      <c r="K22" s="323">
        <f t="shared" si="10"/>
        <v>7.8759813035446067</v>
      </c>
      <c r="L22" s="324">
        <f t="shared" si="11"/>
        <v>1.2679145288716849</v>
      </c>
      <c r="M22" s="7">
        <f t="shared" si="12"/>
        <v>20.078238180213141</v>
      </c>
      <c r="N22" s="7">
        <f t="shared" si="6"/>
        <v>2.1578562132137278</v>
      </c>
      <c r="O22" s="176">
        <f t="shared" si="13"/>
        <v>2.727919313688882</v>
      </c>
      <c r="P22" s="16">
        <f t="shared" si="14"/>
        <v>41.442625780559936</v>
      </c>
      <c r="Q22" s="172">
        <f t="shared" si="15"/>
        <v>800.83413479267142</v>
      </c>
      <c r="R22" s="16">
        <f t="shared" si="16"/>
        <v>11307.770022332385</v>
      </c>
      <c r="S22" s="7">
        <f t="shared" si="8"/>
        <v>1.8609324636844817</v>
      </c>
    </row>
    <row r="23" spans="2:19">
      <c r="B23" s="120">
        <f t="shared" si="9"/>
        <v>30000</v>
      </c>
      <c r="C23" s="11">
        <v>0.65</v>
      </c>
      <c r="D23" s="7">
        <f t="shared" si="0"/>
        <v>646.53528127714014</v>
      </c>
      <c r="E23" s="121">
        <f t="shared" si="7"/>
        <v>9958.5573742194429</v>
      </c>
      <c r="F23" s="11">
        <f t="shared" si="1"/>
        <v>0.31518342590176907</v>
      </c>
      <c r="G23" s="11">
        <f t="shared" si="2"/>
        <v>2.7383653354518738E-2</v>
      </c>
      <c r="H23" s="12">
        <f t="shared" si="3"/>
        <v>865.21580970346622</v>
      </c>
      <c r="I23" s="12">
        <f t="shared" si="4"/>
        <v>3322.2487488525389</v>
      </c>
      <c r="J23" s="16">
        <f t="shared" si="5"/>
        <v>159.5169282784251</v>
      </c>
      <c r="K23" s="323">
        <f t="shared" si="10"/>
        <v>7.9381555795252368</v>
      </c>
      <c r="L23" s="324">
        <f t="shared" si="11"/>
        <v>1.2579499859624437</v>
      </c>
      <c r="M23" s="7">
        <f t="shared" si="12"/>
        <v>21.336188166175585</v>
      </c>
      <c r="N23" s="7">
        <f t="shared" si="6"/>
        <v>2.1705667391637857</v>
      </c>
      <c r="O23" s="176">
        <f t="shared" si="13"/>
        <v>2.7224697960914059</v>
      </c>
      <c r="P23" s="16">
        <f t="shared" si="14"/>
        <v>44.165095576651339</v>
      </c>
      <c r="Q23" s="172">
        <f t="shared" si="15"/>
        <v>807.05282456059672</v>
      </c>
      <c r="R23" s="16">
        <f t="shared" si="16"/>
        <v>12114.822846892981</v>
      </c>
      <c r="S23" s="7">
        <f t="shared" si="8"/>
        <v>1.9937500570885691</v>
      </c>
    </row>
    <row r="24" spans="2:19">
      <c r="B24" s="120">
        <f t="shared" si="9"/>
        <v>30000</v>
      </c>
      <c r="C24" s="11">
        <v>0.66</v>
      </c>
      <c r="D24" s="7">
        <f t="shared" si="0"/>
        <v>656.48197791217308</v>
      </c>
      <c r="E24" s="121">
        <f t="shared" si="7"/>
        <v>9955.834904423351</v>
      </c>
      <c r="F24" s="11">
        <f t="shared" si="1"/>
        <v>0.30562119560324108</v>
      </c>
      <c r="G24" s="11">
        <f t="shared" si="2"/>
        <v>2.6586722142763339E-2</v>
      </c>
      <c r="H24" s="12">
        <f t="shared" si="3"/>
        <v>866.08199991061531</v>
      </c>
      <c r="I24" s="12">
        <f t="shared" si="4"/>
        <v>3341.7033586431166</v>
      </c>
      <c r="J24" s="16">
        <f t="shared" si="5"/>
        <v>163.24103621086178</v>
      </c>
      <c r="K24" s="323">
        <f t="shared" si="10"/>
        <v>8.0003979937906493</v>
      </c>
      <c r="L24" s="324">
        <f t="shared" si="11"/>
        <v>1.248130401454441</v>
      </c>
      <c r="M24" s="7">
        <f t="shared" si="12"/>
        <v>22.584318567630028</v>
      </c>
      <c r="N24" s="7">
        <f t="shared" si="6"/>
        <v>2.1832772651138441</v>
      </c>
      <c r="O24" s="176">
        <f t="shared" si="13"/>
        <v>2.717082532464524</v>
      </c>
      <c r="P24" s="16">
        <f t="shared" si="14"/>
        <v>46.882178109115863</v>
      </c>
      <c r="Q24" s="172">
        <f t="shared" si="15"/>
        <v>813.16772740701151</v>
      </c>
      <c r="R24" s="16">
        <f t="shared" si="16"/>
        <v>12927.990574299993</v>
      </c>
      <c r="S24" s="7">
        <f t="shared" si="8"/>
        <v>2.1275739869495083</v>
      </c>
    </row>
    <row r="25" spans="2:19">
      <c r="B25" s="120">
        <f t="shared" si="9"/>
        <v>30000</v>
      </c>
      <c r="C25" s="11">
        <v>0.67</v>
      </c>
      <c r="D25" s="7">
        <f t="shared" si="0"/>
        <v>666.42867454720601</v>
      </c>
      <c r="E25" s="121">
        <f t="shared" si="7"/>
        <v>9953.1178218908863</v>
      </c>
      <c r="F25" s="11">
        <f t="shared" si="1"/>
        <v>0.29648532012493983</v>
      </c>
      <c r="G25" s="11">
        <f t="shared" si="2"/>
        <v>2.5890332507808742E-2</v>
      </c>
      <c r="H25" s="12">
        <f t="shared" si="3"/>
        <v>869.14768592779217</v>
      </c>
      <c r="I25" s="12">
        <f t="shared" si="4"/>
        <v>3361.1579684336948</v>
      </c>
      <c r="J25" s="16">
        <f t="shared" si="5"/>
        <v>166.85697278452486</v>
      </c>
      <c r="K25" s="323">
        <f t="shared" si="10"/>
        <v>8.0555601032875899</v>
      </c>
      <c r="L25" s="324">
        <f t="shared" si="11"/>
        <v>1.2390038109084218</v>
      </c>
      <c r="M25" s="7">
        <f t="shared" si="12"/>
        <v>23.82332237853845</v>
      </c>
      <c r="N25" s="7">
        <f t="shared" si="6"/>
        <v>2.1959877910639025</v>
      </c>
      <c r="O25" s="176">
        <f t="shared" si="13"/>
        <v>2.7129630467911565</v>
      </c>
      <c r="P25" s="16">
        <f t="shared" si="14"/>
        <v>49.595141155907022</v>
      </c>
      <c r="Q25" s="172">
        <f t="shared" si="15"/>
        <v>819.54566994425863</v>
      </c>
      <c r="R25" s="16">
        <f t="shared" si="16"/>
        <v>13747.536244244251</v>
      </c>
      <c r="S25" s="7">
        <f t="shared" si="8"/>
        <v>2.2624475420058343</v>
      </c>
    </row>
    <row r="26" spans="2:19">
      <c r="B26" s="120">
        <f t="shared" si="9"/>
        <v>30000</v>
      </c>
      <c r="C26" s="11">
        <v>0.68</v>
      </c>
      <c r="D26" s="7">
        <f t="shared" si="0"/>
        <v>676.37537118223895</v>
      </c>
      <c r="E26" s="121">
        <f t="shared" si="7"/>
        <v>9950.4048588440946</v>
      </c>
      <c r="F26" s="11">
        <f t="shared" si="1"/>
        <v>0.28775082761422471</v>
      </c>
      <c r="G26" s="11">
        <f t="shared" si="2"/>
        <v>2.5324426725889044E-2</v>
      </c>
      <c r="H26" s="12">
        <f t="shared" si="3"/>
        <v>875.7170251428696</v>
      </c>
      <c r="I26" s="12">
        <f t="shared" si="4"/>
        <v>3380.6125782242725</v>
      </c>
      <c r="J26" s="16">
        <f t="shared" si="5"/>
        <v>170.26941953847179</v>
      </c>
      <c r="K26" s="323">
        <f t="shared" si="10"/>
        <v>8.0994201410014988</v>
      </c>
      <c r="L26" s="324">
        <f t="shared" si="11"/>
        <v>1.2314093220323399</v>
      </c>
      <c r="M26" s="7">
        <f t="shared" si="12"/>
        <v>25.054731700570791</v>
      </c>
      <c r="N26" s="7">
        <f t="shared" si="6"/>
        <v>2.2086983170139609</v>
      </c>
      <c r="O26" s="176">
        <f t="shared" si="13"/>
        <v>2.7119857670567136</v>
      </c>
      <c r="P26" s="16">
        <f t="shared" si="14"/>
        <v>52.307126922963732</v>
      </c>
      <c r="Q26" s="172">
        <f t="shared" si="15"/>
        <v>826.77070978698953</v>
      </c>
      <c r="R26" s="16">
        <f t="shared" si="16"/>
        <v>14574.306954031241</v>
      </c>
      <c r="S26" s="7">
        <f t="shared" si="8"/>
        <v>2.3985101300163323</v>
      </c>
    </row>
    <row r="27" spans="2:19">
      <c r="B27" s="120">
        <f t="shared" si="9"/>
        <v>30000</v>
      </c>
      <c r="C27" s="11">
        <v>0.69</v>
      </c>
      <c r="D27" s="7">
        <f t="shared" si="0"/>
        <v>686.32206781727177</v>
      </c>
      <c r="E27" s="121">
        <f t="shared" si="7"/>
        <v>9947.6928730770378</v>
      </c>
      <c r="F27" s="11">
        <f t="shared" si="1"/>
        <v>0.27939449326118998</v>
      </c>
      <c r="G27" s="11">
        <f t="shared" si="2"/>
        <v>2.4782155828824374E-2</v>
      </c>
      <c r="H27" s="12">
        <f t="shared" si="3"/>
        <v>882.35552548066278</v>
      </c>
      <c r="I27" s="12">
        <f t="shared" si="4"/>
        <v>3400.0671880148502</v>
      </c>
      <c r="J27" s="16">
        <f t="shared" si="5"/>
        <v>173.70470685466876</v>
      </c>
      <c r="K27" s="323">
        <f t="shared" si="10"/>
        <v>8.1430796129231897</v>
      </c>
      <c r="L27" s="324">
        <f t="shared" si="11"/>
        <v>1.2247741155273089</v>
      </c>
      <c r="M27" s="7">
        <f t="shared" si="12"/>
        <v>26.279505816098101</v>
      </c>
      <c r="N27" s="7">
        <f t="shared" si="6"/>
        <v>2.2214088429640189</v>
      </c>
      <c r="O27" s="176">
        <f t="shared" si="13"/>
        <v>2.7129402892766143</v>
      </c>
      <c r="P27" s="16">
        <f t="shared" si="14"/>
        <v>55.020067212240349</v>
      </c>
      <c r="Q27" s="172">
        <f t="shared" si="15"/>
        <v>834.49827529097729</v>
      </c>
      <c r="R27" s="16">
        <f t="shared" si="16"/>
        <v>15408.805229322217</v>
      </c>
      <c r="S27" s="7">
        <f t="shared" si="8"/>
        <v>2.5358444521957439</v>
      </c>
    </row>
    <row r="28" spans="2:19">
      <c r="B28" s="120">
        <f t="shared" si="9"/>
        <v>30000</v>
      </c>
      <c r="C28" s="11">
        <v>0.7</v>
      </c>
      <c r="D28" s="7">
        <f t="shared" si="0"/>
        <v>696.26876445230471</v>
      </c>
      <c r="E28" s="121">
        <f t="shared" si="7"/>
        <v>9944.9799327877608</v>
      </c>
      <c r="F28" s="11">
        <f t="shared" si="1"/>
        <v>0.27139477761366571</v>
      </c>
      <c r="G28" s="11">
        <f t="shared" si="2"/>
        <v>2.4262173600854108E-2</v>
      </c>
      <c r="H28" s="12">
        <f t="shared" si="3"/>
        <v>889.06216880039722</v>
      </c>
      <c r="I28" s="12">
        <f t="shared" si="4"/>
        <v>3419.5217978054284</v>
      </c>
      <c r="J28" s="16">
        <f t="shared" si="5"/>
        <v>177.16275058283432</v>
      </c>
      <c r="K28" s="323">
        <f t="shared" si="10"/>
        <v>8.1865432262150115</v>
      </c>
      <c r="L28" s="324">
        <f t="shared" si="11"/>
        <v>1.2182396045538886</v>
      </c>
      <c r="M28" s="7">
        <f t="shared" si="12"/>
        <v>27.497745420651992</v>
      </c>
      <c r="N28" s="7">
        <f t="shared" si="6"/>
        <v>2.2341193689140768</v>
      </c>
      <c r="O28" s="176">
        <f t="shared" si="13"/>
        <v>2.713950463458533</v>
      </c>
      <c r="P28" s="16">
        <f t="shared" si="14"/>
        <v>57.73401767569888</v>
      </c>
      <c r="Q28" s="172">
        <f t="shared" si="15"/>
        <v>842.16345438196015</v>
      </c>
      <c r="R28" s="16">
        <f t="shared" si="16"/>
        <v>16250.968683704177</v>
      </c>
      <c r="S28" s="7">
        <f t="shared" si="8"/>
        <v>2.6744402415417317</v>
      </c>
    </row>
    <row r="29" spans="2:19">
      <c r="B29" s="120">
        <f t="shared" si="9"/>
        <v>30000</v>
      </c>
      <c r="C29" s="11">
        <v>0.71</v>
      </c>
      <c r="D29" s="7">
        <f t="shared" si="0"/>
        <v>706.21546108733764</v>
      </c>
      <c r="E29" s="121">
        <f t="shared" si="7"/>
        <v>9942.265982324303</v>
      </c>
      <c r="F29" s="11">
        <f t="shared" si="1"/>
        <v>0.26373170067799051</v>
      </c>
      <c r="G29" s="11">
        <f t="shared" si="2"/>
        <v>2.3763231292374409E-2</v>
      </c>
      <c r="H29" s="12">
        <f t="shared" si="3"/>
        <v>895.83605422067262</v>
      </c>
      <c r="I29" s="12">
        <f t="shared" si="4"/>
        <v>3438.9764075960065</v>
      </c>
      <c r="J29" s="16">
        <f t="shared" si="5"/>
        <v>180.64343082972982</v>
      </c>
      <c r="K29" s="323">
        <f t="shared" si="10"/>
        <v>8.2298137944574883</v>
      </c>
      <c r="L29" s="324">
        <f t="shared" si="11"/>
        <v>1.2118031573640162</v>
      </c>
      <c r="M29" s="7">
        <f t="shared" si="12"/>
        <v>28.709548578016008</v>
      </c>
      <c r="N29" s="7">
        <f t="shared" si="6"/>
        <v>2.2468298948641352</v>
      </c>
      <c r="O29" s="176">
        <f t="shared" si="13"/>
        <v>2.7150142329172011</v>
      </c>
      <c r="P29" s="16">
        <f t="shared" si="14"/>
        <v>60.449031908616078</v>
      </c>
      <c r="Q29" s="172">
        <f t="shared" si="15"/>
        <v>849.76740633108284</v>
      </c>
      <c r="R29" s="16">
        <f t="shared" si="16"/>
        <v>17100.736090035261</v>
      </c>
      <c r="S29" s="7">
        <f t="shared" si="8"/>
        <v>2.8142874218345177</v>
      </c>
    </row>
    <row r="30" spans="2:19">
      <c r="B30" s="120">
        <f t="shared" si="9"/>
        <v>30000</v>
      </c>
      <c r="C30" s="11">
        <v>0.72</v>
      </c>
      <c r="D30" s="7">
        <f t="shared" si="0"/>
        <v>716.16215772237058</v>
      </c>
      <c r="E30" s="121">
        <f t="shared" si="7"/>
        <v>9939.5509680913856</v>
      </c>
      <c r="F30" s="11">
        <f t="shared" si="1"/>
        <v>0.25638666158992568</v>
      </c>
      <c r="G30" s="11">
        <f t="shared" si="2"/>
        <v>2.3284166349370354E-2</v>
      </c>
      <c r="H30" s="12">
        <f t="shared" si="3"/>
        <v>902.6762809886319</v>
      </c>
      <c r="I30" s="12">
        <f t="shared" si="4"/>
        <v>3458.4310173865842</v>
      </c>
      <c r="J30" s="16">
        <f t="shared" si="5"/>
        <v>184.14663122144952</v>
      </c>
      <c r="K30" s="323">
        <f t="shared" si="10"/>
        <v>8.2728941330291796</v>
      </c>
      <c r="L30" s="324">
        <f t="shared" si="11"/>
        <v>1.2054623615395705</v>
      </c>
      <c r="M30" s="7">
        <f t="shared" si="12"/>
        <v>29.915010939555579</v>
      </c>
      <c r="N30" s="7">
        <f t="shared" si="6"/>
        <v>2.2595404208141932</v>
      </c>
      <c r="O30" s="176">
        <f t="shared" si="13"/>
        <v>2.7161299013547087</v>
      </c>
      <c r="P30" s="16">
        <f t="shared" si="14"/>
        <v>63.165161809970783</v>
      </c>
      <c r="Q30" s="172">
        <f t="shared" si="15"/>
        <v>857.31134168569088</v>
      </c>
      <c r="R30" s="16">
        <f t="shared" si="16"/>
        <v>17958.047431720952</v>
      </c>
      <c r="S30" s="7">
        <f t="shared" si="8"/>
        <v>2.9553761160754646</v>
      </c>
    </row>
    <row r="31" spans="2:19">
      <c r="B31" s="120">
        <f t="shared" si="9"/>
        <v>30000</v>
      </c>
      <c r="C31" s="11">
        <v>0.73</v>
      </c>
      <c r="D31" s="7">
        <f t="shared" si="0"/>
        <v>726.10885435740352</v>
      </c>
      <c r="E31" s="121">
        <f t="shared" si="7"/>
        <v>9936.8348381900305</v>
      </c>
      <c r="F31" s="11">
        <f t="shared" si="1"/>
        <v>0.24934232596366063</v>
      </c>
      <c r="G31" s="11">
        <f t="shared" si="2"/>
        <v>2.2823895372728789E-2</v>
      </c>
      <c r="H31" s="12">
        <f t="shared" si="3"/>
        <v>909.58194845743628</v>
      </c>
      <c r="I31" s="12">
        <f t="shared" si="4"/>
        <v>3477.885627177162</v>
      </c>
      <c r="J31" s="16">
        <f t="shared" si="5"/>
        <v>187.67223891352972</v>
      </c>
      <c r="K31" s="323">
        <f t="shared" si="10"/>
        <v>8.315787059431468</v>
      </c>
      <c r="L31" s="324">
        <f t="shared" si="11"/>
        <v>1.1992148766537978</v>
      </c>
      <c r="M31" s="7">
        <f t="shared" si="12"/>
        <v>31.114225816209377</v>
      </c>
      <c r="N31" s="7">
        <f t="shared" si="6"/>
        <v>2.2722509467642515</v>
      </c>
      <c r="O31" s="176">
        <f t="shared" si="13"/>
        <v>2.7172958129456646</v>
      </c>
      <c r="P31" s="16">
        <f t="shared" si="14"/>
        <v>65.882457622916448</v>
      </c>
      <c r="Q31" s="172">
        <f t="shared" si="15"/>
        <v>864.79642692629727</v>
      </c>
      <c r="R31" s="16">
        <f t="shared" si="16"/>
        <v>18822.843858647248</v>
      </c>
      <c r="S31" s="7">
        <f t="shared" si="8"/>
        <v>3.0976966392349499</v>
      </c>
    </row>
    <row r="32" spans="2:19">
      <c r="B32" s="120">
        <f t="shared" si="9"/>
        <v>30000</v>
      </c>
      <c r="C32" s="11">
        <v>0.74</v>
      </c>
      <c r="D32" s="7">
        <f t="shared" si="0"/>
        <v>736.05555099243645</v>
      </c>
      <c r="E32" s="121">
        <f t="shared" si="7"/>
        <v>9934.1175423770856</v>
      </c>
      <c r="F32" s="11">
        <f t="shared" si="1"/>
        <v>0.24258252383743545</v>
      </c>
      <c r="G32" s="11">
        <f t="shared" si="2"/>
        <v>2.2381407739839716E-2</v>
      </c>
      <c r="H32" s="12">
        <f t="shared" si="3"/>
        <v>916.55215608373703</v>
      </c>
      <c r="I32" s="12">
        <f t="shared" si="4"/>
        <v>3497.3402369677401</v>
      </c>
      <c r="J32" s="16">
        <f t="shared" si="5"/>
        <v>191.22014459426669</v>
      </c>
      <c r="K32" s="323">
        <f t="shared" si="10"/>
        <v>8.358495393290168</v>
      </c>
      <c r="L32" s="324">
        <f t="shared" si="11"/>
        <v>1.1930584315380122</v>
      </c>
      <c r="M32" s="7">
        <f t="shared" si="12"/>
        <v>32.30728424774739</v>
      </c>
      <c r="N32" s="7">
        <f t="shared" si="6"/>
        <v>2.2849614727143095</v>
      </c>
      <c r="O32" s="176">
        <f t="shared" si="13"/>
        <v>2.7185103506843209</v>
      </c>
      <c r="P32" s="16">
        <f t="shared" si="14"/>
        <v>68.600967973600774</v>
      </c>
      <c r="Q32" s="172">
        <f t="shared" si="15"/>
        <v>872.22378604869505</v>
      </c>
      <c r="R32" s="16">
        <f t="shared" si="16"/>
        <v>19695.067644695944</v>
      </c>
      <c r="S32" s="7">
        <f t="shared" si="8"/>
        <v>3.2412394912606057</v>
      </c>
    </row>
    <row r="33" spans="2:19">
      <c r="B33" s="120">
        <f t="shared" si="9"/>
        <v>30000</v>
      </c>
      <c r="C33" s="11">
        <v>0.75</v>
      </c>
      <c r="D33" s="7">
        <f t="shared" si="0"/>
        <v>746.00224762746939</v>
      </c>
      <c r="E33" s="121">
        <f t="shared" si="7"/>
        <v>9931.399032026402</v>
      </c>
      <c r="F33" s="11">
        <f t="shared" si="1"/>
        <v>0.23609215708449308</v>
      </c>
      <c r="G33" s="11">
        <f t="shared" si="2"/>
        <v>2.1955759817780814E-2</v>
      </c>
      <c r="H33" s="12">
        <f t="shared" si="3"/>
        <v>923.58600342524699</v>
      </c>
      <c r="I33" s="12">
        <f t="shared" si="4"/>
        <v>3516.7948467583183</v>
      </c>
      <c r="J33" s="16">
        <f t="shared" si="5"/>
        <v>194.79024248803927</v>
      </c>
      <c r="K33" s="323">
        <f t="shared" si="10"/>
        <v>8.4010219563571784</v>
      </c>
      <c r="L33" s="324">
        <f t="shared" si="11"/>
        <v>1.1869908216947829</v>
      </c>
      <c r="M33" s="7">
        <f t="shared" si="12"/>
        <v>33.494275069442175</v>
      </c>
      <c r="N33" s="7">
        <f t="shared" si="6"/>
        <v>2.2976719986643679</v>
      </c>
      <c r="O33" s="176">
        <f t="shared" si="13"/>
        <v>2.7197719348588962</v>
      </c>
      <c r="P33" s="16">
        <f t="shared" si="14"/>
        <v>71.320739908459672</v>
      </c>
      <c r="Q33" s="172">
        <f t="shared" si="15"/>
        <v>879.59450209150157</v>
      </c>
      <c r="R33" s="16">
        <f t="shared" si="16"/>
        <v>20574.662146787447</v>
      </c>
      <c r="S33" s="7">
        <f t="shared" si="8"/>
        <v>3.3859953503369509</v>
      </c>
    </row>
    <row r="34" spans="2:19">
      <c r="B34" s="120">
        <f t="shared" si="9"/>
        <v>30000</v>
      </c>
      <c r="C34" s="11">
        <v>0.76</v>
      </c>
      <c r="D34" s="7">
        <f t="shared" si="0"/>
        <v>755.94894426250232</v>
      </c>
      <c r="E34" s="121">
        <f t="shared" si="7"/>
        <v>9928.6792600915433</v>
      </c>
      <c r="F34" s="11">
        <f t="shared" si="1"/>
        <v>0.22985711529930197</v>
      </c>
      <c r="G34" s="11">
        <f t="shared" si="2"/>
        <v>2.1546069706206372E-2</v>
      </c>
      <c r="H34" s="12">
        <f t="shared" si="3"/>
        <v>930.68259013841157</v>
      </c>
      <c r="I34" s="12">
        <f t="shared" si="4"/>
        <v>3536.249456548896</v>
      </c>
      <c r="J34" s="16">
        <f t="shared" si="5"/>
        <v>198.38243035863778</v>
      </c>
      <c r="K34" s="323">
        <f t="shared" si="10"/>
        <v>8.443369572512303</v>
      </c>
      <c r="L34" s="324">
        <f t="shared" si="11"/>
        <v>1.1810099068268942</v>
      </c>
      <c r="M34" s="7">
        <f t="shared" si="12"/>
        <v>34.675284976269069</v>
      </c>
      <c r="N34" s="7">
        <f t="shared" si="6"/>
        <v>2.3103825246144263</v>
      </c>
      <c r="O34" s="176">
        <f t="shared" si="13"/>
        <v>2.7210790215953682</v>
      </c>
      <c r="P34" s="16">
        <f t="shared" si="14"/>
        <v>74.041818930055044</v>
      </c>
      <c r="Q34" s="172">
        <f t="shared" si="15"/>
        <v>886.90961859625907</v>
      </c>
      <c r="R34" s="16">
        <f t="shared" si="16"/>
        <v>21461.571765383705</v>
      </c>
      <c r="S34" s="7">
        <f t="shared" si="8"/>
        <v>3.5319550663853114</v>
      </c>
    </row>
    <row r="35" spans="2:19">
      <c r="B35" s="120">
        <f t="shared" si="9"/>
        <v>30000</v>
      </c>
      <c r="C35" s="11">
        <v>0.77</v>
      </c>
      <c r="D35" s="7">
        <f t="shared" si="0"/>
        <v>765.89564089753526</v>
      </c>
      <c r="E35" s="121">
        <f t="shared" si="7"/>
        <v>9925.9581810699474</v>
      </c>
      <c r="F35" s="11">
        <f t="shared" si="1"/>
        <v>0.2238641992839798</v>
      </c>
      <c r="G35" s="11">
        <f t="shared" si="2"/>
        <v>2.1151512455248739E-2</v>
      </c>
      <c r="H35" s="12">
        <f t="shared" si="3"/>
        <v>937.84101597616859</v>
      </c>
      <c r="I35" s="12">
        <f t="shared" si="4"/>
        <v>3555.7040663394737</v>
      </c>
      <c r="J35" s="16">
        <f t="shared" si="5"/>
        <v>201.99660951259966</v>
      </c>
      <c r="K35" s="323">
        <f t="shared" si="10"/>
        <v>8.4855410677651975</v>
      </c>
      <c r="L35" s="324">
        <f t="shared" si="11"/>
        <v>1.175113608476096</v>
      </c>
      <c r="M35" s="7">
        <f t="shared" si="12"/>
        <v>35.850398584745164</v>
      </c>
      <c r="N35" s="7">
        <f t="shared" si="6"/>
        <v>2.3230930505644842</v>
      </c>
      <c r="O35" s="176">
        <f t="shared" si="13"/>
        <v>2.7224301014671721</v>
      </c>
      <c r="P35" s="16">
        <f t="shared" si="14"/>
        <v>76.764249031522212</v>
      </c>
      <c r="Q35" s="172">
        <f t="shared" si="15"/>
        <v>894.17014100360961</v>
      </c>
      <c r="R35" s="16">
        <f t="shared" si="16"/>
        <v>22355.741906387317</v>
      </c>
      <c r="S35" s="7">
        <f t="shared" si="8"/>
        <v>3.6791096547935154</v>
      </c>
    </row>
    <row r="36" spans="2:19">
      <c r="B36" s="120">
        <f t="shared" si="9"/>
        <v>30000</v>
      </c>
      <c r="C36" s="11">
        <v>0.78</v>
      </c>
      <c r="D36" s="7">
        <f t="shared" si="0"/>
        <v>775.84233753256819</v>
      </c>
      <c r="E36" s="121">
        <f t="shared" si="7"/>
        <v>9923.2357509684807</v>
      </c>
      <c r="F36" s="11">
        <f t="shared" si="1"/>
        <v>0.2181010513601894</v>
      </c>
      <c r="G36" s="11">
        <f t="shared" si="2"/>
        <v>2.0771315710011836E-2</v>
      </c>
      <c r="H36" s="12">
        <f t="shared" si="3"/>
        <v>945.06038078579422</v>
      </c>
      <c r="I36" s="12">
        <f t="shared" si="4"/>
        <v>3575.1586761300518</v>
      </c>
      <c r="J36" s="16">
        <f t="shared" si="5"/>
        <v>205.63268480255147</v>
      </c>
      <c r="K36" s="323">
        <f t="shared" si="10"/>
        <v>8.5275392702574244</v>
      </c>
      <c r="L36" s="324">
        <f t="shared" si="11"/>
        <v>1.1692999077660278</v>
      </c>
      <c r="M36" s="7">
        <f t="shared" si="12"/>
        <v>37.019698492511189</v>
      </c>
      <c r="N36" s="7">
        <f t="shared" si="6"/>
        <v>2.3358035765145426</v>
      </c>
      <c r="O36" s="176">
        <f t="shared" si="13"/>
        <v>2.7238236981674824</v>
      </c>
      <c r="P36" s="16">
        <f t="shared" si="14"/>
        <v>79.488072729689691</v>
      </c>
      <c r="Q36" s="172">
        <f t="shared" si="15"/>
        <v>901.37703798885093</v>
      </c>
      <c r="R36" s="16">
        <f t="shared" si="16"/>
        <v>23257.118944376169</v>
      </c>
      <c r="S36" s="7">
        <f t="shared" si="8"/>
        <v>3.827450290365376</v>
      </c>
    </row>
    <row r="37" spans="2:19">
      <c r="B37" s="120">
        <f t="shared" si="9"/>
        <v>30000</v>
      </c>
      <c r="C37" s="11">
        <v>0.79</v>
      </c>
      <c r="D37" s="7">
        <f t="shared" si="0"/>
        <v>785.78903416760113</v>
      </c>
      <c r="E37" s="121">
        <f t="shared" si="7"/>
        <v>9920.5119272703141</v>
      </c>
      <c r="F37" s="11">
        <f t="shared" si="1"/>
        <v>0.21255609181949717</v>
      </c>
      <c r="G37" s="11">
        <f t="shared" si="2"/>
        <v>2.0404755738718569E-2</v>
      </c>
      <c r="H37" s="12">
        <f t="shared" si="3"/>
        <v>952.3397845068348</v>
      </c>
      <c r="I37" s="12">
        <f t="shared" si="4"/>
        <v>3594.61328592063</v>
      </c>
      <c r="J37" s="16">
        <f t="shared" si="5"/>
        <v>209.29056463055826</v>
      </c>
      <c r="K37" s="323">
        <f t="shared" si="10"/>
        <v>8.5693670102646742</v>
      </c>
      <c r="L37" s="324">
        <f t="shared" si="11"/>
        <v>1.1635668432440149</v>
      </c>
      <c r="M37" s="7">
        <f t="shared" si="12"/>
        <v>38.183265335755202</v>
      </c>
      <c r="N37" s="7">
        <f t="shared" si="6"/>
        <v>2.3485141024646006</v>
      </c>
      <c r="O37" s="176">
        <f t="shared" si="13"/>
        <v>2.7252583672409463</v>
      </c>
      <c r="P37" s="16">
        <f t="shared" si="14"/>
        <v>82.213331096930631</v>
      </c>
      <c r="Q37" s="172">
        <f t="shared" si="15"/>
        <v>908.53124273999356</v>
      </c>
      <c r="R37" s="16">
        <f t="shared" si="16"/>
        <v>24165.650187116164</v>
      </c>
      <c r="S37" s="7">
        <f t="shared" si="8"/>
        <v>3.9769683014805088</v>
      </c>
    </row>
    <row r="38" spans="2:19">
      <c r="B38" s="120">
        <f t="shared" si="9"/>
        <v>30000</v>
      </c>
      <c r="C38" s="11">
        <v>0.8</v>
      </c>
      <c r="D38" s="7">
        <f t="shared" si="0"/>
        <v>795.73573080263407</v>
      </c>
      <c r="E38" s="121">
        <f t="shared" si="7"/>
        <v>9917.7866689030725</v>
      </c>
      <c r="F38" s="11">
        <f t="shared" si="1"/>
        <v>0.20721846090200322</v>
      </c>
      <c r="G38" s="11">
        <f t="shared" si="2"/>
        <v>2.0051153806375198E-2</v>
      </c>
      <c r="H38" s="12">
        <f t="shared" si="3"/>
        <v>959.67832716911448</v>
      </c>
      <c r="I38" s="12">
        <f t="shared" si="4"/>
        <v>3614.0678957112077</v>
      </c>
      <c r="J38" s="16">
        <f t="shared" si="5"/>
        <v>212.9701609514801</v>
      </c>
      <c r="K38" s="323">
        <f t="shared" si="10"/>
        <v>8.6110271201990845</v>
      </c>
      <c r="L38" s="324">
        <f t="shared" si="11"/>
        <v>1.1579125088167508</v>
      </c>
      <c r="M38" s="7">
        <f t="shared" si="12"/>
        <v>39.341177844571952</v>
      </c>
      <c r="N38" s="7">
        <f t="shared" si="6"/>
        <v>2.361224628414659</v>
      </c>
      <c r="O38" s="176">
        <f t="shared" si="13"/>
        <v>2.7267326948719113</v>
      </c>
      <c r="P38" s="16">
        <f t="shared" si="14"/>
        <v>84.940063791802544</v>
      </c>
      <c r="Q38" s="172">
        <f t="shared" si="15"/>
        <v>915.63365418125352</v>
      </c>
      <c r="R38" s="16">
        <f t="shared" si="16"/>
        <v>25081.283841297416</v>
      </c>
      <c r="S38" s="7">
        <f t="shared" si="8"/>
        <v>4.1276551644555033</v>
      </c>
    </row>
    <row r="39" spans="2:19">
      <c r="B39" s="120">
        <f t="shared" si="9"/>
        <v>30000</v>
      </c>
      <c r="C39" s="11">
        <v>0.81</v>
      </c>
      <c r="D39" s="7">
        <f t="shared" si="0"/>
        <v>805.682427437667</v>
      </c>
      <c r="E39" s="121">
        <f t="shared" si="7"/>
        <v>9915.0599362082012</v>
      </c>
      <c r="F39" s="11">
        <f t="shared" si="1"/>
        <v>0.20207796576044817</v>
      </c>
      <c r="G39" s="11">
        <f t="shared" si="2"/>
        <v>1.980987286002801E-2</v>
      </c>
      <c r="H39" s="12">
        <f t="shared" si="3"/>
        <v>971.98166062638347</v>
      </c>
      <c r="I39" s="12">
        <f t="shared" si="4"/>
        <v>3633.5225055017859</v>
      </c>
      <c r="J39" s="16">
        <f t="shared" si="5"/>
        <v>216.27269047490759</v>
      </c>
      <c r="K39" s="323">
        <f t="shared" si="10"/>
        <v>8.6366008570765569</v>
      </c>
      <c r="L39" s="324">
        <f t="shared" si="11"/>
        <v>1.1533987917803028</v>
      </c>
      <c r="M39" s="7">
        <f t="shared" si="12"/>
        <v>40.494576636352257</v>
      </c>
      <c r="N39" s="7">
        <f t="shared" si="6"/>
        <v>2.3739351543647174</v>
      </c>
      <c r="O39" s="176">
        <f t="shared" si="13"/>
        <v>2.7307637861722069</v>
      </c>
      <c r="P39" s="16">
        <f t="shared" si="14"/>
        <v>87.670827577974748</v>
      </c>
      <c r="Q39" s="172">
        <f t="shared" si="15"/>
        <v>923.53688442470059</v>
      </c>
      <c r="R39" s="16">
        <f t="shared" si="16"/>
        <v>26004.820725722118</v>
      </c>
      <c r="S39" s="7">
        <f t="shared" si="8"/>
        <v>4.2796426709436703</v>
      </c>
    </row>
    <row r="40" spans="2:19">
      <c r="B40" s="120">
        <f t="shared" si="9"/>
        <v>30000</v>
      </c>
      <c r="C40" s="11">
        <v>0.82</v>
      </c>
      <c r="D40" s="7">
        <f t="shared" si="0"/>
        <v>815.62912407269982</v>
      </c>
      <c r="E40" s="121">
        <f t="shared" si="7"/>
        <v>9912.3291724220289</v>
      </c>
      <c r="F40" s="11">
        <f t="shared" si="1"/>
        <v>0.1971249818414067</v>
      </c>
      <c r="G40" s="11">
        <f t="shared" si="2"/>
        <v>1.9652186819052751E-2</v>
      </c>
      <c r="H40" s="12">
        <f t="shared" si="3"/>
        <v>988.20019100930699</v>
      </c>
      <c r="I40" s="12">
        <f t="shared" si="4"/>
        <v>3652.9771152923636</v>
      </c>
      <c r="J40" s="16">
        <f t="shared" si="5"/>
        <v>219.26931912724763</v>
      </c>
      <c r="K40" s="323">
        <f t="shared" si="10"/>
        <v>8.6494840183897725</v>
      </c>
      <c r="L40" s="324">
        <f t="shared" si="11"/>
        <v>1.1508327891123453</v>
      </c>
      <c r="M40" s="7">
        <f t="shared" si="12"/>
        <v>41.645409425464599</v>
      </c>
      <c r="N40" s="7">
        <f t="shared" si="6"/>
        <v>2.3866456803147749</v>
      </c>
      <c r="O40" s="176">
        <f t="shared" si="13"/>
        <v>2.7393162598844887</v>
      </c>
      <c r="P40" s="16">
        <f t="shared" si="14"/>
        <v>90.410143837859238</v>
      </c>
      <c r="Q40" s="172">
        <f t="shared" si="15"/>
        <v>932.92924742236971</v>
      </c>
      <c r="R40" s="16">
        <f t="shared" si="16"/>
        <v>26937.749973144488</v>
      </c>
      <c r="S40" s="7">
        <f t="shared" si="8"/>
        <v>4.4331758892015811</v>
      </c>
    </row>
    <row r="41" spans="2:19">
      <c r="B41" s="120">
        <f t="shared" si="9"/>
        <v>30000</v>
      </c>
      <c r="C41" s="11">
        <v>0.83</v>
      </c>
      <c r="D41" s="7">
        <f t="shared" si="0"/>
        <v>825.57582070773276</v>
      </c>
      <c r="E41" s="121">
        <f t="shared" si="7"/>
        <v>9909.5898561621452</v>
      </c>
      <c r="F41" s="11">
        <f t="shared" si="1"/>
        <v>0.19235042514433084</v>
      </c>
      <c r="G41" s="11">
        <f t="shared" si="2"/>
        <v>1.9553140942912408E-2</v>
      </c>
      <c r="H41" s="12">
        <f t="shared" si="3"/>
        <v>1007.3469138350088</v>
      </c>
      <c r="I41" s="12">
        <f t="shared" si="4"/>
        <v>3672.4317250829413</v>
      </c>
      <c r="J41" s="16">
        <f t="shared" si="5"/>
        <v>222.03033750519367</v>
      </c>
      <c r="K41" s="323">
        <f t="shared" si="10"/>
        <v>8.6528746357520241</v>
      </c>
      <c r="L41" s="324">
        <f t="shared" si="11"/>
        <v>1.1497503703232876</v>
      </c>
      <c r="M41" s="7">
        <f t="shared" si="12"/>
        <v>42.795159795787889</v>
      </c>
      <c r="N41" s="7">
        <f t="shared" si="6"/>
        <v>2.3993562062648333</v>
      </c>
      <c r="O41" s="176">
        <f t="shared" si="13"/>
        <v>2.7513537207314291</v>
      </c>
      <c r="P41" s="16">
        <f t="shared" si="14"/>
        <v>93.161497558590668</v>
      </c>
      <c r="Q41" s="172">
        <f t="shared" si="15"/>
        <v>943.48799651885656</v>
      </c>
      <c r="R41" s="16">
        <f t="shared" si="16"/>
        <v>27881.237969663343</v>
      </c>
      <c r="S41" s="7">
        <f t="shared" si="8"/>
        <v>4.5884467727047831</v>
      </c>
    </row>
    <row r="42" spans="2:19">
      <c r="B42" s="120">
        <f t="shared" si="9"/>
        <v>30000</v>
      </c>
      <c r="C42" s="11">
        <v>0.84</v>
      </c>
      <c r="D42" s="7">
        <f t="shared" si="0"/>
        <v>835.5225173427657</v>
      </c>
      <c r="E42" s="121">
        <f t="shared" si="7"/>
        <v>9906.8385024414147</v>
      </c>
      <c r="F42" s="11">
        <f t="shared" si="1"/>
        <v>0.18774577240614526</v>
      </c>
      <c r="G42" s="11">
        <f t="shared" si="2"/>
        <v>1.9460466465230447E-2</v>
      </c>
      <c r="H42" s="12">
        <f t="shared" si="3"/>
        <v>1026.8763764019889</v>
      </c>
      <c r="I42" s="12">
        <f t="shared" si="4"/>
        <v>3691.8863348735194</v>
      </c>
      <c r="J42" s="16">
        <f t="shared" si="5"/>
        <v>224.76149466824728</v>
      </c>
      <c r="K42" s="323">
        <f t="shared" si="10"/>
        <v>8.6550346392274893</v>
      </c>
      <c r="L42" s="324">
        <f t="shared" si="11"/>
        <v>1.1493816470845475</v>
      </c>
      <c r="M42" s="7">
        <f t="shared" si="12"/>
        <v>43.944541442872435</v>
      </c>
      <c r="N42" s="7">
        <f t="shared" si="6"/>
        <v>2.4120667322148917</v>
      </c>
      <c r="O42" s="176">
        <f t="shared" si="13"/>
        <v>2.7650806109250996</v>
      </c>
      <c r="P42" s="16">
        <f t="shared" si="14"/>
        <v>95.926578169515764</v>
      </c>
      <c r="Q42" s="172">
        <f t="shared" si="15"/>
        <v>954.61797187894331</v>
      </c>
      <c r="R42" s="16">
        <f t="shared" si="16"/>
        <v>28835.855941542286</v>
      </c>
      <c r="S42" s="7">
        <f t="shared" si="8"/>
        <v>4.745549328803615</v>
      </c>
    </row>
    <row r="43" spans="2:19">
      <c r="B43" s="120">
        <f t="shared" si="9"/>
        <v>30000</v>
      </c>
      <c r="C43" s="11">
        <v>0.85</v>
      </c>
      <c r="D43" s="7">
        <f t="shared" si="0"/>
        <v>845.46921397779863</v>
      </c>
      <c r="E43" s="121">
        <f t="shared" si="7"/>
        <v>9904.0734218304897</v>
      </c>
      <c r="F43" s="11">
        <f t="shared" si="1"/>
        <v>0.18330303471666926</v>
      </c>
      <c r="G43" s="11">
        <f t="shared" si="2"/>
        <v>1.9373863801875096E-2</v>
      </c>
      <c r="H43" s="12">
        <f t="shared" si="3"/>
        <v>1046.7921049692568</v>
      </c>
      <c r="I43" s="12">
        <f t="shared" si="4"/>
        <v>3711.3409446640972</v>
      </c>
      <c r="J43" s="16">
        <f t="shared" si="5"/>
        <v>227.461360306221</v>
      </c>
      <c r="K43" s="323">
        <f t="shared" si="10"/>
        <v>8.6559530323531426</v>
      </c>
      <c r="L43" s="324">
        <f t="shared" si="11"/>
        <v>1.1491772536309273</v>
      </c>
      <c r="M43" s="7">
        <f t="shared" si="12"/>
        <v>45.093718696503359</v>
      </c>
      <c r="N43" s="7">
        <f t="shared" si="6"/>
        <v>2.4247772581649496</v>
      </c>
      <c r="O43" s="176">
        <f t="shared" si="13"/>
        <v>2.7791955465529807</v>
      </c>
      <c r="P43" s="16">
        <f t="shared" si="14"/>
        <v>98.705773716068748</v>
      </c>
      <c r="Q43" s="172">
        <f t="shared" si="15"/>
        <v>965.87873058763182</v>
      </c>
      <c r="R43" s="16">
        <f t="shared" si="16"/>
        <v>29801.734672129918</v>
      </c>
      <c r="S43" s="7">
        <f t="shared" si="8"/>
        <v>4.9045050806612336</v>
      </c>
    </row>
    <row r="44" spans="2:19">
      <c r="B44" s="120">
        <f t="shared" si="9"/>
        <v>30000</v>
      </c>
      <c r="C44" s="11">
        <v>0.86</v>
      </c>
      <c r="D44" s="7">
        <f t="shared" si="0"/>
        <v>855.41591061283157</v>
      </c>
      <c r="E44" s="121">
        <f t="shared" si="7"/>
        <v>9901.294226283937</v>
      </c>
      <c r="F44" s="11">
        <f t="shared" si="1"/>
        <v>0.17901470985947898</v>
      </c>
      <c r="G44" s="11">
        <f t="shared" si="2"/>
        <v>1.9419792502322033E-2</v>
      </c>
      <c r="H44" s="12">
        <f t="shared" si="3"/>
        <v>1074.1077061756989</v>
      </c>
      <c r="I44" s="12">
        <f t="shared" si="4"/>
        <v>3730.7955544546753</v>
      </c>
      <c r="J44" s="16">
        <f t="shared" si="5"/>
        <v>229.52282833054701</v>
      </c>
      <c r="K44" s="323">
        <f t="shared" si="10"/>
        <v>8.6328385842350581</v>
      </c>
      <c r="L44" s="324">
        <f t="shared" si="11"/>
        <v>1.1506526142046052</v>
      </c>
      <c r="M44" s="7">
        <f t="shared" si="12"/>
        <v>46.244371310707962</v>
      </c>
      <c r="N44" s="7">
        <f t="shared" si="6"/>
        <v>2.437487784115008</v>
      </c>
      <c r="O44" s="176">
        <f t="shared" si="13"/>
        <v>2.7973889909275496</v>
      </c>
      <c r="P44" s="16">
        <f t="shared" si="14"/>
        <v>101.50316270699629</v>
      </c>
      <c r="Q44" s="172">
        <f t="shared" si="15"/>
        <v>978.56395753596723</v>
      </c>
      <c r="R44" s="16">
        <f t="shared" si="16"/>
        <v>30780.298629665886</v>
      </c>
      <c r="S44" s="7">
        <f t="shared" si="8"/>
        <v>5.0655484546221263</v>
      </c>
    </row>
    <row r="45" spans="2:19">
      <c r="B45" s="120">
        <f t="shared" si="9"/>
        <v>30000</v>
      </c>
      <c r="C45" s="11">
        <v>0.87</v>
      </c>
      <c r="D45" s="7">
        <f t="shared" si="0"/>
        <v>865.3626072478645</v>
      </c>
      <c r="E45" s="121">
        <f t="shared" si="7"/>
        <v>9898.4968372930089</v>
      </c>
      <c r="F45" s="11">
        <f t="shared" si="1"/>
        <v>0.17487365961174414</v>
      </c>
      <c r="G45" s="11">
        <f t="shared" si="2"/>
        <v>1.9470747074593814E-2</v>
      </c>
      <c r="H45" s="12">
        <f t="shared" si="3"/>
        <v>1102.1164008662147</v>
      </c>
      <c r="I45" s="12">
        <f t="shared" si="4"/>
        <v>3750.250164245253</v>
      </c>
      <c r="J45" s="16">
        <f t="shared" si="5"/>
        <v>231.50948830787098</v>
      </c>
      <c r="K45" s="323">
        <f t="shared" si="10"/>
        <v>8.6074741552635103</v>
      </c>
      <c r="L45" s="324">
        <f t="shared" si="11"/>
        <v>1.1538881904670406</v>
      </c>
      <c r="M45" s="7">
        <f t="shared" si="12"/>
        <v>47.398259501175005</v>
      </c>
      <c r="N45" s="7">
        <f t="shared" si="6"/>
        <v>2.4501983100650664</v>
      </c>
      <c r="O45" s="176">
        <f t="shared" si="13"/>
        <v>2.8199216313921815</v>
      </c>
      <c r="P45" s="16">
        <f t="shared" si="14"/>
        <v>104.32308433838847</v>
      </c>
      <c r="Q45" s="172">
        <f t="shared" si="15"/>
        <v>992.79300508441725</v>
      </c>
      <c r="R45" s="16">
        <f t="shared" si="16"/>
        <v>31773.091634750304</v>
      </c>
      <c r="S45" s="7">
        <f t="shared" si="8"/>
        <v>5.2289335189833297</v>
      </c>
    </row>
    <row r="46" spans="2:19">
      <c r="B46" s="120">
        <f t="shared" si="9"/>
        <v>30000</v>
      </c>
      <c r="C46" s="11">
        <v>0.88</v>
      </c>
      <c r="D46" s="7">
        <f t="shared" si="0"/>
        <v>875.30930388289744</v>
      </c>
      <c r="E46" s="121">
        <f t="shared" si="7"/>
        <v>9895.6769156616174</v>
      </c>
      <c r="F46" s="11">
        <f t="shared" si="1"/>
        <v>0.17087314721539432</v>
      </c>
      <c r="G46" s="11">
        <f t="shared" si="2"/>
        <v>1.9526500187076058E-2</v>
      </c>
      <c r="H46" s="12">
        <f t="shared" si="3"/>
        <v>1130.8268168159693</v>
      </c>
      <c r="I46" s="12">
        <f t="shared" si="4"/>
        <v>3769.7047740358312</v>
      </c>
      <c r="J46" s="16">
        <f t="shared" si="5"/>
        <v>233.41853694822308</v>
      </c>
      <c r="K46" s="323">
        <f t="shared" si="10"/>
        <v>8.5798334079822034</v>
      </c>
      <c r="L46" s="324">
        <f t="shared" si="11"/>
        <v>1.157446749402856</v>
      </c>
      <c r="M46" s="7">
        <f t="shared" si="12"/>
        <v>48.555706250577863</v>
      </c>
      <c r="N46" s="7">
        <f t="shared" si="6"/>
        <v>2.4629088360151248</v>
      </c>
      <c r="O46" s="176">
        <f t="shared" si="13"/>
        <v>2.84332994784923</v>
      </c>
      <c r="P46" s="16">
        <f t="shared" si="14"/>
        <v>107.1664142862377</v>
      </c>
      <c r="Q46" s="172">
        <f t="shared" si="15"/>
        <v>1007.3675226575788</v>
      </c>
      <c r="R46" s="16">
        <f t="shared" si="16"/>
        <v>32780.45915740788</v>
      </c>
      <c r="S46" s="7">
        <f t="shared" si="8"/>
        <v>5.394717128136377</v>
      </c>
    </row>
    <row r="47" spans="2:19">
      <c r="B47" s="120">
        <f t="shared" si="9"/>
        <v>30000</v>
      </c>
      <c r="C47" s="11">
        <v>0.89</v>
      </c>
      <c r="D47" s="7">
        <f t="shared" si="0"/>
        <v>885.25600051793037</v>
      </c>
      <c r="E47" s="121">
        <f t="shared" si="7"/>
        <v>9892.8335857137681</v>
      </c>
      <c r="F47" s="11">
        <f t="shared" si="1"/>
        <v>0.16700687341626186</v>
      </c>
      <c r="G47" s="11">
        <f t="shared" si="2"/>
        <v>1.9586839402729723E-2</v>
      </c>
      <c r="H47" s="12">
        <f t="shared" si="3"/>
        <v>1160.2477114719677</v>
      </c>
      <c r="I47" s="12">
        <f t="shared" si="4"/>
        <v>3789.1593838264089</v>
      </c>
      <c r="J47" s="16">
        <f t="shared" si="5"/>
        <v>235.24704146890636</v>
      </c>
      <c r="K47" s="323">
        <f t="shared" si="10"/>
        <v>8.5498864823196303</v>
      </c>
      <c r="L47" s="324">
        <f t="shared" si="11"/>
        <v>1.161337920144784</v>
      </c>
      <c r="M47" s="7">
        <f t="shared" si="12"/>
        <v>49.717044170722644</v>
      </c>
      <c r="N47" s="7">
        <f t="shared" si="6"/>
        <v>2.4756193619651827</v>
      </c>
      <c r="O47" s="176">
        <f t="shared" si="13"/>
        <v>2.8676500330094092</v>
      </c>
      <c r="P47" s="16">
        <f t="shared" si="14"/>
        <v>110.03406431924711</v>
      </c>
      <c r="Q47" s="172">
        <f t="shared" si="15"/>
        <v>1022.3056244459628</v>
      </c>
      <c r="R47" s="16">
        <f t="shared" si="16"/>
        <v>33802.764781853846</v>
      </c>
      <c r="S47" s="7">
        <f t="shared" si="8"/>
        <v>5.562959117545561</v>
      </c>
    </row>
    <row r="48" spans="2:19" ht="15" thickBot="1">
      <c r="B48" s="120">
        <f t="shared" si="9"/>
        <v>30000</v>
      </c>
      <c r="C48" s="11">
        <v>0.9</v>
      </c>
      <c r="D48" s="7">
        <f t="shared" si="0"/>
        <v>895.20269715296331</v>
      </c>
      <c r="E48" s="121">
        <f t="shared" si="7"/>
        <v>9889.9659356807588</v>
      </c>
      <c r="F48" s="11">
        <f t="shared" si="1"/>
        <v>0.16326888698307798</v>
      </c>
      <c r="G48" s="11">
        <f t="shared" si="2"/>
        <v>1.9651563927960348E-2</v>
      </c>
      <c r="H48" s="12">
        <f t="shared" si="3"/>
        <v>1190.38784070675</v>
      </c>
      <c r="I48" s="12">
        <f t="shared" si="4"/>
        <v>3808.613993616987</v>
      </c>
      <c r="J48" s="16">
        <f t="shared" si="5"/>
        <v>236.99203102263635</v>
      </c>
      <c r="K48" s="325">
        <f t="shared" si="10"/>
        <v>8.5176034772596552</v>
      </c>
      <c r="L48" s="324">
        <f t="shared" si="11"/>
        <v>1.1655722849217511</v>
      </c>
      <c r="M48" s="7">
        <f t="shared" si="12"/>
        <v>50.882616455644396</v>
      </c>
      <c r="N48" s="7">
        <f t="shared" si="6"/>
        <v>2.4883298879152411</v>
      </c>
      <c r="O48" s="177">
        <f t="shared" si="13"/>
        <v>2.8929208347093689</v>
      </c>
      <c r="P48" s="16">
        <f t="shared" si="14"/>
        <v>112.92698515395648</v>
      </c>
      <c r="Q48" s="172">
        <f t="shared" si="15"/>
        <v>1037.6266562265346</v>
      </c>
      <c r="R48" s="16">
        <f t="shared" si="16"/>
        <v>34840.391438080384</v>
      </c>
      <c r="S48" s="7">
        <f t="shared" si="8"/>
        <v>5.7337225064315032</v>
      </c>
    </row>
    <row r="49" spans="2:17">
      <c r="B49" s="55"/>
      <c r="C49" s="18"/>
      <c r="D49" s="1"/>
      <c r="E49" s="121">
        <f t="shared" si="7"/>
        <v>9887.0730148460498</v>
      </c>
      <c r="F49" s="1"/>
      <c r="H49" s="18"/>
      <c r="I49" s="1"/>
      <c r="J49" s="1"/>
      <c r="K49" s="1"/>
      <c r="Q49" s="297"/>
    </row>
  </sheetData>
  <mergeCells count="2">
    <mergeCell ref="B2:D2"/>
    <mergeCell ref="B3:D3"/>
  </mergeCells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59AA1-FB73-4CB4-8E62-B3194C86823E}">
  <sheetPr codeName="Sheet25">
    <tabColor theme="0" tint="-0.249977111117893"/>
  </sheetPr>
  <dimension ref="B1:S49"/>
  <sheetViews>
    <sheetView topLeftCell="I1" workbookViewId="0">
      <selection activeCell="X12" sqref="X12"/>
    </sheetView>
  </sheetViews>
  <sheetFormatPr defaultRowHeight="14.5"/>
  <cols>
    <col min="1" max="1" width="2.7265625" customWidth="1"/>
    <col min="2" max="19" width="10.7265625" customWidth="1"/>
  </cols>
  <sheetData>
    <row r="1" spans="2:19" ht="15" thickBot="1"/>
    <row r="2" spans="2:19">
      <c r="B2" s="637" t="s">
        <v>408</v>
      </c>
      <c r="C2" s="638"/>
      <c r="D2" s="639"/>
      <c r="F2" t="s">
        <v>6</v>
      </c>
      <c r="G2" s="8">
        <v>10000</v>
      </c>
      <c r="H2" t="s">
        <v>5</v>
      </c>
      <c r="I2" s="123" t="s">
        <v>108</v>
      </c>
      <c r="J2" s="124">
        <f>M48</f>
        <v>105.68203958216037</v>
      </c>
      <c r="K2" s="125" t="s">
        <v>223</v>
      </c>
      <c r="M2" t="s">
        <v>17</v>
      </c>
      <c r="N2" s="3">
        <f>Linterp(G3,atmos_h,atmos_aspeed)</f>
        <v>994.66966350329255</v>
      </c>
      <c r="O2" t="s">
        <v>20</v>
      </c>
    </row>
    <row r="3" spans="2:19">
      <c r="B3" s="640" t="s">
        <v>409</v>
      </c>
      <c r="C3" s="641"/>
      <c r="D3" s="642"/>
      <c r="F3" t="s">
        <v>1</v>
      </c>
      <c r="G3" s="8">
        <v>30000</v>
      </c>
      <c r="H3" s="10" t="s">
        <v>2</v>
      </c>
      <c r="I3" s="126" t="s">
        <v>111</v>
      </c>
      <c r="J3" s="122">
        <f>P48</f>
        <v>12.681844749859247</v>
      </c>
      <c r="K3" s="127" t="s">
        <v>5</v>
      </c>
      <c r="M3" t="s">
        <v>0</v>
      </c>
      <c r="N3" s="1">
        <f>Linterp(G3,atmos_h,atmos_qms)</f>
        <v>439.90350606186917</v>
      </c>
      <c r="O3" t="s">
        <v>224</v>
      </c>
    </row>
    <row r="4" spans="2:19" ht="15" thickBot="1">
      <c r="B4" s="643" t="s">
        <v>410</v>
      </c>
      <c r="C4" s="644"/>
      <c r="D4" s="645"/>
      <c r="G4" s="8"/>
      <c r="H4" s="8"/>
      <c r="I4" s="128" t="s">
        <v>182</v>
      </c>
      <c r="J4" s="129">
        <f>S48</f>
        <v>12.089840365658674</v>
      </c>
      <c r="K4" s="130" t="s">
        <v>183</v>
      </c>
    </row>
    <row r="5" spans="2:19" ht="15" thickBot="1">
      <c r="B5" s="55"/>
      <c r="D5" s="8"/>
      <c r="E5" s="8"/>
      <c r="G5" s="9"/>
    </row>
    <row r="6" spans="2:19">
      <c r="B6" s="6" t="s">
        <v>1</v>
      </c>
      <c r="C6" s="6" t="s">
        <v>72</v>
      </c>
      <c r="D6" s="6" t="s">
        <v>185</v>
      </c>
      <c r="E6" s="6" t="s">
        <v>6</v>
      </c>
      <c r="F6" s="6" t="s">
        <v>74</v>
      </c>
      <c r="G6" s="6" t="s">
        <v>75</v>
      </c>
      <c r="H6" s="6" t="s">
        <v>186</v>
      </c>
      <c r="I6" s="308" t="s">
        <v>407</v>
      </c>
      <c r="J6" s="6" t="s">
        <v>188</v>
      </c>
      <c r="K6" s="312" t="s">
        <v>225</v>
      </c>
      <c r="L6" s="310" t="s">
        <v>192</v>
      </c>
      <c r="M6" s="183" t="s">
        <v>108</v>
      </c>
      <c r="N6" s="312" t="s">
        <v>193</v>
      </c>
      <c r="O6" s="310" t="s">
        <v>110</v>
      </c>
      <c r="P6" s="185" t="s">
        <v>111</v>
      </c>
      <c r="Q6" s="308" t="s">
        <v>195</v>
      </c>
      <c r="R6" s="6" t="s">
        <v>182</v>
      </c>
      <c r="S6" s="187" t="s">
        <v>182</v>
      </c>
    </row>
    <row r="7" spans="2:19" ht="16.5">
      <c r="B7" s="6" t="s">
        <v>30</v>
      </c>
      <c r="C7" s="5"/>
      <c r="D7" s="6" t="s">
        <v>69</v>
      </c>
      <c r="E7" s="6" t="s">
        <v>78</v>
      </c>
      <c r="F7" s="5"/>
      <c r="G7" s="5"/>
      <c r="H7" s="6" t="s">
        <v>78</v>
      </c>
      <c r="I7" s="330" t="s">
        <v>78</v>
      </c>
      <c r="J7" s="6" t="s">
        <v>69</v>
      </c>
      <c r="K7" s="317" t="s">
        <v>417</v>
      </c>
      <c r="L7" s="318" t="s">
        <v>112</v>
      </c>
      <c r="M7" s="183" t="s">
        <v>112</v>
      </c>
      <c r="N7" s="317" t="s">
        <v>227</v>
      </c>
      <c r="O7" s="318" t="s">
        <v>78</v>
      </c>
      <c r="P7" s="185" t="s">
        <v>78</v>
      </c>
      <c r="Q7" s="330" t="s">
        <v>30</v>
      </c>
      <c r="R7" s="6" t="s">
        <v>30</v>
      </c>
      <c r="S7" s="187" t="s">
        <v>203</v>
      </c>
    </row>
    <row r="8" spans="2:19">
      <c r="B8" s="120">
        <f>G3</f>
        <v>30000</v>
      </c>
      <c r="C8" s="11">
        <v>0.9</v>
      </c>
      <c r="D8" s="7">
        <f t="shared" ref="D8:D48" si="0">C8*N$2</f>
        <v>895.20269715296331</v>
      </c>
      <c r="E8" s="121">
        <f>G2</f>
        <v>10000</v>
      </c>
      <c r="F8" s="11">
        <f t="shared" ref="F8:F48" si="1">E8/(N$3*C8*C8*_xlfn.SINGLE(S))</f>
        <v>0.16508538860992511</v>
      </c>
      <c r="G8" s="11">
        <f t="shared" ref="G8:G48" si="2">InterpolateXY(F8,C8,CD_CL,CD_M,CD_table)</f>
        <v>1.972022768945517E-2</v>
      </c>
      <c r="H8" s="12">
        <f t="shared" ref="H8:H48" si="3">G8*N$3*C8*C8*_xlfn.SINGLE(S)</f>
        <v>1194.5471283380173</v>
      </c>
      <c r="I8" s="306">
        <f t="shared" ref="I8:I48" si="4">-100*numeng</f>
        <v>-200</v>
      </c>
      <c r="J8" s="16">
        <f t="shared" ref="J8:J48" si="5">(I8-H8)*D8/E8</f>
        <v>-124.84023505951127</v>
      </c>
      <c r="K8" s="323">
        <f>J8*32.174/D8</f>
        <v>-4.4868159307147364</v>
      </c>
      <c r="L8" s="324">
        <v>0</v>
      </c>
      <c r="M8" s="7">
        <v>0</v>
      </c>
      <c r="N8" s="277">
        <f t="shared" ref="N8:N48" si="6">216*numeng/3600</f>
        <v>0.12</v>
      </c>
      <c r="O8" s="324">
        <v>0</v>
      </c>
      <c r="P8" s="16">
        <v>0</v>
      </c>
      <c r="Q8" s="172">
        <v>0</v>
      </c>
      <c r="R8" s="16">
        <v>0</v>
      </c>
      <c r="S8" s="7">
        <f>R8/6076.4</f>
        <v>0</v>
      </c>
    </row>
    <row r="9" spans="2:19">
      <c r="B9" s="120">
        <f>B8</f>
        <v>30000</v>
      </c>
      <c r="C9" s="11">
        <v>0.89</v>
      </c>
      <c r="D9" s="7">
        <f t="shared" si="0"/>
        <v>885.25600051793037</v>
      </c>
      <c r="E9" s="121">
        <f t="shared" ref="E9:E49" si="7">E8-O8</f>
        <v>10000</v>
      </c>
      <c r="F9" s="11">
        <f t="shared" si="1"/>
        <v>0.1688160141068544</v>
      </c>
      <c r="G9" s="11">
        <f t="shared" si="2"/>
        <v>1.9655116372392683E-2</v>
      </c>
      <c r="H9" s="12">
        <f t="shared" si="3"/>
        <v>1164.2921719471299</v>
      </c>
      <c r="I9" s="306">
        <f t="shared" si="4"/>
        <v>-200</v>
      </c>
      <c r="J9" s="16">
        <f t="shared" si="5"/>
        <v>-120.77478316758368</v>
      </c>
      <c r="K9" s="323">
        <f>J9*32.174/D9</f>
        <v>-4.3894736340226954</v>
      </c>
      <c r="L9" s="324">
        <f>(D9-D8)/AVERAGE(K8:K9)</f>
        <v>2.2411834500189984</v>
      </c>
      <c r="M9" s="7">
        <f>M8+L9</f>
        <v>2.2411834500189984</v>
      </c>
      <c r="N9" s="277">
        <f t="shared" si="6"/>
        <v>0.12</v>
      </c>
      <c r="O9" s="324">
        <f>AVERAGE(N8:N9)*L9</f>
        <v>0.26894201400227979</v>
      </c>
      <c r="P9" s="16">
        <f>P8+O9</f>
        <v>0.26894201400227979</v>
      </c>
      <c r="Q9" s="172">
        <f>AVERAGE(D8:D9)*L9</f>
        <v>1995.1672833311934</v>
      </c>
      <c r="R9" s="16">
        <f>R8+Q9</f>
        <v>1995.1672833311934</v>
      </c>
      <c r="S9" s="7">
        <f t="shared" ref="S9:S48" si="8">R9/6076.4</f>
        <v>0.3283469296509765</v>
      </c>
    </row>
    <row r="10" spans="2:19">
      <c r="B10" s="120">
        <f t="shared" ref="B10:B48" si="9">B9</f>
        <v>30000</v>
      </c>
      <c r="C10" s="11">
        <v>0.88</v>
      </c>
      <c r="D10" s="7">
        <f t="shared" si="0"/>
        <v>875.30930388289744</v>
      </c>
      <c r="E10" s="121">
        <f t="shared" si="7"/>
        <v>9999.7310579859968</v>
      </c>
      <c r="F10" s="11">
        <f t="shared" si="1"/>
        <v>0.17266989734490037</v>
      </c>
      <c r="G10" s="11">
        <f t="shared" si="2"/>
        <v>1.9594201731955845E-2</v>
      </c>
      <c r="H10" s="12">
        <f t="shared" si="3"/>
        <v>1134.7475768987515</v>
      </c>
      <c r="I10" s="306">
        <f t="shared" si="4"/>
        <v>-200</v>
      </c>
      <c r="J10" s="16">
        <f t="shared" si="5"/>
        <v>-116.83483941916495</v>
      </c>
      <c r="K10" s="323">
        <f t="shared" ref="K10:K48" si="10">J10*32.174/D10</f>
        <v>-4.2945323519320366</v>
      </c>
      <c r="L10" s="324">
        <f t="shared" ref="L10:L48" si="11">(D10-D9)/AVERAGE(K9:K10)</f>
        <v>2.2908083322651884</v>
      </c>
      <c r="M10" s="7">
        <f t="shared" ref="M10:M48" si="12">M9+L10</f>
        <v>4.5319917822841873</v>
      </c>
      <c r="N10" s="277">
        <f t="shared" si="6"/>
        <v>0.12</v>
      </c>
      <c r="O10" s="324">
        <f t="shared" ref="O10:O48" si="13">AVERAGE(N9:N10)*L10</f>
        <v>0.27489699987182259</v>
      </c>
      <c r="P10" s="16">
        <f t="shared" ref="P10:P48" si="14">P9+O10</f>
        <v>0.54383901387410238</v>
      </c>
      <c r="Q10" s="172">
        <f t="shared" ref="Q10:Q48" si="15">AVERAGE(D9:D10)*L10</f>
        <v>2016.5588344092071</v>
      </c>
      <c r="R10" s="16">
        <f t="shared" ref="R10:R48" si="16">R9+Q10</f>
        <v>4011.7261177404007</v>
      </c>
      <c r="S10" s="7">
        <f t="shared" si="8"/>
        <v>0.66021429098485962</v>
      </c>
    </row>
    <row r="11" spans="2:19">
      <c r="B11" s="120">
        <f t="shared" si="9"/>
        <v>30000</v>
      </c>
      <c r="C11" s="11">
        <v>0.87</v>
      </c>
      <c r="D11" s="7">
        <f t="shared" si="0"/>
        <v>865.3626072478645</v>
      </c>
      <c r="E11" s="121">
        <f t="shared" si="7"/>
        <v>9999.4561609861248</v>
      </c>
      <c r="F11" s="11">
        <f t="shared" si="1"/>
        <v>0.17665727652816576</v>
      </c>
      <c r="G11" s="11">
        <f t="shared" si="2"/>
        <v>1.9537846742989595E-2</v>
      </c>
      <c r="H11" s="12">
        <f t="shared" si="3"/>
        <v>1105.9144906235497</v>
      </c>
      <c r="I11" s="306">
        <f t="shared" si="4"/>
        <v>-200</v>
      </c>
      <c r="J11" s="16">
        <f t="shared" si="5"/>
        <v>-113.01510304709561</v>
      </c>
      <c r="K11" s="323">
        <f t="shared" si="10"/>
        <v>-4.2018777966399439</v>
      </c>
      <c r="L11" s="324">
        <f t="shared" si="11"/>
        <v>2.341388059451134</v>
      </c>
      <c r="M11" s="7">
        <f t="shared" si="12"/>
        <v>6.8733798417353213</v>
      </c>
      <c r="N11" s="277">
        <f t="shared" si="6"/>
        <v>0.12</v>
      </c>
      <c r="O11" s="324">
        <f t="shared" si="13"/>
        <v>0.28096656713413609</v>
      </c>
      <c r="P11" s="16">
        <f t="shared" si="14"/>
        <v>0.82480558100823842</v>
      </c>
      <c r="Q11" s="172">
        <f t="shared" si="15"/>
        <v>2037.794214071776</v>
      </c>
      <c r="R11" s="16">
        <f t="shared" si="16"/>
        <v>6049.5203318121767</v>
      </c>
      <c r="S11" s="7">
        <f t="shared" si="8"/>
        <v>0.99557638269570425</v>
      </c>
    </row>
    <row r="12" spans="2:19">
      <c r="B12" s="120">
        <f t="shared" si="9"/>
        <v>30000</v>
      </c>
      <c r="C12" s="11">
        <v>0.86</v>
      </c>
      <c r="D12" s="7">
        <f t="shared" si="0"/>
        <v>855.41591061283157</v>
      </c>
      <c r="E12" s="121">
        <f t="shared" si="7"/>
        <v>9999.1751944189909</v>
      </c>
      <c r="F12" s="11">
        <f t="shared" si="1"/>
        <v>0.18078439094469986</v>
      </c>
      <c r="G12" s="11">
        <f t="shared" si="2"/>
        <v>1.9486261723882927E-2</v>
      </c>
      <c r="H12" s="12">
        <f t="shared" si="3"/>
        <v>1077.7841153388515</v>
      </c>
      <c r="I12" s="306">
        <f t="shared" si="4"/>
        <v>-200</v>
      </c>
      <c r="J12" s="16">
        <f t="shared" si="5"/>
        <v>-109.31270243162359</v>
      </c>
      <c r="K12" s="323">
        <f t="shared" si="10"/>
        <v>-4.1114817299989328</v>
      </c>
      <c r="L12" s="324">
        <f t="shared" si="11"/>
        <v>2.3929427334786335</v>
      </c>
      <c r="M12" s="7">
        <f t="shared" si="12"/>
        <v>9.2663225752139553</v>
      </c>
      <c r="N12" s="277">
        <f t="shared" si="6"/>
        <v>0.12</v>
      </c>
      <c r="O12" s="324">
        <f t="shared" si="13"/>
        <v>0.28715312801743603</v>
      </c>
      <c r="P12" s="16">
        <f t="shared" si="14"/>
        <v>1.1119587090256744</v>
      </c>
      <c r="Q12" s="172">
        <f t="shared" si="15"/>
        <v>2058.8622251204429</v>
      </c>
      <c r="R12" s="16">
        <f t="shared" si="16"/>
        <v>8108.38255693262</v>
      </c>
      <c r="S12" s="7">
        <f t="shared" si="8"/>
        <v>1.3344056607419887</v>
      </c>
    </row>
    <row r="13" spans="2:19">
      <c r="B13" s="120">
        <f t="shared" si="9"/>
        <v>30000</v>
      </c>
      <c r="C13" s="11">
        <v>0.85</v>
      </c>
      <c r="D13" s="7">
        <f t="shared" si="0"/>
        <v>845.46921397779863</v>
      </c>
      <c r="E13" s="121">
        <f t="shared" si="7"/>
        <v>9998.888041290973</v>
      </c>
      <c r="F13" s="11">
        <f t="shared" si="1"/>
        <v>0.18505784879592518</v>
      </c>
      <c r="G13" s="11">
        <f t="shared" si="2"/>
        <v>1.9439669329847194E-2</v>
      </c>
      <c r="H13" s="12">
        <f t="shared" si="3"/>
        <v>1050.347653199025</v>
      </c>
      <c r="I13" s="306">
        <f t="shared" si="4"/>
        <v>-200</v>
      </c>
      <c r="J13" s="16">
        <f t="shared" si="5"/>
        <v>-105.72480091623036</v>
      </c>
      <c r="K13" s="323">
        <f t="shared" si="10"/>
        <v>-4.0233159155196851</v>
      </c>
      <c r="L13" s="324">
        <f t="shared" si="11"/>
        <v>2.4454687303776947</v>
      </c>
      <c r="M13" s="7">
        <f t="shared" si="12"/>
        <v>11.71179130559165</v>
      </c>
      <c r="N13" s="277">
        <f t="shared" si="6"/>
        <v>0.12</v>
      </c>
      <c r="O13" s="324">
        <f t="shared" si="13"/>
        <v>0.29345624764532335</v>
      </c>
      <c r="P13" s="16">
        <f t="shared" si="14"/>
        <v>1.4054149566709977</v>
      </c>
      <c r="Q13" s="172">
        <f t="shared" si="15"/>
        <v>2079.730693075478</v>
      </c>
      <c r="R13" s="16">
        <f t="shared" si="16"/>
        <v>10188.113250008098</v>
      </c>
      <c r="S13" s="7">
        <f t="shared" si="8"/>
        <v>1.6766692860917811</v>
      </c>
    </row>
    <row r="14" spans="2:19">
      <c r="B14" s="120">
        <f t="shared" si="9"/>
        <v>30000</v>
      </c>
      <c r="C14" s="11">
        <v>0.84</v>
      </c>
      <c r="D14" s="7">
        <f t="shared" si="0"/>
        <v>835.5225173427657</v>
      </c>
      <c r="E14" s="121">
        <f t="shared" si="7"/>
        <v>9998.5945850433272</v>
      </c>
      <c r="F14" s="11">
        <f t="shared" si="1"/>
        <v>0.1894846537452135</v>
      </c>
      <c r="G14" s="11">
        <f t="shared" si="2"/>
        <v>1.9525674515445506E-2</v>
      </c>
      <c r="H14" s="12">
        <f t="shared" si="3"/>
        <v>1030.3172294995607</v>
      </c>
      <c r="I14" s="306">
        <f t="shared" si="4"/>
        <v>-200</v>
      </c>
      <c r="J14" s="16">
        <f t="shared" si="5"/>
        <v>-102.81022397481232</v>
      </c>
      <c r="K14" s="323">
        <f t="shared" si="10"/>
        <v>-3.9589790550295954</v>
      </c>
      <c r="L14" s="324">
        <f t="shared" si="11"/>
        <v>2.4921896952521361</v>
      </c>
      <c r="M14" s="7">
        <f t="shared" si="12"/>
        <v>14.203981000843786</v>
      </c>
      <c r="N14" s="277">
        <f t="shared" si="6"/>
        <v>0.12</v>
      </c>
      <c r="O14" s="324">
        <f t="shared" si="13"/>
        <v>0.29906276343025634</v>
      </c>
      <c r="P14" s="16">
        <f t="shared" si="14"/>
        <v>1.704477720101254</v>
      </c>
      <c r="Q14" s="172">
        <f t="shared" si="15"/>
        <v>2094.6751353005789</v>
      </c>
      <c r="R14" s="16">
        <f t="shared" si="16"/>
        <v>12282.788385308677</v>
      </c>
      <c r="S14" s="7">
        <f t="shared" si="8"/>
        <v>2.0213923351505296</v>
      </c>
    </row>
    <row r="15" spans="2:19">
      <c r="B15" s="120">
        <f t="shared" si="9"/>
        <v>30000</v>
      </c>
      <c r="C15" s="11">
        <v>0.83</v>
      </c>
      <c r="D15" s="7">
        <f t="shared" si="0"/>
        <v>825.57582070773276</v>
      </c>
      <c r="E15" s="121">
        <f t="shared" si="7"/>
        <v>9998.2955222798973</v>
      </c>
      <c r="F15" s="11">
        <f t="shared" si="1"/>
        <v>0.194072249441615</v>
      </c>
      <c r="G15" s="11">
        <f t="shared" si="2"/>
        <v>1.9617709354060563E-2</v>
      </c>
      <c r="H15" s="12">
        <f t="shared" si="3"/>
        <v>1010.6733763144243</v>
      </c>
      <c r="I15" s="306">
        <f t="shared" si="4"/>
        <v>-200</v>
      </c>
      <c r="J15" s="16">
        <f t="shared" si="5"/>
        <v>-99.967305830530947</v>
      </c>
      <c r="K15" s="323">
        <f t="shared" si="10"/>
        <v>-3.8958845657982786</v>
      </c>
      <c r="L15" s="324">
        <f t="shared" si="11"/>
        <v>2.5326210906217081</v>
      </c>
      <c r="M15" s="7">
        <f t="shared" si="12"/>
        <v>16.736602091465492</v>
      </c>
      <c r="N15" s="277">
        <f t="shared" si="6"/>
        <v>0.12</v>
      </c>
      <c r="O15" s="324">
        <f t="shared" si="13"/>
        <v>0.30391453087460496</v>
      </c>
      <c r="P15" s="16">
        <f t="shared" si="14"/>
        <v>2.0083922509758589</v>
      </c>
      <c r="Q15" s="172">
        <f t="shared" si="15"/>
        <v>2103.4663422716803</v>
      </c>
      <c r="R15" s="16">
        <f t="shared" si="16"/>
        <v>14386.254727580357</v>
      </c>
      <c r="S15" s="7">
        <f t="shared" si="8"/>
        <v>2.3675621630538406</v>
      </c>
    </row>
    <row r="16" spans="2:19">
      <c r="B16" s="120">
        <f t="shared" si="9"/>
        <v>30000</v>
      </c>
      <c r="C16" s="11">
        <v>0.82</v>
      </c>
      <c r="D16" s="7">
        <f t="shared" si="0"/>
        <v>815.62912407269982</v>
      </c>
      <c r="E16" s="121">
        <f t="shared" si="7"/>
        <v>9997.9916077490234</v>
      </c>
      <c r="F16" s="11">
        <f t="shared" si="1"/>
        <v>0.19882853765705749</v>
      </c>
      <c r="G16" s="11">
        <f t="shared" si="2"/>
        <v>1.9716070162139655E-2</v>
      </c>
      <c r="H16" s="12">
        <f t="shared" si="3"/>
        <v>991.41253233406917</v>
      </c>
      <c r="I16" s="306">
        <f t="shared" si="4"/>
        <v>-200</v>
      </c>
      <c r="J16" s="16">
        <f t="shared" si="5"/>
        <v>-97.194596503132757</v>
      </c>
      <c r="K16" s="323">
        <f t="shared" si="10"/>
        <v>-3.8340207032786884</v>
      </c>
      <c r="L16" s="324">
        <f t="shared" si="11"/>
        <v>2.5735623630018112</v>
      </c>
      <c r="M16" s="7">
        <f t="shared" si="12"/>
        <v>19.310164454467305</v>
      </c>
      <c r="N16" s="277">
        <f t="shared" si="6"/>
        <v>0.12</v>
      </c>
      <c r="O16" s="324">
        <f t="shared" si="13"/>
        <v>0.30882748356021733</v>
      </c>
      <c r="P16" s="16">
        <f t="shared" si="14"/>
        <v>2.3172197345360761</v>
      </c>
      <c r="Q16" s="172">
        <f t="shared" si="15"/>
        <v>2111.8716379296934</v>
      </c>
      <c r="R16" s="16">
        <f t="shared" si="16"/>
        <v>16498.126365510052</v>
      </c>
      <c r="S16" s="7">
        <f t="shared" si="8"/>
        <v>2.7151152599417507</v>
      </c>
    </row>
    <row r="17" spans="2:19">
      <c r="B17" s="120">
        <f t="shared" si="9"/>
        <v>30000</v>
      </c>
      <c r="C17" s="11">
        <v>0.81</v>
      </c>
      <c r="D17" s="7">
        <f t="shared" si="0"/>
        <v>805.682427437667</v>
      </c>
      <c r="E17" s="121">
        <f t="shared" si="7"/>
        <v>9997.6827802654625</v>
      </c>
      <c r="F17" s="11">
        <f t="shared" si="1"/>
        <v>0.20376189468875067</v>
      </c>
      <c r="G17" s="11">
        <f t="shared" si="2"/>
        <v>1.9915118418046916E-2</v>
      </c>
      <c r="H17" s="12">
        <f t="shared" si="3"/>
        <v>977.14558837996231</v>
      </c>
      <c r="I17" s="306">
        <f t="shared" si="4"/>
        <v>-200</v>
      </c>
      <c r="J17" s="16">
        <f t="shared" si="5"/>
        <v>-94.862533242760705</v>
      </c>
      <c r="K17" s="323">
        <f t="shared" si="10"/>
        <v>-3.7882260312655438</v>
      </c>
      <c r="L17" s="324">
        <f t="shared" si="11"/>
        <v>2.609912006640803</v>
      </c>
      <c r="M17" s="7">
        <f t="shared" si="12"/>
        <v>21.92007646110811</v>
      </c>
      <c r="N17" s="277">
        <f t="shared" si="6"/>
        <v>0.12</v>
      </c>
      <c r="O17" s="324">
        <f t="shared" si="13"/>
        <v>0.31318944079689637</v>
      </c>
      <c r="P17" s="16">
        <f t="shared" si="14"/>
        <v>2.6304091753329724</v>
      </c>
      <c r="Q17" s="172">
        <f t="shared" si="15"/>
        <v>2115.7402423961676</v>
      </c>
      <c r="R17" s="16">
        <f t="shared" si="16"/>
        <v>18613.86660790622</v>
      </c>
      <c r="S17" s="7">
        <f t="shared" si="8"/>
        <v>3.0633050174291063</v>
      </c>
    </row>
    <row r="18" spans="2:19">
      <c r="B18" s="120">
        <f t="shared" si="9"/>
        <v>30000</v>
      </c>
      <c r="C18" s="11">
        <v>0.8</v>
      </c>
      <c r="D18" s="7">
        <f t="shared" si="0"/>
        <v>795.73573080263407</v>
      </c>
      <c r="E18" s="121">
        <f t="shared" si="7"/>
        <v>9997.3695908246664</v>
      </c>
      <c r="F18" s="11">
        <f t="shared" si="1"/>
        <v>0.2088812361910084</v>
      </c>
      <c r="G18" s="11">
        <f t="shared" si="2"/>
        <v>2.0155077261938024E-2</v>
      </c>
      <c r="H18" s="12">
        <f t="shared" si="3"/>
        <v>964.65225978921421</v>
      </c>
      <c r="I18" s="306">
        <f t="shared" si="4"/>
        <v>-200</v>
      </c>
      <c r="J18" s="16">
        <f t="shared" si="5"/>
        <v>-92.699925580911028</v>
      </c>
      <c r="K18" s="323">
        <f t="shared" si="10"/>
        <v>-3.7481380943291915</v>
      </c>
      <c r="L18" s="324">
        <f t="shared" si="11"/>
        <v>2.6396539416805282</v>
      </c>
      <c r="M18" s="7">
        <f t="shared" si="12"/>
        <v>24.559730402788638</v>
      </c>
      <c r="N18" s="277">
        <f t="shared" si="6"/>
        <v>0.12</v>
      </c>
      <c r="O18" s="324">
        <f t="shared" si="13"/>
        <v>0.31675847300166338</v>
      </c>
      <c r="P18" s="16">
        <f t="shared" si="14"/>
        <v>2.9471676483346356</v>
      </c>
      <c r="Q18" s="172">
        <f t="shared" si="15"/>
        <v>2113.5948768388917</v>
      </c>
      <c r="R18" s="16">
        <f t="shared" si="16"/>
        <v>20727.461484745112</v>
      </c>
      <c r="S18" s="7">
        <f t="shared" si="8"/>
        <v>3.4111417096874983</v>
      </c>
    </row>
    <row r="19" spans="2:19">
      <c r="B19" s="120">
        <f t="shared" si="9"/>
        <v>30000</v>
      </c>
      <c r="C19" s="11">
        <v>0.79</v>
      </c>
      <c r="D19" s="7">
        <f t="shared" si="0"/>
        <v>785.78903416760113</v>
      </c>
      <c r="E19" s="121">
        <f t="shared" si="7"/>
        <v>9997.0528323516646</v>
      </c>
      <c r="F19" s="11">
        <f t="shared" si="1"/>
        <v>0.21419605110463211</v>
      </c>
      <c r="G19" s="11">
        <f t="shared" si="2"/>
        <v>2.0507253194039503E-2</v>
      </c>
      <c r="H19" s="12">
        <f t="shared" si="3"/>
        <v>957.12359107441921</v>
      </c>
      <c r="I19" s="306">
        <f t="shared" si="4"/>
        <v>-200</v>
      </c>
      <c r="J19" s="16">
        <f t="shared" si="5"/>
        <v>-90.952308074281206</v>
      </c>
      <c r="K19" s="323">
        <f t="shared" si="10"/>
        <v>-3.7240269751050916</v>
      </c>
      <c r="L19" s="324">
        <f t="shared" si="11"/>
        <v>2.6623332173752421</v>
      </c>
      <c r="M19" s="7">
        <f t="shared" si="12"/>
        <v>27.22206362016388</v>
      </c>
      <c r="N19" s="277">
        <f t="shared" si="6"/>
        <v>0.12</v>
      </c>
      <c r="O19" s="324">
        <f t="shared" si="13"/>
        <v>0.31947998608502903</v>
      </c>
      <c r="P19" s="16">
        <f t="shared" si="14"/>
        <v>3.2666476344196647</v>
      </c>
      <c r="Q19" s="172">
        <f t="shared" si="15"/>
        <v>2105.2729579409147</v>
      </c>
      <c r="R19" s="16">
        <f t="shared" si="16"/>
        <v>22832.734442686025</v>
      </c>
      <c r="S19" s="7">
        <f t="shared" si="8"/>
        <v>3.7576088543687094</v>
      </c>
    </row>
    <row r="20" spans="2:19">
      <c r="B20" s="120">
        <f t="shared" si="9"/>
        <v>30000</v>
      </c>
      <c r="C20" s="11">
        <v>0.78</v>
      </c>
      <c r="D20" s="7">
        <f t="shared" si="0"/>
        <v>775.84233753256819</v>
      </c>
      <c r="E20" s="121">
        <f t="shared" si="7"/>
        <v>9996.7333523655798</v>
      </c>
      <c r="F20" s="11">
        <f t="shared" si="1"/>
        <v>0.21971644220037928</v>
      </c>
      <c r="G20" s="11">
        <f t="shared" si="2"/>
        <v>2.0872277637523706E-2</v>
      </c>
      <c r="H20" s="12">
        <f t="shared" si="3"/>
        <v>949.65398087311314</v>
      </c>
      <c r="I20" s="306">
        <f t="shared" si="4"/>
        <v>-200</v>
      </c>
      <c r="J20" s="16">
        <f t="shared" si="5"/>
        <v>-89.224169579670914</v>
      </c>
      <c r="K20" s="323">
        <f t="shared" si="10"/>
        <v>-3.7001054121203154</v>
      </c>
      <c r="L20" s="324">
        <f t="shared" si="11"/>
        <v>2.6795579917588932</v>
      </c>
      <c r="M20" s="7">
        <f t="shared" si="12"/>
        <v>29.901621611922774</v>
      </c>
      <c r="N20" s="277">
        <f t="shared" si="6"/>
        <v>0.12</v>
      </c>
      <c r="O20" s="324">
        <f t="shared" si="13"/>
        <v>0.32154695901106717</v>
      </c>
      <c r="P20" s="16">
        <f t="shared" si="14"/>
        <v>3.5881945934307318</v>
      </c>
      <c r="Q20" s="172">
        <f t="shared" si="15"/>
        <v>2092.2409111102957</v>
      </c>
      <c r="R20" s="16">
        <f t="shared" si="16"/>
        <v>24924.975353796322</v>
      </c>
      <c r="S20" s="7">
        <f t="shared" si="8"/>
        <v>4.1019313004075313</v>
      </c>
    </row>
    <row r="21" spans="2:19">
      <c r="B21" s="120">
        <f t="shared" si="9"/>
        <v>30000</v>
      </c>
      <c r="C21" s="11">
        <v>0.77</v>
      </c>
      <c r="D21" s="7">
        <f t="shared" si="0"/>
        <v>765.89564089753526</v>
      </c>
      <c r="E21" s="121">
        <f t="shared" si="7"/>
        <v>9996.4118054065693</v>
      </c>
      <c r="F21" s="11">
        <f t="shared" si="1"/>
        <v>0.22545316872260301</v>
      </c>
      <c r="G21" s="11">
        <f t="shared" si="2"/>
        <v>2.1250823045162688E-2</v>
      </c>
      <c r="H21" s="12">
        <f t="shared" si="3"/>
        <v>942.24436749720746</v>
      </c>
      <c r="I21" s="306">
        <f t="shared" si="4"/>
        <v>-200</v>
      </c>
      <c r="J21" s="16">
        <f t="shared" si="5"/>
        <v>-87.515400419249971</v>
      </c>
      <c r="K21" s="323">
        <f t="shared" si="10"/>
        <v>-3.6763761832999484</v>
      </c>
      <c r="L21" s="324">
        <f t="shared" si="11"/>
        <v>2.6968674716706147</v>
      </c>
      <c r="M21" s="7">
        <f t="shared" si="12"/>
        <v>32.598489083593392</v>
      </c>
      <c r="N21" s="277">
        <f t="shared" si="6"/>
        <v>0.12</v>
      </c>
      <c r="O21" s="324">
        <f t="shared" si="13"/>
        <v>0.32362409660047375</v>
      </c>
      <c r="P21" s="16">
        <f t="shared" si="14"/>
        <v>3.9118186900312057</v>
      </c>
      <c r="Q21" s="172">
        <f t="shared" si="15"/>
        <v>2078.9315019336786</v>
      </c>
      <c r="R21" s="16">
        <f t="shared" si="16"/>
        <v>27003.906855730002</v>
      </c>
      <c r="S21" s="7">
        <f t="shared" si="8"/>
        <v>4.4440634019699168</v>
      </c>
    </row>
    <row r="22" spans="2:19">
      <c r="B22" s="120">
        <f t="shared" si="9"/>
        <v>30000</v>
      </c>
      <c r="C22" s="11">
        <v>0.76</v>
      </c>
      <c r="D22" s="7">
        <f t="shared" si="0"/>
        <v>755.94894426250232</v>
      </c>
      <c r="E22" s="121">
        <f t="shared" si="7"/>
        <v>9996.0881813099695</v>
      </c>
      <c r="F22" s="11">
        <f t="shared" si="1"/>
        <v>0.23141768743289737</v>
      </c>
      <c r="G22" s="11">
        <f t="shared" si="2"/>
        <v>2.1643605464556084E-2</v>
      </c>
      <c r="H22" s="12">
        <f t="shared" si="3"/>
        <v>934.89564771456332</v>
      </c>
      <c r="I22" s="306">
        <f t="shared" si="4"/>
        <v>-200</v>
      </c>
      <c r="J22" s="16">
        <f t="shared" si="5"/>
        <v>-85.825890205932907</v>
      </c>
      <c r="K22" s="323">
        <f t="shared" si="10"/>
        <v>-3.6528421825889947</v>
      </c>
      <c r="L22" s="324">
        <f t="shared" si="11"/>
        <v>2.7142585030147415</v>
      </c>
      <c r="M22" s="7">
        <f t="shared" si="12"/>
        <v>35.312747586608133</v>
      </c>
      <c r="N22" s="277">
        <f t="shared" si="6"/>
        <v>0.12</v>
      </c>
      <c r="O22" s="324">
        <f t="shared" si="13"/>
        <v>0.32571102036176897</v>
      </c>
      <c r="P22" s="16">
        <f t="shared" si="14"/>
        <v>4.237529710392975</v>
      </c>
      <c r="Q22" s="172">
        <f t="shared" si="15"/>
        <v>2065.3398027687872</v>
      </c>
      <c r="R22" s="16">
        <f t="shared" si="16"/>
        <v>29069.246658498789</v>
      </c>
      <c r="S22" s="7">
        <f t="shared" si="8"/>
        <v>4.7839587022741741</v>
      </c>
    </row>
    <row r="23" spans="2:19">
      <c r="B23" s="120">
        <f t="shared" si="9"/>
        <v>30000</v>
      </c>
      <c r="C23" s="11">
        <v>0.75</v>
      </c>
      <c r="D23" s="7">
        <f t="shared" si="0"/>
        <v>746.00224762746939</v>
      </c>
      <c r="E23" s="121">
        <f t="shared" si="7"/>
        <v>9995.7624702896082</v>
      </c>
      <c r="F23" s="11">
        <f t="shared" si="1"/>
        <v>0.2376222237878782</v>
      </c>
      <c r="G23" s="11">
        <f t="shared" si="2"/>
        <v>2.2051388986742387E-2</v>
      </c>
      <c r="H23" s="12">
        <f t="shared" si="3"/>
        <v>927.60871831669749</v>
      </c>
      <c r="I23" s="306">
        <f t="shared" si="4"/>
        <v>-200</v>
      </c>
      <c r="J23" s="16">
        <f t="shared" si="5"/>
        <v>-84.155524984600206</v>
      </c>
      <c r="K23" s="323">
        <f t="shared" si="10"/>
        <v>-3.6295063043920335</v>
      </c>
      <c r="L23" s="324">
        <f t="shared" si="11"/>
        <v>2.7317277256959285</v>
      </c>
      <c r="M23" s="7">
        <f t="shared" si="12"/>
        <v>38.044475312304058</v>
      </c>
      <c r="N23" s="277">
        <f t="shared" si="6"/>
        <v>0.12</v>
      </c>
      <c r="O23" s="324">
        <f t="shared" si="13"/>
        <v>0.3278073270835114</v>
      </c>
      <c r="P23" s="16">
        <f t="shared" si="14"/>
        <v>4.5653370374764863</v>
      </c>
      <c r="Q23" s="172">
        <f t="shared" si="15"/>
        <v>2051.4608567639407</v>
      </c>
      <c r="R23" s="16">
        <f t="shared" si="16"/>
        <v>31120.707515262729</v>
      </c>
      <c r="S23" s="7">
        <f t="shared" si="8"/>
        <v>5.1215699287839396</v>
      </c>
    </row>
    <row r="24" spans="2:19">
      <c r="B24" s="120">
        <f t="shared" si="9"/>
        <v>30000</v>
      </c>
      <c r="C24" s="11">
        <v>0.74</v>
      </c>
      <c r="D24" s="7">
        <f t="shared" si="0"/>
        <v>736.05555099243645</v>
      </c>
      <c r="E24" s="121">
        <f t="shared" si="7"/>
        <v>9995.4346629625252</v>
      </c>
      <c r="F24" s="11">
        <f t="shared" si="1"/>
        <v>0.24407983467582736</v>
      </c>
      <c r="G24" s="11">
        <f t="shared" si="2"/>
        <v>2.2474989667239213E-2</v>
      </c>
      <c r="H24" s="12">
        <f t="shared" si="3"/>
        <v>920.38447612032712</v>
      </c>
      <c r="I24" s="306">
        <f t="shared" si="4"/>
        <v>-200</v>
      </c>
      <c r="J24" s="16">
        <f t="shared" si="5"/>
        <v>-82.504187231583472</v>
      </c>
      <c r="K24" s="323">
        <f t="shared" si="10"/>
        <v>-3.6063714435817675</v>
      </c>
      <c r="L24" s="324">
        <f t="shared" si="11"/>
        <v>2.7492716105708728</v>
      </c>
      <c r="M24" s="7">
        <f t="shared" si="12"/>
        <v>40.793746922874931</v>
      </c>
      <c r="N24" s="277">
        <f t="shared" si="6"/>
        <v>0.12</v>
      </c>
      <c r="O24" s="324">
        <f t="shared" si="13"/>
        <v>0.32991259326850469</v>
      </c>
      <c r="P24" s="16">
        <f t="shared" si="14"/>
        <v>4.8952496307449911</v>
      </c>
      <c r="Q24" s="172">
        <f t="shared" si="15"/>
        <v>2037.2897154854356</v>
      </c>
      <c r="R24" s="16">
        <f t="shared" si="16"/>
        <v>33157.997230748166</v>
      </c>
      <c r="S24" s="7">
        <f t="shared" si="8"/>
        <v>5.4568489945935372</v>
      </c>
    </row>
    <row r="25" spans="2:19">
      <c r="B25" s="120">
        <f t="shared" si="9"/>
        <v>30000</v>
      </c>
      <c r="C25" s="11">
        <v>0.73</v>
      </c>
      <c r="D25" s="7">
        <f t="shared" si="0"/>
        <v>726.10885435740352</v>
      </c>
      <c r="E25" s="121">
        <f t="shared" si="7"/>
        <v>9995.1047503692571</v>
      </c>
      <c r="F25" s="11">
        <f t="shared" si="1"/>
        <v>0.25080447720930948</v>
      </c>
      <c r="G25" s="11">
        <f t="shared" si="2"/>
        <v>2.2915279825581843E-2</v>
      </c>
      <c r="H25" s="12">
        <f t="shared" si="3"/>
        <v>913.22381796863806</v>
      </c>
      <c r="I25" s="306">
        <f t="shared" si="4"/>
        <v>-200</v>
      </c>
      <c r="J25" s="16">
        <f t="shared" si="5"/>
        <v>-80.871755854156518</v>
      </c>
      <c r="K25" s="323">
        <f t="shared" si="10"/>
        <v>-3.5834404955085395</v>
      </c>
      <c r="L25" s="324">
        <f t="shared" si="11"/>
        <v>2.766886455250301</v>
      </c>
      <c r="M25" s="7">
        <f t="shared" si="12"/>
        <v>43.560633378125232</v>
      </c>
      <c r="N25" s="277">
        <f t="shared" si="6"/>
        <v>0.12</v>
      </c>
      <c r="O25" s="324">
        <f t="shared" si="13"/>
        <v>0.33202637463003609</v>
      </c>
      <c r="P25" s="16">
        <f t="shared" si="14"/>
        <v>5.2272760053750273</v>
      </c>
      <c r="Q25" s="172">
        <f t="shared" si="15"/>
        <v>2022.8214442557912</v>
      </c>
      <c r="R25" s="16">
        <f t="shared" si="16"/>
        <v>35180.81867500396</v>
      </c>
      <c r="S25" s="7">
        <f t="shared" si="8"/>
        <v>5.7897470006918512</v>
      </c>
    </row>
    <row r="26" spans="2:19">
      <c r="B26" s="120">
        <f t="shared" si="9"/>
        <v>30000</v>
      </c>
      <c r="C26" s="11">
        <v>0.72</v>
      </c>
      <c r="D26" s="7">
        <f t="shared" si="0"/>
        <v>716.16215772237058</v>
      </c>
      <c r="E26" s="121">
        <f t="shared" si="7"/>
        <v>9994.7727239946271</v>
      </c>
      <c r="F26" s="11">
        <f t="shared" si="1"/>
        <v>0.25781108425133331</v>
      </c>
      <c r="G26" s="11">
        <f t="shared" si="2"/>
        <v>2.3373192765708331E-2</v>
      </c>
      <c r="H26" s="12">
        <f t="shared" si="3"/>
        <v>906.12764073258415</v>
      </c>
      <c r="I26" s="306">
        <f t="shared" si="4"/>
        <v>-200</v>
      </c>
      <c r="J26" s="16">
        <f t="shared" si="5"/>
        <v>-79.258106190012086</v>
      </c>
      <c r="K26" s="323">
        <f t="shared" si="10"/>
        <v>-3.5607163560099866</v>
      </c>
      <c r="L26" s="324">
        <f t="shared" si="11"/>
        <v>2.7845683799393952</v>
      </c>
      <c r="M26" s="7">
        <f t="shared" si="12"/>
        <v>46.345201758064626</v>
      </c>
      <c r="N26" s="277">
        <f t="shared" si="6"/>
        <v>0.12</v>
      </c>
      <c r="O26" s="324">
        <f t="shared" si="13"/>
        <v>0.3341482055927274</v>
      </c>
      <c r="P26" s="16">
        <f t="shared" si="14"/>
        <v>5.561424210967755</v>
      </c>
      <c r="Q26" s="172">
        <f t="shared" si="15"/>
        <v>2008.0511277702644</v>
      </c>
      <c r="R26" s="16">
        <f t="shared" si="16"/>
        <v>37188.869802774221</v>
      </c>
      <c r="S26" s="7">
        <f t="shared" si="8"/>
        <v>6.1202142391505205</v>
      </c>
    </row>
    <row r="27" spans="2:19">
      <c r="B27" s="120">
        <f t="shared" si="9"/>
        <v>30000</v>
      </c>
      <c r="C27" s="11">
        <v>0.71</v>
      </c>
      <c r="D27" s="7">
        <f t="shared" si="0"/>
        <v>706.21546108733764</v>
      </c>
      <c r="E27" s="121">
        <f t="shared" si="7"/>
        <v>9994.4385757890341</v>
      </c>
      <c r="F27" s="11">
        <f t="shared" si="1"/>
        <v>0.26511564743899019</v>
      </c>
      <c r="G27" s="11">
        <f t="shared" si="2"/>
        <v>2.3849727964936888E-2</v>
      </c>
      <c r="H27" s="12">
        <f t="shared" si="3"/>
        <v>899.0968413122182</v>
      </c>
      <c r="I27" s="306">
        <f t="shared" si="4"/>
        <v>-200</v>
      </c>
      <c r="J27" s="16">
        <f t="shared" si="5"/>
        <v>-77.663110006723485</v>
      </c>
      <c r="K27" s="323">
        <f t="shared" si="10"/>
        <v>-3.5382019214208382</v>
      </c>
      <c r="L27" s="324">
        <f t="shared" si="11"/>
        <v>2.8023133233286788</v>
      </c>
      <c r="M27" s="7">
        <f t="shared" si="12"/>
        <v>49.147515081393301</v>
      </c>
      <c r="N27" s="277">
        <f t="shared" si="6"/>
        <v>0.12</v>
      </c>
      <c r="O27" s="324">
        <f t="shared" si="13"/>
        <v>0.33627759879944141</v>
      </c>
      <c r="P27" s="16">
        <f t="shared" si="14"/>
        <v>5.897701809767196</v>
      </c>
      <c r="Q27" s="172">
        <f t="shared" si="15"/>
        <v>1992.973875997483</v>
      </c>
      <c r="R27" s="16">
        <f t="shared" si="16"/>
        <v>39181.843678771707</v>
      </c>
      <c r="S27" s="7">
        <f t="shared" si="8"/>
        <v>6.4482001972832119</v>
      </c>
    </row>
    <row r="28" spans="2:19">
      <c r="B28" s="120">
        <f t="shared" si="9"/>
        <v>30000</v>
      </c>
      <c r="C28" s="11">
        <v>0.7</v>
      </c>
      <c r="D28" s="7">
        <f t="shared" si="0"/>
        <v>696.26876445230471</v>
      </c>
      <c r="E28" s="121">
        <f t="shared" si="7"/>
        <v>9994.1022981902352</v>
      </c>
      <c r="F28" s="11">
        <f t="shared" si="1"/>
        <v>0.27273530856740935</v>
      </c>
      <c r="G28" s="11">
        <f t="shared" si="2"/>
        <v>2.4345956785463085E-2</v>
      </c>
      <c r="H28" s="12">
        <f t="shared" si="3"/>
        <v>892.13231663805186</v>
      </c>
      <c r="I28" s="306">
        <f t="shared" si="4"/>
        <v>-200</v>
      </c>
      <c r="J28" s="16">
        <f t="shared" si="5"/>
        <v>-76.086635501190386</v>
      </c>
      <c r="K28" s="323">
        <f t="shared" si="10"/>
        <v>-3.5159000885828067</v>
      </c>
      <c r="L28" s="324">
        <f t="shared" si="11"/>
        <v>2.8201170385478438</v>
      </c>
      <c r="M28" s="7">
        <f t="shared" si="12"/>
        <v>51.967632119941143</v>
      </c>
      <c r="N28" s="277">
        <f t="shared" si="6"/>
        <v>0.12</v>
      </c>
      <c r="O28" s="324">
        <f t="shared" si="13"/>
        <v>0.33841404462574126</v>
      </c>
      <c r="P28" s="16">
        <f t="shared" si="14"/>
        <v>6.2361158543929376</v>
      </c>
      <c r="Q28" s="172">
        <f t="shared" si="15"/>
        <v>1977.5848303694613</v>
      </c>
      <c r="R28" s="16">
        <f t="shared" si="16"/>
        <v>41159.428509141166</v>
      </c>
      <c r="S28" s="7">
        <f t="shared" si="8"/>
        <v>6.7736535628235748</v>
      </c>
    </row>
    <row r="29" spans="2:19">
      <c r="B29" s="120">
        <f t="shared" si="9"/>
        <v>30000</v>
      </c>
      <c r="C29" s="11">
        <v>0.69</v>
      </c>
      <c r="D29" s="7">
        <f t="shared" si="0"/>
        <v>686.32206781727177</v>
      </c>
      <c r="E29" s="121">
        <f t="shared" si="7"/>
        <v>9993.7638841456101</v>
      </c>
      <c r="F29" s="11">
        <f t="shared" si="1"/>
        <v>0.28068846031021016</v>
      </c>
      <c r="G29" s="11">
        <f t="shared" si="2"/>
        <v>2.4863028769388135E-2</v>
      </c>
      <c r="H29" s="12">
        <f t="shared" si="3"/>
        <v>885.23496367244866</v>
      </c>
      <c r="I29" s="306">
        <f t="shared" si="4"/>
        <v>-200</v>
      </c>
      <c r="J29" s="16">
        <f t="shared" si="5"/>
        <v>-74.528547299069317</v>
      </c>
      <c r="K29" s="323">
        <f t="shared" si="10"/>
        <v>-3.4938137548546297</v>
      </c>
      <c r="L29" s="324">
        <f t="shared" si="11"/>
        <v>2.8379750891957256</v>
      </c>
      <c r="M29" s="7">
        <f t="shared" si="12"/>
        <v>54.805607209136866</v>
      </c>
      <c r="N29" s="277">
        <f t="shared" si="6"/>
        <v>0.12</v>
      </c>
      <c r="O29" s="324">
        <f t="shared" si="13"/>
        <v>0.34055701070348704</v>
      </c>
      <c r="P29" s="16">
        <f t="shared" si="14"/>
        <v>6.576672865096425</v>
      </c>
      <c r="Q29" s="172">
        <f t="shared" si="15"/>
        <v>1961.8791702657218</v>
      </c>
      <c r="R29" s="16">
        <f t="shared" si="16"/>
        <v>43121.307679406891</v>
      </c>
      <c r="S29" s="7">
        <f t="shared" si="8"/>
        <v>7.0965222301703133</v>
      </c>
    </row>
    <row r="30" spans="2:19">
      <c r="B30" s="120">
        <f t="shared" si="9"/>
        <v>30000</v>
      </c>
      <c r="C30" s="11">
        <v>0.68</v>
      </c>
      <c r="D30" s="7">
        <f t="shared" si="0"/>
        <v>676.37537118223895</v>
      </c>
      <c r="E30" s="121">
        <f t="shared" si="7"/>
        <v>9993.4233271349058</v>
      </c>
      <c r="F30" s="11">
        <f t="shared" si="1"/>
        <v>0.28899485738275971</v>
      </c>
      <c r="G30" s="11">
        <f t="shared" si="2"/>
        <v>2.5402178586422481E-2</v>
      </c>
      <c r="H30" s="12">
        <f t="shared" si="3"/>
        <v>878.4056794110453</v>
      </c>
      <c r="I30" s="306">
        <f t="shared" si="4"/>
        <v>-200</v>
      </c>
      <c r="J30" s="16">
        <f t="shared" si="5"/>
        <v>-72.988706454187579</v>
      </c>
      <c r="K30" s="323">
        <f t="shared" si="10"/>
        <v>-3.4719458181222085</v>
      </c>
      <c r="L30" s="324">
        <f t="shared" si="11"/>
        <v>2.8558828454603327</v>
      </c>
      <c r="M30" s="7">
        <f t="shared" si="12"/>
        <v>57.661490054597202</v>
      </c>
      <c r="N30" s="277">
        <f t="shared" si="6"/>
        <v>0.12</v>
      </c>
      <c r="O30" s="324">
        <f t="shared" si="13"/>
        <v>0.34270594145523992</v>
      </c>
      <c r="P30" s="16">
        <f t="shared" si="14"/>
        <v>6.9193788065516646</v>
      </c>
      <c r="Q30" s="172">
        <f t="shared" si="15"/>
        <v>1945.8521197957155</v>
      </c>
      <c r="R30" s="16">
        <f t="shared" si="16"/>
        <v>45067.159799202607</v>
      </c>
      <c r="S30" s="7">
        <f t="shared" si="8"/>
        <v>7.4167533077484382</v>
      </c>
    </row>
    <row r="31" spans="2:19">
      <c r="B31" s="120">
        <f t="shared" si="9"/>
        <v>30000</v>
      </c>
      <c r="C31" s="11">
        <v>0.67</v>
      </c>
      <c r="D31" s="7">
        <f t="shared" si="0"/>
        <v>666.42867454720601</v>
      </c>
      <c r="E31" s="121">
        <f t="shared" si="7"/>
        <v>9993.0806211934505</v>
      </c>
      <c r="F31" s="11">
        <f t="shared" si="1"/>
        <v>0.29767573940423847</v>
      </c>
      <c r="G31" s="11">
        <f t="shared" si="2"/>
        <v>2.5964733712764906E-2</v>
      </c>
      <c r="H31" s="12">
        <f t="shared" si="3"/>
        <v>871.64536088420255</v>
      </c>
      <c r="I31" s="306">
        <f t="shared" si="4"/>
        <v>-200</v>
      </c>
      <c r="J31" s="16">
        <f t="shared" si="5"/>
        <v>-71.46697044794071</v>
      </c>
      <c r="K31" s="323">
        <f t="shared" si="10"/>
        <v>-3.4502991768088598</v>
      </c>
      <c r="L31" s="324">
        <f t="shared" si="11"/>
        <v>2.8738354803438981</v>
      </c>
      <c r="M31" s="7">
        <f t="shared" si="12"/>
        <v>60.535325534941101</v>
      </c>
      <c r="N31" s="277">
        <f t="shared" si="6"/>
        <v>0.12</v>
      </c>
      <c r="O31" s="324">
        <f t="shared" si="13"/>
        <v>0.34486025764126776</v>
      </c>
      <c r="P31" s="16">
        <f t="shared" si="14"/>
        <v>7.2642390641929326</v>
      </c>
      <c r="Q31" s="172">
        <f t="shared" si="15"/>
        <v>1929.4989548833048</v>
      </c>
      <c r="R31" s="16">
        <f t="shared" si="16"/>
        <v>46996.658754085911</v>
      </c>
      <c r="S31" s="7">
        <f t="shared" si="8"/>
        <v>7.7342931265364214</v>
      </c>
    </row>
    <row r="32" spans="2:19">
      <c r="B32" s="120">
        <f t="shared" si="9"/>
        <v>30000</v>
      </c>
      <c r="C32" s="11">
        <v>0.66</v>
      </c>
      <c r="D32" s="7">
        <f t="shared" si="0"/>
        <v>656.48197791217308</v>
      </c>
      <c r="E32" s="121">
        <f t="shared" si="7"/>
        <v>9992.7357609358096</v>
      </c>
      <c r="F32" s="11">
        <f t="shared" si="1"/>
        <v>0.30675396688705481</v>
      </c>
      <c r="G32" s="11">
        <f t="shared" si="2"/>
        <v>2.6678759809573203E-2</v>
      </c>
      <c r="H32" s="12">
        <f t="shared" si="3"/>
        <v>869.08019450225254</v>
      </c>
      <c r="I32" s="306">
        <f t="shared" si="4"/>
        <v>-200</v>
      </c>
      <c r="J32" s="16">
        <f t="shared" si="5"/>
        <v>-70.234207871002852</v>
      </c>
      <c r="K32" s="323">
        <f t="shared" si="10"/>
        <v>-3.4421590844401826</v>
      </c>
      <c r="L32" s="324">
        <f t="shared" si="11"/>
        <v>2.8862551670295957</v>
      </c>
      <c r="M32" s="7">
        <f t="shared" si="12"/>
        <v>63.421580701970697</v>
      </c>
      <c r="N32" s="277">
        <f t="shared" si="6"/>
        <v>0.12</v>
      </c>
      <c r="O32" s="324">
        <f t="shared" si="13"/>
        <v>0.34635062004355149</v>
      </c>
      <c r="P32" s="16">
        <f t="shared" si="14"/>
        <v>7.6105896842364844</v>
      </c>
      <c r="Q32" s="172">
        <f t="shared" si="15"/>
        <v>1909.1288530896882</v>
      </c>
      <c r="R32" s="16">
        <f t="shared" si="16"/>
        <v>48905.787607175596</v>
      </c>
      <c r="S32" s="7">
        <f t="shared" si="8"/>
        <v>8.0484806147020596</v>
      </c>
    </row>
    <row r="33" spans="2:19">
      <c r="B33" s="120">
        <f t="shared" si="9"/>
        <v>30000</v>
      </c>
      <c r="C33" s="11">
        <v>0.65</v>
      </c>
      <c r="D33" s="7">
        <f t="shared" si="0"/>
        <v>646.53528127714014</v>
      </c>
      <c r="E33" s="121">
        <f t="shared" si="7"/>
        <v>9992.3894103157654</v>
      </c>
      <c r="F33" s="11">
        <f t="shared" si="1"/>
        <v>0.31625419314659875</v>
      </c>
      <c r="G33" s="11">
        <f t="shared" si="2"/>
        <v>2.7470653193161148E-2</v>
      </c>
      <c r="H33" s="12">
        <f t="shared" si="3"/>
        <v>867.96466263629225</v>
      </c>
      <c r="I33" s="306">
        <f t="shared" si="4"/>
        <v>-200</v>
      </c>
      <c r="J33" s="16">
        <f t="shared" si="5"/>
        <v>-69.100272737447483</v>
      </c>
      <c r="K33" s="323">
        <f t="shared" si="10"/>
        <v>-3.4386865488035712</v>
      </c>
      <c r="L33" s="324">
        <f t="shared" si="11"/>
        <v>2.8911262263978115</v>
      </c>
      <c r="M33" s="7">
        <f t="shared" si="12"/>
        <v>66.312706928368513</v>
      </c>
      <c r="N33" s="277">
        <f t="shared" si="6"/>
        <v>0.12</v>
      </c>
      <c r="O33" s="324">
        <f t="shared" si="13"/>
        <v>0.34693514716773738</v>
      </c>
      <c r="P33" s="16">
        <f t="shared" si="14"/>
        <v>7.9575248314042222</v>
      </c>
      <c r="Q33" s="172">
        <f t="shared" si="15"/>
        <v>1883.5936857456093</v>
      </c>
      <c r="R33" s="16">
        <f t="shared" si="16"/>
        <v>50789.381292921207</v>
      </c>
      <c r="S33" s="7">
        <f t="shared" si="8"/>
        <v>8.358465751583374</v>
      </c>
    </row>
    <row r="34" spans="2:19">
      <c r="B34" s="120">
        <f t="shared" si="9"/>
        <v>30000</v>
      </c>
      <c r="C34" s="11">
        <v>0.64</v>
      </c>
      <c r="D34" s="7">
        <f t="shared" si="0"/>
        <v>636.58858464210721</v>
      </c>
      <c r="E34" s="121">
        <f t="shared" si="7"/>
        <v>9992.0424751685969</v>
      </c>
      <c r="F34" s="11">
        <f t="shared" si="1"/>
        <v>0.32620302103668691</v>
      </c>
      <c r="G34" s="11">
        <f t="shared" si="2"/>
        <v>2.8298995459230813E-2</v>
      </c>
      <c r="H34" s="12">
        <f t="shared" si="3"/>
        <v>866.83674398415815</v>
      </c>
      <c r="I34" s="306">
        <f t="shared" si="4"/>
        <v>-200</v>
      </c>
      <c r="J34" s="16">
        <f t="shared" si="5"/>
        <v>-67.967694751578819</v>
      </c>
      <c r="K34" s="323">
        <f t="shared" si="10"/>
        <v>-3.4351740884054984</v>
      </c>
      <c r="L34" s="324">
        <f t="shared" si="11"/>
        <v>2.8940640958561827</v>
      </c>
      <c r="M34" s="7">
        <f t="shared" si="12"/>
        <v>69.206771024224693</v>
      </c>
      <c r="N34" s="277">
        <f t="shared" si="6"/>
        <v>0.12</v>
      </c>
      <c r="O34" s="324">
        <f t="shared" si="13"/>
        <v>0.34728769150274191</v>
      </c>
      <c r="P34" s="16">
        <f t="shared" si="14"/>
        <v>8.304812522906964</v>
      </c>
      <c r="Q34" s="172">
        <f t="shared" si="15"/>
        <v>1856.7213554465382</v>
      </c>
      <c r="R34" s="16">
        <f t="shared" si="16"/>
        <v>52646.102648367749</v>
      </c>
      <c r="S34" s="7">
        <f t="shared" si="8"/>
        <v>8.664028478765017</v>
      </c>
    </row>
    <row r="35" spans="2:19">
      <c r="B35" s="120">
        <f t="shared" si="9"/>
        <v>30000</v>
      </c>
      <c r="C35" s="11">
        <v>0.63</v>
      </c>
      <c r="D35" s="7">
        <f t="shared" si="0"/>
        <v>626.64188800707427</v>
      </c>
      <c r="E35" s="121">
        <f t="shared" si="7"/>
        <v>9991.6951874770948</v>
      </c>
      <c r="F35" s="11">
        <f t="shared" si="1"/>
        <v>0.33662915977481128</v>
      </c>
      <c r="G35" s="11">
        <f t="shared" si="2"/>
        <v>2.9166119231703418E-2</v>
      </c>
      <c r="H35" s="12">
        <f t="shared" si="3"/>
        <v>865.69735479760436</v>
      </c>
      <c r="I35" s="306">
        <f t="shared" si="4"/>
        <v>-200</v>
      </c>
      <c r="J35" s="16">
        <f t="shared" si="5"/>
        <v>-66.836566761114142</v>
      </c>
      <c r="K35" s="323">
        <f t="shared" si="10"/>
        <v>-3.4316245691954288</v>
      </c>
      <c r="L35" s="324">
        <f t="shared" si="11"/>
        <v>2.8970404204360465</v>
      </c>
      <c r="M35" s="7">
        <f t="shared" si="12"/>
        <v>72.103811444660735</v>
      </c>
      <c r="N35" s="277">
        <f t="shared" si="6"/>
        <v>0.12</v>
      </c>
      <c r="O35" s="324">
        <f t="shared" si="13"/>
        <v>0.34764485045232557</v>
      </c>
      <c r="P35" s="16">
        <f t="shared" si="14"/>
        <v>8.6524573733592902</v>
      </c>
      <c r="Q35" s="172">
        <f t="shared" si="15"/>
        <v>1829.8148697956053</v>
      </c>
      <c r="R35" s="16">
        <f t="shared" si="16"/>
        <v>54475.917518163355</v>
      </c>
      <c r="S35" s="7">
        <f t="shared" si="8"/>
        <v>8.9651631752622212</v>
      </c>
    </row>
    <row r="36" spans="2:19">
      <c r="B36" s="120">
        <f t="shared" si="9"/>
        <v>30000</v>
      </c>
      <c r="C36" s="11">
        <v>0.62</v>
      </c>
      <c r="D36" s="7">
        <f t="shared" si="0"/>
        <v>616.69519137204134</v>
      </c>
      <c r="E36" s="121">
        <f t="shared" si="7"/>
        <v>9991.3475426266432</v>
      </c>
      <c r="F36" s="11">
        <f t="shared" si="1"/>
        <v>0.34756364421622932</v>
      </c>
      <c r="G36" s="11">
        <f t="shared" si="2"/>
        <v>3.0074546092568634E-2</v>
      </c>
      <c r="H36" s="12">
        <f t="shared" si="3"/>
        <v>864.54739210484536</v>
      </c>
      <c r="I36" s="306">
        <f t="shared" si="4"/>
        <v>-200</v>
      </c>
      <c r="J36" s="16">
        <f t="shared" si="5"/>
        <v>-65.706978452890084</v>
      </c>
      <c r="K36" s="323">
        <f t="shared" si="10"/>
        <v>-3.4280408771144653</v>
      </c>
      <c r="L36" s="324">
        <f t="shared" si="11"/>
        <v>2.9000529873898406</v>
      </c>
      <c r="M36" s="7">
        <f t="shared" si="12"/>
        <v>75.003864432050577</v>
      </c>
      <c r="N36" s="277">
        <f t="shared" si="6"/>
        <v>0.12</v>
      </c>
      <c r="O36" s="324">
        <f t="shared" si="13"/>
        <v>0.34800635848678085</v>
      </c>
      <c r="P36" s="16">
        <f t="shared" si="14"/>
        <v>9.0004637318460716</v>
      </c>
      <c r="Q36" s="172">
        <f t="shared" si="15"/>
        <v>1802.8717056929815</v>
      </c>
      <c r="R36" s="16">
        <f t="shared" si="16"/>
        <v>56278.789223856336</v>
      </c>
      <c r="S36" s="7">
        <f t="shared" si="8"/>
        <v>9.2618638048608286</v>
      </c>
    </row>
    <row r="37" spans="2:19">
      <c r="B37" s="120">
        <f t="shared" si="9"/>
        <v>30000</v>
      </c>
      <c r="C37" s="11">
        <v>0.61</v>
      </c>
      <c r="D37" s="7">
        <f t="shared" si="0"/>
        <v>606.7484947370084</v>
      </c>
      <c r="E37" s="121">
        <f t="shared" si="7"/>
        <v>9990.9995362681566</v>
      </c>
      <c r="F37" s="11">
        <f t="shared" si="1"/>
        <v>0.35904007343391364</v>
      </c>
      <c r="G37" s="11">
        <f t="shared" si="2"/>
        <v>3.157393040925726E-2</v>
      </c>
      <c r="H37" s="12">
        <f t="shared" si="3"/>
        <v>878.60700634330806</v>
      </c>
      <c r="I37" s="306">
        <f t="shared" si="4"/>
        <v>-200</v>
      </c>
      <c r="J37" s="16">
        <f t="shared" si="5"/>
        <v>-65.503273735116295</v>
      </c>
      <c r="K37" s="323">
        <f t="shared" si="10"/>
        <v>-3.4734364360757359</v>
      </c>
      <c r="L37" s="324">
        <f t="shared" si="11"/>
        <v>2.8824833245550683</v>
      </c>
      <c r="M37" s="7">
        <f t="shared" si="12"/>
        <v>77.886347756605645</v>
      </c>
      <c r="N37" s="277">
        <f t="shared" si="6"/>
        <v>0.12</v>
      </c>
      <c r="O37" s="324">
        <f t="shared" si="13"/>
        <v>0.34589799894660817</v>
      </c>
      <c r="P37" s="16">
        <f t="shared" si="14"/>
        <v>9.3463617307926796</v>
      </c>
      <c r="Q37" s="172">
        <f t="shared" si="15"/>
        <v>1763.2780118707608</v>
      </c>
      <c r="R37" s="16">
        <f t="shared" si="16"/>
        <v>58042.067235727096</v>
      </c>
      <c r="S37" s="7">
        <f t="shared" si="8"/>
        <v>9.5520484556196266</v>
      </c>
    </row>
    <row r="38" spans="2:19">
      <c r="B38" s="120">
        <f t="shared" si="9"/>
        <v>30000</v>
      </c>
      <c r="C38" s="11">
        <v>0.6</v>
      </c>
      <c r="D38" s="7">
        <f t="shared" si="0"/>
        <v>596.80179810197546</v>
      </c>
      <c r="E38" s="121">
        <f t="shared" si="7"/>
        <v>9990.6536382692102</v>
      </c>
      <c r="F38" s="11">
        <f t="shared" si="1"/>
        <v>0.37109496112668788</v>
      </c>
      <c r="G38" s="11">
        <f t="shared" si="2"/>
        <v>3.3302710739708009E-2</v>
      </c>
      <c r="H38" s="12">
        <f t="shared" si="3"/>
        <v>896.57872800462314</v>
      </c>
      <c r="I38" s="306">
        <f t="shared" si="4"/>
        <v>-200</v>
      </c>
      <c r="J38" s="16">
        <f t="shared" si="5"/>
        <v>-65.505239229463669</v>
      </c>
      <c r="K38" s="323">
        <f t="shared" si="10"/>
        <v>-3.5314330045108955</v>
      </c>
      <c r="L38" s="324">
        <f t="shared" si="11"/>
        <v>2.8399377659778158</v>
      </c>
      <c r="M38" s="7">
        <f t="shared" si="12"/>
        <v>80.726285522583467</v>
      </c>
      <c r="N38" s="277">
        <f t="shared" si="6"/>
        <v>0.12</v>
      </c>
      <c r="O38" s="324">
        <f t="shared" si="13"/>
        <v>0.34079253191733788</v>
      </c>
      <c r="P38" s="16">
        <f t="shared" si="14"/>
        <v>9.6871542627100169</v>
      </c>
      <c r="Q38" s="172">
        <f t="shared" si="15"/>
        <v>1709.0039649435448</v>
      </c>
      <c r="R38" s="16">
        <f t="shared" si="16"/>
        <v>59751.071200670638</v>
      </c>
      <c r="S38" s="7">
        <f t="shared" si="8"/>
        <v>9.8333011652739515</v>
      </c>
    </row>
    <row r="39" spans="2:19">
      <c r="B39" s="120">
        <f t="shared" si="9"/>
        <v>30000</v>
      </c>
      <c r="C39" s="11">
        <v>0.59</v>
      </c>
      <c r="D39" s="7">
        <f t="shared" si="0"/>
        <v>586.85510146694253</v>
      </c>
      <c r="E39" s="121">
        <f t="shared" si="7"/>
        <v>9990.3128457372932</v>
      </c>
      <c r="F39" s="11">
        <f t="shared" si="1"/>
        <v>0.38376796597625612</v>
      </c>
      <c r="G39" s="11">
        <f t="shared" si="2"/>
        <v>3.5119109177134303E-2</v>
      </c>
      <c r="H39" s="12">
        <f t="shared" si="3"/>
        <v>914.22661255911783</v>
      </c>
      <c r="I39" s="306">
        <f t="shared" si="4"/>
        <v>-200</v>
      </c>
      <c r="J39" s="16">
        <f t="shared" si="5"/>
        <v>-65.452361889703283</v>
      </c>
      <c r="K39" s="323">
        <f t="shared" si="10"/>
        <v>-3.5883888308636211</v>
      </c>
      <c r="L39" s="324">
        <f t="shared" si="11"/>
        <v>2.7940858254663672</v>
      </c>
      <c r="M39" s="7">
        <f t="shared" si="12"/>
        <v>83.520371348049835</v>
      </c>
      <c r="N39" s="277">
        <f t="shared" si="6"/>
        <v>0.12</v>
      </c>
      <c r="O39" s="324">
        <f t="shared" si="13"/>
        <v>0.33529029905596403</v>
      </c>
      <c r="P39" s="16">
        <f t="shared" si="14"/>
        <v>10.022444561765981</v>
      </c>
      <c r="Q39" s="172">
        <f t="shared" si="15"/>
        <v>1653.6194826504907</v>
      </c>
      <c r="R39" s="16">
        <f t="shared" si="16"/>
        <v>61404.690683321125</v>
      </c>
      <c r="S39" s="7">
        <f t="shared" si="8"/>
        <v>10.105439188223476</v>
      </c>
    </row>
    <row r="40" spans="2:19">
      <c r="B40" s="120">
        <f t="shared" si="9"/>
        <v>30000</v>
      </c>
      <c r="C40" s="11">
        <v>0.57999999999999996</v>
      </c>
      <c r="D40" s="7">
        <f t="shared" si="0"/>
        <v>576.90840483190959</v>
      </c>
      <c r="E40" s="121">
        <f t="shared" si="7"/>
        <v>9989.9775554382377</v>
      </c>
      <c r="F40" s="11">
        <f t="shared" si="1"/>
        <v>0.39710209715356742</v>
      </c>
      <c r="G40" s="11">
        <f t="shared" si="2"/>
        <v>3.7029222271518183E-2</v>
      </c>
      <c r="H40" s="12">
        <f t="shared" si="3"/>
        <v>931.55161365149968</v>
      </c>
      <c r="I40" s="306">
        <f t="shared" si="4"/>
        <v>-200</v>
      </c>
      <c r="J40" s="16">
        <f t="shared" si="5"/>
        <v>-65.345655963090209</v>
      </c>
      <c r="K40" s="323">
        <f t="shared" si="10"/>
        <v>-3.6443066478967965</v>
      </c>
      <c r="L40" s="324">
        <f t="shared" si="11"/>
        <v>2.7504812456828778</v>
      </c>
      <c r="M40" s="7">
        <f t="shared" si="12"/>
        <v>86.270852593732712</v>
      </c>
      <c r="N40" s="277">
        <f t="shared" si="6"/>
        <v>0.12</v>
      </c>
      <c r="O40" s="324">
        <f t="shared" si="13"/>
        <v>0.33005774948194533</v>
      </c>
      <c r="P40" s="16">
        <f t="shared" si="14"/>
        <v>10.352502311247926</v>
      </c>
      <c r="Q40" s="172">
        <f t="shared" si="15"/>
        <v>1600.4548492425699</v>
      </c>
      <c r="R40" s="16">
        <f t="shared" si="16"/>
        <v>63005.145532563693</v>
      </c>
      <c r="S40" s="7">
        <f t="shared" si="8"/>
        <v>10.368827847502418</v>
      </c>
    </row>
    <row r="41" spans="2:19">
      <c r="B41" s="120">
        <f t="shared" si="9"/>
        <v>30000</v>
      </c>
      <c r="C41" s="11">
        <v>0.56999999999999995</v>
      </c>
      <c r="D41" s="7">
        <f t="shared" si="0"/>
        <v>566.96170819687666</v>
      </c>
      <c r="E41" s="121">
        <f t="shared" si="7"/>
        <v>9989.6474976887566</v>
      </c>
      <c r="F41" s="11">
        <f t="shared" si="1"/>
        <v>0.41114414274484862</v>
      </c>
      <c r="G41" s="11">
        <f t="shared" si="2"/>
        <v>3.9699972691714568E-2</v>
      </c>
      <c r="H41" s="12">
        <f t="shared" si="3"/>
        <v>964.59779339290469</v>
      </c>
      <c r="I41" s="306">
        <f t="shared" si="4"/>
        <v>-200</v>
      </c>
      <c r="J41" s="16">
        <f t="shared" si="5"/>
        <v>-66.096662015063089</v>
      </c>
      <c r="K41" s="323">
        <f t="shared" si="10"/>
        <v>-3.7508600191640862</v>
      </c>
      <c r="L41" s="324">
        <f t="shared" si="11"/>
        <v>2.6900534045667768</v>
      </c>
      <c r="M41" s="7">
        <f t="shared" si="12"/>
        <v>88.960905998299495</v>
      </c>
      <c r="N41" s="277">
        <f t="shared" si="6"/>
        <v>0.12</v>
      </c>
      <c r="O41" s="324">
        <f t="shared" si="13"/>
        <v>0.32280640854801318</v>
      </c>
      <c r="P41" s="16">
        <f t="shared" si="14"/>
        <v>10.67530871979594</v>
      </c>
      <c r="Q41" s="172">
        <f t="shared" si="15"/>
        <v>1538.5358459676352</v>
      </c>
      <c r="R41" s="16">
        <f t="shared" si="16"/>
        <v>64543.681378531328</v>
      </c>
      <c r="S41" s="7">
        <f t="shared" si="8"/>
        <v>10.622026426589976</v>
      </c>
    </row>
    <row r="42" spans="2:19">
      <c r="B42" s="120">
        <f t="shared" si="9"/>
        <v>30000</v>
      </c>
      <c r="C42" s="11">
        <v>0.56000000000000005</v>
      </c>
      <c r="D42" s="7">
        <f t="shared" si="0"/>
        <v>557.01501156184383</v>
      </c>
      <c r="E42" s="121">
        <f t="shared" si="7"/>
        <v>9989.3246912802078</v>
      </c>
      <c r="F42" s="11">
        <f t="shared" si="1"/>
        <v>0.42594520228784372</v>
      </c>
      <c r="G42" s="11">
        <f t="shared" si="2"/>
        <v>4.2694985659856584E-2</v>
      </c>
      <c r="H42" s="12">
        <f t="shared" si="3"/>
        <v>1001.2885980522094</v>
      </c>
      <c r="I42" s="306">
        <f t="shared" si="4"/>
        <v>-200</v>
      </c>
      <c r="J42" s="16">
        <f t="shared" si="5"/>
        <v>-66.985086881524495</v>
      </c>
      <c r="K42" s="323">
        <f t="shared" si="10"/>
        <v>-3.86915637925655</v>
      </c>
      <c r="L42" s="324">
        <f t="shared" si="11"/>
        <v>2.6106759132682247</v>
      </c>
      <c r="M42" s="7">
        <f t="shared" si="12"/>
        <v>91.571581911567719</v>
      </c>
      <c r="N42" s="277">
        <f t="shared" si="6"/>
        <v>0.12</v>
      </c>
      <c r="O42" s="324">
        <f t="shared" si="13"/>
        <v>0.31328110959218697</v>
      </c>
      <c r="P42" s="16">
        <f t="shared" si="14"/>
        <v>10.988589829388127</v>
      </c>
      <c r="Q42" s="172">
        <f t="shared" si="15"/>
        <v>1467.1694746741605</v>
      </c>
      <c r="R42" s="16">
        <f t="shared" si="16"/>
        <v>66010.850853205484</v>
      </c>
      <c r="S42" s="7">
        <f t="shared" si="8"/>
        <v>10.863480161478094</v>
      </c>
    </row>
    <row r="43" spans="2:19">
      <c r="B43" s="120">
        <f t="shared" si="9"/>
        <v>30000</v>
      </c>
      <c r="C43" s="11">
        <v>0.55000000000000004</v>
      </c>
      <c r="D43" s="7">
        <f t="shared" si="0"/>
        <v>547.0683149268109</v>
      </c>
      <c r="E43" s="121">
        <f t="shared" si="7"/>
        <v>9989.0114101706149</v>
      </c>
      <c r="F43" s="11">
        <f t="shared" si="1"/>
        <v>0.4415610785740044</v>
      </c>
      <c r="G43" s="11">
        <f t="shared" si="2"/>
        <v>4.5853776793374879E-2</v>
      </c>
      <c r="H43" s="12">
        <f t="shared" si="3"/>
        <v>1037.3058718572565</v>
      </c>
      <c r="I43" s="306">
        <f t="shared" si="4"/>
        <v>-200</v>
      </c>
      <c r="J43" s="16">
        <f t="shared" si="5"/>
        <v>-67.763546418297324</v>
      </c>
      <c r="K43" s="323">
        <f t="shared" si="10"/>
        <v>-3.9852871807316745</v>
      </c>
      <c r="L43" s="324">
        <f t="shared" si="11"/>
        <v>2.5327565368737206</v>
      </c>
      <c r="M43" s="7">
        <f t="shared" si="12"/>
        <v>94.104338448441439</v>
      </c>
      <c r="N43" s="277">
        <f t="shared" si="6"/>
        <v>0.12</v>
      </c>
      <c r="O43" s="324">
        <f t="shared" si="13"/>
        <v>0.30393078442484645</v>
      </c>
      <c r="P43" s="16">
        <f t="shared" si="14"/>
        <v>11.292520613812973</v>
      </c>
      <c r="Q43" s="172">
        <f t="shared" si="15"/>
        <v>1398.1871312087112</v>
      </c>
      <c r="R43" s="16">
        <f t="shared" si="16"/>
        <v>67409.037984414201</v>
      </c>
      <c r="S43" s="7">
        <f t="shared" si="8"/>
        <v>11.093581394314759</v>
      </c>
    </row>
    <row r="44" spans="2:19">
      <c r="B44" s="120">
        <f t="shared" si="9"/>
        <v>30000</v>
      </c>
      <c r="C44" s="11">
        <v>0.54</v>
      </c>
      <c r="D44" s="7">
        <f t="shared" si="0"/>
        <v>537.12161829177796</v>
      </c>
      <c r="E44" s="121">
        <f t="shared" si="7"/>
        <v>9988.7074793861902</v>
      </c>
      <c r="F44" s="11">
        <f t="shared" si="1"/>
        <v>0.45805268220703749</v>
      </c>
      <c r="G44" s="11">
        <f t="shared" si="2"/>
        <v>4.918858912361454E-2</v>
      </c>
      <c r="H44" s="12">
        <f t="shared" si="3"/>
        <v>1072.6504770414683</v>
      </c>
      <c r="I44" s="306">
        <f t="shared" si="4"/>
        <v>-200</v>
      </c>
      <c r="J44" s="16">
        <f t="shared" si="5"/>
        <v>-68.434087709446288</v>
      </c>
      <c r="K44" s="323">
        <f t="shared" si="10"/>
        <v>-4.0992547366947587</v>
      </c>
      <c r="L44" s="324">
        <f t="shared" si="11"/>
        <v>2.4606704341757646</v>
      </c>
      <c r="M44" s="7">
        <f t="shared" si="12"/>
        <v>96.565008882617207</v>
      </c>
      <c r="N44" s="277">
        <f t="shared" si="6"/>
        <v>0.12</v>
      </c>
      <c r="O44" s="324">
        <f t="shared" si="13"/>
        <v>0.29528045210109172</v>
      </c>
      <c r="P44" s="16">
        <f t="shared" si="14"/>
        <v>11.587801065914066</v>
      </c>
      <c r="Q44" s="172">
        <f t="shared" si="15"/>
        <v>1333.9170568509892</v>
      </c>
      <c r="R44" s="16">
        <f t="shared" si="16"/>
        <v>68742.955041265188</v>
      </c>
      <c r="S44" s="7">
        <f t="shared" si="8"/>
        <v>11.313105628540779</v>
      </c>
    </row>
    <row r="45" spans="2:19">
      <c r="B45" s="120">
        <f t="shared" si="9"/>
        <v>30000</v>
      </c>
      <c r="C45" s="11">
        <v>0.53</v>
      </c>
      <c r="D45" s="7">
        <f t="shared" si="0"/>
        <v>527.17492165674503</v>
      </c>
      <c r="E45" s="121">
        <f t="shared" si="7"/>
        <v>9988.4121989340892</v>
      </c>
      <c r="F45" s="11">
        <f t="shared" si="1"/>
        <v>0.47548669870426918</v>
      </c>
      <c r="G45" s="11">
        <f t="shared" si="2"/>
        <v>5.2712826439558109E-2</v>
      </c>
      <c r="H45" s="12">
        <f t="shared" si="3"/>
        <v>1107.3231703094332</v>
      </c>
      <c r="I45" s="306">
        <f t="shared" si="4"/>
        <v>-200</v>
      </c>
      <c r="J45" s="16">
        <f t="shared" si="5"/>
        <v>-68.998753371578871</v>
      </c>
      <c r="K45" s="323">
        <f t="shared" si="10"/>
        <v>-4.2110612621718122</v>
      </c>
      <c r="L45" s="324">
        <f t="shared" si="11"/>
        <v>2.3938191126280994</v>
      </c>
      <c r="M45" s="7">
        <f t="shared" si="12"/>
        <v>98.958827995245301</v>
      </c>
      <c r="N45" s="277">
        <f t="shared" si="6"/>
        <v>0.12</v>
      </c>
      <c r="O45" s="324">
        <f t="shared" si="13"/>
        <v>0.28725829351537191</v>
      </c>
      <c r="P45" s="16">
        <f t="shared" si="14"/>
        <v>11.875059359429438</v>
      </c>
      <c r="Q45" s="172">
        <f t="shared" si="15"/>
        <v>1273.8666994163648</v>
      </c>
      <c r="R45" s="16">
        <f t="shared" si="16"/>
        <v>70016.821740681553</v>
      </c>
      <c r="S45" s="7">
        <f t="shared" si="8"/>
        <v>11.522747307728517</v>
      </c>
    </row>
    <row r="46" spans="2:19">
      <c r="B46" s="120">
        <f t="shared" si="9"/>
        <v>30000</v>
      </c>
      <c r="C46" s="11">
        <v>0.52</v>
      </c>
      <c r="D46" s="7">
        <f t="shared" si="0"/>
        <v>517.22822502171209</v>
      </c>
      <c r="E46" s="121">
        <f t="shared" si="7"/>
        <v>9988.1249406405732</v>
      </c>
      <c r="F46" s="11">
        <f t="shared" si="1"/>
        <v>0.49393628872825762</v>
      </c>
      <c r="G46" s="11">
        <f t="shared" si="2"/>
        <v>5.6441194034379784E-2</v>
      </c>
      <c r="H46" s="12">
        <f t="shared" si="3"/>
        <v>1141.3247228013829</v>
      </c>
      <c r="I46" s="306">
        <f t="shared" si="4"/>
        <v>-200</v>
      </c>
      <c r="J46" s="16">
        <f t="shared" si="5"/>
        <v>-69.459584223803816</v>
      </c>
      <c r="K46" s="323">
        <f t="shared" si="10"/>
        <v>-4.3207090307626812</v>
      </c>
      <c r="L46" s="324">
        <f t="shared" si="11"/>
        <v>2.3316841156096761</v>
      </c>
      <c r="M46" s="7">
        <f t="shared" si="12"/>
        <v>101.29051211085498</v>
      </c>
      <c r="N46" s="277">
        <f t="shared" si="6"/>
        <v>0.12</v>
      </c>
      <c r="O46" s="324">
        <f t="shared" si="13"/>
        <v>0.27980209387316113</v>
      </c>
      <c r="P46" s="16">
        <f t="shared" si="14"/>
        <v>12.154861453302599</v>
      </c>
      <c r="Q46" s="172">
        <f t="shared" si="15"/>
        <v>1217.6091137014607</v>
      </c>
      <c r="R46" s="16">
        <f t="shared" si="16"/>
        <v>71234.430854383012</v>
      </c>
      <c r="S46" s="7">
        <f t="shared" si="8"/>
        <v>11.723130612596771</v>
      </c>
    </row>
    <row r="47" spans="2:19">
      <c r="B47" s="120">
        <f t="shared" si="9"/>
        <v>30000</v>
      </c>
      <c r="C47" s="11">
        <v>0.51</v>
      </c>
      <c r="D47" s="7">
        <f t="shared" si="0"/>
        <v>507.28152838667921</v>
      </c>
      <c r="E47" s="121">
        <f t="shared" si="7"/>
        <v>9987.8451385466997</v>
      </c>
      <c r="F47" s="11">
        <f t="shared" si="1"/>
        <v>0.51348185690846371</v>
      </c>
      <c r="G47" s="11">
        <f t="shared" si="2"/>
        <v>6.1899821212349146E-2</v>
      </c>
      <c r="H47" s="12">
        <f t="shared" si="3"/>
        <v>1204.0266273378447</v>
      </c>
      <c r="I47" s="306">
        <f t="shared" si="4"/>
        <v>-200</v>
      </c>
      <c r="J47" s="16">
        <f t="shared" si="5"/>
        <v>-71.310354088566868</v>
      </c>
      <c r="K47" s="323">
        <f t="shared" si="10"/>
        <v>-4.5228126869556995</v>
      </c>
      <c r="L47" s="324">
        <f t="shared" si="11"/>
        <v>2.2494876933708974</v>
      </c>
      <c r="M47" s="7">
        <f t="shared" si="12"/>
        <v>103.53999980422587</v>
      </c>
      <c r="N47" s="277">
        <f t="shared" si="6"/>
        <v>0.12</v>
      </c>
      <c r="O47" s="324">
        <f t="shared" si="13"/>
        <v>0.26993852320450767</v>
      </c>
      <c r="P47" s="16">
        <f t="shared" si="14"/>
        <v>12.424799976507106</v>
      </c>
      <c r="Q47" s="172">
        <f t="shared" si="15"/>
        <v>1152.3110410153147</v>
      </c>
      <c r="R47" s="16">
        <f t="shared" si="16"/>
        <v>72386.741895398329</v>
      </c>
      <c r="S47" s="7">
        <f t="shared" si="8"/>
        <v>11.912767740010258</v>
      </c>
    </row>
    <row r="48" spans="2:19" ht="15" thickBot="1">
      <c r="B48" s="120">
        <f t="shared" si="9"/>
        <v>30000</v>
      </c>
      <c r="C48" s="11">
        <v>0.5</v>
      </c>
      <c r="D48" s="7">
        <f t="shared" si="0"/>
        <v>497.33483175164628</v>
      </c>
      <c r="E48" s="121">
        <f t="shared" si="7"/>
        <v>9987.5752000234952</v>
      </c>
      <c r="F48" s="11">
        <f t="shared" si="1"/>
        <v>0.5342120855460204</v>
      </c>
      <c r="G48" s="11">
        <f t="shared" si="2"/>
        <v>6.8408382775904386E-2</v>
      </c>
      <c r="H48" s="12">
        <f t="shared" si="3"/>
        <v>1278.9562156535656</v>
      </c>
      <c r="I48" s="307">
        <f t="shared" si="4"/>
        <v>-200</v>
      </c>
      <c r="J48" s="16">
        <f t="shared" si="5"/>
        <v>-73.645146689697725</v>
      </c>
      <c r="K48" s="325">
        <f t="shared" si="10"/>
        <v>-4.7643132922118951</v>
      </c>
      <c r="L48" s="326">
        <f t="shared" si="11"/>
        <v>2.1420397779344991</v>
      </c>
      <c r="M48" s="7">
        <f t="shared" si="12"/>
        <v>105.68203958216037</v>
      </c>
      <c r="N48" s="278">
        <f t="shared" si="6"/>
        <v>0.12</v>
      </c>
      <c r="O48" s="326">
        <f t="shared" si="13"/>
        <v>0.25704477335213988</v>
      </c>
      <c r="P48" s="16">
        <f t="shared" si="14"/>
        <v>12.681844749859247</v>
      </c>
      <c r="Q48" s="172">
        <f t="shared" si="15"/>
        <v>1075.9641024900318</v>
      </c>
      <c r="R48" s="16">
        <f t="shared" si="16"/>
        <v>73462.705997888363</v>
      </c>
      <c r="S48" s="7">
        <f t="shared" si="8"/>
        <v>12.089840365658674</v>
      </c>
    </row>
    <row r="49" spans="2:17">
      <c r="B49" s="55"/>
      <c r="C49" s="18"/>
      <c r="D49" s="1"/>
      <c r="E49" s="121">
        <f t="shared" si="7"/>
        <v>9987.3181552501428</v>
      </c>
      <c r="F49" s="1"/>
      <c r="H49" s="18"/>
      <c r="I49" s="1"/>
      <c r="J49" s="1"/>
      <c r="K49" s="1"/>
      <c r="Q49" s="297"/>
    </row>
  </sheetData>
  <mergeCells count="3">
    <mergeCell ref="B2:D2"/>
    <mergeCell ref="B3:D3"/>
    <mergeCell ref="B4:D4"/>
  </mergeCells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6E4F0-B80A-484B-8FFF-BDF5973D0F96}">
  <sheetPr codeName="Sheet26">
    <tabColor theme="0" tint="-0.249977111117893"/>
  </sheetPr>
  <dimension ref="B1:S49"/>
  <sheetViews>
    <sheetView topLeftCell="A42" workbookViewId="0">
      <selection activeCell="T44" sqref="T44"/>
    </sheetView>
  </sheetViews>
  <sheetFormatPr defaultRowHeight="14.5"/>
  <cols>
    <col min="1" max="1" width="2.7265625" customWidth="1"/>
    <col min="2" max="19" width="10.7265625" customWidth="1"/>
  </cols>
  <sheetData>
    <row r="1" spans="2:19" ht="15" thickBot="1"/>
    <row r="2" spans="2:19">
      <c r="B2" s="637" t="s">
        <v>408</v>
      </c>
      <c r="C2" s="638"/>
      <c r="D2" s="639"/>
      <c r="F2" t="s">
        <v>6</v>
      </c>
      <c r="G2" s="8">
        <v>10000</v>
      </c>
      <c r="H2" t="s">
        <v>5</v>
      </c>
      <c r="I2" s="123" t="s">
        <v>108</v>
      </c>
      <c r="J2" s="124">
        <f>M48</f>
        <v>53.375756267776218</v>
      </c>
      <c r="K2" s="125" t="s">
        <v>223</v>
      </c>
      <c r="M2" t="s">
        <v>17</v>
      </c>
      <c r="N2" s="3">
        <f>Linterp(G3,atmos_h,atmos_aspeed)</f>
        <v>994.66966350329255</v>
      </c>
      <c r="O2" t="s">
        <v>20</v>
      </c>
    </row>
    <row r="3" spans="2:19">
      <c r="B3" s="640" t="s">
        <v>409</v>
      </c>
      <c r="C3" s="641"/>
      <c r="D3" s="642"/>
      <c r="F3" t="s">
        <v>1</v>
      </c>
      <c r="G3" s="8">
        <v>30000</v>
      </c>
      <c r="H3" s="10" t="s">
        <v>2</v>
      </c>
      <c r="I3" s="126" t="s">
        <v>111</v>
      </c>
      <c r="J3" s="122">
        <f>P48</f>
        <v>6.4050907521331455</v>
      </c>
      <c r="K3" s="127" t="s">
        <v>5</v>
      </c>
      <c r="M3" t="s">
        <v>0</v>
      </c>
      <c r="N3" s="1">
        <f>Linterp(G3,atmos_h,atmos_qms)</f>
        <v>439.90350606186917</v>
      </c>
      <c r="O3" t="s">
        <v>224</v>
      </c>
    </row>
    <row r="4" spans="2:19" ht="15" thickBot="1">
      <c r="B4" s="643" t="s">
        <v>411</v>
      </c>
      <c r="C4" s="644"/>
      <c r="D4" s="645"/>
      <c r="F4" t="s">
        <v>587</v>
      </c>
      <c r="G4" s="384">
        <v>3.2000000000000001E-2</v>
      </c>
      <c r="H4" s="8"/>
      <c r="I4" s="128" t="s">
        <v>182</v>
      </c>
      <c r="J4" s="129">
        <f>S48</f>
        <v>5.9592008759385369</v>
      </c>
      <c r="K4" s="130" t="s">
        <v>183</v>
      </c>
    </row>
    <row r="5" spans="2:19" ht="15" thickBot="1">
      <c r="B5" s="55"/>
      <c r="D5" s="8"/>
      <c r="E5" s="8"/>
      <c r="G5" s="9"/>
    </row>
    <row r="6" spans="2:19">
      <c r="B6" s="6" t="s">
        <v>1</v>
      </c>
      <c r="C6" s="6" t="s">
        <v>72</v>
      </c>
      <c r="D6" s="6" t="s">
        <v>185</v>
      </c>
      <c r="E6" s="6" t="s">
        <v>6</v>
      </c>
      <c r="F6" s="6" t="s">
        <v>74</v>
      </c>
      <c r="G6" s="308" t="s">
        <v>75</v>
      </c>
      <c r="H6" s="6" t="s">
        <v>186</v>
      </c>
      <c r="I6" s="308" t="s">
        <v>407</v>
      </c>
      <c r="J6" s="6" t="s">
        <v>188</v>
      </c>
      <c r="K6" s="312" t="s">
        <v>225</v>
      </c>
      <c r="L6" s="310" t="s">
        <v>192</v>
      </c>
      <c r="M6" s="183" t="s">
        <v>108</v>
      </c>
      <c r="N6" s="312" t="s">
        <v>193</v>
      </c>
      <c r="O6" s="310" t="s">
        <v>110</v>
      </c>
      <c r="P6" s="185" t="s">
        <v>111</v>
      </c>
      <c r="Q6" s="308" t="s">
        <v>195</v>
      </c>
      <c r="R6" s="6" t="s">
        <v>182</v>
      </c>
      <c r="S6" s="187" t="s">
        <v>182</v>
      </c>
    </row>
    <row r="7" spans="2:19" ht="16.5">
      <c r="B7" s="55" t="s">
        <v>30</v>
      </c>
      <c r="D7" s="55" t="s">
        <v>69</v>
      </c>
      <c r="E7" s="55" t="s">
        <v>78</v>
      </c>
      <c r="G7" s="162"/>
      <c r="H7" s="55" t="s">
        <v>78</v>
      </c>
      <c r="I7" s="309" t="s">
        <v>78</v>
      </c>
      <c r="J7" s="55" t="s">
        <v>69</v>
      </c>
      <c r="K7" s="313" t="s">
        <v>226</v>
      </c>
      <c r="L7" s="311" t="s">
        <v>112</v>
      </c>
      <c r="M7" s="184" t="s">
        <v>112</v>
      </c>
      <c r="N7" s="313" t="s">
        <v>227</v>
      </c>
      <c r="O7" s="311" t="s">
        <v>78</v>
      </c>
      <c r="P7" s="186" t="s">
        <v>78</v>
      </c>
      <c r="Q7" s="309" t="s">
        <v>30</v>
      </c>
      <c r="R7" s="55" t="s">
        <v>30</v>
      </c>
      <c r="S7" s="188" t="s">
        <v>203</v>
      </c>
    </row>
    <row r="8" spans="2:19">
      <c r="B8" s="120">
        <f>G3</f>
        <v>30000</v>
      </c>
      <c r="C8" s="11">
        <v>0.9</v>
      </c>
      <c r="D8" s="7">
        <f t="shared" ref="D8:D48" si="0">C8*N$2</f>
        <v>895.20269715296331</v>
      </c>
      <c r="E8" s="121">
        <f>G2</f>
        <v>10000</v>
      </c>
      <c r="F8" s="11">
        <f t="shared" ref="F8:F48" si="1">E8/(N$3*C8*C8*_xlfn.SINGLE(S))</f>
        <v>0.16508538860992511</v>
      </c>
      <c r="G8" s="173" cm="1">
        <f t="array" ref="G8">InterpolateXY(F8,C8,CD_CL,CD_M,CD_table)+$G$4</f>
        <v>5.1720227689455167E-2</v>
      </c>
      <c r="H8" s="12">
        <f t="shared" ref="H8:H48" si="2">G8*N$3*C8*C8*_xlfn.SINGLE(S)</f>
        <v>3132.9379374490377</v>
      </c>
      <c r="I8" s="306">
        <f t="shared" ref="I8:I48" si="3">(-100)*numeng</f>
        <v>-200</v>
      </c>
      <c r="J8" s="16">
        <f t="shared" ref="J8:J48" si="4">(I8-H8)*D8/E8</f>
        <v>-298.36550310478134</v>
      </c>
      <c r="K8" s="323">
        <f>J8*32.174/D8</f>
        <v>-10.723394519948535</v>
      </c>
      <c r="L8" s="324">
        <v>0</v>
      </c>
      <c r="M8" s="7">
        <v>0</v>
      </c>
      <c r="N8" s="277">
        <f t="shared" ref="N8:N48" si="5">216*numeng/3600</f>
        <v>0.12</v>
      </c>
      <c r="O8" s="324">
        <v>0</v>
      </c>
      <c r="P8" s="16">
        <v>0</v>
      </c>
      <c r="Q8" s="172">
        <v>0</v>
      </c>
      <c r="R8" s="16">
        <v>0</v>
      </c>
      <c r="S8" s="7">
        <f>R8/6076.4</f>
        <v>0</v>
      </c>
    </row>
    <row r="9" spans="2:19">
      <c r="B9" s="120">
        <f>B8</f>
        <v>30000</v>
      </c>
      <c r="C9" s="11">
        <v>0.89</v>
      </c>
      <c r="D9" s="7">
        <f t="shared" si="0"/>
        <v>885.25600051793037</v>
      </c>
      <c r="E9" s="121">
        <f t="shared" ref="E9:E49" si="6">E8-O8</f>
        <v>10000</v>
      </c>
      <c r="F9" s="11">
        <f t="shared" si="1"/>
        <v>0.1688160141068544</v>
      </c>
      <c r="G9" s="173" cm="1">
        <f t="array" ref="G9">InterpolateXY(F9,C9,CD_CL,CD_M,CD_table)+$G$4</f>
        <v>5.1655116372392687E-2</v>
      </c>
      <c r="H9" s="12">
        <f t="shared" si="2"/>
        <v>3059.8469372518703</v>
      </c>
      <c r="I9" s="306">
        <f t="shared" si="3"/>
        <v>-200</v>
      </c>
      <c r="J9" s="16">
        <f t="shared" si="4"/>
        <v>-288.57990619722153</v>
      </c>
      <c r="K9" s="323">
        <f>J9*32.174/D9</f>
        <v>-10.488231535914167</v>
      </c>
      <c r="L9" s="324">
        <f>(D9-D8)/AVERAGE(K8:K9)</f>
        <v>0.93785328940246504</v>
      </c>
      <c r="M9" s="7">
        <f>M8+L9</f>
        <v>0.93785328940246504</v>
      </c>
      <c r="N9" s="277">
        <f t="shared" si="5"/>
        <v>0.12</v>
      </c>
      <c r="O9" s="324">
        <f>AVERAGE(N8:N9)*L9</f>
        <v>0.1125423947282958</v>
      </c>
      <c r="P9" s="16">
        <f>P8+O9</f>
        <v>0.1125423947282958</v>
      </c>
      <c r="Q9" s="172">
        <f>AVERAGE(D8:D9)*L9</f>
        <v>834.90452312793843</v>
      </c>
      <c r="R9" s="16">
        <f>R8+Q9</f>
        <v>834.90452312793843</v>
      </c>
      <c r="S9" s="7">
        <f t="shared" ref="S9:S48" si="7">R9/6076.4</f>
        <v>0.13740117884404227</v>
      </c>
    </row>
    <row r="10" spans="2:19">
      <c r="B10" s="120">
        <f t="shared" ref="B10:B48" si="8">B9</f>
        <v>30000</v>
      </c>
      <c r="C10" s="11">
        <v>0.88</v>
      </c>
      <c r="D10" s="7">
        <f t="shared" si="0"/>
        <v>875.30930388289744</v>
      </c>
      <c r="E10" s="121">
        <f t="shared" si="6"/>
        <v>9999.8874576052713</v>
      </c>
      <c r="F10" s="11">
        <f t="shared" si="1"/>
        <v>0.17267259796815199</v>
      </c>
      <c r="G10" s="173" cm="1">
        <f t="array" ref="G10">InterpolateXY(F10,C10,CD_CL,CD_M,CD_table)+$G$4</f>
        <v>5.1594303491439966E-2</v>
      </c>
      <c r="H10" s="12">
        <f t="shared" si="2"/>
        <v>2987.9508065494606</v>
      </c>
      <c r="I10" s="306">
        <f t="shared" si="3"/>
        <v>-200</v>
      </c>
      <c r="J10" s="16">
        <f t="shared" si="4"/>
        <v>-279.04744059609374</v>
      </c>
      <c r="K10" s="323">
        <f t="shared" ref="K10:K48" si="9">J10*32.174/D10</f>
        <v>-10.257028360045679</v>
      </c>
      <c r="L10" s="324">
        <f t="shared" ref="L10:L48" si="10">(D10-D9)/AVERAGE(K9:K10)</f>
        <v>0.95893680627930444</v>
      </c>
      <c r="M10" s="7">
        <f t="shared" ref="M10:M48" si="11">M9+L10</f>
        <v>1.8967900956817694</v>
      </c>
      <c r="N10" s="277">
        <f t="shared" si="5"/>
        <v>0.12</v>
      </c>
      <c r="O10" s="324">
        <f t="shared" ref="O10:O48" si="12">AVERAGE(N9:N10)*L10</f>
        <v>0.11507241675351652</v>
      </c>
      <c r="P10" s="16">
        <f t="shared" ref="P10:P48" si="13">P9+O10</f>
        <v>0.22761481148181234</v>
      </c>
      <c r="Q10" s="172">
        <f t="shared" ref="Q10:Q48" si="14">AVERAGE(D9:D10)*L10</f>
        <v>844.1354351241406</v>
      </c>
      <c r="R10" s="16">
        <f t="shared" ref="R10:R48" si="15">R9+Q10</f>
        <v>1679.039958252079</v>
      </c>
      <c r="S10" s="7">
        <f t="shared" si="7"/>
        <v>0.27632149928445776</v>
      </c>
    </row>
    <row r="11" spans="2:19">
      <c r="B11" s="120">
        <f t="shared" si="8"/>
        <v>30000</v>
      </c>
      <c r="C11" s="11">
        <v>0.87</v>
      </c>
      <c r="D11" s="7">
        <f t="shared" si="0"/>
        <v>865.3626072478645</v>
      </c>
      <c r="E11" s="121">
        <f t="shared" si="6"/>
        <v>9999.7723851885185</v>
      </c>
      <c r="F11" s="11">
        <f t="shared" si="1"/>
        <v>0.17666286316262547</v>
      </c>
      <c r="G11" s="173" cm="1">
        <f t="array" ref="G11">InterpolateXY(F11,C11,CD_CL,CD_M,CD_table)+$G$4</f>
        <v>5.1538056912177971E-2</v>
      </c>
      <c r="H11" s="12">
        <f t="shared" si="2"/>
        <v>2917.2449097140084</v>
      </c>
      <c r="I11" s="306">
        <f t="shared" si="3"/>
        <v>-200</v>
      </c>
      <c r="J11" s="16">
        <f t="shared" si="4"/>
        <v>-269.76085840671794</v>
      </c>
      <c r="K11" s="323">
        <f t="shared" si="9"/>
        <v>-10.029652062250188</v>
      </c>
      <c r="L11" s="324">
        <f t="shared" si="10"/>
        <v>0.98061352848060068</v>
      </c>
      <c r="M11" s="7">
        <f t="shared" si="11"/>
        <v>2.8774036241623699</v>
      </c>
      <c r="N11" s="277">
        <f t="shared" si="5"/>
        <v>0.12</v>
      </c>
      <c r="O11" s="324">
        <f t="shared" si="12"/>
        <v>0.11767362341767208</v>
      </c>
      <c r="P11" s="16">
        <f t="shared" si="13"/>
        <v>0.34528843489948441</v>
      </c>
      <c r="Q11" s="172">
        <f t="shared" si="14"/>
        <v>853.46321235050357</v>
      </c>
      <c r="R11" s="16">
        <f t="shared" si="15"/>
        <v>2532.5031706025825</v>
      </c>
      <c r="S11" s="7">
        <f t="shared" si="7"/>
        <v>0.41677690254140326</v>
      </c>
    </row>
    <row r="12" spans="2:19">
      <c r="B12" s="120">
        <f t="shared" si="8"/>
        <v>30000</v>
      </c>
      <c r="C12" s="11">
        <v>0.86</v>
      </c>
      <c r="D12" s="7">
        <f t="shared" si="0"/>
        <v>855.41591061283157</v>
      </c>
      <c r="E12" s="121">
        <f t="shared" si="6"/>
        <v>9999.654711565101</v>
      </c>
      <c r="F12" s="11">
        <f t="shared" si="1"/>
        <v>0.18079306058129704</v>
      </c>
      <c r="G12" s="173" cm="1">
        <f t="array" ref="G12">InterpolateXY(F12,C12,CD_CL,CD_M,CD_table)+$G$4</f>
        <v>5.1486587355433516E-2</v>
      </c>
      <c r="H12" s="12">
        <f t="shared" si="2"/>
        <v>2847.7204499763293</v>
      </c>
      <c r="I12" s="306">
        <f t="shared" si="3"/>
        <v>-200</v>
      </c>
      <c r="J12" s="16">
        <f t="shared" si="4"/>
        <v>-260.71585861806261</v>
      </c>
      <c r="K12" s="323">
        <f t="shared" si="9"/>
        <v>-9.8060743681609495</v>
      </c>
      <c r="L12" s="324">
        <f t="shared" si="10"/>
        <v>1.0029072209609791</v>
      </c>
      <c r="M12" s="7">
        <f t="shared" si="11"/>
        <v>3.8803108451233488</v>
      </c>
      <c r="N12" s="277">
        <f t="shared" si="5"/>
        <v>0.12</v>
      </c>
      <c r="O12" s="324">
        <f t="shared" si="12"/>
        <v>0.12034886651531748</v>
      </c>
      <c r="P12" s="16">
        <f t="shared" si="13"/>
        <v>0.46563730141480186</v>
      </c>
      <c r="Q12" s="172">
        <f t="shared" si="14"/>
        <v>862.89060061851148</v>
      </c>
      <c r="R12" s="16">
        <f t="shared" si="15"/>
        <v>3395.3937712210941</v>
      </c>
      <c r="S12" s="7">
        <f t="shared" si="7"/>
        <v>0.55878378171632781</v>
      </c>
    </row>
    <row r="13" spans="2:19">
      <c r="B13" s="120">
        <f t="shared" si="8"/>
        <v>30000</v>
      </c>
      <c r="C13" s="11">
        <v>0.85</v>
      </c>
      <c r="D13" s="7">
        <f t="shared" si="0"/>
        <v>845.46921397779863</v>
      </c>
      <c r="E13" s="121">
        <f t="shared" si="6"/>
        <v>9999.534362698585</v>
      </c>
      <c r="F13" s="11">
        <f t="shared" si="1"/>
        <v>0.18506981081098423</v>
      </c>
      <c r="G13" s="173" cm="1">
        <f t="array" ref="G13">InterpolateXY(F13,C13,CD_CL,CD_M,CD_table)+$G$4</f>
        <v>5.1440117905411906E-2</v>
      </c>
      <c r="H13" s="12">
        <f t="shared" si="2"/>
        <v>2779.368630477381</v>
      </c>
      <c r="I13" s="306">
        <f t="shared" si="3"/>
        <v>-200</v>
      </c>
      <c r="J13" s="16">
        <f t="shared" si="4"/>
        <v>-251.90817520027264</v>
      </c>
      <c r="K13" s="323">
        <f t="shared" si="9"/>
        <v>-9.586267004047766</v>
      </c>
      <c r="L13" s="324">
        <f t="shared" si="10"/>
        <v>1.0258376174511459</v>
      </c>
      <c r="M13" s="7">
        <f t="shared" si="11"/>
        <v>4.9061484625744942</v>
      </c>
      <c r="N13" s="277">
        <f t="shared" si="5"/>
        <v>0.12</v>
      </c>
      <c r="O13" s="324">
        <f t="shared" si="12"/>
        <v>0.1231005140941375</v>
      </c>
      <c r="P13" s="16">
        <f t="shared" si="13"/>
        <v>0.58873781550893933</v>
      </c>
      <c r="Q13" s="172">
        <f t="shared" si="14"/>
        <v>872.41597188407377</v>
      </c>
      <c r="R13" s="16">
        <f t="shared" si="15"/>
        <v>4267.8097431051683</v>
      </c>
      <c r="S13" s="7">
        <f t="shared" si="7"/>
        <v>0.70235826198162865</v>
      </c>
    </row>
    <row r="14" spans="2:19">
      <c r="B14" s="120">
        <f t="shared" si="8"/>
        <v>30000</v>
      </c>
      <c r="C14" s="11">
        <v>0.84</v>
      </c>
      <c r="D14" s="7">
        <f t="shared" si="0"/>
        <v>835.5225173427657</v>
      </c>
      <c r="E14" s="121">
        <f t="shared" si="6"/>
        <v>9999.4112621844906</v>
      </c>
      <c r="F14" s="11">
        <f t="shared" si="1"/>
        <v>0.18950013069889923</v>
      </c>
      <c r="G14" s="173" cm="1">
        <f t="array" ref="G14">InterpolateXY(F14,C14,CD_CL,CD_M,CD_table)+$G$4</f>
        <v>5.1526254901208726E-2</v>
      </c>
      <c r="H14" s="12">
        <f t="shared" si="2"/>
        <v>2718.9016263846211</v>
      </c>
      <c r="I14" s="306">
        <f t="shared" si="3"/>
        <v>-200</v>
      </c>
      <c r="J14" s="16">
        <f t="shared" si="4"/>
        <v>-243.89516250579587</v>
      </c>
      <c r="K14" s="323">
        <f t="shared" si="9"/>
        <v>-9.3918270251025202</v>
      </c>
      <c r="L14" s="324">
        <f t="shared" si="10"/>
        <v>1.0482292499715562</v>
      </c>
      <c r="M14" s="7">
        <f t="shared" si="11"/>
        <v>5.9543777125460506</v>
      </c>
      <c r="N14" s="277">
        <f t="shared" si="5"/>
        <v>0.12</v>
      </c>
      <c r="O14" s="324">
        <f t="shared" si="12"/>
        <v>0.12578750999658675</v>
      </c>
      <c r="P14" s="16">
        <f t="shared" si="13"/>
        <v>0.71452532550552605</v>
      </c>
      <c r="Q14" s="172">
        <f t="shared" si="14"/>
        <v>881.03235086527138</v>
      </c>
      <c r="R14" s="16">
        <f t="shared" si="15"/>
        <v>5148.8420939704392</v>
      </c>
      <c r="S14" s="7">
        <f t="shared" si="7"/>
        <v>0.84735074945205047</v>
      </c>
    </row>
    <row r="15" spans="2:19">
      <c r="B15" s="120">
        <f t="shared" si="8"/>
        <v>30000</v>
      </c>
      <c r="C15" s="11">
        <v>0.83</v>
      </c>
      <c r="D15" s="7">
        <f t="shared" si="0"/>
        <v>825.57582070773276</v>
      </c>
      <c r="E15" s="121">
        <f t="shared" si="6"/>
        <v>9999.2854746744943</v>
      </c>
      <c r="F15" s="11">
        <f t="shared" si="1"/>
        <v>0.19409146494566082</v>
      </c>
      <c r="G15" s="173" cm="1">
        <f t="array" ref="G15">InterpolateXY(F15,C15,CD_CL,CD_M,CD_table)+$G$4</f>
        <v>5.1618429935462284E-2</v>
      </c>
      <c r="H15" s="12">
        <f t="shared" si="2"/>
        <v>2659.2999173027797</v>
      </c>
      <c r="I15" s="306">
        <f t="shared" si="3"/>
        <v>-200</v>
      </c>
      <c r="J15" s="16">
        <f t="shared" si="4"/>
        <v>-236.07375565538976</v>
      </c>
      <c r="K15" s="323">
        <f t="shared" si="9"/>
        <v>-9.2001689292998545</v>
      </c>
      <c r="L15" s="324">
        <f t="shared" si="10"/>
        <v>1.0699977193871613</v>
      </c>
      <c r="M15" s="7">
        <f t="shared" si="11"/>
        <v>7.0243754319332119</v>
      </c>
      <c r="N15" s="277">
        <f t="shared" si="5"/>
        <v>0.12</v>
      </c>
      <c r="O15" s="324">
        <f t="shared" si="12"/>
        <v>0.12839972632645935</v>
      </c>
      <c r="P15" s="16">
        <f t="shared" si="13"/>
        <v>0.84292505183198541</v>
      </c>
      <c r="Q15" s="172">
        <f t="shared" si="14"/>
        <v>888.6857166959187</v>
      </c>
      <c r="R15" s="16">
        <f t="shared" si="15"/>
        <v>6037.5278106663582</v>
      </c>
      <c r="S15" s="7">
        <f t="shared" si="7"/>
        <v>0.99360275996747394</v>
      </c>
    </row>
    <row r="16" spans="2:19">
      <c r="B16" s="120">
        <f t="shared" si="8"/>
        <v>30000</v>
      </c>
      <c r="C16" s="11">
        <v>0.82</v>
      </c>
      <c r="D16" s="7">
        <f t="shared" si="0"/>
        <v>815.62912407269982</v>
      </c>
      <c r="E16" s="121">
        <f t="shared" si="6"/>
        <v>9999.1570749481671</v>
      </c>
      <c r="F16" s="11">
        <f t="shared" si="1"/>
        <v>0.19885171512589167</v>
      </c>
      <c r="G16" s="173" cm="1">
        <f t="array" ref="G16">InterpolateXY(F16,C16,CD_CL,CD_M,CD_table)+$G$4</f>
        <v>5.1716939317220934E-2</v>
      </c>
      <c r="H16" s="12">
        <f t="shared" si="2"/>
        <v>2600.5599164234814</v>
      </c>
      <c r="I16" s="306">
        <f t="shared" si="3"/>
        <v>-200</v>
      </c>
      <c r="J16" s="16">
        <f t="shared" si="4"/>
        <v>-228.44107902539756</v>
      </c>
      <c r="K16" s="323">
        <f t="shared" si="9"/>
        <v>-9.0112810585562446</v>
      </c>
      <c r="L16" s="324">
        <f t="shared" si="10"/>
        <v>1.0923563628009487</v>
      </c>
      <c r="M16" s="7">
        <f t="shared" si="11"/>
        <v>8.1167317947341608</v>
      </c>
      <c r="N16" s="277">
        <f t="shared" si="5"/>
        <v>0.12</v>
      </c>
      <c r="O16" s="324">
        <f t="shared" si="12"/>
        <v>0.13108276353611384</v>
      </c>
      <c r="P16" s="16">
        <f t="shared" si="13"/>
        <v>0.97400781536809922</v>
      </c>
      <c r="Q16" s="172">
        <f t="shared" si="14"/>
        <v>896.39033204564259</v>
      </c>
      <c r="R16" s="16">
        <f t="shared" si="15"/>
        <v>6933.9181427120011</v>
      </c>
      <c r="S16" s="7">
        <f t="shared" si="7"/>
        <v>1.1411227277190443</v>
      </c>
    </row>
    <row r="17" spans="2:19">
      <c r="B17" s="120">
        <f t="shared" si="8"/>
        <v>30000</v>
      </c>
      <c r="C17" s="11">
        <v>0.81</v>
      </c>
      <c r="D17" s="7">
        <f t="shared" si="0"/>
        <v>805.682427437667</v>
      </c>
      <c r="E17" s="121">
        <f t="shared" si="6"/>
        <v>9999.0259921846318</v>
      </c>
      <c r="F17" s="11">
        <f t="shared" si="1"/>
        <v>0.20378927057290641</v>
      </c>
      <c r="G17" s="173" cm="1">
        <f t="array" ref="G17">InterpolateXY(F17,C17,CD_CL,CD_M,CD_table)+$G$4</f>
        <v>5.191682941080665E-2</v>
      </c>
      <c r="H17" s="12">
        <f t="shared" si="2"/>
        <v>2547.3260945048373</v>
      </c>
      <c r="I17" s="306">
        <f t="shared" si="3"/>
        <v>-200</v>
      </c>
      <c r="J17" s="16">
        <f t="shared" si="4"/>
        <v>-221.3687971722027</v>
      </c>
      <c r="K17" s="323">
        <f t="shared" si="9"/>
        <v>-8.8401080098888958</v>
      </c>
      <c r="L17" s="324">
        <f t="shared" si="10"/>
        <v>1.1143890928482443</v>
      </c>
      <c r="M17" s="7">
        <f t="shared" si="11"/>
        <v>9.2311208875824047</v>
      </c>
      <c r="N17" s="277">
        <f t="shared" si="5"/>
        <v>0.12</v>
      </c>
      <c r="O17" s="324">
        <f t="shared" si="12"/>
        <v>0.13372669114178931</v>
      </c>
      <c r="P17" s="16">
        <f t="shared" si="13"/>
        <v>1.1077345065098885</v>
      </c>
      <c r="Q17" s="172">
        <f t="shared" si="14"/>
        <v>903.38595455600853</v>
      </c>
      <c r="R17" s="16">
        <f t="shared" si="15"/>
        <v>7837.3040972680101</v>
      </c>
      <c r="S17" s="7">
        <f t="shared" si="7"/>
        <v>1.2897939729556991</v>
      </c>
    </row>
    <row r="18" spans="2:19">
      <c r="B18" s="120">
        <f t="shared" si="8"/>
        <v>30000</v>
      </c>
      <c r="C18" s="11">
        <v>0.8</v>
      </c>
      <c r="D18" s="7">
        <f t="shared" si="0"/>
        <v>795.73573080263407</v>
      </c>
      <c r="E18" s="121">
        <f t="shared" si="6"/>
        <v>9998.8922654934904</v>
      </c>
      <c r="F18" s="11">
        <f t="shared" si="1"/>
        <v>0.2089130503761549</v>
      </c>
      <c r="G18" s="173" cm="1">
        <f t="array" ref="G18">InterpolateXY(F18,C18,CD_CL,CD_M,CD_table)+$G$4</f>
        <v>5.2157065648509679E-2</v>
      </c>
      <c r="H18" s="12">
        <f t="shared" si="2"/>
        <v>2496.3154736610195</v>
      </c>
      <c r="I18" s="306">
        <f t="shared" si="3"/>
        <v>-200</v>
      </c>
      <c r="J18" s="16">
        <f t="shared" si="4"/>
        <v>-214.57922607212021</v>
      </c>
      <c r="K18" s="323">
        <f t="shared" si="9"/>
        <v>-8.6760864849950536</v>
      </c>
      <c r="L18" s="324">
        <f t="shared" si="10"/>
        <v>1.1357143399998353</v>
      </c>
      <c r="M18" s="7">
        <f t="shared" si="11"/>
        <v>10.366835227582239</v>
      </c>
      <c r="N18" s="277">
        <f t="shared" si="5"/>
        <v>0.12</v>
      </c>
      <c r="O18" s="324">
        <f t="shared" si="12"/>
        <v>0.13628572079998022</v>
      </c>
      <c r="P18" s="16">
        <f t="shared" si="13"/>
        <v>1.2440202273098686</v>
      </c>
      <c r="Q18" s="172">
        <f t="shared" si="14"/>
        <v>909.37678332481767</v>
      </c>
      <c r="R18" s="16">
        <f t="shared" si="15"/>
        <v>8746.6808805928285</v>
      </c>
      <c r="S18" s="7">
        <f t="shared" si="7"/>
        <v>1.4394511356383433</v>
      </c>
    </row>
    <row r="19" spans="2:19">
      <c r="B19" s="120">
        <f t="shared" si="8"/>
        <v>30000</v>
      </c>
      <c r="C19" s="11">
        <v>0.79</v>
      </c>
      <c r="D19" s="7">
        <f t="shared" si="0"/>
        <v>785.78903416760113</v>
      </c>
      <c r="E19" s="121">
        <f t="shared" si="6"/>
        <v>9998.7559797726899</v>
      </c>
      <c r="F19" s="11">
        <f t="shared" si="1"/>
        <v>0.21423254260449215</v>
      </c>
      <c r="G19" s="173" cm="1">
        <f t="array" ref="G19">InterpolateXY(F19,C19,CD_CL,CD_M,CD_table)+$G$4</f>
        <v>5.2509533912780758E-2</v>
      </c>
      <c r="H19" s="12">
        <f t="shared" si="2"/>
        <v>2450.74819083291</v>
      </c>
      <c r="I19" s="306">
        <f t="shared" si="3"/>
        <v>-200</v>
      </c>
      <c r="J19" s="16">
        <f t="shared" si="4"/>
        <v>-208.31880134987165</v>
      </c>
      <c r="K19" s="323">
        <f t="shared" si="9"/>
        <v>-8.5295783259825981</v>
      </c>
      <c r="L19" s="324">
        <f t="shared" si="10"/>
        <v>1.1562118342194705</v>
      </c>
      <c r="M19" s="7">
        <f t="shared" si="11"/>
        <v>11.52304706180171</v>
      </c>
      <c r="N19" s="277">
        <f t="shared" si="5"/>
        <v>0.12</v>
      </c>
      <c r="O19" s="324">
        <f t="shared" si="12"/>
        <v>0.13874542010633645</v>
      </c>
      <c r="P19" s="16">
        <f t="shared" si="13"/>
        <v>1.3827656474162051</v>
      </c>
      <c r="Q19" s="172">
        <f t="shared" si="14"/>
        <v>914.2888246848762</v>
      </c>
      <c r="R19" s="16">
        <f t="shared" si="15"/>
        <v>9660.9697052777046</v>
      </c>
      <c r="S19" s="7">
        <f t="shared" si="7"/>
        <v>1.589916678506633</v>
      </c>
    </row>
    <row r="20" spans="2:19">
      <c r="B20" s="120">
        <f t="shared" si="8"/>
        <v>30000</v>
      </c>
      <c r="C20" s="11">
        <v>0.78</v>
      </c>
      <c r="D20" s="7">
        <f t="shared" si="0"/>
        <v>775.84233753256819</v>
      </c>
      <c r="E20" s="121">
        <f t="shared" si="6"/>
        <v>9998.6172343525832</v>
      </c>
      <c r="F20" s="11">
        <f t="shared" si="1"/>
        <v>0.21975784771087156</v>
      </c>
      <c r="G20" s="173" cm="1">
        <f t="array" ref="G20">InterpolateXY(F20,C20,CD_CL,CD_M,CD_table)+$G$4</f>
        <v>5.2874865481929476E-2</v>
      </c>
      <c r="H20" s="12">
        <f t="shared" si="2"/>
        <v>2405.7185978962452</v>
      </c>
      <c r="I20" s="306">
        <f t="shared" si="3"/>
        <v>-200</v>
      </c>
      <c r="J20" s="16">
        <f t="shared" si="4"/>
        <v>-202.19063902137771</v>
      </c>
      <c r="K20" s="323">
        <f t="shared" si="9"/>
        <v>-8.3847984379954372</v>
      </c>
      <c r="L20" s="324">
        <f t="shared" si="10"/>
        <v>1.1761233386045975</v>
      </c>
      <c r="M20" s="7">
        <f t="shared" si="11"/>
        <v>12.699170400406308</v>
      </c>
      <c r="N20" s="277">
        <f t="shared" si="5"/>
        <v>0.12</v>
      </c>
      <c r="O20" s="324">
        <f t="shared" si="12"/>
        <v>0.14113480063255168</v>
      </c>
      <c r="P20" s="16">
        <f t="shared" si="13"/>
        <v>1.5239004480487568</v>
      </c>
      <c r="Q20" s="172">
        <f t="shared" si="14"/>
        <v>918.33555127684019</v>
      </c>
      <c r="R20" s="16">
        <f t="shared" si="15"/>
        <v>10579.305256554544</v>
      </c>
      <c r="S20" s="7">
        <f t="shared" si="7"/>
        <v>1.7410481957334185</v>
      </c>
    </row>
    <row r="21" spans="2:19">
      <c r="B21" s="120">
        <f t="shared" si="8"/>
        <v>30000</v>
      </c>
      <c r="C21" s="11">
        <v>0.77</v>
      </c>
      <c r="D21" s="7">
        <f t="shared" si="0"/>
        <v>765.89564089753526</v>
      </c>
      <c r="E21" s="121">
        <f t="shared" si="6"/>
        <v>9998.47609955195</v>
      </c>
      <c r="F21" s="11">
        <f t="shared" si="1"/>
        <v>0.22549972559373949</v>
      </c>
      <c r="G21" s="173" cm="1">
        <f t="array" ref="G21">InterpolateXY(F21,C21,CD_CL,CD_M,CD_table)+$G$4</f>
        <v>5.3253732849608715E-2</v>
      </c>
      <c r="H21" s="12">
        <f t="shared" si="2"/>
        <v>2361.2275966491011</v>
      </c>
      <c r="I21" s="306">
        <f t="shared" si="3"/>
        <v>-200</v>
      </c>
      <c r="J21" s="16">
        <f t="shared" si="4"/>
        <v>-196.19320305300542</v>
      </c>
      <c r="K21" s="323">
        <f t="shared" si="9"/>
        <v>-8.2417496300542137</v>
      </c>
      <c r="L21" s="324">
        <f t="shared" si="10"/>
        <v>1.1964836710930962</v>
      </c>
      <c r="M21" s="7">
        <f t="shared" si="11"/>
        <v>13.895654071499404</v>
      </c>
      <c r="N21" s="277">
        <f t="shared" si="5"/>
        <v>0.12</v>
      </c>
      <c r="O21" s="324">
        <f t="shared" si="12"/>
        <v>0.14357804053117154</v>
      </c>
      <c r="P21" s="16">
        <f t="shared" si="13"/>
        <v>1.6674784885799283</v>
      </c>
      <c r="Q21" s="172">
        <f t="shared" si="14"/>
        <v>922.33215814784933</v>
      </c>
      <c r="R21" s="16">
        <f t="shared" si="15"/>
        <v>11501.637414702393</v>
      </c>
      <c r="S21" s="7">
        <f t="shared" si="7"/>
        <v>1.8928374390597054</v>
      </c>
    </row>
    <row r="22" spans="2:19">
      <c r="B22" s="120">
        <f t="shared" si="8"/>
        <v>30000</v>
      </c>
      <c r="C22" s="11">
        <v>0.76</v>
      </c>
      <c r="D22" s="7">
        <f t="shared" si="0"/>
        <v>755.94894426250232</v>
      </c>
      <c r="E22" s="121">
        <f t="shared" si="6"/>
        <v>9998.3325215114182</v>
      </c>
      <c r="F22" s="11">
        <f t="shared" si="1"/>
        <v>0.23146964575997606</v>
      </c>
      <c r="G22" s="173" cm="1">
        <f t="array" ref="G22">InterpolateXY(F22,C22,CD_CL,CD_M,CD_table)+$G$4</f>
        <v>5.3646852859998498E-2</v>
      </c>
      <c r="H22" s="12">
        <f t="shared" si="2"/>
        <v>2317.2760811284193</v>
      </c>
      <c r="I22" s="306">
        <f t="shared" si="3"/>
        <v>-200</v>
      </c>
      <c r="J22" s="16">
        <f t="shared" si="4"/>
        <v>-190.32495587160338</v>
      </c>
      <c r="K22" s="323">
        <f t="shared" si="9"/>
        <v>-8.1004347934992076</v>
      </c>
      <c r="L22" s="324">
        <f t="shared" si="10"/>
        <v>1.217303192429662</v>
      </c>
      <c r="M22" s="7">
        <f t="shared" si="11"/>
        <v>15.112957263929067</v>
      </c>
      <c r="N22" s="277">
        <f t="shared" si="5"/>
        <v>0.12</v>
      </c>
      <c r="O22" s="324">
        <f t="shared" si="12"/>
        <v>0.14607638309155943</v>
      </c>
      <c r="P22" s="16">
        <f t="shared" si="13"/>
        <v>1.8135548716714878</v>
      </c>
      <c r="Q22" s="172">
        <f t="shared" si="14"/>
        <v>926.27313594855423</v>
      </c>
      <c r="R22" s="16">
        <f t="shared" si="15"/>
        <v>12427.910550650948</v>
      </c>
      <c r="S22" s="7">
        <f t="shared" si="7"/>
        <v>2.0452752535466638</v>
      </c>
    </row>
    <row r="23" spans="2:19">
      <c r="B23" s="120">
        <f t="shared" si="8"/>
        <v>30000</v>
      </c>
      <c r="C23" s="11">
        <v>0.75</v>
      </c>
      <c r="D23" s="7">
        <f t="shared" si="0"/>
        <v>746.00224762746939</v>
      </c>
      <c r="E23" s="121">
        <f t="shared" si="6"/>
        <v>9998.1864451283273</v>
      </c>
      <c r="F23" s="11">
        <f t="shared" si="1"/>
        <v>0.23767984723514343</v>
      </c>
      <c r="G23" s="173" cm="1">
        <f t="array" ref="G23">InterpolateXY(F23,C23,CD_CL,CD_M,CD_table)+$G$4</f>
        <v>5.4054990452196465E-2</v>
      </c>
      <c r="H23" s="12">
        <f t="shared" si="2"/>
        <v>2273.8649452934369</v>
      </c>
      <c r="I23" s="306">
        <f t="shared" si="3"/>
        <v>-200</v>
      </c>
      <c r="J23" s="16">
        <f t="shared" si="4"/>
        <v>-184.58435633743807</v>
      </c>
      <c r="K23" s="323">
        <f t="shared" si="9"/>
        <v>-7.9608568200539729</v>
      </c>
      <c r="L23" s="324">
        <f t="shared" si="10"/>
        <v>1.2385923715673655</v>
      </c>
      <c r="M23" s="7">
        <f t="shared" si="11"/>
        <v>16.351549635496433</v>
      </c>
      <c r="N23" s="277">
        <f t="shared" si="5"/>
        <v>0.12</v>
      </c>
      <c r="O23" s="324">
        <f t="shared" si="12"/>
        <v>0.14863108458808386</v>
      </c>
      <c r="P23" s="16">
        <f t="shared" si="13"/>
        <v>1.9621859562595716</v>
      </c>
      <c r="Q23" s="172">
        <f t="shared" si="14"/>
        <v>930.15264437071551</v>
      </c>
      <c r="R23" s="16">
        <f t="shared" si="15"/>
        <v>13358.063195021663</v>
      </c>
      <c r="S23" s="7">
        <f t="shared" si="7"/>
        <v>2.1983515231093516</v>
      </c>
    </row>
    <row r="24" spans="2:19">
      <c r="B24" s="120">
        <f t="shared" si="8"/>
        <v>30000</v>
      </c>
      <c r="C24" s="11">
        <v>0.74</v>
      </c>
      <c r="D24" s="7">
        <f t="shared" si="0"/>
        <v>736.05555099243645</v>
      </c>
      <c r="E24" s="121">
        <f t="shared" si="6"/>
        <v>9998.0378140437388</v>
      </c>
      <c r="F24" s="11">
        <f t="shared" si="1"/>
        <v>0.24414340136471716</v>
      </c>
      <c r="G24" s="173" cm="1">
        <f t="array" ref="G24">InterpolateXY(F24,C24,CD_CL,CD_M,CD_table)+$G$4</f>
        <v>5.4478962585294825E-2</v>
      </c>
      <c r="H24" s="12">
        <f t="shared" si="2"/>
        <v>2230.9950830248722</v>
      </c>
      <c r="I24" s="306">
        <f t="shared" si="3"/>
        <v>-200</v>
      </c>
      <c r="J24" s="16">
        <f t="shared" si="4"/>
        <v>-178.96985974411601</v>
      </c>
      <c r="K24" s="323">
        <f t="shared" si="9"/>
        <v>-7.8230186018478358</v>
      </c>
      <c r="L24" s="324">
        <f t="shared" si="10"/>
        <v>1.2603617767067314</v>
      </c>
      <c r="M24" s="7">
        <f t="shared" si="11"/>
        <v>17.611911412203163</v>
      </c>
      <c r="N24" s="277">
        <f t="shared" si="5"/>
        <v>0.12</v>
      </c>
      <c r="O24" s="324">
        <f t="shared" si="12"/>
        <v>0.15124341320480778</v>
      </c>
      <c r="P24" s="16">
        <f t="shared" si="13"/>
        <v>2.1134293694643795</v>
      </c>
      <c r="Q24" s="172">
        <f t="shared" si="14"/>
        <v>933.96450012532591</v>
      </c>
      <c r="R24" s="16">
        <f t="shared" si="15"/>
        <v>14292.02769514699</v>
      </c>
      <c r="S24" s="7">
        <f t="shared" si="7"/>
        <v>2.3520551140719816</v>
      </c>
    </row>
    <row r="25" spans="2:19">
      <c r="B25" s="120">
        <f t="shared" si="8"/>
        <v>30000</v>
      </c>
      <c r="C25" s="11">
        <v>0.73</v>
      </c>
      <c r="D25" s="7">
        <f t="shared" si="0"/>
        <v>726.10885435740352</v>
      </c>
      <c r="E25" s="121">
        <f t="shared" si="6"/>
        <v>9997.8865706305332</v>
      </c>
      <c r="F25" s="11">
        <f t="shared" si="1"/>
        <v>0.25087428067748163</v>
      </c>
      <c r="G25" s="173" cm="1">
        <f t="array" ref="G25">InterpolateXY(F25,C25,CD_CL,CD_M,CD_table)+$G$4</f>
        <v>5.4919642542342606E-2</v>
      </c>
      <c r="H25" s="12">
        <f t="shared" si="2"/>
        <v>2188.6673881241809</v>
      </c>
      <c r="I25" s="306">
        <f t="shared" si="3"/>
        <v>-200</v>
      </c>
      <c r="J25" s="16">
        <f t="shared" si="4"/>
        <v>-173.47991781850706</v>
      </c>
      <c r="K25" s="323">
        <f t="shared" si="9"/>
        <v>-7.6869230314402879</v>
      </c>
      <c r="L25" s="324">
        <f t="shared" si="10"/>
        <v>1.2826220588328836</v>
      </c>
      <c r="M25" s="7">
        <f t="shared" si="11"/>
        <v>18.894533471036048</v>
      </c>
      <c r="N25" s="277">
        <f t="shared" si="5"/>
        <v>0.12</v>
      </c>
      <c r="O25" s="324">
        <f t="shared" si="12"/>
        <v>0.15391464705994604</v>
      </c>
      <c r="P25" s="16">
        <f t="shared" si="13"/>
        <v>2.2673440165243255</v>
      </c>
      <c r="Q25" s="172">
        <f t="shared" si="14"/>
        <v>937.70215997098524</v>
      </c>
      <c r="R25" s="16">
        <f t="shared" si="15"/>
        <v>15229.729855117976</v>
      </c>
      <c r="S25" s="7">
        <f t="shared" si="7"/>
        <v>2.5063738159301523</v>
      </c>
    </row>
    <row r="26" spans="2:19">
      <c r="B26" s="120">
        <f t="shared" si="8"/>
        <v>30000</v>
      </c>
      <c r="C26" s="11">
        <v>0.72</v>
      </c>
      <c r="D26" s="7">
        <f t="shared" si="0"/>
        <v>716.16215772237058</v>
      </c>
      <c r="E26" s="121">
        <f t="shared" si="6"/>
        <v>9997.7326559834728</v>
      </c>
      <c r="F26" s="11">
        <f t="shared" si="1"/>
        <v>0.25788743448924545</v>
      </c>
      <c r="G26" s="173" cm="1">
        <f t="array" ref="G26">InterpolateXY(F26,C26,CD_CL,CD_M,CD_table)+$G$4</f>
        <v>5.5377964655577844E-2</v>
      </c>
      <c r="H26" s="12">
        <f t="shared" si="2"/>
        <v>2146.8827543129405</v>
      </c>
      <c r="I26" s="306">
        <f t="shared" si="3"/>
        <v>-200</v>
      </c>
      <c r="J26" s="16">
        <f t="shared" si="4"/>
        <v>-168.11297872065785</v>
      </c>
      <c r="K26" s="323">
        <f t="shared" si="9"/>
        <v>-7.5525730018469668</v>
      </c>
      <c r="L26" s="324">
        <f t="shared" si="10"/>
        <v>1.3053839330784447</v>
      </c>
      <c r="M26" s="7">
        <f t="shared" si="11"/>
        <v>20.199917404114494</v>
      </c>
      <c r="N26" s="277">
        <f t="shared" si="5"/>
        <v>0.12</v>
      </c>
      <c r="O26" s="324">
        <f t="shared" si="12"/>
        <v>0.15664607196941335</v>
      </c>
      <c r="P26" s="16">
        <f t="shared" si="13"/>
        <v>2.4239900884937389</v>
      </c>
      <c r="Q26" s="172">
        <f t="shared" si="14"/>
        <v>941.35870315686236</v>
      </c>
      <c r="R26" s="16">
        <f t="shared" si="15"/>
        <v>16171.088558274838</v>
      </c>
      <c r="S26" s="7">
        <f t="shared" si="7"/>
        <v>2.6612942792236916</v>
      </c>
    </row>
    <row r="27" spans="2:19">
      <c r="B27" s="120">
        <f t="shared" si="8"/>
        <v>30000</v>
      </c>
      <c r="C27" s="11">
        <v>0.71</v>
      </c>
      <c r="D27" s="7">
        <f t="shared" si="0"/>
        <v>706.21546108733764</v>
      </c>
      <c r="E27" s="121">
        <f t="shared" si="6"/>
        <v>9997.5760099115032</v>
      </c>
      <c r="F27" s="11">
        <f t="shared" si="1"/>
        <v>0.26519887201157305</v>
      </c>
      <c r="G27" s="173" cm="1">
        <f t="array" ref="G27">InterpolateXY(F27,C27,CD_CL,CD_M,CD_table)+$G$4</f>
        <v>5.5854929500723322E-2</v>
      </c>
      <c r="H27" s="12">
        <f t="shared" si="2"/>
        <v>2105.6420752323611</v>
      </c>
      <c r="I27" s="306">
        <f t="shared" si="3"/>
        <v>-200</v>
      </c>
      <c r="J27" s="16">
        <f t="shared" si="4"/>
        <v>-162.86748704369202</v>
      </c>
      <c r="K27" s="323">
        <f t="shared" si="9"/>
        <v>-7.4199714065672433</v>
      </c>
      <c r="L27" s="324">
        <f t="shared" si="10"/>
        <v>1.3286581577200909</v>
      </c>
      <c r="M27" s="7">
        <f t="shared" si="11"/>
        <v>21.528575561834586</v>
      </c>
      <c r="N27" s="277">
        <f t="shared" si="5"/>
        <v>0.12</v>
      </c>
      <c r="O27" s="324">
        <f t="shared" si="12"/>
        <v>0.1594389789264109</v>
      </c>
      <c r="P27" s="16">
        <f t="shared" si="13"/>
        <v>2.5834290674201497</v>
      </c>
      <c r="Q27" s="172">
        <f t="shared" si="14"/>
        <v>944.92681329499828</v>
      </c>
      <c r="R27" s="16">
        <f t="shared" si="15"/>
        <v>17116.015371569836</v>
      </c>
      <c r="S27" s="7">
        <f t="shared" si="7"/>
        <v>2.8168019504262123</v>
      </c>
    </row>
    <row r="28" spans="2:19">
      <c r="B28" s="120">
        <f t="shared" si="8"/>
        <v>30000</v>
      </c>
      <c r="C28" s="11">
        <v>0.7</v>
      </c>
      <c r="D28" s="7">
        <f t="shared" si="0"/>
        <v>696.26876445230471</v>
      </c>
      <c r="E28" s="121">
        <f t="shared" si="6"/>
        <v>9997.4165709325771</v>
      </c>
      <c r="F28" s="11">
        <f t="shared" si="1"/>
        <v>0.27282575382923369</v>
      </c>
      <c r="G28" s="173" cm="1">
        <f t="array" ref="G28">InterpolateXY(F28,C28,CD_CL,CD_M,CD_table)+$G$4</f>
        <v>5.6351609614327107E-2</v>
      </c>
      <c r="H28" s="12">
        <f t="shared" si="2"/>
        <v>2064.9462444429664</v>
      </c>
      <c r="I28" s="306">
        <f t="shared" si="3"/>
        <v>-200</v>
      </c>
      <c r="J28" s="16">
        <f t="shared" si="4"/>
        <v>-157.74188381369862</v>
      </c>
      <c r="K28" s="323">
        <f t="shared" si="9"/>
        <v>-7.2891211396136049</v>
      </c>
      <c r="L28" s="324">
        <f t="shared" si="10"/>
        <v>1.3524555106039566</v>
      </c>
      <c r="M28" s="7">
        <f t="shared" si="11"/>
        <v>22.881031072438542</v>
      </c>
      <c r="N28" s="277">
        <f t="shared" si="5"/>
        <v>0.12</v>
      </c>
      <c r="O28" s="324">
        <f t="shared" si="12"/>
        <v>0.1622946612724748</v>
      </c>
      <c r="P28" s="16">
        <f t="shared" si="13"/>
        <v>2.7457237286926244</v>
      </c>
      <c r="Q28" s="172">
        <f t="shared" si="14"/>
        <v>948.39875968310594</v>
      </c>
      <c r="R28" s="16">
        <f t="shared" si="15"/>
        <v>18064.414131252943</v>
      </c>
      <c r="S28" s="7">
        <f t="shared" si="7"/>
        <v>2.9728810037609348</v>
      </c>
    </row>
    <row r="29" spans="2:19">
      <c r="B29" s="120">
        <f t="shared" si="8"/>
        <v>30000</v>
      </c>
      <c r="C29" s="11">
        <v>0.69</v>
      </c>
      <c r="D29" s="7">
        <f t="shared" si="0"/>
        <v>686.32206781727177</v>
      </c>
      <c r="E29" s="121">
        <f t="shared" si="6"/>
        <v>9997.2542762713038</v>
      </c>
      <c r="F29" s="11">
        <f t="shared" si="1"/>
        <v>0.28078649272352285</v>
      </c>
      <c r="G29" s="173" cm="1">
        <f t="array" ref="G29">InterpolateXY(F29,C29,CD_CL,CD_M,CD_table)+$G$4</f>
        <v>5.6869155795220179E-2</v>
      </c>
      <c r="H29" s="12">
        <f t="shared" si="2"/>
        <v>2024.7961554244487</v>
      </c>
      <c r="I29" s="306">
        <f t="shared" si="3"/>
        <v>-200</v>
      </c>
      <c r="J29" s="16">
        <f t="shared" si="4"/>
        <v>-152.73460648960554</v>
      </c>
      <c r="K29" s="323">
        <f t="shared" si="9"/>
        <v>-7.1600250955429097</v>
      </c>
      <c r="L29" s="324">
        <f t="shared" si="10"/>
        <v>1.3767867627820698</v>
      </c>
      <c r="M29" s="7">
        <f t="shared" si="11"/>
        <v>24.257817835220614</v>
      </c>
      <c r="N29" s="277">
        <f t="shared" si="5"/>
        <v>0.12</v>
      </c>
      <c r="O29" s="324">
        <f t="shared" si="12"/>
        <v>0.16521441153384836</v>
      </c>
      <c r="P29" s="16">
        <f t="shared" si="13"/>
        <v>2.9109381402264729</v>
      </c>
      <c r="Q29" s="172">
        <f t="shared" si="14"/>
        <v>951.76637810629882</v>
      </c>
      <c r="R29" s="16">
        <f t="shared" si="15"/>
        <v>19016.180509359241</v>
      </c>
      <c r="S29" s="7">
        <f t="shared" si="7"/>
        <v>3.1295142698570277</v>
      </c>
    </row>
    <row r="30" spans="2:19">
      <c r="B30" s="120">
        <f t="shared" si="8"/>
        <v>30000</v>
      </c>
      <c r="C30" s="11">
        <v>0.68</v>
      </c>
      <c r="D30" s="7">
        <f t="shared" si="0"/>
        <v>676.37537118223895</v>
      </c>
      <c r="E30" s="121">
        <f t="shared" si="6"/>
        <v>9997.0890618597696</v>
      </c>
      <c r="F30" s="11">
        <f t="shared" si="1"/>
        <v>0.28910086494886955</v>
      </c>
      <c r="G30" s="173" cm="1">
        <f t="array" ref="G30">InterpolateXY(F30,C30,CD_CL,CD_M,CD_table)+$G$4</f>
        <v>5.7408804059304347E-2</v>
      </c>
      <c r="H30" s="12">
        <f t="shared" si="2"/>
        <v>1985.1927015757149</v>
      </c>
      <c r="I30" s="306">
        <f t="shared" si="3"/>
        <v>-200</v>
      </c>
      <c r="J30" s="16">
        <f t="shared" si="4"/>
        <v>-147.84408896303634</v>
      </c>
      <c r="K30" s="323">
        <f t="shared" si="9"/>
        <v>-7.0326861694896063</v>
      </c>
      <c r="L30" s="324">
        <f t="shared" si="10"/>
        <v>1.4016626491288005</v>
      </c>
      <c r="M30" s="7">
        <f t="shared" si="11"/>
        <v>25.659480484349416</v>
      </c>
      <c r="N30" s="277">
        <f t="shared" si="5"/>
        <v>0.12</v>
      </c>
      <c r="O30" s="324">
        <f t="shared" si="12"/>
        <v>0.16819951789545604</v>
      </c>
      <c r="P30" s="16">
        <f t="shared" si="13"/>
        <v>3.0791376581219287</v>
      </c>
      <c r="Q30" s="172">
        <f t="shared" si="14"/>
        <v>955.0210511545431</v>
      </c>
      <c r="R30" s="16">
        <f t="shared" si="15"/>
        <v>19971.201560513786</v>
      </c>
      <c r="S30" s="7">
        <f t="shared" si="7"/>
        <v>3.2866831611667742</v>
      </c>
    </row>
    <row r="31" spans="2:19">
      <c r="B31" s="120">
        <f t="shared" si="8"/>
        <v>30000</v>
      </c>
      <c r="C31" s="11">
        <v>0.67</v>
      </c>
      <c r="D31" s="7">
        <f t="shared" si="0"/>
        <v>666.42867454720601</v>
      </c>
      <c r="E31" s="121">
        <f t="shared" si="6"/>
        <v>9996.9208623418745</v>
      </c>
      <c r="F31" s="11">
        <f t="shared" si="1"/>
        <v>0.29779013321998765</v>
      </c>
      <c r="G31" s="173" cm="1">
        <f t="array" ref="G31">InterpolateXY(F31,C31,CD_CL,CD_M,CD_table)+$G$4</f>
        <v>5.7971883326249231E-2</v>
      </c>
      <c r="H31" s="12">
        <f t="shared" si="2"/>
        <v>1946.1367762151606</v>
      </c>
      <c r="I31" s="306">
        <f t="shared" si="3"/>
        <v>-200</v>
      </c>
      <c r="J31" s="16">
        <f t="shared" si="4"/>
        <v>-143.06876155814982</v>
      </c>
      <c r="K31" s="323">
        <f t="shared" si="9"/>
        <v>-6.9071072572010923</v>
      </c>
      <c r="L31" s="324">
        <f t="shared" si="10"/>
        <v>1.4270938356931273</v>
      </c>
      <c r="M31" s="7">
        <f t="shared" si="11"/>
        <v>27.086574320042544</v>
      </c>
      <c r="N31" s="277">
        <f t="shared" si="5"/>
        <v>0.12</v>
      </c>
      <c r="O31" s="324">
        <f t="shared" si="12"/>
        <v>0.17125126028317528</v>
      </c>
      <c r="P31" s="16">
        <f t="shared" si="13"/>
        <v>3.250388918405104</v>
      </c>
      <c r="Q31" s="172">
        <f t="shared" si="14"/>
        <v>958.1536881021417</v>
      </c>
      <c r="R31" s="16">
        <f t="shared" si="15"/>
        <v>20929.355248615928</v>
      </c>
      <c r="S31" s="7">
        <f t="shared" si="7"/>
        <v>3.444367594071478</v>
      </c>
    </row>
    <row r="32" spans="2:19">
      <c r="B32" s="120">
        <f t="shared" si="8"/>
        <v>30000</v>
      </c>
      <c r="C32" s="11">
        <v>0.66</v>
      </c>
      <c r="D32" s="7">
        <f t="shared" si="0"/>
        <v>656.48197791217308</v>
      </c>
      <c r="E32" s="121">
        <f t="shared" si="6"/>
        <v>9996.7496110815919</v>
      </c>
      <c r="F32" s="11">
        <f t="shared" si="1"/>
        <v>0.30687718283953924</v>
      </c>
      <c r="G32" s="173" cm="1">
        <f t="array" ref="G32">InterpolateXY(F32,C32,CD_CL,CD_M,CD_table)+$G$4</f>
        <v>5.8688771105712564E-2</v>
      </c>
      <c r="H32" s="12">
        <f t="shared" si="2"/>
        <v>1911.8298216151904</v>
      </c>
      <c r="I32" s="306">
        <f t="shared" si="3"/>
        <v>-200</v>
      </c>
      <c r="J32" s="16">
        <f t="shared" si="4"/>
        <v>-138.68289916664762</v>
      </c>
      <c r="K32" s="323">
        <f t="shared" si="9"/>
        <v>-6.7968104958163273</v>
      </c>
      <c r="L32" s="324">
        <f t="shared" si="10"/>
        <v>1.4516573748179138</v>
      </c>
      <c r="M32" s="7">
        <f t="shared" si="11"/>
        <v>28.538231694860457</v>
      </c>
      <c r="N32" s="277">
        <f t="shared" si="5"/>
        <v>0.12</v>
      </c>
      <c r="O32" s="324">
        <f t="shared" si="12"/>
        <v>0.17419888497814964</v>
      </c>
      <c r="P32" s="16">
        <f t="shared" si="13"/>
        <v>3.4245878033832535</v>
      </c>
      <c r="Q32" s="172">
        <f t="shared" si="14"/>
        <v>960.20650243391776</v>
      </c>
      <c r="R32" s="16">
        <f t="shared" si="15"/>
        <v>21889.561751049845</v>
      </c>
      <c r="S32" s="7">
        <f t="shared" si="7"/>
        <v>3.6023898609456002</v>
      </c>
    </row>
    <row r="33" spans="2:19">
      <c r="B33" s="120">
        <f t="shared" si="8"/>
        <v>30000</v>
      </c>
      <c r="C33" s="11">
        <v>0.65</v>
      </c>
      <c r="D33" s="7">
        <f t="shared" si="0"/>
        <v>646.53528127714014</v>
      </c>
      <c r="E33" s="121">
        <f t="shared" si="6"/>
        <v>9996.5754121966129</v>
      </c>
      <c r="F33" s="11">
        <f t="shared" si="1"/>
        <v>0.31638667804014892</v>
      </c>
      <c r="G33" s="173" cm="1">
        <f t="array" ref="G33">InterpolateXY(F33,C33,CD_CL,CD_M,CD_table)+$G$4</f>
        <v>5.9481417590762101E-2</v>
      </c>
      <c r="H33" s="12">
        <f t="shared" si="2"/>
        <v>1879.3789936217115</v>
      </c>
      <c r="I33" s="306">
        <f t="shared" si="3"/>
        <v>-200</v>
      </c>
      <c r="J33" s="16">
        <f t="shared" si="4"/>
        <v>-134.48524390490022</v>
      </c>
      <c r="K33" s="323">
        <f t="shared" si="9"/>
        <v>-6.692485874628554</v>
      </c>
      <c r="L33" s="324">
        <f t="shared" si="10"/>
        <v>1.4747539622342645</v>
      </c>
      <c r="M33" s="7">
        <f t="shared" si="11"/>
        <v>30.01298565709472</v>
      </c>
      <c r="N33" s="277">
        <f t="shared" si="5"/>
        <v>0.12</v>
      </c>
      <c r="O33" s="324">
        <f t="shared" si="12"/>
        <v>0.17697047546811173</v>
      </c>
      <c r="P33" s="16">
        <f t="shared" si="13"/>
        <v>3.6015582788513654</v>
      </c>
      <c r="Q33" s="172">
        <f t="shared" si="14"/>
        <v>960.8149329245357</v>
      </c>
      <c r="R33" s="16">
        <f t="shared" si="15"/>
        <v>22850.37668397438</v>
      </c>
      <c r="S33" s="7">
        <f t="shared" si="7"/>
        <v>3.760512257911655</v>
      </c>
    </row>
    <row r="34" spans="2:19">
      <c r="B34" s="120">
        <f t="shared" si="8"/>
        <v>30000</v>
      </c>
      <c r="C34" s="11">
        <v>0.64</v>
      </c>
      <c r="D34" s="7">
        <f t="shared" si="0"/>
        <v>636.58858464210721</v>
      </c>
      <c r="E34" s="121">
        <f t="shared" si="6"/>
        <v>9996.398441721145</v>
      </c>
      <c r="F34" s="11">
        <f t="shared" si="1"/>
        <v>0.32634522714244629</v>
      </c>
      <c r="G34" s="173" cm="1">
        <f t="array" ref="G34">InterpolateXY(F34,C34,CD_CL,CD_M,CD_table)+$G$4</f>
        <v>6.0310549705323763E-2</v>
      </c>
      <c r="H34" s="12">
        <f t="shared" si="2"/>
        <v>1847.394216157755</v>
      </c>
      <c r="I34" s="306">
        <f t="shared" si="3"/>
        <v>-200</v>
      </c>
      <c r="J34" s="16">
        <f t="shared" si="4"/>
        <v>-130.38173636903332</v>
      </c>
      <c r="K34" s="323">
        <f t="shared" si="9"/>
        <v>-6.5896594553225771</v>
      </c>
      <c r="L34" s="324">
        <f t="shared" si="10"/>
        <v>1.4977545250319186</v>
      </c>
      <c r="M34" s="7">
        <f t="shared" si="11"/>
        <v>31.510740182126639</v>
      </c>
      <c r="N34" s="277">
        <f t="shared" si="5"/>
        <v>0.12</v>
      </c>
      <c r="O34" s="324">
        <f t="shared" si="12"/>
        <v>0.17973054300383023</v>
      </c>
      <c r="P34" s="16">
        <f t="shared" si="13"/>
        <v>3.7812888218551954</v>
      </c>
      <c r="Q34" s="172">
        <f t="shared" si="14"/>
        <v>960.90228817850073</v>
      </c>
      <c r="R34" s="16">
        <f t="shared" si="15"/>
        <v>23811.278972152882</v>
      </c>
      <c r="S34" s="7">
        <f t="shared" si="7"/>
        <v>3.9186490310303608</v>
      </c>
    </row>
    <row r="35" spans="2:19">
      <c r="B35" s="120">
        <f t="shared" si="8"/>
        <v>30000</v>
      </c>
      <c r="C35" s="11">
        <v>0.63</v>
      </c>
      <c r="D35" s="7">
        <f t="shared" si="0"/>
        <v>626.64188800707427</v>
      </c>
      <c r="E35" s="121">
        <f t="shared" si="6"/>
        <v>9996.2187111781404</v>
      </c>
      <c r="F35" s="11">
        <f t="shared" si="1"/>
        <v>0.3367815613397242</v>
      </c>
      <c r="G35" s="173" cm="1">
        <f t="array" ref="G35">InterpolateXY(F35,C35,CD_CL,CD_M,CD_table)+$G$4</f>
        <v>6.1178501858852596E-2</v>
      </c>
      <c r="H35" s="12">
        <f t="shared" si="2"/>
        <v>1815.8763875627142</v>
      </c>
      <c r="I35" s="306">
        <f t="shared" si="3"/>
        <v>-200</v>
      </c>
      <c r="J35" s="16">
        <f t="shared" si="4"/>
        <v>-126.37104309038241</v>
      </c>
      <c r="K35" s="323">
        <f t="shared" si="9"/>
        <v>-6.4883341158707593</v>
      </c>
      <c r="L35" s="324">
        <f t="shared" si="10"/>
        <v>1.5211349632320279</v>
      </c>
      <c r="M35" s="7">
        <f t="shared" si="11"/>
        <v>33.031875145358669</v>
      </c>
      <c r="N35" s="277">
        <f t="shared" si="5"/>
        <v>0.12</v>
      </c>
      <c r="O35" s="324">
        <f t="shared" si="12"/>
        <v>0.18253619558784334</v>
      </c>
      <c r="P35" s="16">
        <f t="shared" si="13"/>
        <v>3.9638250174430389</v>
      </c>
      <c r="Q35" s="172">
        <f t="shared" si="14"/>
        <v>960.77201928339503</v>
      </c>
      <c r="R35" s="16">
        <f t="shared" si="15"/>
        <v>24772.050991436277</v>
      </c>
      <c r="S35" s="7">
        <f t="shared" si="7"/>
        <v>4.076764365650102</v>
      </c>
    </row>
    <row r="36" spans="2:19">
      <c r="B36" s="120">
        <f t="shared" si="8"/>
        <v>30000</v>
      </c>
      <c r="C36" s="11">
        <v>0.62</v>
      </c>
      <c r="D36" s="7">
        <f t="shared" si="0"/>
        <v>616.69519137204134</v>
      </c>
      <c r="E36" s="121">
        <f t="shared" si="6"/>
        <v>9996.0361749825533</v>
      </c>
      <c r="F36" s="11">
        <f t="shared" si="1"/>
        <v>0.347726745153421</v>
      </c>
      <c r="G36" s="173" cm="1">
        <f t="array" ref="G36">InterpolateXY(F36,C36,CD_CL,CD_M,CD_table)+$G$4</f>
        <v>6.2087798043715461E-2</v>
      </c>
      <c r="H36" s="12">
        <f t="shared" si="2"/>
        <v>1784.8264015359559</v>
      </c>
      <c r="I36" s="306">
        <f t="shared" si="3"/>
        <v>-200</v>
      </c>
      <c r="J36" s="16">
        <f t="shared" si="4"/>
        <v>-122.45182751528336</v>
      </c>
      <c r="K36" s="323">
        <f t="shared" si="9"/>
        <v>-6.3885127589716131</v>
      </c>
      <c r="L36" s="324">
        <f t="shared" si="10"/>
        <v>1.5448963137809613</v>
      </c>
      <c r="M36" s="7">
        <f t="shared" si="11"/>
        <v>34.576771459139628</v>
      </c>
      <c r="N36" s="277">
        <f t="shared" si="5"/>
        <v>0.12</v>
      </c>
      <c r="O36" s="324">
        <f t="shared" si="12"/>
        <v>0.18538755765371534</v>
      </c>
      <c r="P36" s="16">
        <f t="shared" si="13"/>
        <v>4.1492125750967546</v>
      </c>
      <c r="Q36" s="172">
        <f t="shared" si="14"/>
        <v>960.41343535999101</v>
      </c>
      <c r="R36" s="16">
        <f t="shared" si="15"/>
        <v>25732.464426796269</v>
      </c>
      <c r="S36" s="7">
        <f t="shared" si="7"/>
        <v>4.234820687709214</v>
      </c>
    </row>
    <row r="37" spans="2:19">
      <c r="B37" s="120">
        <f t="shared" si="8"/>
        <v>30000</v>
      </c>
      <c r="C37" s="11">
        <v>0.61</v>
      </c>
      <c r="D37" s="7">
        <f t="shared" si="0"/>
        <v>606.7484947370084</v>
      </c>
      <c r="E37" s="121">
        <f t="shared" si="6"/>
        <v>9995.850787424899</v>
      </c>
      <c r="F37" s="11">
        <f t="shared" si="1"/>
        <v>0.35921440970179558</v>
      </c>
      <c r="G37" s="173" cm="1">
        <f t="array" ref="G37">InterpolateXY(F37,C37,CD_CL,CD_M,CD_table)+$G$4</f>
        <v>6.3598642575229528E-2</v>
      </c>
      <c r="H37" s="12">
        <f t="shared" si="2"/>
        <v>1769.7579058493575</v>
      </c>
      <c r="I37" s="306">
        <f t="shared" si="3"/>
        <v>-200</v>
      </c>
      <c r="J37" s="16">
        <f t="shared" si="4"/>
        <v>-119.56437423755402</v>
      </c>
      <c r="K37" s="323">
        <f t="shared" si="9"/>
        <v>-6.3401297408845885</v>
      </c>
      <c r="L37" s="324">
        <f t="shared" si="10"/>
        <v>1.5628841229762414</v>
      </c>
      <c r="M37" s="7">
        <f t="shared" si="11"/>
        <v>36.139655582115871</v>
      </c>
      <c r="N37" s="277">
        <f t="shared" si="5"/>
        <v>0.12</v>
      </c>
      <c r="O37" s="324">
        <f t="shared" si="12"/>
        <v>0.18754609475714895</v>
      </c>
      <c r="P37" s="16">
        <f t="shared" si="13"/>
        <v>4.3367586698539036</v>
      </c>
      <c r="Q37" s="172">
        <f t="shared" si="14"/>
        <v>956.05035618768113</v>
      </c>
      <c r="R37" s="16">
        <f t="shared" si="15"/>
        <v>26688.514782983948</v>
      </c>
      <c r="S37" s="7">
        <f t="shared" si="7"/>
        <v>4.392158972908951</v>
      </c>
    </row>
    <row r="38" spans="2:19">
      <c r="B38" s="120">
        <f t="shared" si="8"/>
        <v>30000</v>
      </c>
      <c r="C38" s="11">
        <v>0.6</v>
      </c>
      <c r="D38" s="7">
        <f t="shared" si="0"/>
        <v>596.80179810197546</v>
      </c>
      <c r="E38" s="121">
        <f t="shared" si="6"/>
        <v>9995.6632413301413</v>
      </c>
      <c r="F38" s="11">
        <f t="shared" si="1"/>
        <v>0.37128103888700931</v>
      </c>
      <c r="G38" s="173" cm="1">
        <f t="array" ref="G38">InterpolateXY(F38,C38,CD_CL,CD_M,CD_table)+$G$4</f>
        <v>6.5329087262233576E-2</v>
      </c>
      <c r="H38" s="12">
        <f t="shared" si="2"/>
        <v>1758.7958655100749</v>
      </c>
      <c r="I38" s="306">
        <f t="shared" si="3"/>
        <v>-200</v>
      </c>
      <c r="J38" s="16">
        <f t="shared" si="4"/>
        <v>-116.95200872889404</v>
      </c>
      <c r="K38" s="323">
        <f t="shared" si="9"/>
        <v>-6.304964128476847</v>
      </c>
      <c r="L38" s="324">
        <f t="shared" si="10"/>
        <v>1.5732104067860484</v>
      </c>
      <c r="M38" s="7">
        <f t="shared" si="11"/>
        <v>37.712865988901918</v>
      </c>
      <c r="N38" s="277">
        <f t="shared" si="5"/>
        <v>0.12</v>
      </c>
      <c r="O38" s="324">
        <f t="shared" si="12"/>
        <v>0.18878524881432579</v>
      </c>
      <c r="P38" s="16">
        <f t="shared" si="13"/>
        <v>4.5255439186682294</v>
      </c>
      <c r="Q38" s="172">
        <f t="shared" si="14"/>
        <v>946.71892289234268</v>
      </c>
      <c r="R38" s="16">
        <f t="shared" si="15"/>
        <v>27635.23370587629</v>
      </c>
      <c r="S38" s="7">
        <f t="shared" si="7"/>
        <v>4.547961573608764</v>
      </c>
    </row>
    <row r="39" spans="2:19">
      <c r="B39" s="120">
        <f t="shared" si="8"/>
        <v>30000</v>
      </c>
      <c r="C39" s="11">
        <v>0.59</v>
      </c>
      <c r="D39" s="7">
        <f t="shared" si="0"/>
        <v>586.85510146694253</v>
      </c>
      <c r="E39" s="121">
        <f t="shared" si="6"/>
        <v>9995.4744560813269</v>
      </c>
      <c r="F39" s="11">
        <f t="shared" si="1"/>
        <v>0.38396624412164343</v>
      </c>
      <c r="G39" s="173" cm="1">
        <f t="array" ref="G39">InterpolateXY(F39,C39,CD_CL,CD_M,CD_table)+$G$4</f>
        <v>6.7147215104242958E-2</v>
      </c>
      <c r="H39" s="12">
        <f t="shared" si="2"/>
        <v>1747.987703728528</v>
      </c>
      <c r="I39" s="306">
        <f t="shared" si="3"/>
        <v>-200</v>
      </c>
      <c r="J39" s="16">
        <f t="shared" si="4"/>
        <v>-114.3704109845869</v>
      </c>
      <c r="K39" s="323">
        <f t="shared" si="9"/>
        <v>-6.2702932867413761</v>
      </c>
      <c r="L39" s="324">
        <f t="shared" si="10"/>
        <v>1.5819472010164537</v>
      </c>
      <c r="M39" s="7">
        <f t="shared" si="11"/>
        <v>39.294813189918372</v>
      </c>
      <c r="N39" s="277">
        <f t="shared" si="5"/>
        <v>0.12</v>
      </c>
      <c r="O39" s="324">
        <f t="shared" si="12"/>
        <v>0.18983366412197444</v>
      </c>
      <c r="P39" s="16">
        <f t="shared" si="13"/>
        <v>4.7153775827902038</v>
      </c>
      <c r="Q39" s="172">
        <f t="shared" si="14"/>
        <v>936.24135961843183</v>
      </c>
      <c r="R39" s="16">
        <f t="shared" si="15"/>
        <v>28571.47506549472</v>
      </c>
      <c r="S39" s="7">
        <f t="shared" si="7"/>
        <v>4.7020398699056551</v>
      </c>
    </row>
    <row r="40" spans="2:19">
      <c r="B40" s="120">
        <f t="shared" si="8"/>
        <v>30000</v>
      </c>
      <c r="C40" s="11">
        <v>0.57999999999999996</v>
      </c>
      <c r="D40" s="7">
        <f t="shared" si="0"/>
        <v>576.90840483190959</v>
      </c>
      <c r="E40" s="121">
        <f t="shared" si="6"/>
        <v>9995.2846224172044</v>
      </c>
      <c r="F40" s="11">
        <f t="shared" si="1"/>
        <v>0.39731305332592987</v>
      </c>
      <c r="G40" s="173" cm="1">
        <f t="array" ref="G40">InterpolateXY(F40,C40,CD_CL,CD_M,CD_table)+$G$4</f>
        <v>6.9059125308950559E-2</v>
      </c>
      <c r="H40" s="12">
        <f t="shared" si="2"/>
        <v>1737.3343449450858</v>
      </c>
      <c r="I40" s="306">
        <f t="shared" si="3"/>
        <v>-200</v>
      </c>
      <c r="J40" s="16">
        <f t="shared" si="4"/>
        <v>-111.81917361929531</v>
      </c>
      <c r="K40" s="323">
        <f t="shared" si="9"/>
        <v>-6.2361200875127469</v>
      </c>
      <c r="L40" s="324">
        <f t="shared" si="10"/>
        <v>1.5906553441627549</v>
      </c>
      <c r="M40" s="7">
        <f t="shared" si="11"/>
        <v>40.885468534081127</v>
      </c>
      <c r="N40" s="277">
        <f t="shared" si="5"/>
        <v>0.12</v>
      </c>
      <c r="O40" s="324">
        <f t="shared" si="12"/>
        <v>0.19087864129953058</v>
      </c>
      <c r="P40" s="16">
        <f t="shared" si="13"/>
        <v>4.9062562240897343</v>
      </c>
      <c r="Q40" s="172">
        <f t="shared" si="14"/>
        <v>925.57332031792737</v>
      </c>
      <c r="R40" s="16">
        <f t="shared" si="15"/>
        <v>29497.048385812646</v>
      </c>
      <c r="S40" s="7">
        <f t="shared" si="7"/>
        <v>4.8543625149451399</v>
      </c>
    </row>
    <row r="41" spans="2:19">
      <c r="B41" s="120">
        <f t="shared" si="8"/>
        <v>30000</v>
      </c>
      <c r="C41" s="11">
        <v>0.56999999999999995</v>
      </c>
      <c r="D41" s="7">
        <f t="shared" si="0"/>
        <v>566.96170819687666</v>
      </c>
      <c r="E41" s="121">
        <f t="shared" si="6"/>
        <v>9995.0937437759058</v>
      </c>
      <c r="F41" s="11">
        <f t="shared" si="1"/>
        <v>0.41136829401537106</v>
      </c>
      <c r="G41" s="173" cm="1">
        <f t="array" ref="G41">InterpolateXY(F41,C41,CD_CL,CD_M,CD_table)+$G$4</f>
        <v>7.1745027097089575E-2</v>
      </c>
      <c r="H41" s="12">
        <f t="shared" si="2"/>
        <v>1743.2025800665083</v>
      </c>
      <c r="I41" s="306">
        <f t="shared" si="3"/>
        <v>-200</v>
      </c>
      <c r="J41" s="16">
        <f t="shared" si="4"/>
        <v>-110.22622522706642</v>
      </c>
      <c r="K41" s="323">
        <f t="shared" si="9"/>
        <v>-6.2551289076195351</v>
      </c>
      <c r="L41" s="324">
        <f t="shared" si="10"/>
        <v>1.5925864001124415</v>
      </c>
      <c r="M41" s="7">
        <f t="shared" si="11"/>
        <v>42.478054934193565</v>
      </c>
      <c r="N41" s="277">
        <f t="shared" si="5"/>
        <v>0.12</v>
      </c>
      <c r="O41" s="324">
        <f t="shared" si="12"/>
        <v>0.19111036801349296</v>
      </c>
      <c r="P41" s="16">
        <f t="shared" si="13"/>
        <v>5.097366592103227</v>
      </c>
      <c r="Q41" s="172">
        <f t="shared" si="14"/>
        <v>910.85599275236325</v>
      </c>
      <c r="R41" s="16">
        <f t="shared" si="15"/>
        <v>30407.90437856501</v>
      </c>
      <c r="S41" s="7">
        <f t="shared" si="7"/>
        <v>5.0042631127912927</v>
      </c>
    </row>
    <row r="42" spans="2:19">
      <c r="B42" s="120">
        <f t="shared" si="8"/>
        <v>30000</v>
      </c>
      <c r="C42" s="11">
        <v>0.56000000000000005</v>
      </c>
      <c r="D42" s="7">
        <f t="shared" si="0"/>
        <v>557.01501156184383</v>
      </c>
      <c r="E42" s="121">
        <f t="shared" si="6"/>
        <v>9994.9026334078917</v>
      </c>
      <c r="F42" s="11">
        <f t="shared" si="1"/>
        <v>0.42618304596210133</v>
      </c>
      <c r="G42" s="173" cm="1">
        <f t="array" ref="G42">InterpolateXY(F42,C42,CD_CL,CD_M,CD_table)+$G$4</f>
        <v>7.4742792238382372E-2</v>
      </c>
      <c r="H42" s="12">
        <f t="shared" si="2"/>
        <v>1752.8781073053265</v>
      </c>
      <c r="I42" s="306">
        <f t="shared" si="3"/>
        <v>-200</v>
      </c>
      <c r="J42" s="16">
        <f t="shared" si="4"/>
        <v>-108.8337186881284</v>
      </c>
      <c r="K42" s="323">
        <f t="shared" si="9"/>
        <v>-6.2863944281384381</v>
      </c>
      <c r="L42" s="324">
        <f t="shared" si="10"/>
        <v>1.5862023087216419</v>
      </c>
      <c r="M42" s="7">
        <f t="shared" si="11"/>
        <v>44.064257242915204</v>
      </c>
      <c r="N42" s="277">
        <f t="shared" si="5"/>
        <v>0.12</v>
      </c>
      <c r="O42" s="324">
        <f t="shared" si="12"/>
        <v>0.19034427704659701</v>
      </c>
      <c r="P42" s="16">
        <f t="shared" si="13"/>
        <v>5.2877108691498238</v>
      </c>
      <c r="Q42" s="172">
        <f t="shared" si="14"/>
        <v>891.42723391533013</v>
      </c>
      <c r="R42" s="16">
        <f t="shared" si="15"/>
        <v>31299.331612480339</v>
      </c>
      <c r="S42" s="7">
        <f t="shared" si="7"/>
        <v>5.1509662978869626</v>
      </c>
    </row>
    <row r="43" spans="2:19">
      <c r="B43" s="120">
        <f t="shared" si="8"/>
        <v>30000</v>
      </c>
      <c r="C43" s="11">
        <v>0.55000000000000004</v>
      </c>
      <c r="D43" s="7">
        <f t="shared" si="0"/>
        <v>547.0683149268109</v>
      </c>
      <c r="E43" s="121">
        <f t="shared" si="6"/>
        <v>9994.7122891308445</v>
      </c>
      <c r="F43" s="11">
        <f t="shared" si="1"/>
        <v>0.44181308411881098</v>
      </c>
      <c r="G43" s="173" cm="1">
        <f t="array" ref="G43">InterpolateXY(F43,C43,CD_CL,CD_M,CD_table)+$G$4</f>
        <v>7.7904429907881004E-2</v>
      </c>
      <c r="H43" s="12">
        <f t="shared" si="2"/>
        <v>1762.356958103675</v>
      </c>
      <c r="I43" s="306">
        <f t="shared" si="3"/>
        <v>-200</v>
      </c>
      <c r="J43" s="16">
        <f t="shared" si="4"/>
        <v>-107.41112733401523</v>
      </c>
      <c r="K43" s="323">
        <f t="shared" si="9"/>
        <v>-6.3170275385203833</v>
      </c>
      <c r="L43" s="324">
        <f t="shared" si="10"/>
        <v>1.578412063223146</v>
      </c>
      <c r="M43" s="7">
        <f t="shared" si="11"/>
        <v>45.642669306138352</v>
      </c>
      <c r="N43" s="277">
        <f t="shared" si="5"/>
        <v>0.12</v>
      </c>
      <c r="O43" s="324">
        <f t="shared" si="12"/>
        <v>0.18940944758677752</v>
      </c>
      <c r="P43" s="16">
        <f t="shared" si="13"/>
        <v>5.4771203167366016</v>
      </c>
      <c r="Q43" s="172">
        <f t="shared" si="14"/>
        <v>871.34922066661579</v>
      </c>
      <c r="R43" s="16">
        <f t="shared" si="15"/>
        <v>32170.680833146955</v>
      </c>
      <c r="S43" s="7">
        <f t="shared" si="7"/>
        <v>5.2943652217014936</v>
      </c>
    </row>
    <row r="44" spans="2:19">
      <c r="B44" s="120">
        <f t="shared" si="8"/>
        <v>30000</v>
      </c>
      <c r="C44" s="11">
        <v>0.54</v>
      </c>
      <c r="D44" s="7">
        <f t="shared" si="0"/>
        <v>537.12161829177796</v>
      </c>
      <c r="E44" s="121">
        <f t="shared" si="6"/>
        <v>9994.522879683258</v>
      </c>
      <c r="F44" s="11">
        <f t="shared" si="1"/>
        <v>0.4583193593231385</v>
      </c>
      <c r="G44" s="173" cm="1">
        <f t="array" ref="G44">InterpolateXY(F44,C44,CD_CL,CD_M,CD_table)+$G$4</f>
        <v>8.1242191223950849E-2</v>
      </c>
      <c r="H44" s="12">
        <f t="shared" si="2"/>
        <v>1771.6400637811464</v>
      </c>
      <c r="I44" s="306">
        <f t="shared" si="3"/>
        <v>-200</v>
      </c>
      <c r="J44" s="16">
        <f t="shared" si="4"/>
        <v>-105.95908524055483</v>
      </c>
      <c r="K44" s="323">
        <f t="shared" si="9"/>
        <v>-6.347031086500948</v>
      </c>
      <c r="L44" s="324">
        <f t="shared" si="10"/>
        <v>1.57085448347191</v>
      </c>
      <c r="M44" s="7">
        <f t="shared" si="11"/>
        <v>47.213523789610264</v>
      </c>
      <c r="N44" s="277">
        <f t="shared" si="5"/>
        <v>0.12</v>
      </c>
      <c r="O44" s="324">
        <f t="shared" si="12"/>
        <v>0.1885025380166292</v>
      </c>
      <c r="P44" s="16">
        <f t="shared" si="13"/>
        <v>5.6656228547532308</v>
      </c>
      <c r="Q44" s="172">
        <f t="shared" si="14"/>
        <v>851.55230876576559</v>
      </c>
      <c r="R44" s="16">
        <f t="shared" si="15"/>
        <v>33022.233141912722</v>
      </c>
      <c r="S44" s="7">
        <f t="shared" si="7"/>
        <v>5.4345061454006851</v>
      </c>
    </row>
    <row r="45" spans="2:19">
      <c r="B45" s="120">
        <f t="shared" si="8"/>
        <v>30000</v>
      </c>
      <c r="C45" s="11">
        <v>0.53</v>
      </c>
      <c r="D45" s="7">
        <f t="shared" si="0"/>
        <v>527.17492165674503</v>
      </c>
      <c r="E45" s="121">
        <f t="shared" si="6"/>
        <v>9994.3343771452419</v>
      </c>
      <c r="F45" s="11">
        <f t="shared" si="1"/>
        <v>0.47576861708235335</v>
      </c>
      <c r="G45" s="173" cm="1">
        <f t="array" ref="G45">InterpolateXY(F45,C45,CD_CL,CD_M,CD_table)+$G$4</f>
        <v>8.4769492033553023E-2</v>
      </c>
      <c r="H45" s="12">
        <f t="shared" si="2"/>
        <v>1780.7283161289929</v>
      </c>
      <c r="I45" s="306">
        <f t="shared" si="3"/>
        <v>-200</v>
      </c>
      <c r="J45" s="16">
        <f t="shared" si="4"/>
        <v>-104.47822290861339</v>
      </c>
      <c r="K45" s="323">
        <f t="shared" si="9"/>
        <v>-6.3764079165557517</v>
      </c>
      <c r="L45" s="324">
        <f t="shared" si="10"/>
        <v>1.5635232947072446</v>
      </c>
      <c r="M45" s="7">
        <f t="shared" si="11"/>
        <v>48.777047084317509</v>
      </c>
      <c r="N45" s="277">
        <f t="shared" si="5"/>
        <v>0.12</v>
      </c>
      <c r="O45" s="324">
        <f t="shared" si="12"/>
        <v>0.18762279536486934</v>
      </c>
      <c r="P45" s="16">
        <f t="shared" si="13"/>
        <v>5.8532456501181001</v>
      </c>
      <c r="Q45" s="172">
        <f t="shared" si="14"/>
        <v>832.02621634291756</v>
      </c>
      <c r="R45" s="16">
        <f t="shared" si="15"/>
        <v>33854.259358255636</v>
      </c>
      <c r="S45" s="7">
        <f t="shared" si="7"/>
        <v>5.5714336380514187</v>
      </c>
    </row>
    <row r="46" spans="2:19">
      <c r="B46" s="120">
        <f t="shared" si="8"/>
        <v>30000</v>
      </c>
      <c r="C46" s="11">
        <v>0.52</v>
      </c>
      <c r="D46" s="7">
        <f t="shared" si="0"/>
        <v>517.22822502171209</v>
      </c>
      <c r="E46" s="121">
        <f t="shared" si="6"/>
        <v>9994.1467543498766</v>
      </c>
      <c r="F46" s="11">
        <f t="shared" si="1"/>
        <v>0.49423408159054788</v>
      </c>
      <c r="G46" s="173" cm="1">
        <f t="array" ref="G46">InterpolateXY(F46,C46,CD_CL,CD_M,CD_table)+$G$4</f>
        <v>8.8501050399700132E-2</v>
      </c>
      <c r="H46" s="12">
        <f t="shared" si="2"/>
        <v>1789.6226070898176</v>
      </c>
      <c r="I46" s="306">
        <f t="shared" si="3"/>
        <v>-200</v>
      </c>
      <c r="J46" s="16">
        <f t="shared" si="4"/>
        <v>-102.96916733589434</v>
      </c>
      <c r="K46" s="323">
        <f t="shared" si="9"/>
        <v>-6.4051608740532187</v>
      </c>
      <c r="L46" s="324">
        <f t="shared" si="10"/>
        <v>1.5564124870713982</v>
      </c>
      <c r="M46" s="7">
        <f t="shared" si="11"/>
        <v>50.333459571388907</v>
      </c>
      <c r="N46" s="277">
        <f t="shared" si="5"/>
        <v>0.12</v>
      </c>
      <c r="O46" s="324">
        <f t="shared" si="12"/>
        <v>0.18676949844856777</v>
      </c>
      <c r="P46" s="16">
        <f t="shared" si="13"/>
        <v>6.0400151485666678</v>
      </c>
      <c r="Q46" s="172">
        <f t="shared" si="14"/>
        <v>812.76104951350601</v>
      </c>
      <c r="R46" s="16">
        <f t="shared" si="15"/>
        <v>34667.020407769145</v>
      </c>
      <c r="S46" s="7">
        <f t="shared" si="7"/>
        <v>5.7051906404728374</v>
      </c>
    </row>
    <row r="47" spans="2:19">
      <c r="B47" s="120">
        <f t="shared" si="8"/>
        <v>30000</v>
      </c>
      <c r="C47" s="11">
        <v>0.51</v>
      </c>
      <c r="D47" s="7">
        <f t="shared" si="0"/>
        <v>507.28152838667921</v>
      </c>
      <c r="E47" s="121">
        <f t="shared" si="6"/>
        <v>9993.9599848514281</v>
      </c>
      <c r="F47" s="11">
        <f t="shared" si="1"/>
        <v>0.51379622528239288</v>
      </c>
      <c r="G47" s="173" cm="1">
        <f t="array" ref="G47">InterpolateXY(F47,C47,CD_CL,CD_M,CD_table)+$G$4</f>
        <v>9.3998218513388965E-2</v>
      </c>
      <c r="H47" s="12">
        <f t="shared" si="2"/>
        <v>1828.3794007124297</v>
      </c>
      <c r="I47" s="306">
        <f t="shared" si="3"/>
        <v>-200</v>
      </c>
      <c r="J47" s="16">
        <f t="shared" si="4"/>
        <v>-102.95812711889245</v>
      </c>
      <c r="K47" s="323">
        <f t="shared" si="9"/>
        <v>-6.5300520451795556</v>
      </c>
      <c r="L47" s="324">
        <f t="shared" si="10"/>
        <v>1.537925459308612</v>
      </c>
      <c r="M47" s="7">
        <f t="shared" si="11"/>
        <v>51.871385030697517</v>
      </c>
      <c r="N47" s="277">
        <f t="shared" si="5"/>
        <v>0.12</v>
      </c>
      <c r="O47" s="324">
        <f t="shared" si="12"/>
        <v>0.18455105511703343</v>
      </c>
      <c r="P47" s="16">
        <f t="shared" si="13"/>
        <v>6.2245662036837013</v>
      </c>
      <c r="Q47" s="172">
        <f t="shared" si="14"/>
        <v>787.80981653837659</v>
      </c>
      <c r="R47" s="16">
        <f t="shared" si="15"/>
        <v>35454.830224307523</v>
      </c>
      <c r="S47" s="7">
        <f t="shared" si="7"/>
        <v>5.8348413903474965</v>
      </c>
    </row>
    <row r="48" spans="2:19" ht="15" thickBot="1">
      <c r="B48" s="120">
        <f t="shared" si="8"/>
        <v>30000</v>
      </c>
      <c r="C48" s="11">
        <v>0.5</v>
      </c>
      <c r="D48" s="7">
        <f t="shared" si="0"/>
        <v>497.33483175164628</v>
      </c>
      <c r="E48" s="121">
        <f t="shared" si="6"/>
        <v>9993.7754337963106</v>
      </c>
      <c r="F48" s="11">
        <f t="shared" si="1"/>
        <v>0.53454372157862218</v>
      </c>
      <c r="G48" s="174" cm="1">
        <f t="array" ref="G48">InterpolateXY(F48,C48,CD_CL,CD_M,CD_table)+$G$4</f>
        <v>0.10051218485410875</v>
      </c>
      <c r="H48" s="12">
        <f t="shared" si="2"/>
        <v>1879.1656570685986</v>
      </c>
      <c r="I48" s="307">
        <f t="shared" si="3"/>
        <v>-200</v>
      </c>
      <c r="J48" s="16">
        <f t="shared" si="4"/>
        <v>-103.46855491120574</v>
      </c>
      <c r="K48" s="325">
        <f t="shared" si="9"/>
        <v>-6.6936741068148873</v>
      </c>
      <c r="L48" s="326">
        <f t="shared" si="10"/>
        <v>1.5043712370787026</v>
      </c>
      <c r="M48" s="7">
        <f t="shared" si="11"/>
        <v>53.375756267776218</v>
      </c>
      <c r="N48" s="278">
        <f t="shared" si="5"/>
        <v>0.12</v>
      </c>
      <c r="O48" s="326">
        <f t="shared" si="12"/>
        <v>0.18052454844944429</v>
      </c>
      <c r="P48" s="16">
        <f t="shared" si="13"/>
        <v>6.4050907521331455</v>
      </c>
      <c r="Q48" s="172">
        <f t="shared" si="14"/>
        <v>755.657978245398</v>
      </c>
      <c r="R48" s="16">
        <f t="shared" si="15"/>
        <v>36210.488202552922</v>
      </c>
      <c r="S48" s="7">
        <f t="shared" si="7"/>
        <v>5.9592008759385369</v>
      </c>
    </row>
    <row r="49" spans="2:17">
      <c r="B49" s="55"/>
      <c r="C49" s="18"/>
      <c r="D49" s="1"/>
      <c r="E49" s="121">
        <f t="shared" si="6"/>
        <v>9993.5949092478604</v>
      </c>
      <c r="F49" s="1"/>
      <c r="H49" s="18"/>
      <c r="I49" s="1"/>
      <c r="J49" s="1"/>
      <c r="K49" s="1"/>
      <c r="Q49" s="297"/>
    </row>
  </sheetData>
  <mergeCells count="3">
    <mergeCell ref="B2:D2"/>
    <mergeCell ref="B3:D3"/>
    <mergeCell ref="B4:D4"/>
  </mergeCells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3CF2A-0952-4E4D-A4FD-323068CD5C52}">
  <sheetPr codeName="Sheet40">
    <tabColor theme="6" tint="0.39997558519241921"/>
  </sheetPr>
  <dimension ref="B1:I26"/>
  <sheetViews>
    <sheetView zoomScale="85" zoomScaleNormal="85" workbookViewId="0">
      <selection activeCell="L23" sqref="L23"/>
    </sheetView>
  </sheetViews>
  <sheetFormatPr defaultRowHeight="14.5"/>
  <cols>
    <col min="1" max="1" width="2.7265625" customWidth="1"/>
    <col min="2" max="2" width="36.7265625" customWidth="1"/>
    <col min="3" max="4" width="10.7265625" customWidth="1"/>
    <col min="5" max="6" width="15.7265625" customWidth="1"/>
    <col min="9" max="9" width="11.453125" customWidth="1"/>
  </cols>
  <sheetData>
    <row r="1" spans="2:9" ht="15" thickBot="1"/>
    <row r="2" spans="2:9">
      <c r="B2" s="360" t="s">
        <v>326</v>
      </c>
    </row>
    <row r="3" spans="2:9" ht="15" thickBot="1">
      <c r="B3" s="361" t="s">
        <v>437</v>
      </c>
    </row>
    <row r="4" spans="2:9" ht="15" thickBot="1"/>
    <row r="5" spans="2:9" ht="18.75" customHeight="1" thickBot="1">
      <c r="B5" s="279"/>
      <c r="C5" s="280" t="s">
        <v>121</v>
      </c>
      <c r="D5" s="280"/>
      <c r="E5" s="280" t="s">
        <v>55</v>
      </c>
      <c r="F5" s="280" t="s">
        <v>421</v>
      </c>
    </row>
    <row r="6" spans="2:9" ht="18.75" customHeight="1" thickBot="1">
      <c r="B6" s="204" t="s">
        <v>423</v>
      </c>
      <c r="C6" s="206"/>
      <c r="D6" s="206"/>
      <c r="E6" s="205"/>
      <c r="F6" s="205"/>
    </row>
    <row r="7" spans="2:9" ht="18.75" customHeight="1" thickBot="1">
      <c r="B7" s="283" t="s">
        <v>424</v>
      </c>
      <c r="C7" s="209" t="s">
        <v>347</v>
      </c>
      <c r="D7" s="202" t="s">
        <v>81</v>
      </c>
      <c r="E7" s="255">
        <f>'16 - Takeoff'!D15</f>
        <v>244.60343749150798</v>
      </c>
      <c r="F7" s="255">
        <f>'16 - Takeoff'!D45</f>
        <v>259.55860971694426</v>
      </c>
    </row>
    <row r="8" spans="2:9" ht="18.75" customHeight="1" thickBot="1">
      <c r="B8" s="283" t="s">
        <v>425</v>
      </c>
      <c r="C8" s="209" t="s">
        <v>347</v>
      </c>
      <c r="D8" s="202" t="s">
        <v>81</v>
      </c>
      <c r="E8" s="255">
        <f>'16 - Takeoff'!D16</f>
        <v>256.83360936608341</v>
      </c>
      <c r="F8" s="255">
        <f>'16 - Takeoff'!D46</f>
        <v>272.53654020279151</v>
      </c>
    </row>
    <row r="9" spans="2:9" ht="18.75" customHeight="1" thickBot="1">
      <c r="B9" s="283" t="s">
        <v>426</v>
      </c>
      <c r="C9" s="209" t="s">
        <v>347</v>
      </c>
      <c r="D9" s="202" t="s">
        <v>81</v>
      </c>
      <c r="E9" s="255">
        <f>'16 - Takeoff'!D17</f>
        <v>269.06378124065878</v>
      </c>
      <c r="F9" s="255">
        <f>'16 - Takeoff'!D47</f>
        <v>285.51447068863871</v>
      </c>
    </row>
    <row r="10" spans="2:9" ht="18.75" customHeight="1" thickBot="1">
      <c r="B10" s="283" t="s">
        <v>427</v>
      </c>
      <c r="C10" s="209" t="s">
        <v>347</v>
      </c>
      <c r="D10" s="202" t="s">
        <v>81</v>
      </c>
      <c r="E10" s="255">
        <f>'16 - Takeoff'!D18</f>
        <v>293.52412498980954</v>
      </c>
      <c r="F10" s="255">
        <f>'16 - Takeoff'!D48</f>
        <v>311.4703316603331</v>
      </c>
    </row>
    <row r="11" spans="2:9" ht="18.75" customHeight="1" thickBot="1">
      <c r="B11" s="283" t="s">
        <v>428</v>
      </c>
      <c r="C11" s="209" t="s">
        <v>347</v>
      </c>
      <c r="D11" s="202" t="s">
        <v>81</v>
      </c>
      <c r="E11" s="255">
        <f>'16 - Takeoff'!D20</f>
        <v>188.34464686846113</v>
      </c>
      <c r="F11" s="255">
        <f>'16 - Takeoff'!D50</f>
        <v>199.86012948204709</v>
      </c>
    </row>
    <row r="12" spans="2:9" ht="18.75" customHeight="1" thickBot="1">
      <c r="B12" s="343"/>
      <c r="C12" s="206"/>
      <c r="D12" s="205"/>
      <c r="E12" s="345"/>
      <c r="F12" s="345"/>
    </row>
    <row r="13" spans="2:9" ht="18.75" customHeight="1" thickBot="1">
      <c r="B13" s="204" t="s">
        <v>429</v>
      </c>
      <c r="C13" s="206"/>
      <c r="D13" s="205"/>
      <c r="E13" s="345"/>
      <c r="F13" s="345"/>
    </row>
    <row r="14" spans="2:9" ht="18.75" customHeight="1" thickBot="1">
      <c r="B14" s="283" t="s">
        <v>430</v>
      </c>
      <c r="C14" s="209" t="s">
        <v>431</v>
      </c>
      <c r="D14" s="202" t="s">
        <v>93</v>
      </c>
      <c r="E14" s="257">
        <f>'16 - Takeoff'!C23</f>
        <v>3867.4798227647489</v>
      </c>
      <c r="F14" s="257">
        <f>'16 - Takeoff'!C53</f>
        <v>3494.0995831990022</v>
      </c>
    </row>
    <row r="15" spans="2:9" ht="18.75" customHeight="1" thickBot="1">
      <c r="B15" s="283" t="s">
        <v>432</v>
      </c>
      <c r="C15" s="209" t="s">
        <v>431</v>
      </c>
      <c r="D15" s="202" t="s">
        <v>93</v>
      </c>
      <c r="E15" s="257">
        <f>'16 - Takeoff'!C24</f>
        <v>572.37401636453308</v>
      </c>
      <c r="F15" s="257">
        <f>'16 - Takeoff'!C54</f>
        <v>572.19014223645445</v>
      </c>
      <c r="G15" t="s">
        <v>604</v>
      </c>
    </row>
    <row r="16" spans="2:9" ht="18.75" customHeight="1" thickBot="1">
      <c r="B16" s="283" t="s">
        <v>433</v>
      </c>
      <c r="C16" s="209" t="s">
        <v>431</v>
      </c>
      <c r="D16" s="202" t="s">
        <v>93</v>
      </c>
      <c r="E16" s="257">
        <f>'16 - Takeoff'!C25</f>
        <v>275</v>
      </c>
      <c r="F16" s="488">
        <f>'16 - Takeoff'!C55</f>
        <v>275</v>
      </c>
      <c r="G16" s="444" t="s">
        <v>609</v>
      </c>
      <c r="H16" s="242"/>
      <c r="I16" s="445"/>
    </row>
    <row r="17" spans="2:9" ht="18.75" customHeight="1" thickBot="1">
      <c r="B17" s="283" t="s">
        <v>434</v>
      </c>
      <c r="C17" s="209" t="s">
        <v>351</v>
      </c>
      <c r="D17" s="202" t="s">
        <v>81</v>
      </c>
      <c r="E17" s="346">
        <f>'16 - Takeoff'!C26</f>
        <v>8.8335349286473228</v>
      </c>
      <c r="F17" s="489">
        <f>'16 - Takeoff'!C56</f>
        <v>7.7419694866844555</v>
      </c>
      <c r="G17" s="449" t="s">
        <v>608</v>
      </c>
      <c r="H17" s="491" t="s">
        <v>610</v>
      </c>
      <c r="I17" s="487"/>
    </row>
    <row r="18" spans="2:9" ht="18.75" customHeight="1" thickBot="1">
      <c r="B18" s="283" t="s">
        <v>435</v>
      </c>
      <c r="C18" s="209" t="s">
        <v>132</v>
      </c>
      <c r="D18" s="202" t="s">
        <v>93</v>
      </c>
      <c r="E18" s="257">
        <f>'16 - Takeoff'!D28</f>
        <v>4097.7546905226855</v>
      </c>
      <c r="F18" s="488">
        <f>'16 - Takeoff'!D58</f>
        <v>5264.7141733649687</v>
      </c>
      <c r="G18" s="492">
        <f>'16 - Takeoff'!X68</f>
        <v>4048.0107993526285</v>
      </c>
      <c r="H18" s="495">
        <f>'16 - Takeoff'!X138</f>
        <v>5199.1128818198013</v>
      </c>
      <c r="I18" s="445"/>
    </row>
    <row r="19" spans="2:9" ht="18.75" customHeight="1" thickBot="1">
      <c r="B19" s="343"/>
      <c r="C19" s="206"/>
      <c r="D19" s="205"/>
      <c r="E19" s="345"/>
      <c r="F19" s="490"/>
      <c r="G19" s="496">
        <f>G18-E18</f>
        <v>-49.743891170056941</v>
      </c>
      <c r="H19" s="497">
        <f>H18-F18</f>
        <v>-65.601291545167442</v>
      </c>
      <c r="I19" s="487" t="s">
        <v>611</v>
      </c>
    </row>
    <row r="20" spans="2:9" ht="18.75" customHeight="1" thickBot="1">
      <c r="B20" s="204" t="s">
        <v>436</v>
      </c>
      <c r="C20" s="206"/>
      <c r="D20" s="205"/>
      <c r="E20" s="345"/>
      <c r="F20" s="490"/>
      <c r="G20" s="243"/>
    </row>
    <row r="21" spans="2:9" ht="18.75" customHeight="1" thickBot="1">
      <c r="B21" s="283" t="s">
        <v>430</v>
      </c>
      <c r="C21" s="209" t="s">
        <v>431</v>
      </c>
      <c r="D21" s="202" t="s">
        <v>93</v>
      </c>
      <c r="E21" s="257">
        <f>'16 - Takeoff'!M23</f>
        <v>5904.8789792182761</v>
      </c>
      <c r="F21" s="488">
        <f>'16 - Takeoff'!M53</f>
        <v>5353.8720054127016</v>
      </c>
      <c r="G21" s="243"/>
    </row>
    <row r="22" spans="2:9" ht="18.75" customHeight="1" thickBot="1">
      <c r="B22" s="283" t="s">
        <v>432</v>
      </c>
      <c r="C22" s="209" t="s">
        <v>431</v>
      </c>
      <c r="D22" s="202" t="s">
        <v>93</v>
      </c>
      <c r="E22" s="257">
        <f>'16 - Takeoff'!M24</f>
        <v>572.37401636453308</v>
      </c>
      <c r="F22" s="488">
        <f>'16 - Takeoff'!M54</f>
        <v>572.19014223645445</v>
      </c>
      <c r="G22" s="243" t="s">
        <v>612</v>
      </c>
    </row>
    <row r="23" spans="2:9" ht="18.75" customHeight="1" thickBot="1">
      <c r="B23" s="283" t="s">
        <v>433</v>
      </c>
      <c r="C23" s="209" t="s">
        <v>431</v>
      </c>
      <c r="D23" s="202" t="s">
        <v>93</v>
      </c>
      <c r="E23" s="257">
        <f>'16 - Takeoff'!M25</f>
        <v>275</v>
      </c>
      <c r="F23" s="488">
        <f>'16 - Takeoff'!M55</f>
        <v>275</v>
      </c>
      <c r="G23" s="444" t="s">
        <v>609</v>
      </c>
      <c r="H23" s="242"/>
      <c r="I23" s="445"/>
    </row>
    <row r="24" spans="2:9" ht="18.75" customHeight="1" thickBot="1">
      <c r="B24" s="283" t="s">
        <v>434</v>
      </c>
      <c r="C24" s="209" t="s">
        <v>351</v>
      </c>
      <c r="D24" s="202" t="s">
        <v>81</v>
      </c>
      <c r="E24" s="346">
        <f>'16 - Takeoff'!M26</f>
        <v>14.792742243168757</v>
      </c>
      <c r="F24" s="489">
        <f>'16 - Takeoff'!M56</f>
        <v>13.181634751439326</v>
      </c>
      <c r="G24" s="449" t="s">
        <v>608</v>
      </c>
      <c r="H24" s="491" t="s">
        <v>610</v>
      </c>
      <c r="I24" s="487"/>
    </row>
    <row r="25" spans="2:9" ht="18.75" customHeight="1" thickBot="1">
      <c r="B25" s="283" t="s">
        <v>435</v>
      </c>
      <c r="C25" s="209" t="s">
        <v>132</v>
      </c>
      <c r="D25" s="202" t="s">
        <v>93</v>
      </c>
      <c r="E25" s="257">
        <f>'16 - Takeoff'!N28</f>
        <v>2446.9877587758629</v>
      </c>
      <c r="F25" s="488">
        <f>'16 - Takeoff'!N58</f>
        <v>3092.1245547223339</v>
      </c>
      <c r="G25" s="467">
        <f>'16 - Takeoff'!Y68</f>
        <v>2426.5495951315879</v>
      </c>
      <c r="H25" s="3">
        <f>'16 - Takeoff'!Y138</f>
        <v>3064.8975276545752</v>
      </c>
      <c r="I25" s="493"/>
    </row>
    <row r="26" spans="2:9" ht="15" thickBot="1">
      <c r="G26" s="496">
        <f>G25-E25</f>
        <v>-20.438163644274937</v>
      </c>
      <c r="H26" s="498">
        <f>H25-F25</f>
        <v>-27.227027067758627</v>
      </c>
      <c r="I26" s="494" t="s">
        <v>611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F0D97-A3CF-4FFB-9D2C-A7B55F8DF75B}">
  <sheetPr codeName="Sheet8">
    <tabColor theme="6" tint="0.39997558519241921"/>
  </sheetPr>
  <dimension ref="A1:AP138"/>
  <sheetViews>
    <sheetView topLeftCell="C1" zoomScale="85" zoomScaleNormal="85" workbookViewId="0">
      <selection activeCell="R18" sqref="R18"/>
    </sheetView>
  </sheetViews>
  <sheetFormatPr defaultRowHeight="14.5"/>
  <cols>
    <col min="1" max="1" width="2.7265625" customWidth="1"/>
    <col min="2" max="8" width="12.7265625" customWidth="1"/>
    <col min="9" max="9" width="2.7265625" customWidth="1"/>
    <col min="10" max="10" width="1.7265625" customWidth="1"/>
    <col min="11" max="11" width="2.7265625" customWidth="1"/>
    <col min="12" max="19" width="12.7265625" customWidth="1"/>
    <col min="20" max="20" width="1.7265625" customWidth="1"/>
    <col min="23" max="23" width="8.7265625" style="3"/>
    <col min="28" max="28" width="11.453125" bestFit="1" customWidth="1"/>
    <col min="29" max="29" width="10.453125" bestFit="1" customWidth="1"/>
    <col min="31" max="31" width="13.453125" bestFit="1" customWidth="1"/>
    <col min="32" max="32" width="12.1796875" customWidth="1"/>
    <col min="36" max="36" width="11.453125" customWidth="1"/>
    <col min="42" max="42" width="10.81640625" customWidth="1"/>
  </cols>
  <sheetData>
    <row r="1" spans="2:42" ht="15" thickBot="1">
      <c r="J1" s="334"/>
      <c r="T1" s="334"/>
      <c r="U1" t="s">
        <v>605</v>
      </c>
      <c r="V1">
        <v>0</v>
      </c>
      <c r="W1" s="3" t="s">
        <v>132</v>
      </c>
      <c r="AE1" s="646" t="s">
        <v>604</v>
      </c>
      <c r="AF1" s="647"/>
      <c r="AG1" s="647"/>
      <c r="AH1" s="647"/>
      <c r="AI1" s="647"/>
      <c r="AJ1" s="648"/>
      <c r="AK1" s="646" t="s">
        <v>606</v>
      </c>
      <c r="AL1" s="647"/>
      <c r="AM1" s="647"/>
      <c r="AN1" s="647"/>
      <c r="AO1" s="647"/>
      <c r="AP1" s="648"/>
    </row>
    <row r="2" spans="2:42" ht="15" thickBot="1">
      <c r="B2" s="651" t="s">
        <v>326</v>
      </c>
      <c r="C2" s="652"/>
      <c r="D2" s="5"/>
      <c r="J2" s="334"/>
      <c r="L2" s="651" t="s">
        <v>326</v>
      </c>
      <c r="M2" s="652"/>
      <c r="N2" s="5"/>
      <c r="T2" s="334"/>
      <c r="U2" t="s">
        <v>589</v>
      </c>
      <c r="V2" s="3">
        <f>N16</f>
        <v>256.83360936608341</v>
      </c>
      <c r="W2" s="3" t="s">
        <v>573</v>
      </c>
      <c r="X2" t="s">
        <v>72</v>
      </c>
      <c r="Y2" t="s">
        <v>595</v>
      </c>
      <c r="Z2" t="s">
        <v>74</v>
      </c>
      <c r="AA2" t="s">
        <v>75</v>
      </c>
      <c r="AB2" t="s">
        <v>598</v>
      </c>
      <c r="AC2" t="s">
        <v>599</v>
      </c>
      <c r="AD2" t="s">
        <v>600</v>
      </c>
      <c r="AE2" s="471" t="s">
        <v>84</v>
      </c>
      <c r="AF2" s="472" t="s">
        <v>601</v>
      </c>
      <c r="AG2" s="472" t="s">
        <v>192</v>
      </c>
      <c r="AH2" s="472" t="s">
        <v>602</v>
      </c>
      <c r="AI2" s="472" t="s">
        <v>195</v>
      </c>
      <c r="AJ2" s="473" t="s">
        <v>603</v>
      </c>
      <c r="AK2" s="471" t="s">
        <v>84</v>
      </c>
      <c r="AL2" s="472" t="s">
        <v>601</v>
      </c>
      <c r="AM2" s="472" t="s">
        <v>192</v>
      </c>
      <c r="AN2" s="472" t="s">
        <v>602</v>
      </c>
      <c r="AO2" s="472" t="s">
        <v>195</v>
      </c>
      <c r="AP2" s="473" t="s">
        <v>603</v>
      </c>
    </row>
    <row r="3" spans="2:42">
      <c r="B3" s="653" t="s">
        <v>173</v>
      </c>
      <c r="C3" s="654"/>
      <c r="D3" s="5"/>
      <c r="J3" s="334"/>
      <c r="L3" s="653" t="s">
        <v>169</v>
      </c>
      <c r="M3" s="654"/>
      <c r="N3" s="5"/>
      <c r="T3" s="334"/>
      <c r="U3" t="s">
        <v>588</v>
      </c>
      <c r="V3" s="3">
        <f>N17</f>
        <v>269.06378124065878</v>
      </c>
      <c r="W3" s="3">
        <v>0</v>
      </c>
      <c r="X3" s="2">
        <f>W3/Q$7</f>
        <v>0</v>
      </c>
      <c r="Y3">
        <v>0</v>
      </c>
      <c r="Z3" cm="1">
        <f t="array" ref="Z3">Linterp(Y3,TO_alpha,TO_CL_a)</f>
        <v>0.249</v>
      </c>
      <c r="AA3" s="2" cm="1">
        <f t="array" ref="AA3">Linterp(Z3,TO_CL_cd,TO_CD_cl)</f>
        <v>7.4049999999999991E-2</v>
      </c>
      <c r="AB3" s="1">
        <f t="shared" ref="AB3:AB34" si="0">Z3*S*$Q$6*$X3^2</f>
        <v>0</v>
      </c>
      <c r="AC3" s="1">
        <f t="shared" ref="AC3:AC34" si="1">AA3*S*$Q$6*$X3^2</f>
        <v>0</v>
      </c>
      <c r="AD3" s="1">
        <f>$M$12*($M$6-AB3)</f>
        <v>275</v>
      </c>
      <c r="AE3" s="467" cm="1">
        <f t="array" ref="AE3">numeng*InterpolateXY($V$1,$X3,Tmil_h,Tmil_M,Tmil_table)</f>
        <v>3800</v>
      </c>
      <c r="AF3" s="3">
        <f>(AE3-AC3-AD3)/($M$6/32.174)</f>
        <v>10.310304545454546</v>
      </c>
      <c r="AG3" s="3">
        <v>0</v>
      </c>
      <c r="AH3" s="3">
        <f>AG3</f>
        <v>0</v>
      </c>
      <c r="AI3" s="3">
        <f>0</f>
        <v>0</v>
      </c>
      <c r="AJ3" s="474">
        <f>AI3</f>
        <v>0</v>
      </c>
      <c r="AK3" s="243" cm="1">
        <f t="array" ref="AK3">numeng*InterpolateXY($V$1,$X3,Tmax_h,Tmax_M,Tmax_table)</f>
        <v>5500</v>
      </c>
      <c r="AL3" s="3">
        <f>(AK3-AC3-AD3)/($M$6/32.174)</f>
        <v>15.28265</v>
      </c>
      <c r="AM3" s="3">
        <v>0</v>
      </c>
      <c r="AN3" s="3">
        <f>AM3</f>
        <v>0</v>
      </c>
      <c r="AO3" s="3">
        <f>0</f>
        <v>0</v>
      </c>
      <c r="AP3" s="474">
        <f>AO3</f>
        <v>0</v>
      </c>
    </row>
    <row r="4" spans="2:42" ht="15" thickBot="1">
      <c r="B4" s="649" t="s">
        <v>55</v>
      </c>
      <c r="C4" s="650"/>
      <c r="D4" s="5"/>
      <c r="J4" s="334"/>
      <c r="L4" s="649" t="s">
        <v>55</v>
      </c>
      <c r="M4" s="650"/>
      <c r="N4" s="5"/>
      <c r="T4" s="334"/>
      <c r="W4" s="3">
        <f>W3+V$2/50</f>
        <v>5.1366721873216683</v>
      </c>
      <c r="X4" s="2">
        <f t="shared" ref="X4:X63" si="2">W4/Q$7</f>
        <v>4.6008976569385015E-3</v>
      </c>
      <c r="Y4">
        <v>0</v>
      </c>
      <c r="Z4" cm="1">
        <f t="array" ref="Z4">Linterp(Y4,TO_alpha,TO_CL_a)</f>
        <v>0.249</v>
      </c>
      <c r="AA4" s="2" cm="1">
        <f t="array" ref="AA4">Linterp(Z4,TO_CL_cd,TO_CD_cl)</f>
        <v>7.4049999999999991E-2</v>
      </c>
      <c r="AB4" s="1">
        <f t="shared" si="0"/>
        <v>1.3273708229808103</v>
      </c>
      <c r="AC4" s="1">
        <f t="shared" si="1"/>
        <v>0.39474622265754616</v>
      </c>
      <c r="AD4" s="1">
        <f t="shared" ref="AD4:AD63" si="3">$M$12*($M$6-AB4)</f>
        <v>274.96681572942549</v>
      </c>
      <c r="AE4" s="467" cm="1">
        <f t="array" ref="AE4">numeng*InterpolateXY($V$1,$X4,Tmil_h,Tmil_M,Tmil_table)</f>
        <v>3801.8403590627754</v>
      </c>
      <c r="AF4" s="3">
        <f>(AE4-AC4-AD4)/($M$6/32.174)</f>
        <v>10.31462989256722</v>
      </c>
      <c r="AG4" s="3">
        <f>(W4-W3)/AVERAGE(AF3:AF4)</f>
        <v>0.49810312878883994</v>
      </c>
      <c r="AH4" s="3">
        <f>AH3+AG4</f>
        <v>0.49810312878883994</v>
      </c>
      <c r="AI4" s="3">
        <f>AVERAGE(W3:W4)*AG4</f>
        <v>1.2792962440337685</v>
      </c>
      <c r="AJ4" s="474">
        <f>AJ3+AI4</f>
        <v>1.2792962440337685</v>
      </c>
      <c r="AK4" s="467" cm="1">
        <f t="array" ref="AK4">numeng*InterpolateXY($V$1,$X4,Tmax_h,Tmax_M,Tmax_table)</f>
        <v>5511.0421543766524</v>
      </c>
      <c r="AL4" s="3">
        <f>(AK4-AC4-AD4)/($M$6/32.174)</f>
        <v>15.313889761878919</v>
      </c>
      <c r="AM4" s="3">
        <f>(W4-W3)/AVERAGE(AL3:AL4)</f>
        <v>0.33576817687871957</v>
      </c>
      <c r="AN4" s="3">
        <f>AN3+AM4</f>
        <v>0.33576817687871957</v>
      </c>
      <c r="AO4" s="3">
        <f>AVERAGE(W3:W4)*AM4</f>
        <v>0.86236552778031061</v>
      </c>
      <c r="AP4" s="474">
        <f>AP3+AO4</f>
        <v>0.86236552778031061</v>
      </c>
    </row>
    <row r="5" spans="2:42">
      <c r="J5" s="334"/>
      <c r="T5" s="334"/>
      <c r="W5" s="3">
        <f t="shared" ref="W5:W53" si="4">W4+V$2/50</f>
        <v>10.273344374643337</v>
      </c>
      <c r="X5" s="2">
        <f t="shared" si="2"/>
        <v>9.201795313877003E-3</v>
      </c>
      <c r="Y5">
        <v>0</v>
      </c>
      <c r="Z5" cm="1">
        <f t="array" ref="Z5">Linterp(Y5,TO_alpha,TO_CL_a)</f>
        <v>0.249</v>
      </c>
      <c r="AA5" s="2" cm="1">
        <f t="array" ref="AA5">Linterp(Z5,TO_CL_cd,TO_CD_cl)</f>
        <v>7.4049999999999991E-2</v>
      </c>
      <c r="AB5" s="1">
        <f t="shared" si="0"/>
        <v>5.3094832919232413</v>
      </c>
      <c r="AC5" s="1">
        <f t="shared" si="1"/>
        <v>1.5789848906301847</v>
      </c>
      <c r="AD5" s="1">
        <f t="shared" si="3"/>
        <v>274.86726291770191</v>
      </c>
      <c r="AE5" s="467" cm="1">
        <f t="array" ref="AE5">numeng*InterpolateXY($V$1,$X5,Tmil_h,Tmil_M,Tmil_table)</f>
        <v>3803.6807181255508</v>
      </c>
      <c r="AF5" s="3">
        <f t="shared" ref="AF5:AF63" si="5">(AE5-AC5-AD5)/($M$6/32.174)</f>
        <v>10.316840167998746</v>
      </c>
      <c r="AG5" s="3">
        <f t="shared" ref="AG5:AG63" si="6">(W5-W4)/AVERAGE(AF4:AF5)</f>
        <v>0.49794534003077801</v>
      </c>
      <c r="AH5" s="3">
        <f t="shared" ref="AH5:AH63" si="7">AH4+AG5</f>
        <v>0.99604846881961795</v>
      </c>
      <c r="AI5" s="3">
        <f t="shared" ref="AI5:AI63" si="8">AVERAGE(W4:W5)*AG5</f>
        <v>3.8366729684137924</v>
      </c>
      <c r="AJ5" s="474">
        <f t="shared" ref="AJ5:AJ63" si="9">AJ4+AI5</f>
        <v>5.1159692124475606</v>
      </c>
      <c r="AK5" s="467" cm="1">
        <f t="array" ref="AK5">numeng*InterpolateXY($V$1,$X5,Tmax_h,Tmax_M,Tmax_table)</f>
        <v>5522.0843087533049</v>
      </c>
      <c r="AL5" s="3">
        <f t="shared" ref="AL5:AL63" si="10">(AK5-AC5-AD5)/($M$6/32.174)</f>
        <v>15.343014452076687</v>
      </c>
      <c r="AM5" s="3">
        <f t="shared" ref="AM5:AM63" si="11">(W5-W4)/AVERAGE(AL4:AL5)</f>
        <v>0.33510703830188809</v>
      </c>
      <c r="AN5" s="3">
        <f t="shared" ref="AN5:AN63" si="12">AN4+AM5</f>
        <v>0.67087521518060766</v>
      </c>
      <c r="AO5" s="3">
        <f t="shared" ref="AO5:AO63" si="13">AVERAGE(W4:W5)*AM5</f>
        <v>2.5820025051315683</v>
      </c>
      <c r="AP5" s="474">
        <f t="shared" ref="AP5:AP63" si="14">AP4+AO5</f>
        <v>3.4443680329118789</v>
      </c>
    </row>
    <row r="6" spans="2:42">
      <c r="B6" t="s">
        <v>6</v>
      </c>
      <c r="C6" s="117">
        <v>11000</v>
      </c>
      <c r="D6" t="s">
        <v>5</v>
      </c>
      <c r="F6" t="s">
        <v>0</v>
      </c>
      <c r="G6" s="1">
        <f>Linterp(C7,atmos_h,atmos_qms)</f>
        <v>1481.3539946857729</v>
      </c>
      <c r="H6" t="s">
        <v>19</v>
      </c>
      <c r="J6" s="334"/>
      <c r="L6" t="s">
        <v>6</v>
      </c>
      <c r="M6" s="117">
        <v>11000</v>
      </c>
      <c r="N6" t="s">
        <v>5</v>
      </c>
      <c r="P6" t="s">
        <v>0</v>
      </c>
      <c r="Q6" s="1">
        <f>Linterp(M7,atmos_h,atmos_qms)</f>
        <v>1481.3539946857729</v>
      </c>
      <c r="R6" t="s">
        <v>19</v>
      </c>
      <c r="T6" s="334"/>
      <c r="W6" s="3">
        <f t="shared" si="4"/>
        <v>15.410016561965005</v>
      </c>
      <c r="X6" s="2">
        <f t="shared" si="2"/>
        <v>1.3802692970815506E-2</v>
      </c>
      <c r="Y6">
        <v>0</v>
      </c>
      <c r="Z6" cm="1">
        <f t="array" ref="Z6">Linterp(Y6,TO_alpha,TO_CL_a)</f>
        <v>0.249</v>
      </c>
      <c r="AA6" s="2" cm="1">
        <f t="array" ref="AA6">Linterp(Z6,TO_CL_cd,TO_CD_cl)</f>
        <v>7.4049999999999991E-2</v>
      </c>
      <c r="AB6" s="1">
        <f t="shared" si="0"/>
        <v>11.946337406827297</v>
      </c>
      <c r="AC6" s="1">
        <f t="shared" si="1"/>
        <v>3.5527160039179164</v>
      </c>
      <c r="AD6" s="1">
        <f t="shared" si="3"/>
        <v>274.70134156482931</v>
      </c>
      <c r="AE6" s="467" cm="1">
        <f t="array" ref="AE6">numeng*InterpolateXY($V$1,$X6,Tmil_h,Tmil_M,Tmil_table)</f>
        <v>3805.5210771883262</v>
      </c>
      <c r="AF6" s="3">
        <f t="shared" si="5"/>
        <v>10.316935371749123</v>
      </c>
      <c r="AG6" s="3">
        <f t="shared" si="6"/>
        <v>0.49788970297041768</v>
      </c>
      <c r="AH6" s="3">
        <f t="shared" si="7"/>
        <v>1.4939381717900355</v>
      </c>
      <c r="AI6" s="3">
        <f t="shared" si="8"/>
        <v>6.3937404740049777</v>
      </c>
      <c r="AJ6" s="474">
        <f t="shared" si="9"/>
        <v>11.509709686452538</v>
      </c>
      <c r="AK6" s="467" cm="1">
        <f t="array" ref="AK6">numeng*InterpolateXY($V$1,$X6,Tmax_h,Tmax_M,Tmax_table)</f>
        <v>5533.1264631299573</v>
      </c>
      <c r="AL6" s="3">
        <f t="shared" si="10"/>
        <v>15.370024070593308</v>
      </c>
      <c r="AM6" s="3">
        <f t="shared" si="11"/>
        <v>0.33449456220557094</v>
      </c>
      <c r="AN6" s="3">
        <f t="shared" si="12"/>
        <v>1.0053697773861785</v>
      </c>
      <c r="AO6" s="3">
        <f t="shared" si="13"/>
        <v>4.2954722862292352</v>
      </c>
      <c r="AP6" s="474">
        <f t="shared" si="14"/>
        <v>7.7398403191411145</v>
      </c>
    </row>
    <row r="7" spans="2:42">
      <c r="B7" t="s">
        <v>1</v>
      </c>
      <c r="C7" s="10">
        <v>1E-4</v>
      </c>
      <c r="D7" t="s">
        <v>2</v>
      </c>
      <c r="F7" t="s">
        <v>153</v>
      </c>
      <c r="G7" s="1">
        <f>Linterp(C7,atmos_h,atmos_aspeed)</f>
        <v>1116.4499996158745</v>
      </c>
      <c r="H7" t="s">
        <v>20</v>
      </c>
      <c r="J7" s="334"/>
      <c r="L7" t="s">
        <v>1</v>
      </c>
      <c r="M7" s="10">
        <f>C7</f>
        <v>1E-4</v>
      </c>
      <c r="N7" t="s">
        <v>2</v>
      </c>
      <c r="P7" t="s">
        <v>153</v>
      </c>
      <c r="Q7" s="1">
        <f>Linterp(M7,atmos_h,atmos_aspeed)</f>
        <v>1116.4499996158745</v>
      </c>
      <c r="R7" t="s">
        <v>20</v>
      </c>
      <c r="T7" s="334"/>
      <c r="W7" s="3">
        <f t="shared" si="4"/>
        <v>20.546688749286673</v>
      </c>
      <c r="X7" s="2">
        <f t="shared" si="2"/>
        <v>1.8403590627754006E-2</v>
      </c>
      <c r="Y7">
        <v>0</v>
      </c>
      <c r="Z7" cm="1">
        <f t="array" ref="Z7">Linterp(Y7,TO_alpha,TO_CL_a)</f>
        <v>0.249</v>
      </c>
      <c r="AA7" s="2" cm="1">
        <f t="array" ref="AA7">Linterp(Z7,TO_CL_cd,TO_CD_cl)</f>
        <v>7.4049999999999991E-2</v>
      </c>
      <c r="AB7" s="1">
        <f t="shared" si="0"/>
        <v>21.237933167692965</v>
      </c>
      <c r="AC7" s="1">
        <f t="shared" si="1"/>
        <v>6.3159395625207386</v>
      </c>
      <c r="AD7" s="1">
        <f t="shared" si="3"/>
        <v>274.46905167080769</v>
      </c>
      <c r="AE7" s="467" cm="1">
        <f t="array" ref="AE7">numeng*InterpolateXY($V$1,$X7,Tmil_h,Tmil_M,Tmil_table)</f>
        <v>3807.3614362511016</v>
      </c>
      <c r="AF7" s="3">
        <f t="shared" si="5"/>
        <v>10.314915503818348</v>
      </c>
      <c r="AG7" s="3">
        <f t="shared" si="6"/>
        <v>0.4979361491415768</v>
      </c>
      <c r="AH7" s="3">
        <f t="shared" si="7"/>
        <v>1.9918743209316123</v>
      </c>
      <c r="AI7" s="3">
        <f t="shared" si="8"/>
        <v>8.9520716892515715</v>
      </c>
      <c r="AJ7" s="474">
        <f t="shared" si="9"/>
        <v>20.46178137570411</v>
      </c>
      <c r="AK7" s="467" cm="1">
        <f t="array" ref="AK7">numeng*InterpolateXY($V$1,$X7,Tmax_h,Tmax_M,Tmax_table)</f>
        <v>5544.1686175066097</v>
      </c>
      <c r="AL7" s="3">
        <f t="shared" si="10"/>
        <v>15.394918617428779</v>
      </c>
      <c r="AM7" s="3">
        <f t="shared" si="11"/>
        <v>0.33393022957403795</v>
      </c>
      <c r="AN7" s="3">
        <f t="shared" si="12"/>
        <v>1.3393000069602166</v>
      </c>
      <c r="AO7" s="3">
        <f t="shared" si="13"/>
        <v>6.0035154296561517</v>
      </c>
      <c r="AP7" s="474">
        <f t="shared" si="14"/>
        <v>13.743355748797267</v>
      </c>
    </row>
    <row r="8" spans="2:42">
      <c r="B8" t="s">
        <v>72</v>
      </c>
      <c r="C8" s="116">
        <v>1.0000000000000001E-5</v>
      </c>
      <c r="D8" t="s">
        <v>154</v>
      </c>
      <c r="F8" t="s">
        <v>155</v>
      </c>
      <c r="G8" s="9">
        <f>Linterp(C7,atmos_h,atmos_rho)</f>
        <v>2.376879993083547E-3</v>
      </c>
      <c r="H8" t="s">
        <v>156</v>
      </c>
      <c r="J8" s="334"/>
      <c r="L8" t="s">
        <v>72</v>
      </c>
      <c r="M8" s="116">
        <f>C8</f>
        <v>1.0000000000000001E-5</v>
      </c>
      <c r="N8" t="s">
        <v>154</v>
      </c>
      <c r="P8" t="s">
        <v>155</v>
      </c>
      <c r="Q8" s="9">
        <f>Linterp(M7,atmos_h,atmos_rho)</f>
        <v>2.376879993083547E-3</v>
      </c>
      <c r="R8" t="s">
        <v>156</v>
      </c>
      <c r="T8" s="334"/>
      <c r="W8" s="3">
        <f t="shared" si="4"/>
        <v>25.683360936608342</v>
      </c>
      <c r="X8" s="2">
        <f t="shared" si="2"/>
        <v>2.3004488284692509E-2</v>
      </c>
      <c r="Y8">
        <v>0</v>
      </c>
      <c r="Z8" cm="1">
        <f t="array" ref="Z8">Linterp(Y8,TO_alpha,TO_CL_a)</f>
        <v>0.249</v>
      </c>
      <c r="AA8" s="2" cm="1">
        <f t="array" ref="AA8">Linterp(Z8,TO_CL_cd,TO_CD_cl)</f>
        <v>7.4049999999999991E-2</v>
      </c>
      <c r="AB8" s="1">
        <f t="shared" si="0"/>
        <v>33.184270574520269</v>
      </c>
      <c r="AC8" s="1">
        <f t="shared" si="1"/>
        <v>9.8686555664386564</v>
      </c>
      <c r="AD8" s="1">
        <f t="shared" si="3"/>
        <v>274.17039323563699</v>
      </c>
      <c r="AE8" s="467" cm="1">
        <f t="array" ref="AE8">numeng*InterpolateXY($V$1,$X8,Tmil_h,Tmil_M,Tmil_table)</f>
        <v>3809.201795313877</v>
      </c>
      <c r="AF8" s="3">
        <f t="shared" si="5"/>
        <v>10.310780564206429</v>
      </c>
      <c r="AG8" s="3">
        <f t="shared" si="6"/>
        <v>0.49808473569867578</v>
      </c>
      <c r="AH8" s="3">
        <f t="shared" si="7"/>
        <v>2.4899590566302883</v>
      </c>
      <c r="AI8" s="3">
        <f t="shared" si="8"/>
        <v>11.513241039567832</v>
      </c>
      <c r="AJ8" s="474">
        <f t="shared" si="9"/>
        <v>31.975022415271944</v>
      </c>
      <c r="AK8" s="467" cm="1">
        <f t="array" ref="AK8">numeng*InterpolateXY($V$1,$X8,Tmax_h,Tmax_M,Tmax_table)</f>
        <v>5555.2107718832622</v>
      </c>
      <c r="AL8" s="3">
        <f t="shared" si="10"/>
        <v>15.4176980925831</v>
      </c>
      <c r="AM8" s="3">
        <f t="shared" si="11"/>
        <v>0.33341356468778061</v>
      </c>
      <c r="AN8" s="3">
        <f t="shared" si="12"/>
        <v>1.6727135716479973</v>
      </c>
      <c r="AO8" s="3">
        <f t="shared" si="13"/>
        <v>7.7068628307337335</v>
      </c>
      <c r="AP8" s="474">
        <f t="shared" si="14"/>
        <v>21.450218579531001</v>
      </c>
    </row>
    <row r="9" spans="2:42" ht="16.5">
      <c r="B9" t="s">
        <v>157</v>
      </c>
      <c r="C9" s="114">
        <f>_xlfn.SINGLE(CLmaxTO)</f>
        <v>0.91</v>
      </c>
      <c r="G9" s="2"/>
      <c r="J9" s="334"/>
      <c r="L9" t="s">
        <v>157</v>
      </c>
      <c r="M9" s="114">
        <f>_xlfn.SINGLE(CLmaxTO)</f>
        <v>0.91</v>
      </c>
      <c r="Q9" s="9"/>
      <c r="T9" s="334"/>
      <c r="W9" s="3">
        <f t="shared" si="4"/>
        <v>30.82003312393001</v>
      </c>
      <c r="X9" s="2">
        <f t="shared" si="2"/>
        <v>2.7605385941631012E-2</v>
      </c>
      <c r="Y9">
        <v>0</v>
      </c>
      <c r="Z9" cm="1">
        <f t="array" ref="Z9">Linterp(Y9,TO_alpha,TO_CL_a)</f>
        <v>0.249</v>
      </c>
      <c r="AA9" s="2" cm="1">
        <f t="array" ref="AA9">Linterp(Z9,TO_CL_cd,TO_CD_cl)</f>
        <v>7.4049999999999991E-2</v>
      </c>
      <c r="AB9" s="1">
        <f t="shared" si="0"/>
        <v>47.785349627309188</v>
      </c>
      <c r="AC9" s="1">
        <f t="shared" si="1"/>
        <v>14.210864015671666</v>
      </c>
      <c r="AD9" s="1">
        <f t="shared" si="3"/>
        <v>273.80536625931728</v>
      </c>
      <c r="AE9" s="467" cm="1">
        <f t="array" ref="AE9">numeng*InterpolateXY($V$1,$X9,Tmil_h,Tmil_M,Tmil_table)</f>
        <v>3811.0421543766524</v>
      </c>
      <c r="AF9" s="3">
        <f t="shared" si="5"/>
        <v>10.304530552913358</v>
      </c>
      <c r="AG9" s="3">
        <f t="shared" si="6"/>
        <v>0.49833564559265547</v>
      </c>
      <c r="AH9" s="3">
        <f t="shared" si="7"/>
        <v>2.9882947022229436</v>
      </c>
      <c r="AI9" s="3">
        <f t="shared" si="8"/>
        <v>14.078827678667299</v>
      </c>
      <c r="AJ9" s="474">
        <f t="shared" si="9"/>
        <v>46.053850093939246</v>
      </c>
      <c r="AK9" s="467" cm="1">
        <f t="array" ref="AK9">numeng*InterpolateXY($V$1,$X9,Tmax_h,Tmax_M,Tmax_table)</f>
        <v>5566.2529262599146</v>
      </c>
      <c r="AL9" s="3">
        <f t="shared" si="10"/>
        <v>15.438362496056271</v>
      </c>
      <c r="AM9" s="3">
        <f t="shared" si="11"/>
        <v>0.33294413410718382</v>
      </c>
      <c r="AN9" s="3">
        <f t="shared" si="12"/>
        <v>2.0056577057551812</v>
      </c>
      <c r="AO9" s="3">
        <f t="shared" si="13"/>
        <v>9.406236804801468</v>
      </c>
      <c r="AP9" s="474">
        <f t="shared" si="14"/>
        <v>30.85645538433247</v>
      </c>
    </row>
    <row r="10" spans="2:42" ht="16.5">
      <c r="B10" t="s">
        <v>158</v>
      </c>
      <c r="C10" s="116">
        <f>InterpolateXY(C8,F20,CD_CL,CD_M,CD_table)</f>
        <v>1.5862725838491177E-2</v>
      </c>
      <c r="G10" s="3"/>
      <c r="J10" s="334"/>
      <c r="L10" t="s">
        <v>158</v>
      </c>
      <c r="M10" s="116">
        <f>InterpolateXY(M8,P20,CD_CL,CD_M,CD_table)</f>
        <v>1.5862725838491177E-2</v>
      </c>
      <c r="Q10" s="9"/>
      <c r="T10" s="334"/>
      <c r="W10" s="3">
        <f t="shared" si="4"/>
        <v>35.956705311251682</v>
      </c>
      <c r="X10" s="2">
        <f t="shared" si="2"/>
        <v>3.2206283598569516E-2</v>
      </c>
      <c r="Y10">
        <v>0</v>
      </c>
      <c r="Z10" cm="1">
        <f t="array" ref="Z10">Linterp(Y10,TO_alpha,TO_CL_a)</f>
        <v>0.249</v>
      </c>
      <c r="AA10" s="2" cm="1">
        <f t="array" ref="AA10">Linterp(Z10,TO_CL_cd,TO_CD_cl)</f>
        <v>7.4049999999999991E-2</v>
      </c>
      <c r="AB10" s="1">
        <f t="shared" si="0"/>
        <v>65.041170326059728</v>
      </c>
      <c r="AC10" s="1">
        <f t="shared" si="1"/>
        <v>19.342564910219767</v>
      </c>
      <c r="AD10" s="1">
        <f t="shared" si="3"/>
        <v>273.3739707418485</v>
      </c>
      <c r="AE10" s="467" cm="1">
        <f t="array" ref="AE10">numeng*InterpolateXY($V$1,$X10,Tmil_h,Tmil_M,Tmil_table)</f>
        <v>3812.8825134394278</v>
      </c>
      <c r="AF10" s="3">
        <f t="shared" si="5"/>
        <v>10.296165469939139</v>
      </c>
      <c r="AG10" s="3">
        <f t="shared" si="6"/>
        <v>0.49868918813456842</v>
      </c>
      <c r="AH10" s="3">
        <f t="shared" si="7"/>
        <v>3.4869838903575121</v>
      </c>
      <c r="AI10" s="3">
        <f t="shared" si="8"/>
        <v>16.650418738257596</v>
      </c>
      <c r="AJ10" s="474">
        <f t="shared" si="9"/>
        <v>62.704268832196846</v>
      </c>
      <c r="AK10" s="467" cm="1">
        <f t="array" ref="AK10">numeng*InterpolateXY($V$1,$X10,Tmax_h,Tmax_M,Tmax_table)</f>
        <v>5577.295080636567</v>
      </c>
      <c r="AL10" s="3">
        <f t="shared" si="10"/>
        <v>15.456911827848298</v>
      </c>
      <c r="AM10" s="3">
        <f t="shared" si="11"/>
        <v>0.33252154575285836</v>
      </c>
      <c r="AN10" s="3">
        <f t="shared" si="12"/>
        <v>2.3381792515080395</v>
      </c>
      <c r="AO10" s="3">
        <f t="shared" si="13"/>
        <v>11.102352142400463</v>
      </c>
      <c r="AP10" s="474">
        <f t="shared" si="14"/>
        <v>41.958807526732933</v>
      </c>
    </row>
    <row r="11" spans="2:42" ht="16.5">
      <c r="B11" s="107" t="s">
        <v>159</v>
      </c>
      <c r="C11" s="116">
        <f>0.024+0.04</f>
        <v>6.4000000000000001E-2</v>
      </c>
      <c r="G11" s="9"/>
      <c r="J11" s="334"/>
      <c r="K11" s="107"/>
      <c r="L11" s="107" t="s">
        <v>159</v>
      </c>
      <c r="M11" s="116">
        <f>0.024+0.04</f>
        <v>6.4000000000000001E-2</v>
      </c>
      <c r="Q11" s="9"/>
      <c r="T11" s="334"/>
      <c r="W11" s="3">
        <f t="shared" si="4"/>
        <v>41.093377498573346</v>
      </c>
      <c r="X11" s="2">
        <f t="shared" si="2"/>
        <v>3.6807181255508012E-2</v>
      </c>
      <c r="Y11">
        <v>0</v>
      </c>
      <c r="Z11" cm="1">
        <f t="array" ref="Z11">Linterp(Y11,TO_alpha,TO_CL_a)</f>
        <v>0.249</v>
      </c>
      <c r="AA11" s="2" cm="1">
        <f t="array" ref="AA11">Linterp(Z11,TO_CL_cd,TO_CD_cl)</f>
        <v>7.4049999999999991E-2</v>
      </c>
      <c r="AB11" s="1">
        <f t="shared" si="0"/>
        <v>84.951732670771861</v>
      </c>
      <c r="AC11" s="1">
        <f t="shared" si="1"/>
        <v>25.263758250082955</v>
      </c>
      <c r="AD11" s="1">
        <f t="shared" si="3"/>
        <v>272.87620668323069</v>
      </c>
      <c r="AE11" s="467" cm="1">
        <f t="array" ref="AE11">numeng*InterpolateXY($V$1,$X11,Tmil_h,Tmil_M,Tmil_table)</f>
        <v>3814.7228725022032</v>
      </c>
      <c r="AF11" s="3">
        <f t="shared" si="5"/>
        <v>10.28568531528377</v>
      </c>
      <c r="AG11" s="3">
        <f t="shared" si="6"/>
        <v>0.49914579995008285</v>
      </c>
      <c r="AH11" s="3">
        <f t="shared" si="7"/>
        <v>3.9861296903075951</v>
      </c>
      <c r="AI11" s="3">
        <f t="shared" si="8"/>
        <v>19.22961261016512</v>
      </c>
      <c r="AJ11" s="474">
        <f t="shared" si="9"/>
        <v>81.933881442361965</v>
      </c>
      <c r="AK11" s="467" cm="1">
        <f t="array" ref="AK11">numeng*InterpolateXY($V$1,$X11,Tmax_h,Tmax_M,Tmax_table)</f>
        <v>5588.3372350132195</v>
      </c>
      <c r="AL11" s="3">
        <f t="shared" si="10"/>
        <v>15.473346087959174</v>
      </c>
      <c r="AM11" s="3">
        <f t="shared" si="11"/>
        <v>0.33214544807894891</v>
      </c>
      <c r="AN11" s="3">
        <f t="shared" si="12"/>
        <v>2.6703246995869883</v>
      </c>
      <c r="AO11" s="3">
        <f t="shared" si="13"/>
        <v>12.795917139694726</v>
      </c>
      <c r="AP11" s="474">
        <f t="shared" si="14"/>
        <v>54.754724666427663</v>
      </c>
    </row>
    <row r="12" spans="2:42" ht="16.5">
      <c r="B12" s="108" t="s">
        <v>160</v>
      </c>
      <c r="C12" s="115">
        <v>2.5000000000000001E-2</v>
      </c>
      <c r="G12" s="9"/>
      <c r="J12" s="334"/>
      <c r="K12" s="108"/>
      <c r="L12" s="108" t="s">
        <v>160</v>
      </c>
      <c r="M12" s="115">
        <v>2.5000000000000001E-2</v>
      </c>
      <c r="Q12" s="9"/>
      <c r="T12" s="334"/>
      <c r="W12" s="3">
        <f t="shared" si="4"/>
        <v>46.230049685895011</v>
      </c>
      <c r="X12" s="2">
        <f t="shared" si="2"/>
        <v>4.1408078912446515E-2</v>
      </c>
      <c r="Y12">
        <v>0</v>
      </c>
      <c r="Z12" cm="1">
        <f t="array" ref="Z12">Linterp(Y12,TO_alpha,TO_CL_a)</f>
        <v>0.249</v>
      </c>
      <c r="AA12" s="2" cm="1">
        <f t="array" ref="AA12">Linterp(Z12,TO_CL_cd,TO_CD_cl)</f>
        <v>7.4049999999999991E-2</v>
      </c>
      <c r="AB12" s="1">
        <f t="shared" si="0"/>
        <v>107.51703666144564</v>
      </c>
      <c r="AC12" s="1">
        <f t="shared" si="1"/>
        <v>31.974444035261243</v>
      </c>
      <c r="AD12" s="1">
        <f t="shared" si="3"/>
        <v>272.31207408346387</v>
      </c>
      <c r="AE12" s="467" cm="1">
        <f t="array" ref="AE12">numeng*InterpolateXY($V$1,$X12,Tmil_h,Tmil_M,Tmil_table)</f>
        <v>3816.5632315649787</v>
      </c>
      <c r="AF12" s="3">
        <f t="shared" si="5"/>
        <v>10.273090088947253</v>
      </c>
      <c r="AG12" s="3">
        <f t="shared" si="6"/>
        <v>0.49970604633041826</v>
      </c>
      <c r="AH12" s="3">
        <f t="shared" si="7"/>
        <v>4.4858357366380135</v>
      </c>
      <c r="AI12" s="3">
        <f t="shared" si="8"/>
        <v>21.818022275186426</v>
      </c>
      <c r="AJ12" s="474">
        <f t="shared" si="9"/>
        <v>103.75190371754839</v>
      </c>
      <c r="AK12" s="467" cm="1">
        <f t="array" ref="AK12">numeng*InterpolateXY($V$1,$X12,Tmax_h,Tmax_M,Tmax_table)</f>
        <v>5599.3793893898719</v>
      </c>
      <c r="AL12" s="3">
        <f t="shared" si="10"/>
        <v>15.487665276388899</v>
      </c>
      <c r="AM12" s="3">
        <f t="shared" si="11"/>
        <v>0.33181552933613767</v>
      </c>
      <c r="AN12" s="3">
        <f t="shared" si="12"/>
        <v>3.002140228923126</v>
      </c>
      <c r="AO12" s="3">
        <f t="shared" si="13"/>
        <v>14.487634607330021</v>
      </c>
      <c r="AP12" s="474">
        <f t="shared" si="14"/>
        <v>69.242359273757685</v>
      </c>
    </row>
    <row r="13" spans="2:42">
      <c r="B13" s="108"/>
      <c r="C13" s="115"/>
      <c r="G13" s="9"/>
      <c r="J13" s="334"/>
      <c r="K13" s="108"/>
      <c r="T13" s="334"/>
      <c r="W13" s="3">
        <f t="shared" si="4"/>
        <v>51.366721873216676</v>
      </c>
      <c r="X13" s="2">
        <f t="shared" si="2"/>
        <v>4.6008976569385011E-2</v>
      </c>
      <c r="Y13">
        <v>0</v>
      </c>
      <c r="Z13" cm="1">
        <f t="array" ref="Z13">Linterp(Y13,TO_alpha,TO_CL_a)</f>
        <v>0.249</v>
      </c>
      <c r="AA13" s="2" cm="1">
        <f t="array" ref="AA13">Linterp(Z13,TO_CL_cd,TO_CD_cl)</f>
        <v>7.4049999999999991E-2</v>
      </c>
      <c r="AB13" s="1">
        <f t="shared" si="0"/>
        <v>132.73708229808102</v>
      </c>
      <c r="AC13" s="1">
        <f t="shared" si="1"/>
        <v>39.474622265754611</v>
      </c>
      <c r="AD13" s="1">
        <f t="shared" si="3"/>
        <v>271.68157294254797</v>
      </c>
      <c r="AE13" s="467" cm="1">
        <f t="array" ref="AE13">numeng*InterpolateXY($V$1,$X13,Tmil_h,Tmil_M,Tmil_table)</f>
        <v>3818.4035906277541</v>
      </c>
      <c r="AF13" s="3">
        <f t="shared" si="5"/>
        <v>10.258379790929586</v>
      </c>
      <c r="AG13" s="3">
        <f t="shared" si="6"/>
        <v>0.50037062298751289</v>
      </c>
      <c r="AH13" s="3">
        <f t="shared" si="7"/>
        <v>4.9862063596255268</v>
      </c>
      <c r="AI13" s="3">
        <f t="shared" si="8"/>
        <v>24.417278693301348</v>
      </c>
      <c r="AJ13" s="474">
        <f t="shared" si="9"/>
        <v>128.16918241084974</v>
      </c>
      <c r="AK13" s="467" cm="1">
        <f t="array" ref="AK13">numeng*InterpolateXY($V$1,$X13,Tmax_h,Tmax_M,Tmax_table)</f>
        <v>5610.4215437665243</v>
      </c>
      <c r="AL13" s="3">
        <f t="shared" si="10"/>
        <v>15.499869393137475</v>
      </c>
      <c r="AM13" s="3">
        <f t="shared" si="11"/>
        <v>0.33153151692142507</v>
      </c>
      <c r="AN13" s="3">
        <f t="shared" si="12"/>
        <v>3.3336717458445513</v>
      </c>
      <c r="AO13" s="3">
        <f t="shared" si="13"/>
        <v>16.178202860813048</v>
      </c>
      <c r="AP13" s="474">
        <f t="shared" si="14"/>
        <v>85.42056213457073</v>
      </c>
    </row>
    <row r="14" spans="2:42" ht="15" thickBot="1">
      <c r="C14" s="4" t="s">
        <v>161</v>
      </c>
      <c r="H14" s="4"/>
      <c r="I14" s="4"/>
      <c r="J14" s="334"/>
      <c r="M14" s="4" t="s">
        <v>161</v>
      </c>
      <c r="T14" s="334"/>
      <c r="W14" s="3">
        <f t="shared" si="4"/>
        <v>56.503394060538341</v>
      </c>
      <c r="X14" s="2">
        <f t="shared" si="2"/>
        <v>5.0609874226323508E-2</v>
      </c>
      <c r="Y14">
        <v>0</v>
      </c>
      <c r="Z14" cm="1">
        <f t="array" ref="Z14">Linterp(Y14,TO_alpha,TO_CL_a)</f>
        <v>0.249</v>
      </c>
      <c r="AA14" s="2" cm="1">
        <f t="array" ref="AA14">Linterp(Z14,TO_CL_cd,TO_CD_cl)</f>
        <v>7.4049999999999991E-2</v>
      </c>
      <c r="AB14" s="1">
        <f t="shared" si="0"/>
        <v>160.61186958067799</v>
      </c>
      <c r="AC14" s="1">
        <f t="shared" si="1"/>
        <v>47.76429294156307</v>
      </c>
      <c r="AD14" s="1">
        <f t="shared" si="3"/>
        <v>270.98470326048306</v>
      </c>
      <c r="AE14" s="467" cm="1">
        <f t="array" ref="AE14">numeng*InterpolateXY($V$1,$X14,Tmil_h,Tmil_M,Tmil_table)</f>
        <v>3820.2439496905295</v>
      </c>
      <c r="AF14" s="3">
        <f t="shared" si="5"/>
        <v>10.24155442123077</v>
      </c>
      <c r="AG14" s="3">
        <f t="shared" si="6"/>
        <v>0.50114035822365155</v>
      </c>
      <c r="AH14" s="3">
        <f t="shared" si="7"/>
        <v>5.4873467178491779</v>
      </c>
      <c r="AI14" s="3">
        <f t="shared" si="8"/>
        <v>27.029034270334407</v>
      </c>
      <c r="AJ14" s="474">
        <f t="shared" si="9"/>
        <v>155.19821668118414</v>
      </c>
      <c r="AK14" s="467" cm="1">
        <f t="array" ref="AK14">numeng*InterpolateXY($V$1,$X14,Tmax_h,Tmax_M,Tmax_table)</f>
        <v>5621.4636981431768</v>
      </c>
      <c r="AL14" s="3">
        <f t="shared" si="10"/>
        <v>15.509958438204904</v>
      </c>
      <c r="AM14" s="3">
        <f t="shared" si="11"/>
        <v>0.33129317681215287</v>
      </c>
      <c r="AN14" s="3">
        <f t="shared" si="12"/>
        <v>3.6649649226567043</v>
      </c>
      <c r="AO14" s="3">
        <f t="shared" si="13"/>
        <v>17.868316695394466</v>
      </c>
      <c r="AP14" s="474">
        <f t="shared" si="14"/>
        <v>103.2888788299652</v>
      </c>
    </row>
    <row r="15" spans="2:42" ht="16.5">
      <c r="B15" t="s">
        <v>162</v>
      </c>
      <c r="C15" s="3">
        <v>1</v>
      </c>
      <c r="D15" s="160">
        <f>SQRT(2*C6/(G8*S*C9))</f>
        <v>244.60343749150798</v>
      </c>
      <c r="E15" t="s">
        <v>20</v>
      </c>
      <c r="F15" s="335">
        <f>D15/G$7</f>
        <v>0.21909036461611911</v>
      </c>
      <c r="G15" t="s">
        <v>23</v>
      </c>
      <c r="H15" s="114"/>
      <c r="I15" s="114"/>
      <c r="J15" s="334"/>
      <c r="L15" t="s">
        <v>162</v>
      </c>
      <c r="M15" s="3">
        <v>1</v>
      </c>
      <c r="N15" s="160">
        <f>SQRT(2*M6/(Q8*S*M9))</f>
        <v>244.60343749150798</v>
      </c>
      <c r="O15" t="s">
        <v>20</v>
      </c>
      <c r="P15" s="335">
        <f>N15/Q$7</f>
        <v>0.21909036461611911</v>
      </c>
      <c r="Q15" t="s">
        <v>23</v>
      </c>
      <c r="T15" s="334"/>
      <c r="W15" s="3">
        <f t="shared" si="4"/>
        <v>61.640066247860005</v>
      </c>
      <c r="X15" s="2">
        <f t="shared" si="2"/>
        <v>5.5210771883262011E-2</v>
      </c>
      <c r="Y15">
        <v>0</v>
      </c>
      <c r="Z15" cm="1">
        <f t="array" ref="Z15">Linterp(Y15,TO_alpha,TO_CL_a)</f>
        <v>0.249</v>
      </c>
      <c r="AA15" s="2" cm="1">
        <f t="array" ref="AA15">Linterp(Z15,TO_CL_cd,TO_CD_cl)</f>
        <v>7.4049999999999991E-2</v>
      </c>
      <c r="AB15" s="1">
        <f t="shared" si="0"/>
        <v>191.14139850923667</v>
      </c>
      <c r="AC15" s="1">
        <f t="shared" si="1"/>
        <v>56.843456062686634</v>
      </c>
      <c r="AD15" s="1">
        <f t="shared" si="3"/>
        <v>270.22146503726907</v>
      </c>
      <c r="AE15" s="467" cm="1">
        <f t="array" ref="AE15">numeng*InterpolateXY($V$1,$X15,Tmil_h,Tmil_M,Tmil_table)</f>
        <v>3822.0843087533049</v>
      </c>
      <c r="AF15" s="3">
        <f t="shared" si="5"/>
        <v>10.222613979850806</v>
      </c>
      <c r="AG15" s="3">
        <f t="shared" si="6"/>
        <v>0.50201621552822839</v>
      </c>
      <c r="AH15" s="3">
        <f t="shared" si="7"/>
        <v>5.9893629333774063</v>
      </c>
      <c r="AI15" s="3">
        <f t="shared" si="8"/>
        <v>29.654966416715801</v>
      </c>
      <c r="AJ15" s="474">
        <f t="shared" si="9"/>
        <v>184.85318309789994</v>
      </c>
      <c r="AK15" s="467" cm="1">
        <f t="array" ref="AK15">numeng*InterpolateXY($V$1,$X15,Tmax_h,Tmax_M,Tmax_table)</f>
        <v>5632.5058525198292</v>
      </c>
      <c r="AL15" s="3">
        <f t="shared" si="10"/>
        <v>15.517932411591184</v>
      </c>
      <c r="AM15" s="3">
        <f t="shared" si="11"/>
        <v>0.33110031308205551</v>
      </c>
      <c r="AN15" s="3">
        <f t="shared" si="12"/>
        <v>3.9960652357387598</v>
      </c>
      <c r="AO15" s="3">
        <f t="shared" si="13"/>
        <v>19.558668348354047</v>
      </c>
      <c r="AP15" s="474">
        <f t="shared" si="14"/>
        <v>122.84754717831925</v>
      </c>
    </row>
    <row r="16" spans="2:42" ht="16.5">
      <c r="B16" t="s">
        <v>163</v>
      </c>
      <c r="C16">
        <v>1.05</v>
      </c>
      <c r="D16" s="161">
        <f>C16*D$15</f>
        <v>256.83360936608341</v>
      </c>
      <c r="E16" t="s">
        <v>20</v>
      </c>
      <c r="F16" s="336">
        <f t="shared" ref="F16:F20" si="15">D16/G$7</f>
        <v>0.23004488284692509</v>
      </c>
      <c r="G16" t="s">
        <v>23</v>
      </c>
      <c r="H16" s="114"/>
      <c r="I16" s="114"/>
      <c r="J16" s="334"/>
      <c r="L16" t="s">
        <v>163</v>
      </c>
      <c r="M16">
        <v>1.05</v>
      </c>
      <c r="N16" s="161">
        <f>M16*N$15</f>
        <v>256.83360936608341</v>
      </c>
      <c r="O16" t="s">
        <v>20</v>
      </c>
      <c r="P16" s="339">
        <f t="shared" ref="P16:P18" si="16">N16/Q$7</f>
        <v>0.23004488284692509</v>
      </c>
      <c r="Q16" t="s">
        <v>23</v>
      </c>
      <c r="T16" s="334"/>
      <c r="W16" s="3">
        <f t="shared" si="4"/>
        <v>66.77673843518167</v>
      </c>
      <c r="X16" s="2">
        <f t="shared" si="2"/>
        <v>5.9811669540200507E-2</v>
      </c>
      <c r="Y16">
        <v>0</v>
      </c>
      <c r="Z16" cm="1">
        <f t="array" ref="Z16">Linterp(Y16,TO_alpha,TO_CL_a)</f>
        <v>0.249</v>
      </c>
      <c r="AA16" s="2" cm="1">
        <f t="array" ref="AA16">Linterp(Z16,TO_CL_cd,TO_CD_cl)</f>
        <v>7.4049999999999991E-2</v>
      </c>
      <c r="AB16" s="1">
        <f t="shared" si="0"/>
        <v>224.32566908375685</v>
      </c>
      <c r="AC16" s="1">
        <f t="shared" si="1"/>
        <v>66.712111629125275</v>
      </c>
      <c r="AD16" s="1">
        <f t="shared" si="3"/>
        <v>269.39185827290606</v>
      </c>
      <c r="AE16" s="467" cm="1">
        <f t="array" ref="AE16">numeng*InterpolateXY($V$1,$X16,Tmil_h,Tmil_M,Tmil_table)</f>
        <v>3823.9246678160803</v>
      </c>
      <c r="AF16" s="3">
        <f t="shared" si="5"/>
        <v>10.201558466789693</v>
      </c>
      <c r="AG16" s="3">
        <f t="shared" si="6"/>
        <v>0.50299929661694354</v>
      </c>
      <c r="AH16" s="3">
        <f t="shared" si="7"/>
        <v>6.4923622299943498</v>
      </c>
      <c r="AI16" s="3">
        <f t="shared" si="8"/>
        <v>32.296781214682689</v>
      </c>
      <c r="AJ16" s="474">
        <f t="shared" si="9"/>
        <v>217.14996431258263</v>
      </c>
      <c r="AK16" s="467" cm="1">
        <f t="array" ref="AK16">numeng*InterpolateXY($V$1,$X16,Tmax_h,Tmax_M,Tmax_table)</f>
        <v>5643.5480068964816</v>
      </c>
      <c r="AL16" s="3">
        <f t="shared" si="10"/>
        <v>15.523791313296314</v>
      </c>
      <c r="AM16" s="3">
        <f t="shared" si="11"/>
        <v>0.33095276749746805</v>
      </c>
      <c r="AN16" s="3">
        <f t="shared" si="12"/>
        <v>4.327018003236228</v>
      </c>
      <c r="AO16" s="3">
        <f t="shared" si="13"/>
        <v>21.249948451517231</v>
      </c>
      <c r="AP16" s="474">
        <f t="shared" si="14"/>
        <v>144.09749562983649</v>
      </c>
    </row>
    <row r="17" spans="1:42" ht="16.5">
      <c r="B17" t="s">
        <v>164</v>
      </c>
      <c r="C17" s="3">
        <v>1.1000000000000001</v>
      </c>
      <c r="D17" s="161">
        <f t="shared" ref="D17:D18" si="17">C17*D$15</f>
        <v>269.06378124065878</v>
      </c>
      <c r="E17" t="s">
        <v>20</v>
      </c>
      <c r="F17" s="336">
        <f t="shared" si="15"/>
        <v>0.24099940107773102</v>
      </c>
      <c r="G17" t="s">
        <v>23</v>
      </c>
      <c r="H17" s="114"/>
      <c r="I17" s="114"/>
      <c r="J17" s="334"/>
      <c r="L17" t="s">
        <v>164</v>
      </c>
      <c r="M17" s="3">
        <v>1.1000000000000001</v>
      </c>
      <c r="N17" s="161">
        <f t="shared" ref="N17:N18" si="18">M17*N$15</f>
        <v>269.06378124065878</v>
      </c>
      <c r="O17" t="s">
        <v>20</v>
      </c>
      <c r="P17" s="339">
        <f t="shared" si="16"/>
        <v>0.24099940107773102</v>
      </c>
      <c r="Q17" t="s">
        <v>23</v>
      </c>
      <c r="T17" s="334"/>
      <c r="W17" s="3">
        <f t="shared" si="4"/>
        <v>71.913410622503335</v>
      </c>
      <c r="X17" s="2">
        <f t="shared" si="2"/>
        <v>6.4412567197139003E-2</v>
      </c>
      <c r="Y17">
        <v>0</v>
      </c>
      <c r="Z17" cm="1">
        <f t="array" ref="Z17">Linterp(Y17,TO_alpha,TO_CL_a)</f>
        <v>0.249</v>
      </c>
      <c r="AA17" s="2" cm="1">
        <f t="array" ref="AA17">Linterp(Z17,TO_CL_cd,TO_CD_cl)</f>
        <v>7.4049999999999991E-2</v>
      </c>
      <c r="AB17" s="1">
        <f t="shared" si="0"/>
        <v>260.16468130423868</v>
      </c>
      <c r="AC17" s="1">
        <f t="shared" si="1"/>
        <v>77.370259640878999</v>
      </c>
      <c r="AD17" s="1">
        <f t="shared" si="3"/>
        <v>268.49588296739404</v>
      </c>
      <c r="AE17" s="467" cm="1">
        <f t="array" ref="AE17">numeng*InterpolateXY($V$1,$X17,Tmil_h,Tmil_M,Tmil_table)</f>
        <v>3825.7650268788557</v>
      </c>
      <c r="AF17" s="3">
        <f t="shared" si="5"/>
        <v>10.17838788204743</v>
      </c>
      <c r="AG17" s="3">
        <f t="shared" si="6"/>
        <v>0.50409084493146983</v>
      </c>
      <c r="AH17" s="3">
        <f t="shared" si="7"/>
        <v>6.9964530749258191</v>
      </c>
      <c r="AI17" s="3">
        <f t="shared" si="8"/>
        <v>34.956217211079966</v>
      </c>
      <c r="AJ17" s="474">
        <f t="shared" si="9"/>
        <v>252.1061815236626</v>
      </c>
      <c r="AK17" s="467" cm="1">
        <f t="array" ref="AK17">numeng*InterpolateXY($V$1,$X17,Tmax_h,Tmax_M,Tmax_table)</f>
        <v>5654.5901612731332</v>
      </c>
      <c r="AL17" s="3">
        <f t="shared" si="10"/>
        <v>15.527535143320291</v>
      </c>
      <c r="AM17" s="3">
        <f t="shared" si="11"/>
        <v>0.33085041919213154</v>
      </c>
      <c r="AN17" s="3">
        <f t="shared" si="12"/>
        <v>4.6578684224283595</v>
      </c>
      <c r="AO17" s="3">
        <f t="shared" si="13"/>
        <v>22.942846976777144</v>
      </c>
      <c r="AP17" s="474">
        <f t="shared" si="14"/>
        <v>167.04034260661362</v>
      </c>
    </row>
    <row r="18" spans="1:42" ht="16.5">
      <c r="B18" t="s">
        <v>165</v>
      </c>
      <c r="C18" s="3">
        <v>1.2</v>
      </c>
      <c r="D18" s="161">
        <f t="shared" si="17"/>
        <v>293.52412498980954</v>
      </c>
      <c r="E18" t="s">
        <v>20</v>
      </c>
      <c r="F18" s="336">
        <f t="shared" si="15"/>
        <v>0.2629084375393429</v>
      </c>
      <c r="G18" t="s">
        <v>23</v>
      </c>
      <c r="H18" s="114"/>
      <c r="I18" s="114"/>
      <c r="J18" s="334"/>
      <c r="L18" t="s">
        <v>165</v>
      </c>
      <c r="M18" s="3">
        <v>1.2</v>
      </c>
      <c r="N18" s="161">
        <f t="shared" si="18"/>
        <v>293.52412498980954</v>
      </c>
      <c r="O18" t="s">
        <v>20</v>
      </c>
      <c r="P18" s="339">
        <f t="shared" si="16"/>
        <v>0.2629084375393429</v>
      </c>
      <c r="Q18" t="s">
        <v>23</v>
      </c>
      <c r="T18" s="334"/>
      <c r="W18" s="3">
        <f t="shared" si="4"/>
        <v>77.050082809825</v>
      </c>
      <c r="X18" s="2">
        <f t="shared" si="2"/>
        <v>6.90134648540775E-2</v>
      </c>
      <c r="Y18">
        <v>0</v>
      </c>
      <c r="Z18" cm="1">
        <f t="array" ref="Z18">Linterp(Y18,TO_alpha,TO_CL_a)</f>
        <v>0.249</v>
      </c>
      <c r="AA18" s="2" cm="1">
        <f t="array" ref="AA18">Linterp(Z18,TO_CL_cd,TO_CD_cl)</f>
        <v>7.4049999999999991E-2</v>
      </c>
      <c r="AB18" s="1">
        <f t="shared" si="0"/>
        <v>298.65843517068214</v>
      </c>
      <c r="AC18" s="1">
        <f t="shared" si="1"/>
        <v>88.817900097947827</v>
      </c>
      <c r="AD18" s="1">
        <f t="shared" si="3"/>
        <v>267.53353912073294</v>
      </c>
      <c r="AE18" s="467" cm="1">
        <f t="array" ref="AE18">numeng*InterpolateXY($V$1,$X18,Tmil_h,Tmil_M,Tmil_table)</f>
        <v>3827.6053859416311</v>
      </c>
      <c r="AF18" s="3">
        <f t="shared" si="5"/>
        <v>10.153102225624018</v>
      </c>
      <c r="AG18" s="3">
        <f t="shared" si="6"/>
        <v>0.50529224962055319</v>
      </c>
      <c r="AH18" s="3">
        <f t="shared" si="7"/>
        <v>7.5017453245463726</v>
      </c>
      <c r="AI18" s="3">
        <f t="shared" si="8"/>
        <v>37.635049353878841</v>
      </c>
      <c r="AJ18" s="474">
        <f t="shared" si="9"/>
        <v>289.74123087754145</v>
      </c>
      <c r="AK18" s="467" cm="1">
        <f t="array" ref="AK18">numeng*InterpolateXY($V$1,$X18,Tmax_h,Tmax_M,Tmax_table)</f>
        <v>5665.6323156497856</v>
      </c>
      <c r="AL18" s="3">
        <f t="shared" si="10"/>
        <v>15.529163901663125</v>
      </c>
      <c r="AM18" s="3">
        <f t="shared" si="11"/>
        <v>0.33079318441934608</v>
      </c>
      <c r="AN18" s="3">
        <f t="shared" si="12"/>
        <v>4.9886616068477059</v>
      </c>
      <c r="AO18" s="3">
        <f t="shared" si="13"/>
        <v>24.638054177355116</v>
      </c>
      <c r="AP18" s="474">
        <f t="shared" si="14"/>
        <v>191.67839678396874</v>
      </c>
    </row>
    <row r="19" spans="1:42">
      <c r="D19" s="162"/>
      <c r="F19" s="162"/>
      <c r="I19" s="3"/>
      <c r="J19" s="334"/>
      <c r="N19" s="162"/>
      <c r="P19" s="162"/>
      <c r="T19" s="334"/>
      <c r="W19" s="3">
        <f t="shared" si="4"/>
        <v>82.186754997146664</v>
      </c>
      <c r="X19" s="2">
        <f t="shared" si="2"/>
        <v>7.361436251101601E-2</v>
      </c>
      <c r="Y19">
        <v>0</v>
      </c>
      <c r="Z19" cm="1">
        <f t="array" ref="Z19">Linterp(Y19,TO_alpha,TO_CL_a)</f>
        <v>0.249</v>
      </c>
      <c r="AA19" s="2" cm="1">
        <f t="array" ref="AA19">Linterp(Z19,TO_CL_cd,TO_CD_cl)</f>
        <v>7.4049999999999991E-2</v>
      </c>
      <c r="AB19" s="1">
        <f t="shared" si="0"/>
        <v>339.80693068308733</v>
      </c>
      <c r="AC19" s="1">
        <f t="shared" si="1"/>
        <v>101.05503300033178</v>
      </c>
      <c r="AD19" s="1">
        <f t="shared" si="3"/>
        <v>266.50482673292282</v>
      </c>
      <c r="AE19" s="467" cm="1">
        <f t="array" ref="AE19">numeng*InterpolateXY($V$1,$X19,Tmil_h,Tmil_M,Tmil_table)</f>
        <v>3829.4457450044065</v>
      </c>
      <c r="AF19" s="3">
        <f t="shared" si="5"/>
        <v>10.12570149751946</v>
      </c>
      <c r="AG19" s="3">
        <f t="shared" si="6"/>
        <v>0.50660505002663092</v>
      </c>
      <c r="AH19" s="3">
        <f t="shared" si="7"/>
        <v>8.0083503745730038</v>
      </c>
      <c r="AI19" s="3">
        <f t="shared" si="8"/>
        <v>40.335093091641696</v>
      </c>
      <c r="AJ19" s="474">
        <f t="shared" si="9"/>
        <v>330.07632396918314</v>
      </c>
      <c r="AK19" s="467" cm="1">
        <f t="array" ref="AK19">numeng*InterpolateXY($V$1,$X19,Tmax_h,Tmax_M,Tmax_table)</f>
        <v>5676.674470026438</v>
      </c>
      <c r="AL19" s="3">
        <f t="shared" si="10"/>
        <v>15.528677588324809</v>
      </c>
      <c r="AM19" s="3">
        <f t="shared" si="11"/>
        <v>0.33078101638052115</v>
      </c>
      <c r="AN19" s="3">
        <f t="shared" si="12"/>
        <v>5.3194426232282268</v>
      </c>
      <c r="AO19" s="3">
        <f t="shared" si="13"/>
        <v>26.33626152750514</v>
      </c>
      <c r="AP19" s="474">
        <f t="shared" si="14"/>
        <v>218.01465831147388</v>
      </c>
    </row>
    <row r="20" spans="1:42" ht="17" thickBot="1">
      <c r="B20" s="110" t="s">
        <v>166</v>
      </c>
      <c r="D20" s="163">
        <f>0.7*D17</f>
        <v>188.34464686846113</v>
      </c>
      <c r="E20" t="s">
        <v>20</v>
      </c>
      <c r="F20" s="337">
        <f t="shared" si="15"/>
        <v>0.16869958075441169</v>
      </c>
      <c r="G20" t="s">
        <v>23</v>
      </c>
      <c r="I20" s="114"/>
      <c r="J20" s="334"/>
      <c r="K20" s="110"/>
      <c r="L20" s="110" t="s">
        <v>166</v>
      </c>
      <c r="N20" s="163">
        <f>0.7*N17</f>
        <v>188.34464686846113</v>
      </c>
      <c r="O20" t="s">
        <v>20</v>
      </c>
      <c r="P20" s="337">
        <f t="shared" ref="P20" si="19">N20/Q$7</f>
        <v>0.16869958075441169</v>
      </c>
      <c r="Q20" t="s">
        <v>23</v>
      </c>
      <c r="T20" s="334"/>
      <c r="W20" s="3">
        <f t="shared" si="4"/>
        <v>87.323427184468329</v>
      </c>
      <c r="X20" s="2">
        <f t="shared" si="2"/>
        <v>7.8215260167954506E-2</v>
      </c>
      <c r="Y20">
        <v>0</v>
      </c>
      <c r="Z20" cm="1">
        <f t="array" ref="Z20">Linterp(Y20,TO_alpha,TO_CL_a)</f>
        <v>0.249</v>
      </c>
      <c r="AA20" s="2" cm="1">
        <f t="array" ref="AA20">Linterp(Z20,TO_CL_cd,TO_CD_cl)</f>
        <v>7.4049999999999991E-2</v>
      </c>
      <c r="AB20" s="1">
        <f t="shared" si="0"/>
        <v>383.61016784145403</v>
      </c>
      <c r="AC20" s="1">
        <f t="shared" si="1"/>
        <v>114.08165834803079</v>
      </c>
      <c r="AD20" s="1">
        <f t="shared" si="3"/>
        <v>265.40974580396363</v>
      </c>
      <c r="AE20" s="467" cm="1">
        <f t="array" ref="AE20">numeng*InterpolateXY($V$1,$X20,Tmil_h,Tmil_M,Tmil_table)</f>
        <v>3831.2861040671819</v>
      </c>
      <c r="AF20" s="3">
        <f t="shared" si="5"/>
        <v>10.09618569773375</v>
      </c>
      <c r="AG20" s="3">
        <f t="shared" si="6"/>
        <v>0.50803094070541777</v>
      </c>
      <c r="AH20" s="3">
        <f t="shared" si="7"/>
        <v>8.5163813152784211</v>
      </c>
      <c r="AI20" s="3">
        <f t="shared" si="8"/>
        <v>43.058208656436307</v>
      </c>
      <c r="AJ20" s="474">
        <f t="shared" si="9"/>
        <v>373.13453262561944</v>
      </c>
      <c r="AK20" s="467" cm="1">
        <f t="array" ref="AK20">numeng*InterpolateXY($V$1,$X20,Tmax_h,Tmax_M,Tmax_table)</f>
        <v>5687.7166244030905</v>
      </c>
      <c r="AL20" s="3">
        <f t="shared" si="10"/>
        <v>15.526076203305344</v>
      </c>
      <c r="AM20" s="3">
        <f t="shared" si="11"/>
        <v>0.33081390512946818</v>
      </c>
      <c r="AN20" s="3">
        <f t="shared" si="12"/>
        <v>5.6502565283576951</v>
      </c>
      <c r="AO20" s="3">
        <f t="shared" si="13"/>
        <v>28.038162663353823</v>
      </c>
      <c r="AP20" s="474">
        <f t="shared" si="14"/>
        <v>246.05282097482771</v>
      </c>
    </row>
    <row r="21" spans="1:42">
      <c r="D21" s="2"/>
      <c r="J21" s="334"/>
      <c r="N21" s="2"/>
      <c r="T21" s="334"/>
      <c r="W21" s="3">
        <f t="shared" si="4"/>
        <v>92.460099371789994</v>
      </c>
      <c r="X21" s="2">
        <f t="shared" si="2"/>
        <v>8.2816157824893002E-2</v>
      </c>
      <c r="Y21">
        <v>0</v>
      </c>
      <c r="Z21" cm="1">
        <f t="array" ref="Z21">Linterp(Y21,TO_alpha,TO_CL_a)</f>
        <v>0.249</v>
      </c>
      <c r="AA21" s="2" cm="1">
        <f t="array" ref="AA21">Linterp(Z21,TO_CL_cd,TO_CD_cl)</f>
        <v>7.4049999999999991E-2</v>
      </c>
      <c r="AB21" s="1">
        <f t="shared" si="0"/>
        <v>430.06814664578235</v>
      </c>
      <c r="AC21" s="1">
        <f t="shared" si="1"/>
        <v>127.89777614104489</v>
      </c>
      <c r="AD21" s="1">
        <f t="shared" si="3"/>
        <v>264.24829633385542</v>
      </c>
      <c r="AE21" s="467" cm="1">
        <f t="array" ref="AE21">numeng*InterpolateXY($V$1,$X21,Tmil_h,Tmil_M,Tmil_table)</f>
        <v>3833.1264631299573</v>
      </c>
      <c r="AF21" s="3">
        <f t="shared" si="5"/>
        <v>10.064554826266892</v>
      </c>
      <c r="AG21" s="3">
        <f t="shared" si="6"/>
        <v>0.50957177700954381</v>
      </c>
      <c r="AH21" s="3">
        <f t="shared" si="7"/>
        <v>9.0259530922879652</v>
      </c>
      <c r="AI21" s="3">
        <f t="shared" si="8"/>
        <v>45.806305552157532</v>
      </c>
      <c r="AJ21" s="474">
        <f t="shared" si="9"/>
        <v>418.94083817777698</v>
      </c>
      <c r="AK21" s="467" cm="1">
        <f t="array" ref="AK21">numeng*InterpolateXY($V$1,$X21,Tmax_h,Tmax_M,Tmax_table)</f>
        <v>5698.7587787797429</v>
      </c>
      <c r="AL21" s="3">
        <f t="shared" si="10"/>
        <v>15.521359746604729</v>
      </c>
      <c r="AM21" s="3">
        <f t="shared" si="11"/>
        <v>0.33089187755206834</v>
      </c>
      <c r="AN21" s="3">
        <f t="shared" si="12"/>
        <v>5.9811484059097637</v>
      </c>
      <c r="AO21" s="3">
        <f t="shared" si="13"/>
        <v>29.744454327566228</v>
      </c>
      <c r="AP21" s="474">
        <f t="shared" si="14"/>
        <v>275.79727530239393</v>
      </c>
    </row>
    <row r="22" spans="1:42" ht="15" thickBot="1">
      <c r="J22" s="334"/>
      <c r="T22" s="334"/>
      <c r="W22" s="3">
        <f t="shared" si="4"/>
        <v>97.596771559111659</v>
      </c>
      <c r="X22" s="2">
        <f t="shared" si="2"/>
        <v>8.7417055481831499E-2</v>
      </c>
      <c r="Y22">
        <v>0</v>
      </c>
      <c r="Z22" cm="1">
        <f t="array" ref="Z22">Linterp(Y22,TO_alpha,TO_CL_a)</f>
        <v>0.249</v>
      </c>
      <c r="AA22" s="2" cm="1">
        <f t="array" ref="AA22">Linterp(Z22,TO_CL_cd,TO_CD_cl)</f>
        <v>7.4049999999999991E-2</v>
      </c>
      <c r="AB22" s="1">
        <f t="shared" si="0"/>
        <v>479.18086709607223</v>
      </c>
      <c r="AC22" s="1">
        <f t="shared" si="1"/>
        <v>142.50338637937406</v>
      </c>
      <c r="AD22" s="1">
        <f t="shared" si="3"/>
        <v>263.02047832259819</v>
      </c>
      <c r="AE22" s="467" cm="1">
        <f t="array" ref="AE22">numeng*InterpolateXY($V$1,$X22,Tmil_h,Tmil_M,Tmil_table)</f>
        <v>3834.9668221927327</v>
      </c>
      <c r="AF22" s="3">
        <f t="shared" si="5"/>
        <v>10.030808883118885</v>
      </c>
      <c r="AG22" s="3">
        <f t="shared" si="6"/>
        <v>0.51122958127127804</v>
      </c>
      <c r="AH22" s="3">
        <f t="shared" si="7"/>
        <v>9.5371826735592435</v>
      </c>
      <c r="AI22" s="3">
        <f t="shared" si="8"/>
        <v>48.581347271867095</v>
      </c>
      <c r="AJ22" s="474">
        <f t="shared" si="9"/>
        <v>467.5221854496441</v>
      </c>
      <c r="AK22" s="467" cm="1">
        <f t="array" ref="AK22">numeng*InterpolateXY($V$1,$X22,Tmax_h,Tmax_M,Tmax_table)</f>
        <v>5709.8009331563953</v>
      </c>
      <c r="AL22" s="3">
        <f t="shared" si="10"/>
        <v>15.514528218222965</v>
      </c>
      <c r="AM22" s="3">
        <f t="shared" si="11"/>
        <v>0.33101499742123991</v>
      </c>
      <c r="AN22" s="3">
        <f t="shared" si="12"/>
        <v>6.3121634033310032</v>
      </c>
      <c r="AO22" s="3">
        <f t="shared" si="13"/>
        <v>31.455837320540667</v>
      </c>
      <c r="AP22" s="474">
        <f t="shared" si="14"/>
        <v>307.25311262293462</v>
      </c>
    </row>
    <row r="23" spans="1:42">
      <c r="B23" t="s">
        <v>84</v>
      </c>
      <c r="C23" s="164" cm="1">
        <f t="array" ref="C23">InterpolateXY(C7,F20,Tmil_h,Tmil_M,Tmil_table)*numeng</f>
        <v>3867.4798227647489</v>
      </c>
      <c r="D23" t="s">
        <v>5</v>
      </c>
      <c r="J23" s="334"/>
      <c r="L23" t="s">
        <v>84</v>
      </c>
      <c r="M23" s="164" cm="1">
        <f t="array" ref="M23">InterpolateXY(M7,P20,Tmax_h,Tmax_M,Tmax_table)*numeng</f>
        <v>5904.8789792182761</v>
      </c>
      <c r="N23" t="s">
        <v>5</v>
      </c>
      <c r="T23" s="334"/>
      <c r="W23" s="3">
        <f t="shared" si="4"/>
        <v>102.73344374643332</v>
      </c>
      <c r="X23" s="2">
        <f t="shared" si="2"/>
        <v>9.2017953138769995E-2</v>
      </c>
      <c r="Y23">
        <v>0</v>
      </c>
      <c r="Z23" cm="1">
        <f t="array" ref="Z23">Linterp(Y23,TO_alpha,TO_CL_a)</f>
        <v>0.249</v>
      </c>
      <c r="AA23" s="2" cm="1">
        <f t="array" ref="AA23">Linterp(Z23,TO_CL_cd,TO_CD_cl)</f>
        <v>7.4049999999999991E-2</v>
      </c>
      <c r="AB23" s="1">
        <f t="shared" si="0"/>
        <v>530.94832919232374</v>
      </c>
      <c r="AC23" s="1">
        <f t="shared" si="1"/>
        <v>157.89848906301836</v>
      </c>
      <c r="AD23" s="1">
        <f t="shared" si="3"/>
        <v>261.72629177019189</v>
      </c>
      <c r="AE23" s="467" cm="1">
        <f t="array" ref="AE23">numeng*InterpolateXY($V$1,$X23,Tmil_h,Tmil_M,Tmil_table)</f>
        <v>3836.8071812555081</v>
      </c>
      <c r="AF23" s="3">
        <f t="shared" si="5"/>
        <v>9.9949478682897297</v>
      </c>
      <c r="AG23" s="3">
        <f t="shared" si="6"/>
        <v>0.51300654962368408</v>
      </c>
      <c r="AH23" s="3">
        <f t="shared" si="7"/>
        <v>10.050189223182928</v>
      </c>
      <c r="AI23" s="3">
        <f t="shared" si="8"/>
        <v>51.385356269633689</v>
      </c>
      <c r="AJ23" s="474">
        <f t="shared" si="9"/>
        <v>518.90754171927779</v>
      </c>
      <c r="AK23" s="467" cm="1">
        <f t="array" ref="AK23">numeng*InterpolateXY($V$1,$X23,Tmax_h,Tmax_M,Tmax_table)</f>
        <v>5720.8430875330478</v>
      </c>
      <c r="AL23" s="3">
        <f t="shared" si="10"/>
        <v>15.505581618160054</v>
      </c>
      <c r="AM23" s="3">
        <f t="shared" si="11"/>
        <v>0.33118336552741273</v>
      </c>
      <c r="AN23" s="3">
        <f t="shared" si="12"/>
        <v>6.6433467688584162</v>
      </c>
      <c r="AO23" s="3">
        <f t="shared" si="13"/>
        <v>33.173017460860798</v>
      </c>
      <c r="AP23" s="474">
        <f t="shared" si="14"/>
        <v>340.42613008379544</v>
      </c>
    </row>
    <row r="24" spans="1:42">
      <c r="B24" t="s">
        <v>76</v>
      </c>
      <c r="C24" s="165">
        <f>(S*G6*F20^2)*(C10+C11)</f>
        <v>572.37401636453308</v>
      </c>
      <c r="D24" t="s">
        <v>5</v>
      </c>
      <c r="J24" s="334"/>
      <c r="L24" t="s">
        <v>76</v>
      </c>
      <c r="M24" s="165">
        <f>(S*Q6*P20^2)*(M10+M11)</f>
        <v>572.37401636453308</v>
      </c>
      <c r="N24" t="s">
        <v>5</v>
      </c>
      <c r="T24" s="334"/>
      <c r="W24" s="3">
        <f t="shared" si="4"/>
        <v>107.87011593375499</v>
      </c>
      <c r="X24" s="2">
        <f t="shared" si="2"/>
        <v>9.6618850795708491E-2</v>
      </c>
      <c r="Y24">
        <v>0</v>
      </c>
      <c r="Z24" cm="1">
        <f t="array" ref="Z24">Linterp(Y24,TO_alpha,TO_CL_a)</f>
        <v>0.249</v>
      </c>
      <c r="AA24" s="2" cm="1">
        <f t="array" ref="AA24">Linterp(Z24,TO_CL_cd,TO_CD_cl)</f>
        <v>7.4049999999999991E-2</v>
      </c>
      <c r="AB24" s="1">
        <f t="shared" si="0"/>
        <v>585.37053293453687</v>
      </c>
      <c r="AC24" s="1">
        <f t="shared" si="1"/>
        <v>174.08308419197772</v>
      </c>
      <c r="AD24" s="1">
        <f t="shared" si="3"/>
        <v>260.36573667663657</v>
      </c>
      <c r="AE24" s="467" cm="1">
        <f t="array" ref="AE24">numeng*InterpolateXY($V$1,$X24,Tmil_h,Tmil_M,Tmil_table)</f>
        <v>3838.6475403182835</v>
      </c>
      <c r="AF24" s="3">
        <f t="shared" si="5"/>
        <v>9.9569717817794245</v>
      </c>
      <c r="AG24" s="3">
        <f t="shared" si="6"/>
        <v>0.5149050595042729</v>
      </c>
      <c r="AH24" s="3">
        <f t="shared" si="7"/>
        <v>10.5650942826872</v>
      </c>
      <c r="AI24" s="3">
        <f t="shared" si="8"/>
        <v>54.220419214469523</v>
      </c>
      <c r="AJ24" s="474">
        <f t="shared" si="9"/>
        <v>573.12796093374732</v>
      </c>
      <c r="AK24" s="467" cm="1">
        <f t="array" ref="AK24">numeng*InterpolateXY($V$1,$X24,Tmax_h,Tmax_M,Tmax_table)</f>
        <v>5731.8852419097002</v>
      </c>
      <c r="AL24" s="3">
        <f t="shared" si="10"/>
        <v>15.494519946415991</v>
      </c>
      <c r="AM24" s="3">
        <f t="shared" si="11"/>
        <v>0.33139711988501114</v>
      </c>
      <c r="AN24" s="3">
        <f t="shared" si="12"/>
        <v>6.9747438887434274</v>
      </c>
      <c r="AO24" s="3">
        <f t="shared" si="13"/>
        <v>34.896706557772731</v>
      </c>
      <c r="AP24" s="474">
        <f t="shared" si="14"/>
        <v>375.32283664156819</v>
      </c>
    </row>
    <row r="25" spans="1:42">
      <c r="B25" t="s">
        <v>167</v>
      </c>
      <c r="C25" s="165">
        <f>C12*(C6)</f>
        <v>275</v>
      </c>
      <c r="D25" t="s">
        <v>5</v>
      </c>
      <c r="J25" s="334"/>
      <c r="L25" t="s">
        <v>167</v>
      </c>
      <c r="M25" s="165">
        <f>M12*(M6)</f>
        <v>275</v>
      </c>
      <c r="N25" t="s">
        <v>5</v>
      </c>
      <c r="T25" s="334"/>
      <c r="W25" s="3">
        <f t="shared" si="4"/>
        <v>113.00678812107665</v>
      </c>
      <c r="X25" s="2">
        <f t="shared" si="2"/>
        <v>0.101219748452647</v>
      </c>
      <c r="Y25">
        <v>0</v>
      </c>
      <c r="Z25" cm="1">
        <f t="array" ref="Z25">Linterp(Y25,TO_alpha,TO_CL_a)</f>
        <v>0.249</v>
      </c>
      <c r="AA25" s="2" cm="1">
        <f t="array" ref="AA25">Linterp(Z25,TO_CL_cd,TO_CD_cl)</f>
        <v>7.4049999999999991E-2</v>
      </c>
      <c r="AB25" s="1">
        <f t="shared" si="0"/>
        <v>642.44747832271185</v>
      </c>
      <c r="AC25" s="1">
        <f t="shared" si="1"/>
        <v>191.05717176625225</v>
      </c>
      <c r="AD25" s="1">
        <f t="shared" si="3"/>
        <v>258.93881304193218</v>
      </c>
      <c r="AE25" s="467" cm="1">
        <f t="array" ref="AE25">numeng*InterpolateXY($V$1,$X25,Tmil_h,Tmil_M,Tmil_table)</f>
        <v>3840.4878993810589</v>
      </c>
      <c r="AF25" s="3">
        <f t="shared" si="5"/>
        <v>9.9168806235879696</v>
      </c>
      <c r="AG25" s="3">
        <f t="shared" si="6"/>
        <v>0.51692767789041116</v>
      </c>
      <c r="AH25" s="3">
        <f t="shared" si="7"/>
        <v>11.082021960577611</v>
      </c>
      <c r="AI25" s="3">
        <f t="shared" si="8"/>
        <v>57.088692556343631</v>
      </c>
      <c r="AJ25" s="474">
        <f t="shared" si="9"/>
        <v>630.21665349009095</v>
      </c>
      <c r="AK25" s="467" cm="1">
        <f t="array" ref="AK25">numeng*InterpolateXY($V$1,$X25,Tmax_h,Tmax_M,Tmax_table)</f>
        <v>5742.9273962863526</v>
      </c>
      <c r="AL25" s="3">
        <f t="shared" si="10"/>
        <v>15.481343202990782</v>
      </c>
      <c r="AM25" s="3">
        <f t="shared" si="11"/>
        <v>0.33165643601573302</v>
      </c>
      <c r="AN25" s="3">
        <f t="shared" si="12"/>
        <v>7.30640032475916</v>
      </c>
      <c r="AO25" s="3">
        <f t="shared" si="13"/>
        <v>36.627623398507239</v>
      </c>
      <c r="AP25" s="474">
        <f t="shared" si="14"/>
        <v>411.95046004007543</v>
      </c>
    </row>
    <row r="26" spans="1:42" ht="17" thickBot="1">
      <c r="B26" t="s">
        <v>153</v>
      </c>
      <c r="C26" s="166">
        <f>(C23-C24-C25)/(C6/32.174)</f>
        <v>8.8335349286473228</v>
      </c>
      <c r="D26" s="341" t="s">
        <v>422</v>
      </c>
      <c r="J26" s="334"/>
      <c r="L26" t="s">
        <v>153</v>
      </c>
      <c r="M26" s="166">
        <f>(M23-M24-M25)/(M6/32.174)</f>
        <v>14.792742243168757</v>
      </c>
      <c r="N26" s="342" t="s">
        <v>422</v>
      </c>
      <c r="T26" s="334"/>
      <c r="W26" s="3">
        <f t="shared" si="4"/>
        <v>118.14346030839832</v>
      </c>
      <c r="X26" s="2">
        <f t="shared" si="2"/>
        <v>0.1058206461095855</v>
      </c>
      <c r="Y26">
        <v>0</v>
      </c>
      <c r="Z26" cm="1">
        <f t="array" ref="Z26">Linterp(Y26,TO_alpha,TO_CL_a)</f>
        <v>0.249</v>
      </c>
      <c r="AA26" s="2" cm="1">
        <f t="array" ref="AA26">Linterp(Z26,TO_CL_cd,TO_CD_cl)</f>
        <v>7.4049999999999991E-2</v>
      </c>
      <c r="AB26" s="1">
        <f t="shared" si="0"/>
        <v>702.17916535684822</v>
      </c>
      <c r="AC26" s="1">
        <f t="shared" si="1"/>
        <v>208.82075178584179</v>
      </c>
      <c r="AD26" s="1">
        <f t="shared" si="3"/>
        <v>257.44552086607877</v>
      </c>
      <c r="AE26" s="467" cm="1">
        <f t="array" ref="AE26">numeng*InterpolateXY($V$1,$X26,Tmil_h,Tmil_M,Tmil_table)</f>
        <v>3842.3282584438343</v>
      </c>
      <c r="AF26" s="3">
        <f t="shared" si="5"/>
        <v>9.8746743937153667</v>
      </c>
      <c r="AG26" s="3">
        <f t="shared" si="6"/>
        <v>0.51907717032146095</v>
      </c>
      <c r="AH26" s="3">
        <f t="shared" si="7"/>
        <v>11.601099130899073</v>
      </c>
      <c r="AI26" s="3">
        <f t="shared" si="8"/>
        <v>59.992408436937296</v>
      </c>
      <c r="AJ26" s="474">
        <f t="shared" si="9"/>
        <v>690.20906192702819</v>
      </c>
      <c r="AK26" s="467" cm="1">
        <f t="array" ref="AK26">numeng*InterpolateXY($V$1,$X26,Tmax_h,Tmax_M,Tmax_table)</f>
        <v>5753.9695506630051</v>
      </c>
      <c r="AL26" s="3">
        <f t="shared" si="10"/>
        <v>15.466051387884423</v>
      </c>
      <c r="AM26" s="3">
        <f t="shared" si="11"/>
        <v>0.33196152730971445</v>
      </c>
      <c r="AN26" s="3">
        <f t="shared" si="12"/>
        <v>7.6383618520688747</v>
      </c>
      <c r="AO26" s="3">
        <f t="shared" si="13"/>
        <v>38.366494753334216</v>
      </c>
      <c r="AP26" s="474">
        <f t="shared" si="14"/>
        <v>450.31695479340965</v>
      </c>
    </row>
    <row r="27" spans="1:42">
      <c r="J27" s="334"/>
      <c r="T27" s="334"/>
      <c r="W27" s="3">
        <f t="shared" si="4"/>
        <v>123.28013249571998</v>
      </c>
      <c r="X27" s="2">
        <f t="shared" si="2"/>
        <v>0.11042154376652399</v>
      </c>
      <c r="Y27">
        <v>0</v>
      </c>
      <c r="Z27" cm="1">
        <f t="array" ref="Z27">Linterp(Y27,TO_alpha,TO_CL_a)</f>
        <v>0.249</v>
      </c>
      <c r="AA27" s="2" cm="1">
        <f t="array" ref="AA27">Linterp(Z27,TO_CL_cd,TO_CD_cl)</f>
        <v>7.4049999999999991E-2</v>
      </c>
      <c r="AB27" s="1">
        <f t="shared" si="0"/>
        <v>764.56559403694621</v>
      </c>
      <c r="AC27" s="1">
        <f t="shared" si="1"/>
        <v>227.37382425074642</v>
      </c>
      <c r="AD27" s="1">
        <f t="shared" si="3"/>
        <v>255.88586014907634</v>
      </c>
      <c r="AE27" s="467" cm="1">
        <f t="array" ref="AE27">numeng*InterpolateXY($V$1,$X27,Tmil_h,Tmil_M,Tmil_table)</f>
        <v>3844.1686175066097</v>
      </c>
      <c r="AF27" s="3">
        <f t="shared" si="5"/>
        <v>9.830353092161614</v>
      </c>
      <c r="AG27" s="3">
        <f t="shared" si="6"/>
        <v>0.52135651076896272</v>
      </c>
      <c r="AH27" s="3">
        <f t="shared" si="7"/>
        <v>12.122455641668035</v>
      </c>
      <c r="AI27" s="3">
        <f t="shared" si="8"/>
        <v>62.933880980830985</v>
      </c>
      <c r="AJ27" s="474">
        <f t="shared" si="9"/>
        <v>753.14294290785915</v>
      </c>
      <c r="AK27" s="467" cm="1">
        <f t="array" ref="AK27">numeng*InterpolateXY($V$1,$X27,Tmax_h,Tmax_M,Tmax_table)</f>
        <v>5765.0117050396575</v>
      </c>
      <c r="AL27" s="3">
        <f t="shared" si="10"/>
        <v>15.448644501096915</v>
      </c>
      <c r="AM27" s="3">
        <f t="shared" si="11"/>
        <v>0.33231264546596978</v>
      </c>
      <c r="AN27" s="3">
        <f t="shared" si="12"/>
        <v>7.9706744975348442</v>
      </c>
      <c r="AO27" s="3">
        <f t="shared" si="13"/>
        <v>40.114056401317811</v>
      </c>
      <c r="AP27" s="474">
        <f t="shared" si="14"/>
        <v>490.43101119472749</v>
      </c>
    </row>
    <row r="28" spans="1:42">
      <c r="B28" s="5" t="s">
        <v>168</v>
      </c>
      <c r="C28" s="5"/>
      <c r="D28" s="111">
        <f>D17*D17/(2*C26)</f>
        <v>4097.7546905226855</v>
      </c>
      <c r="E28" s="5" t="s">
        <v>2</v>
      </c>
      <c r="J28" s="334"/>
      <c r="K28" s="5"/>
      <c r="L28" s="5" t="s">
        <v>168</v>
      </c>
      <c r="M28" s="5"/>
      <c r="N28" s="111">
        <f>N17*N17/(2*M26)</f>
        <v>2446.9877587758629</v>
      </c>
      <c r="O28" s="5" t="s">
        <v>2</v>
      </c>
      <c r="T28" s="334"/>
      <c r="W28" s="3">
        <f t="shared" si="4"/>
        <v>128.41680468304165</v>
      </c>
      <c r="X28" s="2">
        <f t="shared" si="2"/>
        <v>0.11502244142346249</v>
      </c>
      <c r="Y28">
        <v>0</v>
      </c>
      <c r="Z28" cm="1">
        <f t="array" ref="Z28">Linterp(Y28,TO_alpha,TO_CL_a)</f>
        <v>0.249</v>
      </c>
      <c r="AA28" s="2" cm="1">
        <f t="array" ref="AA28">Linterp(Z28,TO_CL_cd,TO_CD_cl)</f>
        <v>7.4049999999999991E-2</v>
      </c>
      <c r="AB28" s="1">
        <f t="shared" si="0"/>
        <v>829.60676436300582</v>
      </c>
      <c r="AC28" s="1">
        <f t="shared" si="1"/>
        <v>246.71638916096617</v>
      </c>
      <c r="AD28" s="1">
        <f t="shared" si="3"/>
        <v>254.25983089092489</v>
      </c>
      <c r="AE28" s="467" cm="1">
        <f t="array" ref="AE28">numeng*InterpolateXY($V$1,$X28,Tmil_h,Tmil_M,Tmil_table)</f>
        <v>3846.0089765693851</v>
      </c>
      <c r="AF28" s="3">
        <f t="shared" si="5"/>
        <v>9.7839167189267133</v>
      </c>
      <c r="AG28" s="3">
        <f t="shared" si="6"/>
        <v>0.52376889242318914</v>
      </c>
      <c r="AH28" s="3">
        <f t="shared" si="7"/>
        <v>12.646224534091225</v>
      </c>
      <c r="AI28" s="3">
        <f t="shared" si="8"/>
        <v>65.915513006214496</v>
      </c>
      <c r="AJ28" s="474">
        <f t="shared" si="9"/>
        <v>819.05845591407365</v>
      </c>
      <c r="AK28" s="467" cm="1">
        <f t="array" ref="AK28">numeng*InterpolateXY($V$1,$X28,Tmax_h,Tmax_M,Tmax_table)</f>
        <v>5776.0538594163099</v>
      </c>
      <c r="AL28" s="3">
        <f t="shared" si="10"/>
        <v>15.429122542628258</v>
      </c>
      <c r="AM28" s="3">
        <f t="shared" si="11"/>
        <v>0.33271008101380922</v>
      </c>
      <c r="AN28" s="3">
        <f t="shared" si="12"/>
        <v>8.3033845785486537</v>
      </c>
      <c r="AO28" s="3">
        <f t="shared" si="13"/>
        <v>41.871054179836719</v>
      </c>
      <c r="AP28" s="474">
        <f t="shared" si="14"/>
        <v>532.30206537456422</v>
      </c>
    </row>
    <row r="29" spans="1:42">
      <c r="J29" s="334"/>
      <c r="T29" s="334"/>
      <c r="W29" s="3">
        <f t="shared" si="4"/>
        <v>133.55347687036331</v>
      </c>
      <c r="X29" s="2">
        <f t="shared" si="2"/>
        <v>0.11962333908040099</v>
      </c>
      <c r="Y29">
        <v>0</v>
      </c>
      <c r="Z29" cm="1">
        <f t="array" ref="Z29">Linterp(Y29,TO_alpha,TO_CL_a)</f>
        <v>0.249</v>
      </c>
      <c r="AA29" s="2" cm="1">
        <f t="array" ref="AA29">Linterp(Z29,TO_CL_cd,TO_CD_cl)</f>
        <v>7.4049999999999991E-2</v>
      </c>
      <c r="AB29" s="1">
        <f t="shared" si="0"/>
        <v>897.30267633502706</v>
      </c>
      <c r="AC29" s="1">
        <f t="shared" si="1"/>
        <v>266.84844651650099</v>
      </c>
      <c r="AD29" s="1">
        <f t="shared" si="3"/>
        <v>252.56743309162437</v>
      </c>
      <c r="AE29" s="467" cm="1">
        <f t="array" ref="AE29">numeng*InterpolateXY($V$1,$X29,Tmil_h,Tmil_M,Tmil_table)</f>
        <v>3847.8493356321605</v>
      </c>
      <c r="AF29" s="3">
        <f t="shared" si="5"/>
        <v>9.7353652740106646</v>
      </c>
      <c r="AG29" s="3">
        <f t="shared" si="6"/>
        <v>0.52631773947220561</v>
      </c>
      <c r="AH29" s="3">
        <f t="shared" si="7"/>
        <v>13.17254227356343</v>
      </c>
      <c r="AI29" s="3">
        <f t="shared" si="8"/>
        <v>68.939803198042668</v>
      </c>
      <c r="AJ29" s="474">
        <f t="shared" si="9"/>
        <v>887.99825911211633</v>
      </c>
      <c r="AK29" s="467" cm="1">
        <f t="array" ref="AK29">numeng*InterpolateXY($V$1,$X29,Tmax_h,Tmax_M,Tmax_table)</f>
        <v>5787.0960137929624</v>
      </c>
      <c r="AL29" s="3">
        <f t="shared" si="10"/>
        <v>15.40748551247845</v>
      </c>
      <c r="AM29" s="3">
        <f t="shared" si="11"/>
        <v>0.33315416391726027</v>
      </c>
      <c r="AN29" s="3">
        <f t="shared" si="12"/>
        <v>8.6365387424659144</v>
      </c>
      <c r="AO29" s="3">
        <f t="shared" si="13"/>
        <v>43.638245061046952</v>
      </c>
      <c r="AP29" s="474">
        <f t="shared" si="14"/>
        <v>575.9403104356112</v>
      </c>
    </row>
    <row r="30" spans="1:42" ht="16" customHeight="1">
      <c r="A30" s="334"/>
      <c r="B30" s="334"/>
      <c r="C30" s="334"/>
      <c r="D30" s="334"/>
      <c r="E30" s="334"/>
      <c r="F30" s="334"/>
      <c r="G30" s="334"/>
      <c r="H30" s="334"/>
      <c r="I30" s="334"/>
      <c r="J30" s="334"/>
      <c r="K30" s="334"/>
      <c r="L30" s="334"/>
      <c r="M30" s="334"/>
      <c r="N30" s="334"/>
      <c r="O30" s="334"/>
      <c r="P30" s="334"/>
      <c r="Q30" s="334"/>
      <c r="R30" s="334"/>
      <c r="S30" s="334"/>
      <c r="T30" s="334"/>
      <c r="W30" s="3">
        <f t="shared" si="4"/>
        <v>138.69014905768498</v>
      </c>
      <c r="X30" s="2">
        <f t="shared" si="2"/>
        <v>0.12422423673733948</v>
      </c>
      <c r="Y30">
        <v>0</v>
      </c>
      <c r="Z30" cm="1">
        <f t="array" ref="Z30">Linterp(Y30,TO_alpha,TO_CL_a)</f>
        <v>0.249</v>
      </c>
      <c r="AA30" s="2" cm="1">
        <f t="array" ref="AA30">Linterp(Z30,TO_CL_cd,TO_CD_cl)</f>
        <v>7.4049999999999991E-2</v>
      </c>
      <c r="AB30" s="1">
        <f t="shared" si="0"/>
        <v>967.65332995300992</v>
      </c>
      <c r="AC30" s="1">
        <f t="shared" si="1"/>
        <v>287.76999631735089</v>
      </c>
      <c r="AD30" s="1">
        <f t="shared" si="3"/>
        <v>250.80866675117477</v>
      </c>
      <c r="AE30" s="467" cm="1">
        <f t="array" ref="AE30">numeng*InterpolateXY($V$1,$X30,Tmil_h,Tmil_M,Tmil_table)</f>
        <v>3849.689694694936</v>
      </c>
      <c r="AF30" s="3">
        <f t="shared" si="5"/>
        <v>9.6846987574134662</v>
      </c>
      <c r="AG30" s="3">
        <f t="shared" si="6"/>
        <v>0.52900671995827364</v>
      </c>
      <c r="AH30" s="3">
        <f t="shared" si="7"/>
        <v>13.701548993521703</v>
      </c>
      <c r="AI30" s="3">
        <f t="shared" si="8"/>
        <v>72.009353790872026</v>
      </c>
      <c r="AJ30" s="474">
        <f t="shared" si="9"/>
        <v>960.0076129029884</v>
      </c>
      <c r="AK30" s="467" cm="1">
        <f t="array" ref="AK30">numeng*InterpolateXY($V$1,$X30,Tmax_h,Tmax_M,Tmax_table)</f>
        <v>5798.1381681696148</v>
      </c>
      <c r="AL30" s="3">
        <f t="shared" si="10"/>
        <v>15.383733410647498</v>
      </c>
      <c r="AM30" s="3">
        <f t="shared" si="11"/>
        <v>0.33364526426485402</v>
      </c>
      <c r="AN30" s="3">
        <f t="shared" si="12"/>
        <v>8.9701840067307685</v>
      </c>
      <c r="AO30" s="3">
        <f t="shared" si="13"/>
        <v>45.416398258592871</v>
      </c>
      <c r="AP30" s="474">
        <f t="shared" si="14"/>
        <v>621.35670869420403</v>
      </c>
    </row>
    <row r="31" spans="1:42" ht="15" thickBot="1">
      <c r="J31" s="334"/>
      <c r="T31" s="334"/>
      <c r="W31" s="3">
        <f t="shared" si="4"/>
        <v>143.82682124500664</v>
      </c>
      <c r="X31" s="2">
        <f t="shared" si="2"/>
        <v>0.12882513439427798</v>
      </c>
      <c r="Y31">
        <v>0</v>
      </c>
      <c r="Z31" cm="1">
        <f t="array" ref="Z31">Linterp(Y31,TO_alpha,TO_CL_a)</f>
        <v>0.249</v>
      </c>
      <c r="AA31" s="2" cm="1">
        <f t="array" ref="AA31">Linterp(Z31,TO_CL_cd,TO_CD_cl)</f>
        <v>7.4049999999999991E-2</v>
      </c>
      <c r="AB31" s="1">
        <f t="shared" si="0"/>
        <v>1040.6587252169543</v>
      </c>
      <c r="AC31" s="1">
        <f t="shared" si="1"/>
        <v>309.48103856351588</v>
      </c>
      <c r="AD31" s="1">
        <f t="shared" si="3"/>
        <v>248.98353186957615</v>
      </c>
      <c r="AE31" s="467" cm="1">
        <f t="array" ref="AE31">numeng*InterpolateXY($V$1,$X31,Tmil_h,Tmil_M,Tmil_table)</f>
        <v>3851.5300537577114</v>
      </c>
      <c r="AF31" s="3">
        <f t="shared" si="5"/>
        <v>9.631917169135118</v>
      </c>
      <c r="AG31" s="3">
        <f t="shared" si="6"/>
        <v>0.53183975980615406</v>
      </c>
      <c r="AH31" s="3">
        <f t="shared" si="7"/>
        <v>14.233388753327857</v>
      </c>
      <c r="AI31" s="3">
        <f t="shared" si="8"/>
        <v>75.126878813472928</v>
      </c>
      <c r="AJ31" s="474">
        <f t="shared" si="9"/>
        <v>1035.1344917164613</v>
      </c>
      <c r="AK31" s="467" cm="1">
        <f t="array" ref="AK31">numeng*InterpolateXY($V$1,$X31,Tmax_h,Tmax_M,Tmax_table)</f>
        <v>5809.1803225462672</v>
      </c>
      <c r="AL31" s="3">
        <f t="shared" si="10"/>
        <v>15.357866237135394</v>
      </c>
      <c r="AM31" s="3">
        <f t="shared" si="11"/>
        <v>0.33418379304748547</v>
      </c>
      <c r="AN31" s="3">
        <f t="shared" si="12"/>
        <v>9.3043677997782535</v>
      </c>
      <c r="AO31" s="3">
        <f t="shared" si="13"/>
        <v>47.206296368018648</v>
      </c>
      <c r="AP31" s="474">
        <f t="shared" si="14"/>
        <v>668.56300506222271</v>
      </c>
    </row>
    <row r="32" spans="1:42">
      <c r="B32" s="651" t="s">
        <v>326</v>
      </c>
      <c r="C32" s="652"/>
      <c r="D32" s="5"/>
      <c r="J32" s="334"/>
      <c r="L32" s="651" t="s">
        <v>326</v>
      </c>
      <c r="M32" s="652"/>
      <c r="N32" s="5"/>
      <c r="T32" s="334"/>
      <c r="W32" s="3">
        <f t="shared" si="4"/>
        <v>148.96349343232831</v>
      </c>
      <c r="X32" s="2">
        <f t="shared" si="2"/>
        <v>0.13342603205121648</v>
      </c>
      <c r="Y32">
        <v>0</v>
      </c>
      <c r="Z32" cm="1">
        <f t="array" ref="Z32">Linterp(Y32,TO_alpha,TO_CL_a)</f>
        <v>0.249</v>
      </c>
      <c r="AA32" s="2" cm="1">
        <f t="array" ref="AA32">Linterp(Z32,TO_CL_cd,TO_CD_cl)</f>
        <v>7.4049999999999991E-2</v>
      </c>
      <c r="AB32" s="1">
        <f t="shared" si="0"/>
        <v>1116.3188621268603</v>
      </c>
      <c r="AC32" s="1">
        <f t="shared" si="1"/>
        <v>331.98157325499596</v>
      </c>
      <c r="AD32" s="1">
        <f t="shared" si="3"/>
        <v>247.09202844682852</v>
      </c>
      <c r="AE32" s="467" cm="1">
        <f t="array" ref="AE32">numeng*InterpolateXY($V$1,$X32,Tmil_h,Tmil_M,Tmil_table)</f>
        <v>3853.3704128204868</v>
      </c>
      <c r="AF32" s="3">
        <f t="shared" si="5"/>
        <v>9.5770205091756235</v>
      </c>
      <c r="AG32" s="3">
        <f t="shared" si="6"/>
        <v>0.53482105812874814</v>
      </c>
      <c r="AH32" s="3">
        <f t="shared" si="7"/>
        <v>14.768209811456606</v>
      </c>
      <c r="AI32" s="3">
        <f t="shared" si="8"/>
        <v>78.295212952790706</v>
      </c>
      <c r="AJ32" s="474">
        <f t="shared" si="9"/>
        <v>1113.429704669252</v>
      </c>
      <c r="AK32" s="467" cm="1">
        <f t="array" ref="AK32">numeng*InterpolateXY($V$1,$X32,Tmax_h,Tmax_M,Tmax_table)</f>
        <v>5820.2224769229197</v>
      </c>
      <c r="AL32" s="3">
        <f t="shared" si="10"/>
        <v>15.32988399194214</v>
      </c>
      <c r="AM32" s="3">
        <f t="shared" si="11"/>
        <v>0.33477020302742944</v>
      </c>
      <c r="AN32" s="3">
        <f t="shared" si="12"/>
        <v>9.6391380028056837</v>
      </c>
      <c r="AO32" s="3">
        <f t="shared" si="13"/>
        <v>49.008736544498184</v>
      </c>
      <c r="AP32" s="474">
        <f t="shared" si="14"/>
        <v>717.57174160672093</v>
      </c>
    </row>
    <row r="33" spans="2:42">
      <c r="B33" s="653" t="s">
        <v>173</v>
      </c>
      <c r="C33" s="654"/>
      <c r="D33" s="5"/>
      <c r="J33" s="334"/>
      <c r="L33" s="653" t="s">
        <v>169</v>
      </c>
      <c r="M33" s="654"/>
      <c r="N33" s="5"/>
      <c r="T33" s="334"/>
      <c r="W33" s="3">
        <f t="shared" si="4"/>
        <v>154.10016561964997</v>
      </c>
      <c r="X33" s="2">
        <f t="shared" si="2"/>
        <v>0.138026929708155</v>
      </c>
      <c r="Y33">
        <v>0</v>
      </c>
      <c r="Z33" cm="1">
        <f t="array" ref="Z33">Linterp(Y33,TO_alpha,TO_CL_a)</f>
        <v>0.249</v>
      </c>
      <c r="AA33" s="2" cm="1">
        <f t="array" ref="AA33">Linterp(Z33,TO_CL_cd,TO_CD_cl)</f>
        <v>7.4049999999999991E-2</v>
      </c>
      <c r="AB33" s="1">
        <f t="shared" si="0"/>
        <v>1194.6337406827286</v>
      </c>
      <c r="AC33" s="1">
        <f t="shared" si="1"/>
        <v>355.27160039179131</v>
      </c>
      <c r="AD33" s="1">
        <f t="shared" si="3"/>
        <v>245.13415648293181</v>
      </c>
      <c r="AE33" s="467" cm="1">
        <f t="array" ref="AE33">numeng*InterpolateXY($V$1,$X33,Tmil_h,Tmil_M,Tmil_table)</f>
        <v>3855.2107718832622</v>
      </c>
      <c r="AF33" s="3">
        <f t="shared" si="5"/>
        <v>9.5200087775349775</v>
      </c>
      <c r="AG33" s="3">
        <f t="shared" si="6"/>
        <v>0.53795510392773127</v>
      </c>
      <c r="AH33" s="3">
        <f t="shared" si="7"/>
        <v>15.306164915384336</v>
      </c>
      <c r="AI33" s="3">
        <f t="shared" si="8"/>
        <v>81.51732110101274</v>
      </c>
      <c r="AJ33" s="474">
        <f t="shared" si="9"/>
        <v>1194.9470257702649</v>
      </c>
      <c r="AK33" s="467" cm="1">
        <f t="array" ref="AK33">numeng*InterpolateXY($V$1,$X33,Tmax_h,Tmax_M,Tmax_table)</f>
        <v>5831.2646312995721</v>
      </c>
      <c r="AL33" s="3">
        <f t="shared" si="10"/>
        <v>15.299786675067736</v>
      </c>
      <c r="AM33" s="3">
        <f t="shared" si="11"/>
        <v>0.33540498970197491</v>
      </c>
      <c r="AN33" s="3">
        <f t="shared" si="12"/>
        <v>9.9745429925076579</v>
      </c>
      <c r="AO33" s="3">
        <f t="shared" si="13"/>
        <v>50.824531721685801</v>
      </c>
      <c r="AP33" s="474">
        <f t="shared" si="14"/>
        <v>768.39627332840678</v>
      </c>
    </row>
    <row r="34" spans="2:42" ht="15" thickBot="1">
      <c r="B34" s="649" t="s">
        <v>421</v>
      </c>
      <c r="C34" s="650"/>
      <c r="D34" s="5"/>
      <c r="J34" s="334"/>
      <c r="L34" s="649" t="s">
        <v>421</v>
      </c>
      <c r="M34" s="650"/>
      <c r="N34" s="5"/>
      <c r="T34" s="334"/>
      <c r="W34" s="3">
        <f t="shared" si="4"/>
        <v>159.23683780697164</v>
      </c>
      <c r="X34" s="2">
        <f t="shared" si="2"/>
        <v>0.1426278273650935</v>
      </c>
      <c r="Y34">
        <v>0</v>
      </c>
      <c r="Z34" cm="1">
        <f t="array" ref="Z34">Linterp(Y34,TO_alpha,TO_CL_a)</f>
        <v>0.249</v>
      </c>
      <c r="AA34" s="2" cm="1">
        <f t="array" ref="AA34">Linterp(Z34,TO_CL_cd,TO_CD_cl)</f>
        <v>7.4049999999999991E-2</v>
      </c>
      <c r="AB34" s="1">
        <f t="shared" si="0"/>
        <v>1275.6033608845578</v>
      </c>
      <c r="AC34" s="1">
        <f t="shared" si="1"/>
        <v>379.35111997390158</v>
      </c>
      <c r="AD34" s="1">
        <f t="shared" si="3"/>
        <v>243.10991597788609</v>
      </c>
      <c r="AE34" s="467" cm="1">
        <f t="array" ref="AE34">numeng*InterpolateXY($V$1,$X34,Tmil_h,Tmil_M,Tmil_table)</f>
        <v>3857.0511309460376</v>
      </c>
      <c r="AF34" s="3">
        <f t="shared" si="5"/>
        <v>9.4608819742131836</v>
      </c>
      <c r="AG34" s="3">
        <f t="shared" si="6"/>
        <v>0.54124669432055728</v>
      </c>
      <c r="AH34" s="3">
        <f t="shared" si="7"/>
        <v>15.847411609704894</v>
      </c>
      <c r="AI34" s="3">
        <f t="shared" si="8"/>
        <v>84.79630865648403</v>
      </c>
      <c r="AJ34" s="474">
        <f t="shared" si="9"/>
        <v>1279.7433344267488</v>
      </c>
      <c r="AK34" s="467" cm="1">
        <f t="array" ref="AK34">numeng*InterpolateXY($V$1,$X34,Tmax_h,Tmax_M,Tmax_table)</f>
        <v>5842.3067856762245</v>
      </c>
      <c r="AL34" s="3">
        <f t="shared" si="10"/>
        <v>15.267574286512186</v>
      </c>
      <c r="AM34" s="3">
        <f t="shared" si="11"/>
        <v>0.33608869236555566</v>
      </c>
      <c r="AN34" s="3">
        <f t="shared" si="12"/>
        <v>10.310631684873213</v>
      </c>
      <c r="AO34" s="3">
        <f t="shared" si="13"/>
        <v>52.654511875697445</v>
      </c>
      <c r="AP34" s="474">
        <f t="shared" si="14"/>
        <v>821.05078520410427</v>
      </c>
    </row>
    <row r="35" spans="2:42">
      <c r="J35" s="334"/>
      <c r="T35" s="334"/>
      <c r="W35" s="3">
        <f t="shared" si="4"/>
        <v>164.3735099942933</v>
      </c>
      <c r="X35" s="2">
        <f t="shared" si="2"/>
        <v>0.14722872502203199</v>
      </c>
      <c r="Y35">
        <v>0</v>
      </c>
      <c r="Z35" cm="1">
        <f t="array" ref="Z35">Linterp(Y35,TO_alpha,TO_CL_a)</f>
        <v>0.249</v>
      </c>
      <c r="AA35" s="2" cm="1">
        <f t="array" ref="AA35">Linterp(Z35,TO_CL_cd,TO_CD_cl)</f>
        <v>7.4049999999999991E-2</v>
      </c>
      <c r="AB35" s="1">
        <f t="shared" ref="AB35:AB63" si="20">Z35*S*$Q$6*$X35^2</f>
        <v>1359.2277227323489</v>
      </c>
      <c r="AC35" s="1">
        <f t="shared" ref="AC35:AC63" si="21">AA35*S*$Q$6*$X35^2</f>
        <v>404.22013200132699</v>
      </c>
      <c r="AD35" s="1">
        <f t="shared" si="3"/>
        <v>241.01930693169129</v>
      </c>
      <c r="AE35" s="467" cm="1">
        <f t="array" ref="AE35">numeng*InterpolateXY($V$1,$X35,Tmil_h,Tmil_M,Tmil_table)</f>
        <v>3858.891490008813</v>
      </c>
      <c r="AF35" s="3">
        <f t="shared" si="5"/>
        <v>9.399640099210238</v>
      </c>
      <c r="AG35" s="3">
        <f t="shared" si="6"/>
        <v>0.54470095444068423</v>
      </c>
      <c r="AH35" s="3">
        <f t="shared" si="7"/>
        <v>16.392112564145577</v>
      </c>
      <c r="AI35" s="3">
        <f t="shared" si="8"/>
        <v>88.135432657115388</v>
      </c>
      <c r="AJ35" s="474">
        <f t="shared" si="9"/>
        <v>1367.8787670838642</v>
      </c>
      <c r="AK35" s="467" cm="1">
        <f t="array" ref="AK35">numeng*InterpolateXY($V$1,$X35,Tmax_h,Tmax_M,Tmax_table)</f>
        <v>5853.348940052877</v>
      </c>
      <c r="AL35" s="3">
        <f t="shared" si="10"/>
        <v>15.233246826275485</v>
      </c>
      <c r="AM35" s="3">
        <f t="shared" si="11"/>
        <v>0.33682189527468698</v>
      </c>
      <c r="AN35" s="3">
        <f t="shared" si="12"/>
        <v>10.6474535801479</v>
      </c>
      <c r="AO35" s="3">
        <f t="shared" si="13"/>
        <v>54.499525338461346</v>
      </c>
      <c r="AP35" s="474">
        <f t="shared" si="14"/>
        <v>875.55031054256563</v>
      </c>
    </row>
    <row r="36" spans="2:42">
      <c r="B36" t="s">
        <v>6</v>
      </c>
      <c r="C36" s="117">
        <v>11000</v>
      </c>
      <c r="D36" t="s">
        <v>5</v>
      </c>
      <c r="F36" t="s">
        <v>0</v>
      </c>
      <c r="G36" s="1">
        <f>Linterp(C37,atmos_h,atmos_qms)</f>
        <v>1279.3877901163921</v>
      </c>
      <c r="H36" t="s">
        <v>19</v>
      </c>
      <c r="J36" s="334"/>
      <c r="L36" t="s">
        <v>6</v>
      </c>
      <c r="M36" s="117">
        <v>11000</v>
      </c>
      <c r="N36" t="s">
        <v>5</v>
      </c>
      <c r="P36" t="s">
        <v>0</v>
      </c>
      <c r="Q36" s="1">
        <f>Linterp(M37,atmos_h,atmos_qms)</f>
        <v>1279.3877901163921</v>
      </c>
      <c r="R36" t="s">
        <v>19</v>
      </c>
      <c r="T36" s="334"/>
      <c r="W36" s="3">
        <f t="shared" si="4"/>
        <v>169.51018218161497</v>
      </c>
      <c r="X36" s="2">
        <f t="shared" si="2"/>
        <v>0.15182962267897049</v>
      </c>
      <c r="Y36">
        <v>0</v>
      </c>
      <c r="Z36" cm="1">
        <f t="array" ref="Z36">Linterp(Y36,TO_alpha,TO_CL_a)</f>
        <v>0.249</v>
      </c>
      <c r="AA36" s="2" cm="1">
        <f t="array" ref="AA36">Linterp(Z36,TO_CL_cd,TO_CD_cl)</f>
        <v>7.4049999999999991E-2</v>
      </c>
      <c r="AB36" s="1">
        <f t="shared" si="20"/>
        <v>1445.5068262261013</v>
      </c>
      <c r="AC36" s="1">
        <f t="shared" si="21"/>
        <v>429.87863647406743</v>
      </c>
      <c r="AD36" s="1">
        <f t="shared" si="3"/>
        <v>238.86232934434747</v>
      </c>
      <c r="AE36" s="467" cm="1">
        <f t="array" ref="AE36">numeng*InterpolateXY($V$1,$X36,Tmil_h,Tmil_M,Tmil_table)</f>
        <v>3860.7318490715884</v>
      </c>
      <c r="AF36" s="3">
        <f t="shared" si="5"/>
        <v>9.3362831525261463</v>
      </c>
      <c r="AG36" s="3">
        <f t="shared" si="6"/>
        <v>0.54832335917533337</v>
      </c>
      <c r="AH36" s="3">
        <f t="shared" si="7"/>
        <v>16.940435923320912</v>
      </c>
      <c r="AI36" s="3">
        <f t="shared" si="8"/>
        <v>91.538113833878498</v>
      </c>
      <c r="AJ36" s="474">
        <f t="shared" si="9"/>
        <v>1459.4168809177427</v>
      </c>
      <c r="AK36" s="467" cm="1">
        <f t="array" ref="AK36">numeng*InterpolateXY($V$1,$X36,Tmax_h,Tmax_M,Tmax_table)</f>
        <v>5864.3910944295294</v>
      </c>
      <c r="AL36" s="3">
        <f t="shared" si="10"/>
        <v>15.196804294357637</v>
      </c>
      <c r="AM36" s="3">
        <f t="shared" si="11"/>
        <v>0.33760522892048245</v>
      </c>
      <c r="AN36" s="3">
        <f t="shared" si="12"/>
        <v>10.985058809068383</v>
      </c>
      <c r="AO36" s="3">
        <f t="shared" si="13"/>
        <v>56.360440164931703</v>
      </c>
      <c r="AP36" s="474">
        <f t="shared" si="14"/>
        <v>931.9107507074973</v>
      </c>
    </row>
    <row r="37" spans="2:42">
      <c r="B37" t="s">
        <v>1</v>
      </c>
      <c r="C37" s="117">
        <v>4000</v>
      </c>
      <c r="D37" t="s">
        <v>2</v>
      </c>
      <c r="F37" t="s">
        <v>153</v>
      </c>
      <c r="G37" s="1">
        <f>Linterp(C37,atmos_h,atmos_aspeed)</f>
        <v>1100.9911689469482</v>
      </c>
      <c r="H37" t="s">
        <v>20</v>
      </c>
      <c r="J37" s="334"/>
      <c r="L37" t="s">
        <v>1</v>
      </c>
      <c r="M37" s="117">
        <f>C37</f>
        <v>4000</v>
      </c>
      <c r="N37" t="s">
        <v>2</v>
      </c>
      <c r="P37" t="s">
        <v>153</v>
      </c>
      <c r="Q37" s="1">
        <f>Linterp(M37,atmos_h,atmos_aspeed)</f>
        <v>1100.9911689469482</v>
      </c>
      <c r="R37" t="s">
        <v>20</v>
      </c>
      <c r="T37" s="334"/>
      <c r="W37" s="3">
        <f t="shared" si="4"/>
        <v>174.64685436893663</v>
      </c>
      <c r="X37" s="2">
        <f t="shared" si="2"/>
        <v>0.15643052033590898</v>
      </c>
      <c r="Y37">
        <v>0</v>
      </c>
      <c r="Z37" cm="1">
        <f t="array" ref="Z37">Linterp(Y37,TO_alpha,TO_CL_a)</f>
        <v>0.249</v>
      </c>
      <c r="AA37" s="2" cm="1">
        <f t="array" ref="AA37">Linterp(Z37,TO_CL_cd,TO_CD_cl)</f>
        <v>7.4049999999999991E-2</v>
      </c>
      <c r="AB37" s="1">
        <f t="shared" si="20"/>
        <v>1534.4406713658157</v>
      </c>
      <c r="AC37" s="1">
        <f t="shared" si="21"/>
        <v>456.32663339212303</v>
      </c>
      <c r="AD37" s="1">
        <f t="shared" si="3"/>
        <v>236.63898321585464</v>
      </c>
      <c r="AE37" s="467" cm="1">
        <f t="array" ref="AE37">numeng*InterpolateXY($V$1,$X37,Tmil_h,Tmil_M,Tmil_table)</f>
        <v>3862.5722081343638</v>
      </c>
      <c r="AF37" s="3">
        <f t="shared" si="5"/>
        <v>9.2708111341609047</v>
      </c>
      <c r="AG37" s="3">
        <f t="shared" si="6"/>
        <v>0.55211975692484516</v>
      </c>
      <c r="AH37" s="3">
        <f t="shared" si="7"/>
        <v>17.492555680245758</v>
      </c>
      <c r="AI37" s="3">
        <f t="shared" si="8"/>
        <v>95.007949682132804</v>
      </c>
      <c r="AJ37" s="474">
        <f t="shared" si="9"/>
        <v>1554.4248305998756</v>
      </c>
      <c r="AK37" s="467" cm="1">
        <f t="array" ref="AK37">numeng*InterpolateXY($V$1,$X37,Tmax_h,Tmax_M,Tmax_table)</f>
        <v>5875.4332488061818</v>
      </c>
      <c r="AL37" s="3">
        <f t="shared" si="10"/>
        <v>15.15824669075864</v>
      </c>
      <c r="AM37" s="3">
        <f t="shared" si="11"/>
        <v>0.33843937141402158</v>
      </c>
      <c r="AN37" s="3">
        <f t="shared" si="12"/>
        <v>11.323498180482405</v>
      </c>
      <c r="AO37" s="3">
        <f t="shared" si="13"/>
        <v>58.238145558940566</v>
      </c>
      <c r="AP37" s="474">
        <f t="shared" si="14"/>
        <v>990.14889626643787</v>
      </c>
    </row>
    <row r="38" spans="2:42">
      <c r="B38" t="s">
        <v>72</v>
      </c>
      <c r="C38" s="116">
        <v>1.0000000000000001E-5</v>
      </c>
      <c r="D38" t="s">
        <v>154</v>
      </c>
      <c r="F38" t="s">
        <v>155</v>
      </c>
      <c r="G38" s="9">
        <f>Linterp(C37,atmos_h,atmos_rho)</f>
        <v>2.1108700044307608E-3</v>
      </c>
      <c r="H38" t="s">
        <v>156</v>
      </c>
      <c r="J38" s="334"/>
      <c r="L38" t="s">
        <v>72</v>
      </c>
      <c r="M38" s="116">
        <f>C38</f>
        <v>1.0000000000000001E-5</v>
      </c>
      <c r="N38" t="s">
        <v>154</v>
      </c>
      <c r="P38" t="s">
        <v>155</v>
      </c>
      <c r="Q38" s="9">
        <f>Linterp(M37,atmos_h,atmos_rho)</f>
        <v>2.1108700044307608E-3</v>
      </c>
      <c r="R38" t="s">
        <v>156</v>
      </c>
      <c r="T38" s="334"/>
      <c r="W38" s="3">
        <f t="shared" si="4"/>
        <v>179.78352655625829</v>
      </c>
      <c r="X38" s="2">
        <f t="shared" si="2"/>
        <v>0.16103141799284748</v>
      </c>
      <c r="Y38">
        <v>0</v>
      </c>
      <c r="Z38" cm="1">
        <f t="array" ref="Z38">Linterp(Y38,TO_alpha,TO_CL_a)</f>
        <v>0.249</v>
      </c>
      <c r="AA38" s="2" cm="1">
        <f t="array" ref="AA38">Linterp(Z38,TO_CL_cd,TO_CD_cl)</f>
        <v>7.4049999999999991E-2</v>
      </c>
      <c r="AB38" s="1">
        <f t="shared" si="20"/>
        <v>1626.0292581514914</v>
      </c>
      <c r="AC38" s="1">
        <f t="shared" si="21"/>
        <v>483.56412275549366</v>
      </c>
      <c r="AD38" s="1">
        <f t="shared" si="3"/>
        <v>234.34926854621273</v>
      </c>
      <c r="AE38" s="467" cm="1">
        <f t="array" ref="AE38">numeng*InterpolateXY($V$1,$X38,Tmil_h,Tmil_M,Tmil_table)</f>
        <v>3864.4125671971392</v>
      </c>
      <c r="AF38" s="3">
        <f t="shared" si="5"/>
        <v>9.2032240441145134</v>
      </c>
      <c r="AG38" s="3">
        <f t="shared" si="6"/>
        <v>0.5560963955900815</v>
      </c>
      <c r="AH38" s="3">
        <f t="shared" si="7"/>
        <v>18.04865207583584</v>
      </c>
      <c r="AI38" s="3">
        <f t="shared" si="8"/>
        <v>98.548728660060235</v>
      </c>
      <c r="AJ38" s="474">
        <f t="shared" si="9"/>
        <v>1652.9735592599359</v>
      </c>
      <c r="AK38" s="467" cm="1">
        <f t="array" ref="AK38">numeng*InterpolateXY($V$1,$X38,Tmax_h,Tmax_M,Tmax_table)</f>
        <v>5886.4754031828343</v>
      </c>
      <c r="AL38" s="3">
        <f t="shared" si="10"/>
        <v>15.117574015478494</v>
      </c>
      <c r="AM38" s="3">
        <f t="shared" si="11"/>
        <v>0.33932504999036783</v>
      </c>
      <c r="AN38" s="3">
        <f t="shared" si="12"/>
        <v>11.662823230472773</v>
      </c>
      <c r="AO38" s="3">
        <f t="shared" si="13"/>
        <v>60.133553362773441</v>
      </c>
      <c r="AP38" s="474">
        <f t="shared" si="14"/>
        <v>1050.2824496292112</v>
      </c>
    </row>
    <row r="39" spans="2:42" ht="16.5">
      <c r="B39" t="s">
        <v>157</v>
      </c>
      <c r="C39" s="114">
        <f>_xlfn.SINGLE(CLmaxTO)</f>
        <v>0.91</v>
      </c>
      <c r="G39" s="2"/>
      <c r="J39" s="334"/>
      <c r="L39" t="s">
        <v>157</v>
      </c>
      <c r="M39" s="114">
        <f>_xlfn.SINGLE(CLmaxTO)</f>
        <v>0.91</v>
      </c>
      <c r="Q39" s="9"/>
      <c r="T39" s="334"/>
      <c r="W39" s="3">
        <f t="shared" si="4"/>
        <v>184.92019874357996</v>
      </c>
      <c r="X39" s="2">
        <f t="shared" si="2"/>
        <v>0.16563231564978598</v>
      </c>
      <c r="Y39">
        <v>0</v>
      </c>
      <c r="Z39" cm="1">
        <f t="array" ref="Z39">Linterp(Y39,TO_alpha,TO_CL_a)</f>
        <v>0.249</v>
      </c>
      <c r="AA39" s="2" cm="1">
        <f t="array" ref="AA39">Linterp(Z39,TO_CL_cd,TO_CD_cl)</f>
        <v>7.4049999999999991E-2</v>
      </c>
      <c r="AB39" s="1">
        <f t="shared" si="20"/>
        <v>1720.2725865831287</v>
      </c>
      <c r="AC39" s="1">
        <f t="shared" si="21"/>
        <v>511.59110456417937</v>
      </c>
      <c r="AD39" s="1">
        <f t="shared" si="3"/>
        <v>231.9931853354218</v>
      </c>
      <c r="AE39" s="467" cm="1">
        <f t="array" ref="AE39">numeng*InterpolateXY($V$1,$X39,Tmil_h,Tmil_M,Tmil_table)</f>
        <v>3866.2529262599146</v>
      </c>
      <c r="AF39" s="3">
        <f t="shared" si="5"/>
        <v>9.1335218823869759</v>
      </c>
      <c r="AG39" s="3">
        <f t="shared" si="6"/>
        <v>0.56025995101975024</v>
      </c>
      <c r="AH39" s="3">
        <f t="shared" si="7"/>
        <v>18.608912026855588</v>
      </c>
      <c r="AI39" s="3">
        <f t="shared" si="8"/>
        <v>102.16444563660392</v>
      </c>
      <c r="AJ39" s="474">
        <f t="shared" si="9"/>
        <v>1755.1380048965398</v>
      </c>
      <c r="AK39" s="467" cm="1">
        <f t="array" ref="AK39">numeng*InterpolateXY($V$1,$X39,Tmax_h,Tmax_M,Tmax_table)</f>
        <v>5897.5175575594867</v>
      </c>
      <c r="AL39" s="3">
        <f t="shared" si="10"/>
        <v>15.074786268517196</v>
      </c>
      <c r="AM39" s="3">
        <f t="shared" si="11"/>
        <v>0.3402630426376107</v>
      </c>
      <c r="AN39" s="3">
        <f t="shared" si="12"/>
        <v>12.003086273110384</v>
      </c>
      <c r="AO39" s="3">
        <f t="shared" si="13"/>
        <v>62.047599615897163</v>
      </c>
      <c r="AP39" s="474">
        <f t="shared" si="14"/>
        <v>1112.3300492451083</v>
      </c>
    </row>
    <row r="40" spans="2:42" ht="16.5">
      <c r="B40" t="s">
        <v>158</v>
      </c>
      <c r="C40" s="116">
        <f>InterpolateXY(C38,F50,CD_CL,CD_M,CD_table)</f>
        <v>1.5837070081633663E-2</v>
      </c>
      <c r="G40" s="3"/>
      <c r="J40" s="334"/>
      <c r="K40" s="107"/>
      <c r="L40" t="s">
        <v>158</v>
      </c>
      <c r="M40" s="116">
        <f>InterpolateXY(M38,P50,CD_CL,CD_M,CD_table)</f>
        <v>1.5837070081633663E-2</v>
      </c>
      <c r="Q40" s="9"/>
      <c r="T40" s="334"/>
      <c r="W40" s="3">
        <f t="shared" si="4"/>
        <v>190.05687093090162</v>
      </c>
      <c r="X40" s="2">
        <f t="shared" si="2"/>
        <v>0.17023321330672447</v>
      </c>
      <c r="Y40">
        <v>0</v>
      </c>
      <c r="Z40" cm="1">
        <f t="array" ref="Z40">Linterp(Y40,TO_alpha,TO_CL_a)</f>
        <v>0.249</v>
      </c>
      <c r="AA40" s="2" cm="1">
        <f t="array" ref="AA40">Linterp(Z40,TO_CL_cd,TO_CD_cl)</f>
        <v>7.4049999999999991E-2</v>
      </c>
      <c r="AB40" s="1">
        <f t="shared" si="20"/>
        <v>1817.1706566607277</v>
      </c>
      <c r="AC40" s="1">
        <f t="shared" si="21"/>
        <v>540.40757881818013</v>
      </c>
      <c r="AD40" s="1">
        <f t="shared" si="3"/>
        <v>229.5707335834818</v>
      </c>
      <c r="AE40" s="467" cm="1">
        <f t="array" ref="AE40">numeng*InterpolateXY($V$1,$X40,Tmil_h,Tmil_M,Tmil_table)</f>
        <v>3868.09328532269</v>
      </c>
      <c r="AF40" s="3">
        <f t="shared" si="5"/>
        <v>9.0617046489782869</v>
      </c>
      <c r="AG40" s="3">
        <f t="shared" si="6"/>
        <v>0.56461755817845694</v>
      </c>
      <c r="AH40" s="3">
        <f t="shared" si="7"/>
        <v>19.173529585034046</v>
      </c>
      <c r="AI40" s="3">
        <f t="shared" si="8"/>
        <v>105.85931872625946</v>
      </c>
      <c r="AJ40" s="474">
        <f t="shared" si="9"/>
        <v>1860.9973236227993</v>
      </c>
      <c r="AK40" s="467" cm="1">
        <f t="array" ref="AK40">numeng*InterpolateXY($V$1,$X40,Tmax_h,Tmax_M,Tmax_table)</f>
        <v>5908.5597119361391</v>
      </c>
      <c r="AL40" s="3">
        <f t="shared" si="10"/>
        <v>15.029883449874754</v>
      </c>
      <c r="AM40" s="3">
        <f t="shared" si="11"/>
        <v>0.34125417985791751</v>
      </c>
      <c r="AN40" s="3">
        <f t="shared" si="12"/>
        <v>12.344340452968302</v>
      </c>
      <c r="AO40" s="3">
        <f t="shared" si="13"/>
        <v>63.981246188645201</v>
      </c>
      <c r="AP40" s="474">
        <f t="shared" si="14"/>
        <v>1176.3112954337535</v>
      </c>
    </row>
    <row r="41" spans="2:42" ht="16.5">
      <c r="B41" s="107" t="s">
        <v>159</v>
      </c>
      <c r="C41" s="116">
        <f>0.024+0.04</f>
        <v>6.4000000000000001E-2</v>
      </c>
      <c r="G41" s="9"/>
      <c r="J41" s="334"/>
      <c r="K41" s="108"/>
      <c r="L41" s="107" t="s">
        <v>159</v>
      </c>
      <c r="M41" s="116">
        <f>0.024+0.04</f>
        <v>6.4000000000000001E-2</v>
      </c>
      <c r="Q41" s="9"/>
      <c r="T41" s="334"/>
      <c r="W41" s="3">
        <f t="shared" si="4"/>
        <v>195.19354311822329</v>
      </c>
      <c r="X41" s="2">
        <f t="shared" si="2"/>
        <v>0.17483411096366297</v>
      </c>
      <c r="Y41">
        <v>0</v>
      </c>
      <c r="Z41" cm="1">
        <f t="array" ref="Z41">Linterp(Y41,TO_alpha,TO_CL_a)</f>
        <v>0.249</v>
      </c>
      <c r="AA41" s="2" cm="1">
        <f t="array" ref="AA41">Linterp(Z41,TO_CL_cd,TO_CD_cl)</f>
        <v>7.4049999999999991E-2</v>
      </c>
      <c r="AB41" s="1">
        <f t="shared" si="20"/>
        <v>1916.7234683842883</v>
      </c>
      <c r="AC41" s="1">
        <f t="shared" si="21"/>
        <v>570.01354551749614</v>
      </c>
      <c r="AD41" s="1">
        <f t="shared" si="3"/>
        <v>227.08191329039278</v>
      </c>
      <c r="AE41" s="467" cm="1">
        <f t="array" ref="AE41">numeng*InterpolateXY($V$1,$X41,Tmil_h,Tmil_M,Tmil_table)</f>
        <v>3869.933644385465</v>
      </c>
      <c r="AF41" s="3">
        <f t="shared" si="5"/>
        <v>8.987772343888448</v>
      </c>
      <c r="AG41" s="3">
        <f t="shared" si="6"/>
        <v>0.56917684532928114</v>
      </c>
      <c r="AH41" s="3">
        <f t="shared" si="7"/>
        <v>19.742706430363327</v>
      </c>
      <c r="AI41" s="3">
        <f t="shared" si="8"/>
        <v>109.63780766514014</v>
      </c>
      <c r="AJ41" s="474">
        <f t="shared" si="9"/>
        <v>1970.6351312879394</v>
      </c>
      <c r="AK41" s="467" cm="1">
        <f t="array" ref="AK41">numeng*InterpolateXY($V$1,$X41,Tmax_h,Tmax_M,Tmax_table)</f>
        <v>5919.6018663127907</v>
      </c>
      <c r="AL41" s="3">
        <f t="shared" si="10"/>
        <v>14.982865559551158</v>
      </c>
      <c r="AM41" s="3">
        <f t="shared" si="11"/>
        <v>0.34229934656824829</v>
      </c>
      <c r="AN41" s="3">
        <f t="shared" si="12"/>
        <v>12.68663979953655</v>
      </c>
      <c r="AO41" s="3">
        <f t="shared" si="13"/>
        <v>65.935482497081281</v>
      </c>
      <c r="AP41" s="474">
        <f t="shared" si="14"/>
        <v>1242.2467779308347</v>
      </c>
    </row>
    <row r="42" spans="2:42" ht="16.5">
      <c r="B42" s="108" t="s">
        <v>160</v>
      </c>
      <c r="C42" s="115">
        <v>2.5000000000000001E-2</v>
      </c>
      <c r="G42" s="9"/>
      <c r="J42" s="334"/>
      <c r="L42" s="108" t="s">
        <v>160</v>
      </c>
      <c r="M42" s="115">
        <v>2.5000000000000001E-2</v>
      </c>
      <c r="Q42" s="9"/>
      <c r="T42" s="334"/>
      <c r="W42" s="3">
        <f t="shared" si="4"/>
        <v>200.33021530554495</v>
      </c>
      <c r="X42" s="2">
        <f t="shared" si="2"/>
        <v>0.17943500862060147</v>
      </c>
      <c r="Y42">
        <v>0</v>
      </c>
      <c r="Z42" cm="1">
        <f t="array" ref="Z42">Linterp(Y42,TO_alpha,TO_CL_a)</f>
        <v>0.249</v>
      </c>
      <c r="AA42" s="2" cm="1">
        <f t="array" ref="AA42">Linterp(Z42,TO_CL_cd,TO_CD_cl)</f>
        <v>7.4049999999999991E-2</v>
      </c>
      <c r="AB42" s="1">
        <f t="shared" si="20"/>
        <v>2018.9310217538107</v>
      </c>
      <c r="AC42" s="1">
        <f t="shared" si="21"/>
        <v>600.40900466212713</v>
      </c>
      <c r="AD42" s="1">
        <f t="shared" si="3"/>
        <v>224.52672445615474</v>
      </c>
      <c r="AE42" s="467" cm="1">
        <f t="array" ref="AE42">numeng*InterpolateXY($V$1,$X42,Tmil_h,Tmil_M,Tmil_table)</f>
        <v>3871.7740034482404</v>
      </c>
      <c r="AF42" s="3">
        <f t="shared" si="5"/>
        <v>8.911724967117463</v>
      </c>
      <c r="AG42" s="3">
        <f t="shared" si="6"/>
        <v>0.57394597156237082</v>
      </c>
      <c r="AH42" s="3">
        <f t="shared" si="7"/>
        <v>20.316652401925698</v>
      </c>
      <c r="AI42" s="3">
        <f t="shared" si="8"/>
        <v>113.50463390226506</v>
      </c>
      <c r="AJ42" s="474">
        <f t="shared" si="9"/>
        <v>2084.1397651902043</v>
      </c>
      <c r="AK42" s="467" cm="1">
        <f t="array" ref="AK42">numeng*InterpolateXY($V$1,$X42,Tmax_h,Tmax_M,Tmax_table)</f>
        <v>5930.6440206894431</v>
      </c>
      <c r="AL42" s="3">
        <f t="shared" si="10"/>
        <v>14.933732597546415</v>
      </c>
      <c r="AM42" s="3">
        <f t="shared" si="11"/>
        <v>0.34339948414910354</v>
      </c>
      <c r="AN42" s="3">
        <f t="shared" si="12"/>
        <v>13.030039283685653</v>
      </c>
      <c r="AO42" s="3">
        <f t="shared" si="13"/>
        <v>67.911327305718331</v>
      </c>
      <c r="AP42" s="474">
        <f t="shared" si="14"/>
        <v>1310.158105236553</v>
      </c>
    </row>
    <row r="43" spans="2:42">
      <c r="B43" s="108"/>
      <c r="C43" s="115"/>
      <c r="G43" s="9"/>
      <c r="J43" s="334"/>
      <c r="T43" s="334"/>
      <c r="W43" s="3">
        <f t="shared" si="4"/>
        <v>205.46688749286662</v>
      </c>
      <c r="X43" s="2">
        <f t="shared" si="2"/>
        <v>0.18403590627753996</v>
      </c>
      <c r="Y43">
        <v>0</v>
      </c>
      <c r="Z43" cm="1">
        <f t="array" ref="Z43">Linterp(Y43,TO_alpha,TO_CL_a)</f>
        <v>0.249</v>
      </c>
      <c r="AA43" s="2" cm="1">
        <f t="array" ref="AA43">Linterp(Z43,TO_CL_cd,TO_CD_cl)</f>
        <v>7.4049999999999991E-2</v>
      </c>
      <c r="AB43" s="1">
        <f t="shared" si="20"/>
        <v>2123.7933167692945</v>
      </c>
      <c r="AC43" s="1">
        <f t="shared" si="21"/>
        <v>631.59395625207321</v>
      </c>
      <c r="AD43" s="1">
        <f t="shared" si="3"/>
        <v>221.90516708076768</v>
      </c>
      <c r="AE43" s="467" cm="1">
        <f t="array" ref="AE43">numeng*InterpolateXY($V$1,$X43,Tmil_h,Tmil_M,Tmil_table)</f>
        <v>3873.6143625110158</v>
      </c>
      <c r="AF43" s="3">
        <f t="shared" si="5"/>
        <v>8.8335625186653282</v>
      </c>
      <c r="AG43" s="3">
        <f t="shared" si="6"/>
        <v>0.57893366804421464</v>
      </c>
      <c r="AH43" s="3">
        <f t="shared" si="7"/>
        <v>20.895586069969912</v>
      </c>
      <c r="AI43" s="3">
        <f t="shared" si="8"/>
        <v>117.46480260239983</v>
      </c>
      <c r="AJ43" s="474">
        <f t="shared" si="9"/>
        <v>2201.604567792604</v>
      </c>
      <c r="AK43" s="467" cm="1">
        <f t="array" ref="AK43">numeng*InterpolateXY($V$1,$X43,Tmax_h,Tmax_M,Tmax_table)</f>
        <v>5941.6861750660955</v>
      </c>
      <c r="AL43" s="3">
        <f t="shared" si="10"/>
        <v>14.882484563860523</v>
      </c>
      <c r="AM43" s="3">
        <f t="shared" si="11"/>
        <v>0.34455559265045815</v>
      </c>
      <c r="AN43" s="3">
        <f t="shared" si="12"/>
        <v>13.374594876336111</v>
      </c>
      <c r="AO43" s="3">
        <f t="shared" si="13"/>
        <v>69.909830625272789</v>
      </c>
      <c r="AP43" s="474">
        <f t="shared" si="14"/>
        <v>1380.0679358618258</v>
      </c>
    </row>
    <row r="44" spans="2:42" ht="15" thickBot="1">
      <c r="C44" s="4" t="s">
        <v>161</v>
      </c>
      <c r="H44" s="4"/>
      <c r="J44" s="334"/>
      <c r="M44" s="4" t="s">
        <v>161</v>
      </c>
      <c r="T44" s="334"/>
      <c r="W44" s="3">
        <f t="shared" si="4"/>
        <v>210.60355968018828</v>
      </c>
      <c r="X44" s="2">
        <f t="shared" si="2"/>
        <v>0.18863680393447846</v>
      </c>
      <c r="Y44">
        <v>0</v>
      </c>
      <c r="Z44" cm="1">
        <f t="array" ref="Z44">Linterp(Y44,TO_alpha,TO_CL_a)</f>
        <v>0.249</v>
      </c>
      <c r="AA44" s="2" cm="1">
        <f t="array" ref="AA44">Linterp(Z44,TO_CL_cd,TO_CD_cl)</f>
        <v>7.4049999999999991E-2</v>
      </c>
      <c r="AB44" s="1">
        <f t="shared" si="20"/>
        <v>2231.3103534307397</v>
      </c>
      <c r="AC44" s="1">
        <f t="shared" si="21"/>
        <v>663.56840028733438</v>
      </c>
      <c r="AD44" s="1">
        <f t="shared" si="3"/>
        <v>219.21724116423152</v>
      </c>
      <c r="AE44" s="467" cm="1">
        <f t="array" ref="AE44">numeng*InterpolateXY($V$1,$X44,Tmil_h,Tmil_M,Tmil_table)</f>
        <v>3875.4547215737912</v>
      </c>
      <c r="AF44" s="3">
        <f t="shared" si="5"/>
        <v>8.7532849985320436</v>
      </c>
      <c r="AG44" s="3">
        <f t="shared" si="6"/>
        <v>0.58414928341179384</v>
      </c>
      <c r="AH44" s="3">
        <f t="shared" si="7"/>
        <v>21.479735353381706</v>
      </c>
      <c r="AI44" s="3">
        <f t="shared" si="8"/>
        <v>121.52362678248232</v>
      </c>
      <c r="AJ44" s="474">
        <f t="shared" si="9"/>
        <v>2323.1281945750861</v>
      </c>
      <c r="AK44" s="467" cm="1">
        <f t="array" ref="AK44">numeng*InterpolateXY($V$1,$X44,Tmax_h,Tmax_M,Tmax_table)</f>
        <v>5952.728329442748</v>
      </c>
      <c r="AL44" s="3">
        <f t="shared" si="10"/>
        <v>14.829121458493484</v>
      </c>
      <c r="AM44" s="3">
        <f t="shared" si="11"/>
        <v>0.34576873316487888</v>
      </c>
      <c r="AN44" s="3">
        <f t="shared" si="12"/>
        <v>13.720363609500991</v>
      </c>
      <c r="AO44" s="3">
        <f t="shared" si="13"/>
        <v>71.932075713185924</v>
      </c>
      <c r="AP44" s="474">
        <f t="shared" si="14"/>
        <v>1452.0000115750117</v>
      </c>
    </row>
    <row r="45" spans="2:42" ht="16.5">
      <c r="B45" t="s">
        <v>162</v>
      </c>
      <c r="C45" s="3">
        <v>1</v>
      </c>
      <c r="D45" s="160">
        <f>SQRT(2*C36/(G38*S*C39))</f>
        <v>259.55860971694426</v>
      </c>
      <c r="E45" t="s">
        <v>20</v>
      </c>
      <c r="F45" s="335">
        <f>D45/G$37</f>
        <v>0.23574994699112908</v>
      </c>
      <c r="G45" t="s">
        <v>23</v>
      </c>
      <c r="H45" s="114"/>
      <c r="J45" s="334"/>
      <c r="L45" t="s">
        <v>162</v>
      </c>
      <c r="M45" s="3">
        <v>1</v>
      </c>
      <c r="N45" s="160">
        <f>SQRT(2*M36/(Q38*S*M39))</f>
        <v>259.55860971694426</v>
      </c>
      <c r="O45" t="s">
        <v>20</v>
      </c>
      <c r="P45" s="335">
        <f>N45/Q$37</f>
        <v>0.23574994699112908</v>
      </c>
      <c r="Q45" t="s">
        <v>23</v>
      </c>
      <c r="T45" s="334"/>
      <c r="W45" s="3">
        <f t="shared" si="4"/>
        <v>215.74023186750995</v>
      </c>
      <c r="X45" s="2">
        <f t="shared" si="2"/>
        <v>0.19323770159141698</v>
      </c>
      <c r="Y45">
        <v>0</v>
      </c>
      <c r="Z45" cm="1">
        <f t="array" ref="Z45">Linterp(Y45,TO_alpha,TO_CL_a)</f>
        <v>0.249</v>
      </c>
      <c r="AA45" s="2" cm="1">
        <f t="array" ref="AA45">Linterp(Z45,TO_CL_cd,TO_CD_cl)</f>
        <v>7.4049999999999991E-2</v>
      </c>
      <c r="AB45" s="1">
        <f t="shared" si="20"/>
        <v>2341.4821317381475</v>
      </c>
      <c r="AC45" s="1">
        <f t="shared" si="21"/>
        <v>696.33233676791087</v>
      </c>
      <c r="AD45" s="1">
        <f t="shared" si="3"/>
        <v>216.46294670654635</v>
      </c>
      <c r="AE45" s="467" cm="1">
        <f t="array" ref="AE45">numeng*InterpolateXY($V$1,$X45,Tmil_h,Tmil_M,Tmil_table)</f>
        <v>3877.2950806365666</v>
      </c>
      <c r="AF45" s="3">
        <f t="shared" si="5"/>
        <v>8.6708924067176092</v>
      </c>
      <c r="AG45" s="3">
        <f t="shared" si="6"/>
        <v>0.58960283379278045</v>
      </c>
      <c r="AH45" s="3">
        <f t="shared" si="7"/>
        <v>22.069338187174488</v>
      </c>
      <c r="AI45" s="3">
        <f t="shared" si="8"/>
        <v>125.68675383324067</v>
      </c>
      <c r="AJ45" s="474">
        <f t="shared" si="9"/>
        <v>2448.8149484083269</v>
      </c>
      <c r="AK45" s="467" cm="1">
        <f t="array" ref="AK45">numeng*InterpolateXY($V$1,$X45,Tmax_h,Tmax_M,Tmax_table)</f>
        <v>5963.7704838194004</v>
      </c>
      <c r="AL45" s="3">
        <f t="shared" si="10"/>
        <v>14.773643281445292</v>
      </c>
      <c r="AM45" s="3">
        <f t="shared" si="11"/>
        <v>0.34704003037874953</v>
      </c>
      <c r="AN45" s="3">
        <f t="shared" si="12"/>
        <v>14.067403639879741</v>
      </c>
      <c r="AO45" s="3">
        <f t="shared" si="13"/>
        <v>73.97918118525223</v>
      </c>
      <c r="AP45" s="474">
        <f t="shared" si="14"/>
        <v>1525.9791927602639</v>
      </c>
    </row>
    <row r="46" spans="2:42" ht="16.5">
      <c r="B46" t="s">
        <v>163</v>
      </c>
      <c r="C46">
        <v>1.05</v>
      </c>
      <c r="D46" s="161">
        <f>C46*D$45</f>
        <v>272.53654020279151</v>
      </c>
      <c r="E46" t="s">
        <v>20</v>
      </c>
      <c r="F46" s="336">
        <f t="shared" ref="F46:F48" si="22">D46/G$37</f>
        <v>0.24753744434068556</v>
      </c>
      <c r="G46" t="s">
        <v>23</v>
      </c>
      <c r="H46" s="114"/>
      <c r="J46" s="334"/>
      <c r="L46" t="s">
        <v>163</v>
      </c>
      <c r="M46">
        <v>1.05</v>
      </c>
      <c r="N46" s="161">
        <f>M46*N$45</f>
        <v>272.53654020279151</v>
      </c>
      <c r="O46" t="s">
        <v>20</v>
      </c>
      <c r="P46" s="339">
        <f>N46/Q$37</f>
        <v>0.24753744434068556</v>
      </c>
      <c r="Q46" t="s">
        <v>23</v>
      </c>
      <c r="T46" s="334"/>
      <c r="W46" s="3">
        <f t="shared" si="4"/>
        <v>220.87690405483161</v>
      </c>
      <c r="X46" s="2">
        <f t="shared" si="2"/>
        <v>0.19783859924835548</v>
      </c>
      <c r="Y46">
        <v>0</v>
      </c>
      <c r="Z46" cm="1">
        <f t="array" ref="Z46">Linterp(Y46,TO_alpha,TO_CL_a)</f>
        <v>0.249</v>
      </c>
      <c r="AA46" s="2" cm="1">
        <f t="array" ref="AA46">Linterp(Z46,TO_CL_cd,TO_CD_cl)</f>
        <v>7.4049999999999991E-2</v>
      </c>
      <c r="AB46" s="1">
        <f t="shared" si="20"/>
        <v>2454.3086516915164</v>
      </c>
      <c r="AC46" s="1">
        <f t="shared" si="21"/>
        <v>729.88576569380234</v>
      </c>
      <c r="AD46" s="1">
        <f t="shared" si="3"/>
        <v>213.64228370771207</v>
      </c>
      <c r="AE46" s="467" cm="1">
        <f t="array" ref="AE46">numeng*InterpolateXY($V$1,$X46,Tmil_h,Tmil_M,Tmil_table)</f>
        <v>3879.135439699342</v>
      </c>
      <c r="AF46" s="3">
        <f t="shared" si="5"/>
        <v>8.5863847432220268</v>
      </c>
      <c r="AG46" s="3">
        <f t="shared" si="6"/>
        <v>0.59530505799863476</v>
      </c>
      <c r="AH46" s="3">
        <f t="shared" si="7"/>
        <v>22.664643245173121</v>
      </c>
      <c r="AI46" s="3">
        <f t="shared" si="8"/>
        <v>129.96019471172366</v>
      </c>
      <c r="AJ46" s="474">
        <f t="shared" si="9"/>
        <v>2578.7751431200504</v>
      </c>
      <c r="AK46" s="467" cm="1">
        <f t="array" ref="AK46">numeng*InterpolateXY($V$1,$X46,Tmax_h,Tmax_M,Tmax_table)</f>
        <v>5974.8126381960528</v>
      </c>
      <c r="AL46" s="3">
        <f t="shared" si="10"/>
        <v>14.716050032715954</v>
      </c>
      <c r="AM46" s="3">
        <f t="shared" si="11"/>
        <v>0.34837067531353294</v>
      </c>
      <c r="AN46" s="3">
        <f t="shared" si="12"/>
        <v>14.415774315193273</v>
      </c>
      <c r="AO46" s="3">
        <f t="shared" si="13"/>
        <v>76.052303247363369</v>
      </c>
      <c r="AP46" s="474">
        <f t="shared" si="14"/>
        <v>1602.0314960076273</v>
      </c>
    </row>
    <row r="47" spans="2:42" ht="16.5">
      <c r="B47" t="s">
        <v>164</v>
      </c>
      <c r="C47" s="3">
        <v>1.1000000000000001</v>
      </c>
      <c r="D47" s="161">
        <f t="shared" ref="D47:D48" si="23">C47*D$45</f>
        <v>285.51447068863871</v>
      </c>
      <c r="E47" t="s">
        <v>20</v>
      </c>
      <c r="F47" s="336">
        <f t="shared" si="22"/>
        <v>0.25932494169024201</v>
      </c>
      <c r="G47" t="s">
        <v>23</v>
      </c>
      <c r="H47" s="114"/>
      <c r="J47" s="334"/>
      <c r="L47" t="s">
        <v>164</v>
      </c>
      <c r="M47" s="3">
        <v>1.1000000000000001</v>
      </c>
      <c r="N47" s="161">
        <f t="shared" ref="N47:N48" si="24">M47*N$45</f>
        <v>285.51447068863871</v>
      </c>
      <c r="O47" t="s">
        <v>20</v>
      </c>
      <c r="P47" s="339">
        <f>N47/Q$37</f>
        <v>0.25932494169024201</v>
      </c>
      <c r="Q47" t="s">
        <v>23</v>
      </c>
      <c r="T47" s="334"/>
      <c r="W47" s="3">
        <f t="shared" si="4"/>
        <v>226.01357624215328</v>
      </c>
      <c r="X47" s="2">
        <f t="shared" si="2"/>
        <v>0.20243949690529398</v>
      </c>
      <c r="Y47">
        <v>0</v>
      </c>
      <c r="Z47" cm="1">
        <f t="array" ref="Z47">Linterp(Y47,TO_alpha,TO_CL_a)</f>
        <v>0.249</v>
      </c>
      <c r="AA47" s="2" cm="1">
        <f t="array" ref="AA47">Linterp(Z47,TO_CL_cd,TO_CD_cl)</f>
        <v>7.4049999999999991E-2</v>
      </c>
      <c r="AB47" s="1">
        <f t="shared" si="20"/>
        <v>2569.7899132908469</v>
      </c>
      <c r="AC47" s="1">
        <f t="shared" si="21"/>
        <v>764.22868706500867</v>
      </c>
      <c r="AD47" s="1">
        <f t="shared" si="3"/>
        <v>210.75525216772886</v>
      </c>
      <c r="AE47" s="467" cm="1">
        <f t="array" ref="AE47">numeng*InterpolateXY($V$1,$X47,Tmil_h,Tmil_M,Tmil_table)</f>
        <v>3880.9757987621174</v>
      </c>
      <c r="AF47" s="3">
        <f t="shared" si="5"/>
        <v>8.4997620080452982</v>
      </c>
      <c r="AG47" s="3">
        <f t="shared" si="6"/>
        <v>0.60126747851333584</v>
      </c>
      <c r="AH47" s="3">
        <f t="shared" si="7"/>
        <v>23.265910723686456</v>
      </c>
      <c r="AI47" s="3">
        <f t="shared" si="8"/>
        <v>134.35035612989086</v>
      </c>
      <c r="AJ47" s="474">
        <f t="shared" si="9"/>
        <v>2713.1254992499412</v>
      </c>
      <c r="AK47" s="467" cm="1">
        <f t="array" ref="AK47">numeng*InterpolateXY($V$1,$X47,Tmax_h,Tmax_M,Tmax_table)</f>
        <v>5985.8547925727053</v>
      </c>
      <c r="AL47" s="3">
        <f t="shared" si="10"/>
        <v>14.656341712305466</v>
      </c>
      <c r="AM47" s="3">
        <f t="shared" si="11"/>
        <v>0.34976192827009561</v>
      </c>
      <c r="AN47" s="3">
        <f t="shared" si="12"/>
        <v>14.765536243463369</v>
      </c>
      <c r="AO47" s="3">
        <f t="shared" si="13"/>
        <v>78.152638057111304</v>
      </c>
      <c r="AP47" s="474">
        <f t="shared" si="14"/>
        <v>1680.1841340647386</v>
      </c>
    </row>
    <row r="48" spans="2:42" ht="16.5">
      <c r="B48" t="s">
        <v>165</v>
      </c>
      <c r="C48" s="3">
        <v>1.2</v>
      </c>
      <c r="D48" s="161">
        <f t="shared" si="23"/>
        <v>311.4703316603331</v>
      </c>
      <c r="E48" t="s">
        <v>20</v>
      </c>
      <c r="F48" s="336">
        <f t="shared" si="22"/>
        <v>0.2828999363893549</v>
      </c>
      <c r="G48" t="s">
        <v>23</v>
      </c>
      <c r="H48" s="114"/>
      <c r="J48" s="334"/>
      <c r="K48" s="110"/>
      <c r="L48" t="s">
        <v>165</v>
      </c>
      <c r="M48" s="3">
        <v>1.2</v>
      </c>
      <c r="N48" s="161">
        <f t="shared" si="24"/>
        <v>311.4703316603331</v>
      </c>
      <c r="O48" t="s">
        <v>20</v>
      </c>
      <c r="P48" s="339">
        <f>N48/Q$37</f>
        <v>0.2828999363893549</v>
      </c>
      <c r="Q48" t="s">
        <v>23</v>
      </c>
      <c r="T48" s="334"/>
      <c r="W48" s="3">
        <f t="shared" si="4"/>
        <v>231.15024842947494</v>
      </c>
      <c r="X48" s="2">
        <f t="shared" si="2"/>
        <v>0.20704039456223247</v>
      </c>
      <c r="Y48">
        <v>0</v>
      </c>
      <c r="Z48" cm="1">
        <f t="array" ref="Z48">Linterp(Y48,TO_alpha,TO_CL_a)</f>
        <v>0.249</v>
      </c>
      <c r="AA48" s="2" cm="1">
        <f t="array" ref="AA48">Linterp(Z48,TO_CL_cd,TO_CD_cl)</f>
        <v>7.4049999999999991E-2</v>
      </c>
      <c r="AB48" s="1">
        <f t="shared" si="20"/>
        <v>2687.9259165361386</v>
      </c>
      <c r="AC48" s="1">
        <f t="shared" si="21"/>
        <v>799.36110088153032</v>
      </c>
      <c r="AD48" s="1">
        <f t="shared" si="3"/>
        <v>207.80185208659657</v>
      </c>
      <c r="AE48" s="467" cm="1">
        <f t="array" ref="AE48">numeng*InterpolateXY($V$1,$X48,Tmil_h,Tmil_M,Tmil_table)</f>
        <v>3882.8161578248928</v>
      </c>
      <c r="AF48" s="3">
        <f t="shared" si="5"/>
        <v>8.4110242011874163</v>
      </c>
      <c r="AG48" s="3">
        <f t="shared" si="6"/>
        <v>0.60750246898836868</v>
      </c>
      <c r="AH48" s="3">
        <f t="shared" si="7"/>
        <v>23.873413192674825</v>
      </c>
      <c r="AI48" s="3">
        <f t="shared" si="8"/>
        <v>138.86407611008991</v>
      </c>
      <c r="AJ48" s="474">
        <f t="shared" si="9"/>
        <v>2851.9895753600313</v>
      </c>
      <c r="AK48" s="467" cm="1">
        <f t="array" ref="AK48">numeng*InterpolateXY($V$1,$X48,Tmax_h,Tmax_M,Tmax_table)</f>
        <v>5996.8969469493577</v>
      </c>
      <c r="AL48" s="3">
        <f t="shared" si="10"/>
        <v>14.59451832021383</v>
      </c>
      <c r="AM48" s="3">
        <f t="shared" si="11"/>
        <v>0.35121512199032989</v>
      </c>
      <c r="AN48" s="3">
        <f t="shared" si="12"/>
        <v>15.1167513654537</v>
      </c>
      <c r="AO48" s="3">
        <f t="shared" si="13"/>
        <v>80.28142422580585</v>
      </c>
      <c r="AP48" s="474">
        <f t="shared" si="14"/>
        <v>1760.4655582905445</v>
      </c>
    </row>
    <row r="49" spans="1:42">
      <c r="D49" s="162"/>
      <c r="F49" s="162"/>
      <c r="J49" s="334"/>
      <c r="N49" s="162"/>
      <c r="P49" s="162"/>
      <c r="T49" s="334"/>
      <c r="W49" s="3">
        <f t="shared" si="4"/>
        <v>236.28692061679661</v>
      </c>
      <c r="X49" s="2">
        <f t="shared" si="2"/>
        <v>0.21164129221917097</v>
      </c>
      <c r="Y49">
        <v>0</v>
      </c>
      <c r="Z49" cm="1">
        <f t="array" ref="Z49">Linterp(Y49,TO_alpha,TO_CL_a)</f>
        <v>0.249</v>
      </c>
      <c r="AA49" s="2" cm="1">
        <f t="array" ref="AA49">Linterp(Z49,TO_CL_cd,TO_CD_cl)</f>
        <v>7.4049999999999991E-2</v>
      </c>
      <c r="AB49" s="1">
        <f t="shared" si="20"/>
        <v>2808.716661427392</v>
      </c>
      <c r="AC49" s="1">
        <f t="shared" si="21"/>
        <v>835.28300714336694</v>
      </c>
      <c r="AD49" s="1">
        <f t="shared" si="3"/>
        <v>204.78208346431521</v>
      </c>
      <c r="AE49" s="467" cm="1">
        <f t="array" ref="AE49">numeng*InterpolateXY($V$1,$X49,Tmil_h,Tmil_M,Tmil_table)</f>
        <v>3884.6565168876682</v>
      </c>
      <c r="AF49" s="3">
        <f t="shared" si="5"/>
        <v>8.3201713226483882</v>
      </c>
      <c r="AG49" s="3">
        <f t="shared" si="6"/>
        <v>0.61402332905664692</v>
      </c>
      <c r="AH49" s="3">
        <f t="shared" si="7"/>
        <v>24.487436521731471</v>
      </c>
      <c r="AI49" s="3">
        <f t="shared" si="8"/>
        <v>143.50866333130315</v>
      </c>
      <c r="AJ49" s="474">
        <f t="shared" si="9"/>
        <v>2995.4982386913343</v>
      </c>
      <c r="AK49" s="467" cm="1">
        <f t="array" ref="AK49">numeng*InterpolateXY($V$1,$X49,Tmax_h,Tmax_M,Tmax_table)</f>
        <v>6007.9391013260101</v>
      </c>
      <c r="AL49" s="3">
        <f t="shared" si="10"/>
        <v>14.530579856441044</v>
      </c>
      <c r="AM49" s="3">
        <f t="shared" si="11"/>
        <v>0.35273166505161846</v>
      </c>
      <c r="AN49" s="3">
        <f t="shared" si="12"/>
        <v>15.469483030505318</v>
      </c>
      <c r="AO49" s="3">
        <f t="shared" si="13"/>
        <v>82.439945472353102</v>
      </c>
      <c r="AP49" s="474">
        <f t="shared" si="14"/>
        <v>1842.9055037628978</v>
      </c>
    </row>
    <row r="50" spans="1:42" ht="17" thickBot="1">
      <c r="B50" s="110" t="s">
        <v>166</v>
      </c>
      <c r="D50" s="163">
        <f>0.7*D47</f>
        <v>199.86012948204709</v>
      </c>
      <c r="E50" t="s">
        <v>20</v>
      </c>
      <c r="F50" s="337">
        <f>D50/G$37</f>
        <v>0.1815274591831694</v>
      </c>
      <c r="G50" t="s">
        <v>23</v>
      </c>
      <c r="J50" s="334"/>
      <c r="L50" s="110" t="s">
        <v>166</v>
      </c>
      <c r="N50" s="163">
        <f>0.7*N47</f>
        <v>199.86012948204709</v>
      </c>
      <c r="O50" t="s">
        <v>20</v>
      </c>
      <c r="P50" s="337">
        <f>N50/Q$37</f>
        <v>0.1815274591831694</v>
      </c>
      <c r="Q50" t="s">
        <v>23</v>
      </c>
      <c r="T50" s="334"/>
      <c r="W50" s="3">
        <f t="shared" si="4"/>
        <v>241.42359280411827</v>
      </c>
      <c r="X50" s="2">
        <f t="shared" si="2"/>
        <v>0.21624218987610946</v>
      </c>
      <c r="Y50">
        <v>0</v>
      </c>
      <c r="Z50" cm="1">
        <f t="array" ref="Z50">Linterp(Y50,TO_alpha,TO_CL_a)</f>
        <v>0.249</v>
      </c>
      <c r="AA50" s="2" cm="1">
        <f t="array" ref="AA50">Linterp(Z50,TO_CL_cd,TO_CD_cl)</f>
        <v>7.4049999999999991E-2</v>
      </c>
      <c r="AB50" s="1">
        <f t="shared" si="20"/>
        <v>2932.1621479646074</v>
      </c>
      <c r="AC50" s="1">
        <f t="shared" si="21"/>
        <v>871.99440585051866</v>
      </c>
      <c r="AD50" s="1">
        <f t="shared" si="3"/>
        <v>201.69594630088483</v>
      </c>
      <c r="AE50" s="467" cm="1">
        <f t="array" ref="AE50">numeng*InterpolateXY($V$1,$X50,Tmil_h,Tmil_M,Tmil_table)</f>
        <v>3886.4968759504436</v>
      </c>
      <c r="AF50" s="3">
        <f t="shared" si="5"/>
        <v>8.2272033724282103</v>
      </c>
      <c r="AG50" s="3">
        <f t="shared" si="6"/>
        <v>0.62084436739684123</v>
      </c>
      <c r="AH50" s="3">
        <f t="shared" si="7"/>
        <v>25.108280889128313</v>
      </c>
      <c r="AI50" s="3">
        <f t="shared" si="8"/>
        <v>148.29194075181405</v>
      </c>
      <c r="AJ50" s="474">
        <f t="shared" si="9"/>
        <v>3143.7901794431482</v>
      </c>
      <c r="AK50" s="467" cm="1">
        <f t="array" ref="AK50">numeng*InterpolateXY($V$1,$X50,Tmax_h,Tmax_M,Tmax_table)</f>
        <v>6018.9812557026626</v>
      </c>
      <c r="AL50" s="3">
        <f t="shared" si="10"/>
        <v>14.464526320987108</v>
      </c>
      <c r="AM50" s="3">
        <f t="shared" si="11"/>
        <v>0.35431304551113629</v>
      </c>
      <c r="AN50" s="3">
        <f t="shared" si="12"/>
        <v>15.823796076016453</v>
      </c>
      <c r="AO50" s="3">
        <f t="shared" si="13"/>
        <v>84.629533441426446</v>
      </c>
      <c r="AP50" s="474">
        <f t="shared" si="14"/>
        <v>1927.5350372043242</v>
      </c>
    </row>
    <row r="51" spans="1:42">
      <c r="D51" s="2"/>
      <c r="J51" s="334"/>
      <c r="N51" s="2"/>
      <c r="T51" s="334"/>
      <c r="W51" s="3">
        <f t="shared" si="4"/>
        <v>246.56026499143994</v>
      </c>
      <c r="X51" s="2">
        <f t="shared" si="2"/>
        <v>0.22084308753304796</v>
      </c>
      <c r="Y51">
        <v>0</v>
      </c>
      <c r="Z51" cm="1">
        <f t="array" ref="Z51">Linterp(Y51,TO_alpha,TO_CL_a)</f>
        <v>0.249</v>
      </c>
      <c r="AA51" s="2" cm="1">
        <f t="array" ref="AA51">Linterp(Z51,TO_CL_cd,TO_CD_cl)</f>
        <v>7.4049999999999991E-2</v>
      </c>
      <c r="AB51" s="1">
        <f t="shared" si="20"/>
        <v>3058.2623761477844</v>
      </c>
      <c r="AC51" s="1">
        <f t="shared" si="21"/>
        <v>909.49529700298558</v>
      </c>
      <c r="AD51" s="1">
        <f t="shared" si="3"/>
        <v>198.5434405963054</v>
      </c>
      <c r="AE51" s="467" cm="1">
        <f t="array" ref="AE51">numeng*InterpolateXY($V$1,$X51,Tmil_h,Tmil_M,Tmil_table)</f>
        <v>3888.337235013219</v>
      </c>
      <c r="AF51" s="3">
        <f t="shared" si="5"/>
        <v>8.1321203505268826</v>
      </c>
      <c r="AG51" s="3">
        <f t="shared" si="6"/>
        <v>0.62798099411823283</v>
      </c>
      <c r="AH51" s="3">
        <f t="shared" si="7"/>
        <v>25.736261883246545</v>
      </c>
      <c r="AI51" s="3">
        <f t="shared" si="8"/>
        <v>153.22229406605251</v>
      </c>
      <c r="AJ51" s="474">
        <f t="shared" si="9"/>
        <v>3297.0124735092008</v>
      </c>
      <c r="AK51" s="467" cm="1">
        <f t="array" ref="AK51">numeng*InterpolateXY($V$1,$X51,Tmax_h,Tmax_M,Tmax_table)</f>
        <v>6030.023410079315</v>
      </c>
      <c r="AL51" s="3">
        <f t="shared" si="10"/>
        <v>14.396357713852028</v>
      </c>
      <c r="AM51" s="3">
        <f t="shared" si="11"/>
        <v>0.35596083481857177</v>
      </c>
      <c r="AN51" s="3">
        <f t="shared" si="12"/>
        <v>16.179756910835025</v>
      </c>
      <c r="AO51" s="3">
        <f t="shared" si="13"/>
        <v>86.851570699447052</v>
      </c>
      <c r="AP51" s="474">
        <f t="shared" si="14"/>
        <v>2014.3866079037712</v>
      </c>
    </row>
    <row r="52" spans="1:42" ht="15" thickBot="1">
      <c r="J52" s="334"/>
      <c r="T52" s="334"/>
      <c r="W52" s="3">
        <f t="shared" si="4"/>
        <v>251.6969371787616</v>
      </c>
      <c r="X52" s="2">
        <f t="shared" si="2"/>
        <v>0.22544398518998646</v>
      </c>
      <c r="Y52">
        <v>0</v>
      </c>
      <c r="Z52" cm="1">
        <f t="array" ref="Z52">Linterp(Y52,TO_alpha,TO_CL_a)</f>
        <v>0.249</v>
      </c>
      <c r="AA52" s="2" cm="1">
        <f t="array" ref="AA52">Linterp(Z52,TO_CL_cd,TO_CD_cl)</f>
        <v>7.4049999999999991E-2</v>
      </c>
      <c r="AB52" s="1">
        <f t="shared" si="20"/>
        <v>3187.0173459769226</v>
      </c>
      <c r="AC52" s="1">
        <f t="shared" si="21"/>
        <v>947.78568060076736</v>
      </c>
      <c r="AD52" s="1">
        <f t="shared" si="3"/>
        <v>195.32456635057693</v>
      </c>
      <c r="AE52" s="467" cm="1">
        <f t="array" ref="AE52">numeng*InterpolateXY($V$1,$X52,Tmil_h,Tmil_M,Tmil_table)</f>
        <v>3890.1775940759944</v>
      </c>
      <c r="AF52" s="3">
        <f t="shared" si="5"/>
        <v>8.0349222569444088</v>
      </c>
      <c r="AG52" s="3">
        <f t="shared" si="6"/>
        <v>0.6354498236984728</v>
      </c>
      <c r="AH52" s="3">
        <f t="shared" si="7"/>
        <v>26.371711706945018</v>
      </c>
      <c r="AI52" s="3">
        <f t="shared" si="8"/>
        <v>158.30872563777444</v>
      </c>
      <c r="AJ52" s="474">
        <f t="shared" si="9"/>
        <v>3455.3211991469752</v>
      </c>
      <c r="AK52" s="467" cm="1">
        <f t="array" ref="AK52">numeng*InterpolateXY($V$1,$X52,Tmax_h,Tmax_M,Tmax_table)</f>
        <v>6041.0655644559674</v>
      </c>
      <c r="AL52" s="3">
        <f t="shared" si="10"/>
        <v>14.326074035035795</v>
      </c>
      <c r="AM52" s="3">
        <f t="shared" si="11"/>
        <v>0.35767669201759456</v>
      </c>
      <c r="AN52" s="3">
        <f t="shared" si="12"/>
        <v>16.537433602852619</v>
      </c>
      <c r="AO52" s="3">
        <f t="shared" si="13"/>
        <v>89.107493923089763</v>
      </c>
      <c r="AP52" s="474">
        <f t="shared" si="14"/>
        <v>2103.494101826861</v>
      </c>
    </row>
    <row r="53" spans="1:42">
      <c r="B53" t="s">
        <v>84</v>
      </c>
      <c r="C53" s="164" cm="1">
        <f t="array" ref="C53">InterpolateXY(C37,F50,Tmil_h,Tmil_M,Tmil_table)*numeng</f>
        <v>3494.0995831990022</v>
      </c>
      <c r="D53" t="s">
        <v>5</v>
      </c>
      <c r="J53" s="334"/>
      <c r="L53" t="s">
        <v>84</v>
      </c>
      <c r="M53" s="164" cm="1">
        <f t="array" ref="M53">InterpolateXY(M37,P50,Tmax_h,Tmax_M,Tmax_table)*numeng</f>
        <v>5353.8720054127016</v>
      </c>
      <c r="N53" t="s">
        <v>5</v>
      </c>
      <c r="T53" s="334"/>
      <c r="V53" t="s">
        <v>590</v>
      </c>
      <c r="W53" s="460">
        <f t="shared" si="4"/>
        <v>256.83360936608329</v>
      </c>
      <c r="X53" s="475">
        <f t="shared" si="2"/>
        <v>0.23004488284692498</v>
      </c>
      <c r="Y53" s="476">
        <v>0</v>
      </c>
      <c r="Z53" s="476" cm="1">
        <f t="array" ref="Z53">Linterp(Y53,TO_alpha,TO_CL_a)</f>
        <v>0.249</v>
      </c>
      <c r="AA53" s="475" cm="1">
        <f t="array" ref="AA53">Linterp(Z53,TO_CL_cd,TO_CD_cl)</f>
        <v>7.4049999999999991E-2</v>
      </c>
      <c r="AB53" s="477">
        <f t="shared" si="20"/>
        <v>3318.4270574520233</v>
      </c>
      <c r="AC53" s="477">
        <f>AA53*S*$Q$6*$X53^2</f>
        <v>986.86555664386469</v>
      </c>
      <c r="AD53" s="477">
        <f t="shared" si="3"/>
        <v>192.03932356369944</v>
      </c>
      <c r="AE53" s="478" cm="1">
        <f t="array" ref="AE53">numeng*InterpolateXY($V$1,$X53,Tmil_h,Tmil_M,Tmil_table)</f>
        <v>3892.0179531387698</v>
      </c>
      <c r="AF53" s="460">
        <f t="shared" si="5"/>
        <v>7.9356090916807833</v>
      </c>
      <c r="AG53" s="460">
        <f t="shared" si="6"/>
        <v>0.64326878989707237</v>
      </c>
      <c r="AH53" s="460">
        <f t="shared" si="7"/>
        <v>27.014980496842089</v>
      </c>
      <c r="AI53" s="460">
        <f t="shared" si="8"/>
        <v>163.56091465079962</v>
      </c>
      <c r="AJ53" s="479">
        <f t="shared" si="9"/>
        <v>3618.8821137977748</v>
      </c>
      <c r="AK53" s="478" cm="1">
        <f t="array" ref="AK53">numeng*InterpolateXY($V$1,$X53,Tmax_h,Tmax_M,Tmax_table)</f>
        <v>6052.1077188326199</v>
      </c>
      <c r="AL53" s="460">
        <f t="shared" si="10"/>
        <v>14.253675284538414</v>
      </c>
      <c r="AM53" s="460">
        <f t="shared" si="11"/>
        <v>0.35946236825832462</v>
      </c>
      <c r="AN53" s="460">
        <f t="shared" si="12"/>
        <v>16.896895971110943</v>
      </c>
      <c r="AO53" s="460">
        <f t="shared" si="13"/>
        <v>91.39879729635507</v>
      </c>
      <c r="AP53" s="479">
        <f t="shared" si="14"/>
        <v>2194.892899123216</v>
      </c>
    </row>
    <row r="54" spans="1:42">
      <c r="B54" t="s">
        <v>76</v>
      </c>
      <c r="C54" s="165">
        <f>(S*G36*F50^2)*(C40+C41)</f>
        <v>572.19014223645445</v>
      </c>
      <c r="D54" t="s">
        <v>5</v>
      </c>
      <c r="J54" s="334"/>
      <c r="L54" t="s">
        <v>76</v>
      </c>
      <c r="M54" s="165">
        <f>(S*Q36*P50^2)*(M40+M41)</f>
        <v>572.19014223645445</v>
      </c>
      <c r="N54" t="s">
        <v>5</v>
      </c>
      <c r="T54" s="334"/>
      <c r="W54" s="3">
        <f>W53+(V$3-V$2)/10</f>
        <v>258.05662655354081</v>
      </c>
      <c r="X54" s="2">
        <f t="shared" si="2"/>
        <v>0.23114033467000555</v>
      </c>
      <c r="Y54" s="3">
        <f>Y52+U$63/10</f>
        <v>0.71294407892727407</v>
      </c>
      <c r="Z54" cm="1">
        <f t="array" ref="Z54">Linterp(Y54,TO_alpha,TO_CL_a)</f>
        <v>0.29961902960383646</v>
      </c>
      <c r="AA54" s="2" cm="1">
        <f t="array" ref="AA54">Linterp(Z54,TO_CL_cd,TO_CD_cl)</f>
        <v>7.2511429111884906E-2</v>
      </c>
      <c r="AB54" s="1">
        <f t="shared" si="20"/>
        <v>4031.1470698055396</v>
      </c>
      <c r="AC54" s="1">
        <f t="shared" si="21"/>
        <v>975.5863483647172</v>
      </c>
      <c r="AD54" s="1">
        <f t="shared" si="3"/>
        <v>174.22132325486152</v>
      </c>
      <c r="AE54" s="467" cm="1">
        <f t="array" ref="AE54">numeng*InterpolateXY($V$1,$X54,Tmil_h,Tmil_M,Tmil_table)</f>
        <v>3892.4561338680023</v>
      </c>
      <c r="AF54" s="3">
        <f t="shared" si="5"/>
        <v>8.0219974203982538</v>
      </c>
      <c r="AG54" s="3">
        <f t="shared" si="6"/>
        <v>0.1532832867550353</v>
      </c>
      <c r="AH54" s="3">
        <f t="shared" si="7"/>
        <v>27.168263783597123</v>
      </c>
      <c r="AI54" s="3">
        <f t="shared" si="8"/>
        <v>39.462033839917758</v>
      </c>
      <c r="AJ54" s="474">
        <f t="shared" si="9"/>
        <v>3658.3441476376925</v>
      </c>
      <c r="AK54" s="467" cm="1">
        <f t="array" ref="AK54">numeng*InterpolateXY($V$1,$X54,Tmax_h,Tmax_M,Tmax_table)</f>
        <v>6054.736803208013</v>
      </c>
      <c r="AL54" s="3">
        <f t="shared" si="10"/>
        <v>14.346471807247847</v>
      </c>
      <c r="AM54" s="3">
        <f t="shared" si="11"/>
        <v>8.5525237582344871E-2</v>
      </c>
      <c r="AN54" s="3">
        <f t="shared" si="12"/>
        <v>16.982421208693289</v>
      </c>
      <c r="AO54" s="3">
        <f t="shared" si="13"/>
        <v>22.018054877927725</v>
      </c>
      <c r="AP54" s="474">
        <f t="shared" si="14"/>
        <v>2216.9109540011436</v>
      </c>
    </row>
    <row r="55" spans="1:42">
      <c r="B55" t="s">
        <v>167</v>
      </c>
      <c r="C55" s="165">
        <f>C42*(C36)</f>
        <v>275</v>
      </c>
      <c r="D55" t="s">
        <v>5</v>
      </c>
      <c r="J55" s="334"/>
      <c r="L55" t="s">
        <v>167</v>
      </c>
      <c r="M55" s="165">
        <f>M42*(M36)</f>
        <v>275</v>
      </c>
      <c r="N55" t="s">
        <v>5</v>
      </c>
      <c r="T55" s="334"/>
      <c r="W55" s="3">
        <f t="shared" ref="W55:W63" si="25">W54+(V$3-V$2)/10</f>
        <v>259.27964374099832</v>
      </c>
      <c r="X55" s="2">
        <f t="shared" si="2"/>
        <v>0.23223578649308613</v>
      </c>
      <c r="Y55" s="3">
        <f t="shared" ref="Y55:Y63" si="26">Y54+U$63/10</f>
        <v>1.4258881578545481</v>
      </c>
      <c r="Z55" cm="1">
        <f t="array" ref="Z55">Linterp(Y55,TO_alpha,TO_CL_a)</f>
        <v>0.34981217104981838</v>
      </c>
      <c r="AA55" s="2" cm="1">
        <f t="array" ref="AA55">Linterp(Z55,TO_CL_cd,TO_CD_cl)</f>
        <v>7.1802629605302551E-2</v>
      </c>
      <c r="AB55" s="1">
        <f t="shared" si="20"/>
        <v>4751.1744519107115</v>
      </c>
      <c r="AC55" s="1">
        <f t="shared" si="21"/>
        <v>975.2285586202114</v>
      </c>
      <c r="AD55" s="1">
        <f t="shared" si="3"/>
        <v>156.22063870223224</v>
      </c>
      <c r="AE55" s="467" cm="1">
        <f t="array" ref="AE55">numeng*InterpolateXY($V$1,$X55,Tmil_h,Tmil_M,Tmil_table)</f>
        <v>3892.8943145972344</v>
      </c>
      <c r="AF55" s="3">
        <f t="shared" si="5"/>
        <v>8.0769759275635558</v>
      </c>
      <c r="AG55" s="3">
        <f t="shared" si="6"/>
        <v>0.15193728954304447</v>
      </c>
      <c r="AH55" s="3">
        <f t="shared" si="7"/>
        <v>27.320201073140169</v>
      </c>
      <c r="AI55" s="3">
        <f t="shared" si="8"/>
        <v>39.301335345430061</v>
      </c>
      <c r="AJ55" s="474">
        <f t="shared" si="9"/>
        <v>3697.6454829831227</v>
      </c>
      <c r="AK55" s="467" cm="1">
        <f t="array" ref="AK55">numeng*InterpolateXY($V$1,$X55,Tmax_h,Tmax_M,Tmax_table)</f>
        <v>6057.3658875834071</v>
      </c>
      <c r="AL55" s="3">
        <f t="shared" si="10"/>
        <v>14.407858508405113</v>
      </c>
      <c r="AM55" s="3">
        <f t="shared" si="11"/>
        <v>8.50666438085496E-2</v>
      </c>
      <c r="AN55" s="3">
        <f t="shared" si="12"/>
        <v>17.067487852501838</v>
      </c>
      <c r="AO55" s="3">
        <f t="shared" si="13"/>
        <v>22.004030117194553</v>
      </c>
      <c r="AP55" s="474">
        <f t="shared" si="14"/>
        <v>2238.914984118338</v>
      </c>
    </row>
    <row r="56" spans="1:42" ht="17" thickBot="1">
      <c r="B56" t="s">
        <v>153</v>
      </c>
      <c r="C56" s="166">
        <f>(C53-C54-C55)/(C36/32.174)</f>
        <v>7.7419694866844555</v>
      </c>
      <c r="D56" s="341" t="s">
        <v>422</v>
      </c>
      <c r="J56" s="334"/>
      <c r="L56" t="s">
        <v>153</v>
      </c>
      <c r="M56" s="166">
        <f>(M53-M54-M55)/(M36/32.174)</f>
        <v>13.181634751439326</v>
      </c>
      <c r="N56" s="342" t="s">
        <v>422</v>
      </c>
      <c r="T56" s="334"/>
      <c r="W56" s="3">
        <f t="shared" si="25"/>
        <v>260.50266092845584</v>
      </c>
      <c r="X56" s="2">
        <f t="shared" si="2"/>
        <v>0.2333312383161667</v>
      </c>
      <c r="Y56" s="3">
        <f t="shared" si="26"/>
        <v>2.1388322367818224</v>
      </c>
      <c r="Z56" cm="1">
        <f t="array" ref="Z56">Linterp(Y56,TO_alpha,TO_CL_a)</f>
        <v>0.39985708881150939</v>
      </c>
      <c r="AA56" s="2" cm="1">
        <f t="array" ref="AA56">Linterp(Z56,TO_CL_cd,TO_CD_cl)</f>
        <v>7.1500857467130932E-2</v>
      </c>
      <c r="AB56" s="1">
        <f t="shared" si="20"/>
        <v>5482.2438103583418</v>
      </c>
      <c r="AC56" s="1">
        <f t="shared" si="21"/>
        <v>980.31307747872006</v>
      </c>
      <c r="AD56" s="1">
        <f t="shared" si="3"/>
        <v>137.94390474104145</v>
      </c>
      <c r="AE56" s="467" cm="1">
        <f t="array" ref="AE56">numeng*InterpolateXY($V$1,$X56,Tmil_h,Tmil_M,Tmil_table)</f>
        <v>3893.3324953264669</v>
      </c>
      <c r="AF56" s="3">
        <f t="shared" si="5"/>
        <v>8.1168435962450136</v>
      </c>
      <c r="AG56" s="3">
        <f t="shared" si="6"/>
        <v>0.15104740245615353</v>
      </c>
      <c r="AH56" s="3">
        <f t="shared" si="7"/>
        <v>27.471248475596322</v>
      </c>
      <c r="AI56" s="3">
        <f t="shared" si="8"/>
        <v>39.255883481497023</v>
      </c>
      <c r="AJ56" s="474">
        <f t="shared" si="9"/>
        <v>3736.90136646462</v>
      </c>
      <c r="AK56" s="467" cm="1">
        <f t="array" ref="AK56">numeng*InterpolateXY($V$1,$X56,Tmax_h,Tmax_M,Tmax_table)</f>
        <v>6059.9949719588003</v>
      </c>
      <c r="AL56" s="3">
        <f t="shared" si="10"/>
        <v>14.454134371078529</v>
      </c>
      <c r="AM56" s="3">
        <f t="shared" si="11"/>
        <v>8.4749323621854847E-2</v>
      </c>
      <c r="AN56" s="3">
        <f t="shared" si="12"/>
        <v>17.152237176123691</v>
      </c>
      <c r="AO56" s="3">
        <f t="shared" si="13"/>
        <v>22.025599375672559</v>
      </c>
      <c r="AP56" s="474">
        <f t="shared" si="14"/>
        <v>2260.9405834940108</v>
      </c>
    </row>
    <row r="57" spans="1:42">
      <c r="J57" s="334"/>
      <c r="T57" s="334"/>
      <c r="W57" s="3">
        <f t="shared" si="25"/>
        <v>261.72567811591335</v>
      </c>
      <c r="X57" s="2">
        <f t="shared" si="2"/>
        <v>0.23442669013924727</v>
      </c>
      <c r="Y57" s="3">
        <f t="shared" si="26"/>
        <v>2.8517763157090963</v>
      </c>
      <c r="Z57" cm="1">
        <f t="array" ref="Z57">Linterp(Y57,TO_alpha,TO_CL_a)</f>
        <v>0.45047611841534585</v>
      </c>
      <c r="AA57" s="2" cm="1">
        <f t="array" ref="AA57">Linterp(Z57,TO_CL_cd,TO_CD_cl)</f>
        <v>7.2528567104920741E-2</v>
      </c>
      <c r="AB57" s="1">
        <f t="shared" si="20"/>
        <v>6234.3855719798012</v>
      </c>
      <c r="AC57" s="1">
        <f t="shared" si="21"/>
        <v>1003.7625388575608</v>
      </c>
      <c r="AD57" s="1">
        <f t="shared" si="3"/>
        <v>119.14036070050497</v>
      </c>
      <c r="AE57" s="467" cm="1">
        <f t="array" ref="AE57">numeng*InterpolateXY($V$1,$X57,Tmil_h,Tmil_M,Tmil_table)</f>
        <v>3893.7706760556989</v>
      </c>
      <c r="AF57" s="3">
        <f t="shared" si="5"/>
        <v>8.1045363491849862</v>
      </c>
      <c r="AG57" s="3">
        <f t="shared" si="6"/>
        <v>0.15079077015295134</v>
      </c>
      <c r="AH57" s="3">
        <f t="shared" si="7"/>
        <v>27.622039245749274</v>
      </c>
      <c r="AI57" s="3">
        <f t="shared" si="8"/>
        <v>39.373606720098515</v>
      </c>
      <c r="AJ57" s="474">
        <f t="shared" si="9"/>
        <v>3776.2749731847184</v>
      </c>
      <c r="AK57" s="467" cm="1">
        <f t="array" ref="AK57">numeng*InterpolateXY($V$1,$X57,Tmax_h,Tmax_M,Tmax_table)</f>
        <v>6062.6240563341935</v>
      </c>
      <c r="AL57" s="3">
        <f t="shared" si="10"/>
        <v>14.448235318010468</v>
      </c>
      <c r="AM57" s="3">
        <f t="shared" si="11"/>
        <v>8.4630928232796013E-2</v>
      </c>
      <c r="AN57" s="3">
        <f t="shared" si="12"/>
        <v>17.236868104356486</v>
      </c>
      <c r="AO57" s="3">
        <f t="shared" si="13"/>
        <v>22.098334541398138</v>
      </c>
      <c r="AP57" s="474">
        <f t="shared" si="14"/>
        <v>2283.0389180354091</v>
      </c>
    </row>
    <row r="58" spans="1:42">
      <c r="B58" s="5" t="s">
        <v>168</v>
      </c>
      <c r="C58" s="5"/>
      <c r="D58" s="111">
        <f>D47*D47/(2*C56)</f>
        <v>5264.7141733649687</v>
      </c>
      <c r="E58" s="5" t="s">
        <v>2</v>
      </c>
      <c r="J58" s="334"/>
      <c r="L58" s="5" t="s">
        <v>168</v>
      </c>
      <c r="M58" s="5"/>
      <c r="N58" s="111">
        <f>N47*N47/(2*M56)</f>
        <v>3092.1245547223339</v>
      </c>
      <c r="O58" s="5" t="s">
        <v>2</v>
      </c>
      <c r="T58" s="334"/>
      <c r="W58" s="3">
        <f t="shared" si="25"/>
        <v>262.94869530337087</v>
      </c>
      <c r="X58" s="2">
        <f t="shared" si="2"/>
        <v>0.23552214196232785</v>
      </c>
      <c r="Y58" s="3">
        <f t="shared" si="26"/>
        <v>3.5647203946363701</v>
      </c>
      <c r="Z58" cm="1">
        <f t="array" ref="Z58">Linterp(Y58,TO_alpha,TO_CL_a)</f>
        <v>0.50053042762454591</v>
      </c>
      <c r="AA58" s="2" cm="1">
        <f t="array" ref="AA58">Linterp(Z58,TO_CL_cd,TO_CD_cl)</f>
        <v>7.5556225328201859E-2</v>
      </c>
      <c r="AB58" s="1">
        <f t="shared" si="20"/>
        <v>6992.0052030900033</v>
      </c>
      <c r="AC58" s="1">
        <f t="shared" si="21"/>
        <v>1055.4593516478574</v>
      </c>
      <c r="AD58" s="1">
        <f t="shared" si="3"/>
        <v>100.19986992274993</v>
      </c>
      <c r="AE58" s="467" cm="1">
        <f t="array" ref="AE58">numeng*InterpolateXY($V$1,$X58,Tmil_h,Tmil_M,Tmil_table)</f>
        <v>3894.208856784931</v>
      </c>
      <c r="AF58" s="3">
        <f t="shared" si="5"/>
        <v>8.01000872394415</v>
      </c>
      <c r="AG58" s="3">
        <f t="shared" si="6"/>
        <v>0.15179047027481843</v>
      </c>
      <c r="AH58" s="3">
        <f t="shared" si="7"/>
        <v>27.773829716024093</v>
      </c>
      <c r="AI58" s="3">
        <f t="shared" si="8"/>
        <v>39.820284941229417</v>
      </c>
      <c r="AJ58" s="474">
        <f t="shared" si="9"/>
        <v>3816.095258125948</v>
      </c>
      <c r="AK58" s="467" cm="1">
        <f t="array" ref="AK58">numeng*InterpolateXY($V$1,$X58,Tmax_h,Tmax_M,Tmax_table)</f>
        <v>6065.2531407095867</v>
      </c>
      <c r="AL58" s="3">
        <f t="shared" si="10"/>
        <v>14.360115886761594</v>
      </c>
      <c r="AM58" s="3">
        <f t="shared" si="11"/>
        <v>8.4907128406218807E-2</v>
      </c>
      <c r="AN58" s="3">
        <f t="shared" si="12"/>
        <v>17.321775232762704</v>
      </c>
      <c r="AO58" s="3">
        <f t="shared" si="13"/>
        <v>22.274297197681779</v>
      </c>
      <c r="AP58" s="474">
        <f t="shared" si="14"/>
        <v>2305.3132152330909</v>
      </c>
    </row>
    <row r="59" spans="1:42">
      <c r="J59" s="334"/>
      <c r="T59" s="334"/>
      <c r="W59" s="3">
        <f t="shared" si="25"/>
        <v>264.17171249082838</v>
      </c>
      <c r="X59" s="2">
        <f t="shared" si="2"/>
        <v>0.23661759378540842</v>
      </c>
      <c r="Y59" s="3">
        <f t="shared" si="26"/>
        <v>4.277664473563644</v>
      </c>
      <c r="Z59" cm="1">
        <f t="array" ref="Z59">Linterp(Y59,TO_alpha,TO_CL_a)</f>
        <v>0.55071417762301877</v>
      </c>
      <c r="AA59" s="2" cm="1">
        <f t="array" ref="AA59">Linterp(Z59,TO_CL_cd,TO_CD_cl)</f>
        <v>8.0917125130175072E-2</v>
      </c>
      <c r="AB59" s="1">
        <f t="shared" si="20"/>
        <v>7764.7611081677733</v>
      </c>
      <c r="AC59" s="1">
        <f t="shared" si="21"/>
        <v>1140.8860925051783</v>
      </c>
      <c r="AD59" s="1">
        <f t="shared" si="3"/>
        <v>80.880972295805677</v>
      </c>
      <c r="AE59" s="467" cm="1">
        <f t="array" ref="AE59">numeng*InterpolateXY($V$1,$X59,Tmil_h,Tmil_M,Tmil_table)</f>
        <v>3894.6470375141635</v>
      </c>
      <c r="AF59" s="3">
        <f t="shared" si="5"/>
        <v>7.8179309310976208</v>
      </c>
      <c r="AG59" s="3">
        <f t="shared" si="6"/>
        <v>0.1545390258128688</v>
      </c>
      <c r="AH59" s="3">
        <f t="shared" si="7"/>
        <v>27.928368741836962</v>
      </c>
      <c r="AI59" s="3">
        <f t="shared" si="8"/>
        <v>40.730337153298848</v>
      </c>
      <c r="AJ59" s="474">
        <f t="shared" si="9"/>
        <v>3856.825595279247</v>
      </c>
      <c r="AK59" s="467" cm="1">
        <f t="array" ref="AK59">numeng*InterpolateXY($V$1,$X59,Tmax_h,Tmax_M,Tmax_table)</f>
        <v>6067.8822250849798</v>
      </c>
      <c r="AL59" s="3">
        <f t="shared" si="10"/>
        <v>14.174446287907026</v>
      </c>
      <c r="AM59" s="3">
        <f t="shared" si="11"/>
        <v>8.5721812023682675E-2</v>
      </c>
      <c r="AN59" s="3">
        <f t="shared" si="12"/>
        <v>17.407497044786385</v>
      </c>
      <c r="AO59" s="3">
        <f t="shared" si="13"/>
        <v>22.592858255390656</v>
      </c>
      <c r="AP59" s="474">
        <f t="shared" si="14"/>
        <v>2327.9060734884815</v>
      </c>
    </row>
    <row r="60" spans="1:42" ht="15" customHeight="1">
      <c r="A60" s="334"/>
      <c r="B60" s="334"/>
      <c r="C60" s="334"/>
      <c r="D60" s="334"/>
      <c r="E60" s="334"/>
      <c r="F60" s="334"/>
      <c r="G60" s="334"/>
      <c r="H60" s="334"/>
      <c r="I60" s="334"/>
      <c r="J60" s="334"/>
      <c r="K60" s="334"/>
      <c r="L60" s="334"/>
      <c r="M60" s="334"/>
      <c r="N60" s="334"/>
      <c r="O60" s="334"/>
      <c r="P60" s="334"/>
      <c r="Q60" s="334"/>
      <c r="R60" s="334"/>
      <c r="S60" s="334"/>
      <c r="T60" s="334"/>
      <c r="W60" s="3">
        <f t="shared" si="25"/>
        <v>265.3947296782859</v>
      </c>
      <c r="X60" s="2">
        <f t="shared" si="2"/>
        <v>0.23771304560848899</v>
      </c>
      <c r="Y60" s="3">
        <f t="shared" si="26"/>
        <v>4.9906085524909178</v>
      </c>
      <c r="Z60" cm="1">
        <f t="array" ref="Z60">Linterp(Y60,TO_alpha,TO_CL_a)</f>
        <v>0.60133320722685513</v>
      </c>
      <c r="AA60" s="2" cm="1">
        <f t="array" ref="AA60">Linterp(Z60,TO_CL_cd,TO_CD_cl)</f>
        <v>8.9319969734445226E-2</v>
      </c>
      <c r="AB60" s="1">
        <f t="shared" si="20"/>
        <v>8557.1470342488356</v>
      </c>
      <c r="AC60" s="1">
        <f t="shared" si="21"/>
        <v>1271.0492368068403</v>
      </c>
      <c r="AD60" s="1">
        <f t="shared" si="3"/>
        <v>61.071324143779115</v>
      </c>
      <c r="AE60" s="467" cm="1">
        <f t="array" ref="AE60">numeng*InterpolateXY($V$1,$X60,Tmil_h,Tmil_M,Tmil_table)</f>
        <v>3895.0852182433955</v>
      </c>
      <c r="AF60" s="3">
        <f t="shared" si="5"/>
        <v>7.4964386257943429</v>
      </c>
      <c r="AG60" s="3">
        <f t="shared" si="6"/>
        <v>0.1597215194414735</v>
      </c>
      <c r="AH60" s="3">
        <f t="shared" si="7"/>
        <v>28.088090261278435</v>
      </c>
      <c r="AI60" s="3">
        <f t="shared" si="8"/>
        <v>42.291578394233063</v>
      </c>
      <c r="AJ60" s="474">
        <f t="shared" si="9"/>
        <v>3899.11717367348</v>
      </c>
      <c r="AK60" s="467" cm="1">
        <f t="array" ref="AK60">numeng*InterpolateXY($V$1,$X60,Tmax_h,Tmax_M,Tmax_table)</f>
        <v>6070.5113094603739</v>
      </c>
      <c r="AL60" s="3">
        <f t="shared" si="10"/>
        <v>13.859362176595717</v>
      </c>
      <c r="AM60" s="3">
        <f t="shared" si="11"/>
        <v>8.7253017299175478E-2</v>
      </c>
      <c r="AN60" s="3">
        <f t="shared" si="12"/>
        <v>17.494750062085561</v>
      </c>
      <c r="AO60" s="3">
        <f t="shared" si="13"/>
        <v>23.103134969822268</v>
      </c>
      <c r="AP60" s="474">
        <f t="shared" si="14"/>
        <v>2351.0092084583039</v>
      </c>
    </row>
    <row r="61" spans="1:42">
      <c r="W61" s="3">
        <f t="shared" si="25"/>
        <v>266.61774686574341</v>
      </c>
      <c r="X61" s="2">
        <f t="shared" si="2"/>
        <v>0.23880849743156957</v>
      </c>
      <c r="Y61" s="3">
        <f t="shared" si="26"/>
        <v>5.7035526314181917</v>
      </c>
      <c r="Z61" cm="1">
        <f t="array" ref="Z61">Linterp(Y61,TO_alpha,TO_CL_a)</f>
        <v>0.6512486841992734</v>
      </c>
      <c r="AA61" s="2" cm="1">
        <f t="array" ref="AA61">Linterp(Z61,TO_CL_cd,TO_CD_cl)</f>
        <v>0.10139957894376748</v>
      </c>
      <c r="AB61" s="1">
        <f t="shared" si="20"/>
        <v>9353.070013570572</v>
      </c>
      <c r="AC61" s="1">
        <f t="shared" si="21"/>
        <v>1456.2752819588602</v>
      </c>
      <c r="AD61" s="1">
        <f t="shared" si="3"/>
        <v>41.173249660735706</v>
      </c>
      <c r="AE61" s="467" cm="1">
        <f t="array" ref="AE61">numeng*InterpolateXY($V$1,$X61,Tmil_h,Tmil_M,Tmil_table)</f>
        <v>3895.523398972628</v>
      </c>
      <c r="AF61" s="3">
        <f t="shared" si="5"/>
        <v>7.0141509802014976</v>
      </c>
      <c r="AG61" s="3">
        <f t="shared" si="6"/>
        <v>0.16856891700005888</v>
      </c>
      <c r="AH61" s="3">
        <f t="shared" si="7"/>
        <v>28.256659178278493</v>
      </c>
      <c r="AI61" s="3">
        <f t="shared" si="8"/>
        <v>44.840383500773129</v>
      </c>
      <c r="AJ61" s="474">
        <f t="shared" si="9"/>
        <v>3943.957557174253</v>
      </c>
      <c r="AK61" s="467" cm="1">
        <f t="array" ref="AK61">numeng*InterpolateXY($V$1,$X61,Tmax_h,Tmax_M,Tmax_table)</f>
        <v>6073.1403938357671</v>
      </c>
      <c r="AL61" s="3">
        <f t="shared" si="10"/>
        <v>13.383482724994828</v>
      </c>
      <c r="AM61" s="3">
        <f t="shared" si="11"/>
        <v>8.9786304761887065E-2</v>
      </c>
      <c r="AN61" s="3">
        <f t="shared" si="12"/>
        <v>17.584536366847448</v>
      </c>
      <c r="AO61" s="3">
        <f t="shared" si="13"/>
        <v>23.883717178054258</v>
      </c>
      <c r="AP61" s="474">
        <f t="shared" si="14"/>
        <v>2374.8929256363581</v>
      </c>
    </row>
    <row r="62" spans="1:42" ht="15" thickBot="1">
      <c r="M62" t="s">
        <v>592</v>
      </c>
      <c r="P62" t="s">
        <v>594</v>
      </c>
      <c r="U62" t="s">
        <v>596</v>
      </c>
      <c r="W62" s="3">
        <f t="shared" si="25"/>
        <v>267.84076405320093</v>
      </c>
      <c r="X62" s="2">
        <f t="shared" si="2"/>
        <v>0.23990394925465014</v>
      </c>
      <c r="Y62" s="3">
        <f t="shared" si="26"/>
        <v>6.4164967103454655</v>
      </c>
      <c r="Z62" cm="1">
        <f t="array" ref="Z62">Linterp(Y62,TO_alpha,TO_CL_a)</f>
        <v>0.70157126643452805</v>
      </c>
      <c r="AA62" s="2" cm="1">
        <f t="array" ref="AA62">Linterp(Z62,TO_CL_cd,TO_CD_cl)</f>
        <v>0.11758136858077541</v>
      </c>
      <c r="AB62" s="1">
        <f t="shared" si="20"/>
        <v>10168.440756856811</v>
      </c>
      <c r="AC62" s="1">
        <f t="shared" si="21"/>
        <v>1704.202035810338</v>
      </c>
      <c r="AD62" s="1">
        <f t="shared" si="3"/>
        <v>20.78898107857972</v>
      </c>
      <c r="AE62" s="467" cm="1">
        <f t="array" ref="AE62">numeng*InterpolateXY($V$1,$X62,Tmil_h,Tmil_M,Tmil_table)</f>
        <v>3895.96157970186</v>
      </c>
      <c r="AF62" s="3">
        <f t="shared" si="5"/>
        <v>6.3498915352676022</v>
      </c>
      <c r="AG62" s="3">
        <f t="shared" si="6"/>
        <v>0.18303102314166575</v>
      </c>
      <c r="AH62" s="3">
        <f t="shared" si="7"/>
        <v>28.439690201420159</v>
      </c>
      <c r="AI62" s="3">
        <f t="shared" si="8"/>
        <v>48.911244040132758</v>
      </c>
      <c r="AJ62" s="474">
        <f t="shared" si="9"/>
        <v>3992.8688012143857</v>
      </c>
      <c r="AK62" s="467" cm="1">
        <f t="array" ref="AK62">numeng*InterpolateXY($V$1,$X62,Tmax_h,Tmax_M,Tmax_table)</f>
        <v>6075.7694782111603</v>
      </c>
      <c r="AL62" s="3">
        <f t="shared" si="10"/>
        <v>12.725631474052893</v>
      </c>
      <c r="AM62" s="3">
        <f t="shared" si="11"/>
        <v>9.3685077029700387E-2</v>
      </c>
      <c r="AN62" s="3">
        <f t="shared" si="12"/>
        <v>17.678221443877149</v>
      </c>
      <c r="AO62" s="3">
        <f t="shared" si="13"/>
        <v>25.035393382310129</v>
      </c>
      <c r="AP62" s="474">
        <f t="shared" si="14"/>
        <v>2399.9283190186684</v>
      </c>
    </row>
    <row r="63" spans="1:42" ht="15" thickBot="1">
      <c r="M63" s="444" t="s">
        <v>593</v>
      </c>
      <c r="N63" s="445" t="s">
        <v>74</v>
      </c>
      <c r="P63" s="444" t="s">
        <v>74</v>
      </c>
      <c r="Q63" s="464" t="s">
        <v>75</v>
      </c>
      <c r="U63" cm="1">
        <f t="array" ref="U63">Linterp(U65,TO_CL_a,TO_alpha)</f>
        <v>7.1294407892727403</v>
      </c>
      <c r="V63" t="s">
        <v>591</v>
      </c>
      <c r="W63" s="461">
        <f t="shared" si="25"/>
        <v>269.06378124065844</v>
      </c>
      <c r="X63" s="480">
        <f t="shared" si="2"/>
        <v>0.24099940107773071</v>
      </c>
      <c r="Y63" s="461">
        <f t="shared" si="26"/>
        <v>7.1294407892727394</v>
      </c>
      <c r="Z63" s="150" cm="1">
        <f t="array" ref="Z63">Linterp(Y63,TO_alpha,TO_CL_a)</f>
        <v>0.75206085524909172</v>
      </c>
      <c r="AA63" s="480" cm="1">
        <f t="array" ref="AA63">Linterp(Z63,TO_CL_cd,TO_CD_cl)</f>
        <v>0.13646860196707311</v>
      </c>
      <c r="AB63" s="481">
        <f t="shared" si="20"/>
        <v>11000</v>
      </c>
      <c r="AC63" s="481">
        <f t="shared" si="21"/>
        <v>1996.0547223809481</v>
      </c>
      <c r="AD63" s="481">
        <f t="shared" si="3"/>
        <v>0</v>
      </c>
      <c r="AE63" s="482" cm="1">
        <f t="array" ref="AE63">numeng*InterpolateXY($V$1,$X63,Tmil_h,Tmil_M,Tmil_table)</f>
        <v>3896.3997604310921</v>
      </c>
      <c r="AF63" s="483">
        <f t="shared" si="5"/>
        <v>5.5583364776568489</v>
      </c>
      <c r="AG63" s="483">
        <f t="shared" si="6"/>
        <v>0.20540708258695214</v>
      </c>
      <c r="AH63" s="483">
        <f t="shared" si="7"/>
        <v>28.645097284007111</v>
      </c>
      <c r="AI63" s="483">
        <f t="shared" si="8"/>
        <v>55.141998138242883</v>
      </c>
      <c r="AJ63" s="484">
        <f t="shared" si="9"/>
        <v>4048.0107993526285</v>
      </c>
      <c r="AK63" s="482" cm="1">
        <f t="array" ref="AK63">numeng*InterpolateXY($V$1,$X63,Tmax_h,Tmax_M,Tmax_table)</f>
        <v>6078.3985625865535</v>
      </c>
      <c r="AL63" s="483">
        <f t="shared" si="10"/>
        <v>11.940484610434105</v>
      </c>
      <c r="AM63" s="483">
        <f t="shared" si="11"/>
        <v>9.9165769208934704E-2</v>
      </c>
      <c r="AN63" s="483">
        <f t="shared" si="12"/>
        <v>17.777387213086083</v>
      </c>
      <c r="AO63" s="483">
        <f t="shared" si="13"/>
        <v>26.621276112919446</v>
      </c>
      <c r="AP63" s="484">
        <f t="shared" si="14"/>
        <v>2426.5495951315879</v>
      </c>
    </row>
    <row r="64" spans="1:42" ht="15" thickBot="1">
      <c r="M64" s="469">
        <v>0</v>
      </c>
      <c r="N64" s="465">
        <v>0.249</v>
      </c>
      <c r="P64" s="467">
        <v>0.2</v>
      </c>
      <c r="Q64" s="448">
        <v>7.6499999999999999E-2</v>
      </c>
      <c r="U64" t="s">
        <v>597</v>
      </c>
      <c r="AB64" s="3"/>
      <c r="AC64" s="3"/>
      <c r="AD64" s="1"/>
    </row>
    <row r="65" spans="2:42">
      <c r="M65" s="469">
        <v>1</v>
      </c>
      <c r="N65" s="465">
        <v>0.32</v>
      </c>
      <c r="O65" s="462"/>
      <c r="P65" s="467">
        <v>0.25</v>
      </c>
      <c r="Q65" s="448">
        <v>7.3999999999999996E-2</v>
      </c>
      <c r="U65">
        <f>M6/(S*Q6*X63^2)</f>
        <v>0.75206085524909183</v>
      </c>
      <c r="W65" s="444" t="s">
        <v>608</v>
      </c>
      <c r="X65" s="485" t="s">
        <v>604</v>
      </c>
      <c r="Y65" s="242" t="s">
        <v>606</v>
      </c>
      <c r="Z65" s="445"/>
      <c r="AB65" s="3"/>
      <c r="AC65" s="3"/>
      <c r="AD65" s="1"/>
    </row>
    <row r="66" spans="2:42">
      <c r="M66" s="469">
        <v>2</v>
      </c>
      <c r="N66" s="465">
        <v>0.39</v>
      </c>
      <c r="P66" s="467">
        <v>0.3</v>
      </c>
      <c r="Q66" s="448">
        <v>7.2499999999999995E-2</v>
      </c>
      <c r="W66" s="467"/>
      <c r="X66" t="s">
        <v>182</v>
      </c>
      <c r="Y66" t="s">
        <v>182</v>
      </c>
      <c r="Z66" s="486"/>
    </row>
    <row r="67" spans="2:42">
      <c r="M67" s="469">
        <v>3</v>
      </c>
      <c r="N67" s="465">
        <v>0.46100000000000002</v>
      </c>
      <c r="P67" s="467">
        <v>0.35</v>
      </c>
      <c r="Q67" s="448">
        <v>7.1800000000000003E-2</v>
      </c>
      <c r="W67" s="467" t="s">
        <v>590</v>
      </c>
      <c r="X67" s="3">
        <f>AJ53</f>
        <v>3618.8821137977748</v>
      </c>
      <c r="Y67" s="3">
        <f>AP53</f>
        <v>2194.892899123216</v>
      </c>
      <c r="Z67" s="486" t="s">
        <v>132</v>
      </c>
    </row>
    <row r="68" spans="2:42" ht="15" thickBot="1">
      <c r="M68" s="469">
        <v>4</v>
      </c>
      <c r="N68" s="465">
        <v>0.53100000000000003</v>
      </c>
      <c r="P68" s="467">
        <v>0.4</v>
      </c>
      <c r="Q68" s="448">
        <v>7.1499999999999994E-2</v>
      </c>
      <c r="W68" s="468" t="s">
        <v>607</v>
      </c>
      <c r="X68" s="450">
        <f>AJ63</f>
        <v>4048.0107993526285</v>
      </c>
      <c r="Y68" s="450">
        <f>AP63</f>
        <v>2426.5495951315879</v>
      </c>
      <c r="Z68" s="487" t="s">
        <v>132</v>
      </c>
    </row>
    <row r="69" spans="2:42">
      <c r="M69" s="469">
        <v>5</v>
      </c>
      <c r="N69" s="465">
        <v>0.60199999999999998</v>
      </c>
      <c r="P69" s="467">
        <v>0.45</v>
      </c>
      <c r="Q69" s="448">
        <v>7.2499999999999995E-2</v>
      </c>
      <c r="W69" s="462"/>
    </row>
    <row r="70" spans="2:42" ht="15" thickBot="1">
      <c r="M70" s="469">
        <v>6</v>
      </c>
      <c r="N70" s="465">
        <v>0.67200000000000004</v>
      </c>
      <c r="P70" s="467">
        <v>0.5</v>
      </c>
      <c r="Q70" s="448">
        <v>7.5499999999999998E-2</v>
      </c>
      <c r="W70" s="463"/>
    </row>
    <row r="71" spans="2:42" ht="15" thickBot="1">
      <c r="B71" s="5"/>
      <c r="C71" s="5"/>
      <c r="F71" s="5"/>
      <c r="M71" s="469">
        <v>7</v>
      </c>
      <c r="N71" s="465">
        <v>0.74299999999999999</v>
      </c>
      <c r="P71" s="467">
        <v>0.55000000000000004</v>
      </c>
      <c r="Q71" s="448">
        <v>8.0799999999999997E-2</v>
      </c>
      <c r="U71" t="s">
        <v>605</v>
      </c>
      <c r="V71">
        <v>4000</v>
      </c>
      <c r="W71" s="3" t="s">
        <v>132</v>
      </c>
      <c r="AE71" s="646" t="s">
        <v>604</v>
      </c>
      <c r="AF71" s="647"/>
      <c r="AG71" s="647"/>
      <c r="AH71" s="647"/>
      <c r="AI71" s="647"/>
      <c r="AJ71" s="648"/>
      <c r="AK71" s="646" t="s">
        <v>606</v>
      </c>
      <c r="AL71" s="647"/>
      <c r="AM71" s="647"/>
      <c r="AN71" s="647"/>
      <c r="AO71" s="647"/>
      <c r="AP71" s="648"/>
    </row>
    <row r="72" spans="2:42" ht="15" thickBot="1">
      <c r="M72" s="469">
        <v>8</v>
      </c>
      <c r="N72" s="465">
        <v>0.81299999999999994</v>
      </c>
      <c r="P72" s="467">
        <v>0.6</v>
      </c>
      <c r="Q72" s="448">
        <v>8.8999999999999996E-2</v>
      </c>
      <c r="U72" t="s">
        <v>589</v>
      </c>
      <c r="V72" s="3">
        <f>N46</f>
        <v>272.53654020279151</v>
      </c>
      <c r="W72" s="3" t="s">
        <v>573</v>
      </c>
      <c r="X72" t="s">
        <v>72</v>
      </c>
      <c r="Y72" t="s">
        <v>595</v>
      </c>
      <c r="Z72" t="s">
        <v>74</v>
      </c>
      <c r="AA72" t="s">
        <v>75</v>
      </c>
      <c r="AB72" t="s">
        <v>598</v>
      </c>
      <c r="AC72" t="s">
        <v>599</v>
      </c>
      <c r="AD72" t="s">
        <v>600</v>
      </c>
      <c r="AE72" s="471" t="s">
        <v>84</v>
      </c>
      <c r="AF72" s="472" t="s">
        <v>601</v>
      </c>
      <c r="AG72" s="472" t="s">
        <v>192</v>
      </c>
      <c r="AH72" s="472" t="s">
        <v>602</v>
      </c>
      <c r="AI72" s="472" t="s">
        <v>195</v>
      </c>
      <c r="AJ72" s="473" t="s">
        <v>603</v>
      </c>
      <c r="AK72" s="471" t="s">
        <v>84</v>
      </c>
      <c r="AL72" s="472" t="s">
        <v>601</v>
      </c>
      <c r="AM72" s="472" t="s">
        <v>192</v>
      </c>
      <c r="AN72" s="472" t="s">
        <v>602</v>
      </c>
      <c r="AO72" s="472" t="s">
        <v>195</v>
      </c>
      <c r="AP72" s="473" t="s">
        <v>603</v>
      </c>
    </row>
    <row r="73" spans="2:42">
      <c r="D73" s="1"/>
      <c r="M73" s="469">
        <v>9</v>
      </c>
      <c r="N73" s="465">
        <v>0.86</v>
      </c>
      <c r="P73" s="467">
        <v>0.65</v>
      </c>
      <c r="Q73" s="448">
        <v>0.10100000000000001</v>
      </c>
      <c r="U73" t="s">
        <v>588</v>
      </c>
      <c r="V73" s="3">
        <f>N47</f>
        <v>285.51447068863871</v>
      </c>
      <c r="W73" s="3">
        <v>0</v>
      </c>
      <c r="X73" s="2">
        <f>W73/$Q$37</f>
        <v>0</v>
      </c>
      <c r="Y73">
        <v>0</v>
      </c>
      <c r="Z73" cm="1">
        <f t="array" ref="Z73">Linterp(Y73,TO_alpha,TO_CL_a)</f>
        <v>0.249</v>
      </c>
      <c r="AA73" s="2" cm="1">
        <f t="array" ref="AA73">Linterp(Z73,TO_CL_cd,TO_CD_cl)</f>
        <v>7.4049999999999991E-2</v>
      </c>
      <c r="AB73" s="1">
        <f t="shared" ref="AB73:AB104" si="27">Z73*S*$Q$36*$X73^2</f>
        <v>0</v>
      </c>
      <c r="AC73" s="1">
        <f t="shared" ref="AC73:AC104" si="28">AA73*S*$Q$36*$X73^2</f>
        <v>0</v>
      </c>
      <c r="AD73" s="1">
        <f>$M$12*($M$6-AB73)</f>
        <v>275</v>
      </c>
      <c r="AE73" s="467" cm="1">
        <f t="array" ref="AE73">numeng*InterpolateXY($V$71,$X73,Tmil_h,Tmil_M,Tmil_table)</f>
        <v>3379.4708825255775</v>
      </c>
      <c r="AF73" s="3">
        <f>(AE73-AC73-AD73)/($M$6/32.174)</f>
        <v>9.0802951067616302</v>
      </c>
      <c r="AG73" s="3">
        <v>0</v>
      </c>
      <c r="AH73" s="3">
        <f>AG73</f>
        <v>0</v>
      </c>
      <c r="AI73" s="3">
        <f>0</f>
        <v>0</v>
      </c>
      <c r="AJ73" s="474">
        <f>AI73</f>
        <v>0</v>
      </c>
      <c r="AK73" s="243" cm="1">
        <f t="array" ref="AK73">numeng*InterpolateXY($V$71,$X73,Tmax_h,Tmax_M,Tmax_table)</f>
        <v>4891.3394352343885</v>
      </c>
      <c r="AL73" s="3">
        <f>(AK73-AC73-AD73)/($M$6/32.174)</f>
        <v>13.502373180839202</v>
      </c>
      <c r="AM73" s="3">
        <v>0</v>
      </c>
      <c r="AN73" s="3">
        <f>AM73</f>
        <v>0</v>
      </c>
      <c r="AO73" s="3">
        <f>0</f>
        <v>0</v>
      </c>
      <c r="AP73" s="474">
        <f>AO73</f>
        <v>0</v>
      </c>
    </row>
    <row r="74" spans="2:42">
      <c r="D74" s="1"/>
      <c r="M74" s="469">
        <v>10</v>
      </c>
      <c r="N74" s="465">
        <v>0.89</v>
      </c>
      <c r="P74" s="467">
        <v>0.7</v>
      </c>
      <c r="Q74" s="448">
        <v>0.11700000000000001</v>
      </c>
      <c r="W74" s="3">
        <f>W73+V$72/50</f>
        <v>5.45073080405583</v>
      </c>
      <c r="X74" s="2">
        <f t="shared" ref="X74:X133" si="29">W74/$Q$37</f>
        <v>4.9507488868137106E-3</v>
      </c>
      <c r="Y74">
        <v>0</v>
      </c>
      <c r="Z74" cm="1">
        <f t="array" ref="Z74">Linterp(Y74,TO_alpha,TO_CL_a)</f>
        <v>0.249</v>
      </c>
      <c r="AA74" s="2" cm="1">
        <f t="array" ref="AA74">Linterp(Z74,TO_CL_cd,TO_CD_cl)</f>
        <v>7.4049999999999991E-2</v>
      </c>
      <c r="AB74" s="1">
        <f t="shared" si="27"/>
        <v>1.3273708229667467</v>
      </c>
      <c r="AC74" s="1">
        <f t="shared" si="28"/>
        <v>0.39474622265336379</v>
      </c>
      <c r="AD74" s="1">
        <f t="shared" ref="AD74:AD133" si="30">$M$12*($M$6-AB74)</f>
        <v>274.96681572942583</v>
      </c>
      <c r="AE74" s="467" cm="1">
        <f t="array" ref="AE74">numeng*InterpolateXY($V$71,$X74,Tmil_h,Tmil_M,Tmil_table)</f>
        <v>3382.5971198166708</v>
      </c>
      <c r="AF74" s="3">
        <f>(AE74-AC74-AD74)/($M$6/32.174)</f>
        <v>9.0883815307941251</v>
      </c>
      <c r="AG74" s="3">
        <f>(W74-W73)/AVERAGE(AF73:AF74)</f>
        <v>0.60001406957607895</v>
      </c>
      <c r="AH74" s="3">
        <f>AH73+AG74</f>
        <v>0.60001406957607895</v>
      </c>
      <c r="AI74" s="3">
        <f>AVERAGE(W73:W74)*AG74</f>
        <v>1.6352575859526157</v>
      </c>
      <c r="AJ74" s="474">
        <f>AJ73+AI74</f>
        <v>1.6352575859526157</v>
      </c>
      <c r="AK74" s="467" cm="1">
        <f t="array" ref="AK74">numeng*InterpolateXY($V$71,$X74,Tmax_h,Tmax_M,Tmax_table)</f>
        <v>4903.9539598756155</v>
      </c>
      <c r="AL74" s="3">
        <f>(AK74-AC74-AD74)/($M$6/32.174)</f>
        <v>13.538211982799261</v>
      </c>
      <c r="AM74" s="3">
        <f>(W74-W73)/AVERAGE(AL73:AL74)</f>
        <v>0.40315183795544784</v>
      </c>
      <c r="AN74" s="3">
        <f>AN73+AM74</f>
        <v>0.40315183795544784</v>
      </c>
      <c r="AO74" s="3">
        <f>AVERAGE(W73:W74)*AM74</f>
        <v>1.0987360709277421</v>
      </c>
      <c r="AP74" s="474">
        <f>AP73+AO74</f>
        <v>1.0987360709277421</v>
      </c>
    </row>
    <row r="75" spans="2:42">
      <c r="D75" s="113"/>
      <c r="M75" s="469">
        <v>11</v>
      </c>
      <c r="N75" s="465">
        <v>0.90500000000000003</v>
      </c>
      <c r="P75" s="467">
        <v>0.75</v>
      </c>
      <c r="Q75" s="448">
        <v>0.13550000000000001</v>
      </c>
      <c r="W75" s="3">
        <f t="shared" ref="W75:W123" si="31">W74+V$72/50</f>
        <v>10.90146160811166</v>
      </c>
      <c r="X75" s="2">
        <f t="shared" si="29"/>
        <v>9.9014977736274212E-3</v>
      </c>
      <c r="Y75">
        <v>0</v>
      </c>
      <c r="Z75" cm="1">
        <f t="array" ref="Z75">Linterp(Y75,TO_alpha,TO_CL_a)</f>
        <v>0.249</v>
      </c>
      <c r="AA75" s="2" cm="1">
        <f t="array" ref="AA75">Linterp(Z75,TO_CL_cd,TO_CD_cl)</f>
        <v>7.4049999999999991E-2</v>
      </c>
      <c r="AB75" s="1">
        <f t="shared" si="27"/>
        <v>5.3094832918669868</v>
      </c>
      <c r="AC75" s="1">
        <f t="shared" si="28"/>
        <v>1.5789848906134551</v>
      </c>
      <c r="AD75" s="1">
        <f t="shared" si="30"/>
        <v>274.86726291770333</v>
      </c>
      <c r="AE75" s="467" cm="1">
        <f t="array" ref="AE75">numeng*InterpolateXY($V$71,$X75,Tmil_h,Tmil_M,Tmil_table)</f>
        <v>3385.7233571077645</v>
      </c>
      <c r="AF75" s="3">
        <f t="shared" ref="AF75:AF133" si="32">(AE75-AC75-AD75)/($M$6/32.174)</f>
        <v>9.0943528831454952</v>
      </c>
      <c r="AG75" s="3">
        <f t="shared" ref="AG75:AG133" si="33">(W75-W74)/AVERAGE(AF74:AF75)</f>
        <v>0.59955017545403722</v>
      </c>
      <c r="AH75" s="3">
        <f t="shared" ref="AH75:AH133" si="34">AH74+AG75</f>
        <v>1.1995642450301163</v>
      </c>
      <c r="AI75" s="3">
        <f t="shared" ref="AI75:AI133" si="35">AVERAGE(W74:W75)*AG75</f>
        <v>4.9019799148865975</v>
      </c>
      <c r="AJ75" s="474">
        <f t="shared" ref="AJ75:AJ133" si="36">AJ74+AI75</f>
        <v>6.537237500839213</v>
      </c>
      <c r="AK75" s="467" cm="1">
        <f t="array" ref="AK75">numeng*InterpolateXY($V$71,$X75,Tmax_h,Tmax_M,Tmax_table)</f>
        <v>4916.5684845168416</v>
      </c>
      <c r="AL75" s="3">
        <f t="shared" ref="AL75:AL133" si="37">(AK75-AC75-AD75)/($M$6/32.174)</f>
        <v>13.57193571307819</v>
      </c>
      <c r="AM75" s="3">
        <f t="shared" ref="AM75:AM133" si="38">(W75-W74)/AVERAGE(AL74:AL75)</f>
        <v>0.40211738166846683</v>
      </c>
      <c r="AN75" s="3">
        <f t="shared" ref="AN75:AN133" si="39">AN74+AM75</f>
        <v>0.80526921962391462</v>
      </c>
      <c r="AO75" s="3">
        <f t="shared" ref="AO75:AO133" si="40">AVERAGE(W74:W75)*AM75</f>
        <v>3.2877503986598811</v>
      </c>
      <c r="AP75" s="474">
        <f t="shared" ref="AP75:AP133" si="41">AP74+AO75</f>
        <v>4.3864864695876236</v>
      </c>
    </row>
    <row r="76" spans="2:42">
      <c r="D76" s="1"/>
      <c r="L76" s="1"/>
      <c r="M76" s="469">
        <v>12</v>
      </c>
      <c r="N76" s="465">
        <v>0.90700000000000003</v>
      </c>
      <c r="P76" s="467">
        <v>0.8</v>
      </c>
      <c r="Q76" s="448">
        <v>0.159</v>
      </c>
      <c r="W76" s="3">
        <f t="shared" si="31"/>
        <v>16.35219241216749</v>
      </c>
      <c r="X76" s="2">
        <f t="shared" si="29"/>
        <v>1.4852246660441134E-2</v>
      </c>
      <c r="Y76">
        <v>0</v>
      </c>
      <c r="Z76" cm="1">
        <f t="array" ref="Z76">Linterp(Y76,TO_alpha,TO_CL_a)</f>
        <v>0.249</v>
      </c>
      <c r="AA76" s="2" cm="1">
        <f t="array" ref="AA76">Linterp(Z76,TO_CL_cd,TO_CD_cl)</f>
        <v>7.4049999999999991E-2</v>
      </c>
      <c r="AB76" s="1">
        <f t="shared" si="27"/>
        <v>11.946337406700724</v>
      </c>
      <c r="AC76" s="1">
        <f t="shared" si="28"/>
        <v>3.552716003880275</v>
      </c>
      <c r="AD76" s="1">
        <f t="shared" si="30"/>
        <v>274.70134156483249</v>
      </c>
      <c r="AE76" s="467" cm="1">
        <f t="array" ref="AE76">numeng*InterpolateXY($V$71,$X76,Tmil_h,Tmil_M,Tmil_table)</f>
        <v>3388.8495943988578</v>
      </c>
      <c r="AF76" s="3">
        <f t="shared" si="32"/>
        <v>9.0982091638157367</v>
      </c>
      <c r="AG76" s="3">
        <f t="shared" si="33"/>
        <v>0.59922629808661665</v>
      </c>
      <c r="AH76" s="3">
        <f t="shared" si="34"/>
        <v>1.7987905431167328</v>
      </c>
      <c r="AI76" s="3">
        <f t="shared" si="35"/>
        <v>8.1655531039526554</v>
      </c>
      <c r="AJ76" s="474">
        <f t="shared" si="36"/>
        <v>14.702790604791868</v>
      </c>
      <c r="AK76" s="467" cm="1">
        <f t="array" ref="AK76">numeng*InterpolateXY($V$71,$X76,Tmax_h,Tmax_M,Tmax_table)</f>
        <v>4929.1830091580687</v>
      </c>
      <c r="AL76" s="3">
        <f t="shared" si="37"/>
        <v>13.603544371675996</v>
      </c>
      <c r="AM76" s="3">
        <f t="shared" si="38"/>
        <v>0.40115065397602778</v>
      </c>
      <c r="AN76" s="3">
        <f t="shared" si="39"/>
        <v>1.2064198735999425</v>
      </c>
      <c r="AO76" s="3">
        <f t="shared" si="40"/>
        <v>5.4664105667356901</v>
      </c>
      <c r="AP76" s="474">
        <f t="shared" si="41"/>
        <v>9.8528970363233128</v>
      </c>
    </row>
    <row r="77" spans="2:42">
      <c r="M77" s="469">
        <v>13</v>
      </c>
      <c r="N77" s="465">
        <v>0.90900000000000003</v>
      </c>
      <c r="P77" s="467">
        <v>0.85</v>
      </c>
      <c r="Q77" s="448">
        <v>0.189</v>
      </c>
      <c r="W77" s="3">
        <f t="shared" si="31"/>
        <v>21.80292321622332</v>
      </c>
      <c r="X77" s="2">
        <f t="shared" si="29"/>
        <v>1.9802995547254842E-2</v>
      </c>
      <c r="Y77">
        <v>0</v>
      </c>
      <c r="Z77" cm="1">
        <f t="array" ref="Z77">Linterp(Y77,TO_alpha,TO_CL_a)</f>
        <v>0.249</v>
      </c>
      <c r="AA77" s="2" cm="1">
        <f t="array" ref="AA77">Linterp(Z77,TO_CL_cd,TO_CD_cl)</f>
        <v>7.4049999999999991E-2</v>
      </c>
      <c r="AB77" s="1">
        <f t="shared" si="27"/>
        <v>21.237933167467947</v>
      </c>
      <c r="AC77" s="1">
        <f t="shared" si="28"/>
        <v>6.3159395624538206</v>
      </c>
      <c r="AD77" s="1">
        <f t="shared" si="30"/>
        <v>274.46905167081331</v>
      </c>
      <c r="AE77" s="467" cm="1">
        <f t="array" ref="AE77">numeng*InterpolateXY($V$71,$X77,Tmil_h,Tmil_M,Tmil_table)</f>
        <v>3391.9758316899511</v>
      </c>
      <c r="AF77" s="3">
        <f t="shared" si="32"/>
        <v>9.0999503728048499</v>
      </c>
      <c r="AG77" s="3">
        <f t="shared" si="33"/>
        <v>0.59904198477732828</v>
      </c>
      <c r="AH77" s="3">
        <f t="shared" si="34"/>
        <v>2.3978325278940611</v>
      </c>
      <c r="AI77" s="3">
        <f t="shared" si="35"/>
        <v>11.428258097719844</v>
      </c>
      <c r="AJ77" s="474">
        <f t="shared" si="36"/>
        <v>26.131048702511713</v>
      </c>
      <c r="AK77" s="467" cm="1">
        <f t="array" ref="AK77">numeng*InterpolateXY($V$71,$X77,Tmax_h,Tmax_M,Tmax_table)</f>
        <v>4941.7975337992957</v>
      </c>
      <c r="AL77" s="3">
        <f t="shared" si="37"/>
        <v>13.633037958592675</v>
      </c>
      <c r="AM77" s="3">
        <f t="shared" si="38"/>
        <v>0.40025071706579729</v>
      </c>
      <c r="AN77" s="3">
        <f t="shared" si="39"/>
        <v>1.6066705906657397</v>
      </c>
      <c r="AO77" s="3">
        <f t="shared" si="40"/>
        <v>7.6358061949959151</v>
      </c>
      <c r="AP77" s="474">
        <f t="shared" si="41"/>
        <v>17.488703231319228</v>
      </c>
    </row>
    <row r="78" spans="2:42" ht="15" thickBot="1">
      <c r="M78" s="470">
        <v>14</v>
      </c>
      <c r="N78" s="466">
        <v>0.90900000000000003</v>
      </c>
      <c r="P78" s="468">
        <v>0.9</v>
      </c>
      <c r="Q78" s="451">
        <v>0.23400000000000001</v>
      </c>
      <c r="W78" s="3">
        <f t="shared" si="31"/>
        <v>27.25365402027915</v>
      </c>
      <c r="X78" s="2">
        <f t="shared" si="29"/>
        <v>2.4753744434068553E-2</v>
      </c>
      <c r="Y78">
        <v>0</v>
      </c>
      <c r="Z78" cm="1">
        <f t="array" ref="Z78">Linterp(Y78,TO_alpha,TO_CL_a)</f>
        <v>0.249</v>
      </c>
      <c r="AA78" s="2" cm="1">
        <f t="array" ref="AA78">Linterp(Z78,TO_CL_cd,TO_CD_cl)</f>
        <v>7.4049999999999991E-2</v>
      </c>
      <c r="AB78" s="1">
        <f t="shared" si="27"/>
        <v>33.184270574168671</v>
      </c>
      <c r="AC78" s="1">
        <f t="shared" si="28"/>
        <v>9.8686555663340947</v>
      </c>
      <c r="AD78" s="1">
        <f t="shared" si="30"/>
        <v>274.1703932356458</v>
      </c>
      <c r="AE78" s="467" cm="1">
        <f t="array" ref="AE78">numeng*InterpolateXY($V$71,$X78,Tmil_h,Tmil_M,Tmil_table)</f>
        <v>3395.1020689810443</v>
      </c>
      <c r="AF78" s="3">
        <f t="shared" si="32"/>
        <v>9.0995765101128399</v>
      </c>
      <c r="AG78" s="3">
        <f t="shared" si="33"/>
        <v>0.59899697823155573</v>
      </c>
      <c r="AH78" s="3">
        <f t="shared" si="34"/>
        <v>2.9968295061256169</v>
      </c>
      <c r="AI78" s="3">
        <f t="shared" si="35"/>
        <v>14.692370763523952</v>
      </c>
      <c r="AJ78" s="474">
        <f t="shared" si="36"/>
        <v>40.823419466035666</v>
      </c>
      <c r="AK78" s="467" cm="1">
        <f t="array" ref="AK78">numeng*InterpolateXY($V$71,$X78,Tmax_h,Tmax_M,Tmax_table)</f>
        <v>4954.4120584405218</v>
      </c>
      <c r="AL78" s="3">
        <f t="shared" si="37"/>
        <v>13.660416473828223</v>
      </c>
      <c r="AM78" s="3">
        <f t="shared" si="38"/>
        <v>0.39941670392452089</v>
      </c>
      <c r="AN78" s="3">
        <f t="shared" si="39"/>
        <v>2.0060872945902606</v>
      </c>
      <c r="AO78" s="3">
        <f t="shared" si="40"/>
        <v>9.7970081928112496</v>
      </c>
      <c r="AP78" s="474">
        <f t="shared" si="41"/>
        <v>27.285711424130476</v>
      </c>
    </row>
    <row r="79" spans="2:42">
      <c r="W79" s="3">
        <f t="shared" si="31"/>
        <v>32.70438482433498</v>
      </c>
      <c r="X79" s="2">
        <f t="shared" si="29"/>
        <v>2.9704493320882267E-2</v>
      </c>
      <c r="Y79">
        <v>0</v>
      </c>
      <c r="Z79" cm="1">
        <f t="array" ref="Z79">Linterp(Y79,TO_alpha,TO_CL_a)</f>
        <v>0.249</v>
      </c>
      <c r="AA79" s="2" cm="1">
        <f t="array" ref="AA79">Linterp(Z79,TO_CL_cd,TO_CD_cl)</f>
        <v>7.4049999999999991E-2</v>
      </c>
      <c r="AB79" s="1">
        <f t="shared" si="27"/>
        <v>47.785349626802898</v>
      </c>
      <c r="AC79" s="1">
        <f t="shared" si="28"/>
        <v>14.2108640155211</v>
      </c>
      <c r="AD79" s="1">
        <f t="shared" si="30"/>
        <v>273.8053662593299</v>
      </c>
      <c r="AE79" s="467" cm="1">
        <f t="array" ref="AE79">numeng*InterpolateXY($V$71,$X79,Tmil_h,Tmil_M,Tmil_table)</f>
        <v>3398.2283062721381</v>
      </c>
      <c r="AF79" s="3">
        <f t="shared" si="32"/>
        <v>9.0970875757397032</v>
      </c>
      <c r="AG79" s="3">
        <f t="shared" si="33"/>
        <v>0.59909121565788959</v>
      </c>
      <c r="AH79" s="3">
        <f t="shared" si="34"/>
        <v>3.5959207217835063</v>
      </c>
      <c r="AI79" s="3">
        <f t="shared" si="35"/>
        <v>17.960167189941423</v>
      </c>
      <c r="AJ79" s="474">
        <f t="shared" si="36"/>
        <v>58.783586655977089</v>
      </c>
      <c r="AK79" s="467" cm="1">
        <f t="array" ref="AK79">numeng*InterpolateXY($V$71,$X79,Tmax_h,Tmax_M,Tmax_table)</f>
        <v>4967.0265830817489</v>
      </c>
      <c r="AL79" s="3">
        <f t="shared" si="37"/>
        <v>13.685679917382648</v>
      </c>
      <c r="AM79" s="3">
        <f t="shared" si="38"/>
        <v>0.39864781620587819</v>
      </c>
      <c r="AN79" s="3">
        <f t="shared" si="39"/>
        <v>2.404735110796139</v>
      </c>
      <c r="AO79" s="3">
        <f t="shared" si="40"/>
        <v>11.951070624696319</v>
      </c>
      <c r="AP79" s="474">
        <f t="shared" si="41"/>
        <v>39.236782048826797</v>
      </c>
    </row>
    <row r="80" spans="2:42">
      <c r="W80" s="3">
        <f t="shared" si="31"/>
        <v>38.15511562839081</v>
      </c>
      <c r="X80" s="2">
        <f t="shared" si="29"/>
        <v>3.4655242207695974E-2</v>
      </c>
      <c r="Y80">
        <v>0</v>
      </c>
      <c r="Z80" cm="1">
        <f t="array" ref="Z80">Linterp(Y80,TO_alpha,TO_CL_a)</f>
        <v>0.249</v>
      </c>
      <c r="AA80" s="2" cm="1">
        <f t="array" ref="AA80">Linterp(Z80,TO_CL_cd,TO_CD_cl)</f>
        <v>7.4049999999999991E-2</v>
      </c>
      <c r="AB80" s="1">
        <f t="shared" si="27"/>
        <v>65.041170325370587</v>
      </c>
      <c r="AC80" s="1">
        <f t="shared" si="28"/>
        <v>19.342564910014826</v>
      </c>
      <c r="AD80" s="1">
        <f t="shared" si="30"/>
        <v>273.37397074186578</v>
      </c>
      <c r="AE80" s="467" cm="1">
        <f t="array" ref="AE80">numeng*InterpolateXY($V$71,$X80,Tmil_h,Tmil_M,Tmil_table)</f>
        <v>3401.3545435632313</v>
      </c>
      <c r="AF80" s="3">
        <f t="shared" si="32"/>
        <v>9.0924835696854363</v>
      </c>
      <c r="AG80" s="3">
        <f t="shared" si="33"/>
        <v>0.59932482854899449</v>
      </c>
      <c r="AH80" s="3">
        <f t="shared" si="34"/>
        <v>4.1952455503325012</v>
      </c>
      <c r="AI80" s="3">
        <f t="shared" si="35"/>
        <v>21.233928979948644</v>
      </c>
      <c r="AJ80" s="474">
        <f t="shared" si="36"/>
        <v>80.017515635925733</v>
      </c>
      <c r="AK80" s="467" cm="1">
        <f t="array" ref="AK80">numeng*InterpolateXY($V$71,$X80,Tmax_h,Tmax_M,Tmax_table)</f>
        <v>4979.6411077229759</v>
      </c>
      <c r="AL80" s="3">
        <f t="shared" si="37"/>
        <v>13.708828289255949</v>
      </c>
      <c r="AM80" s="3">
        <f t="shared" si="38"/>
        <v>0.39794332228493429</v>
      </c>
      <c r="AN80" s="3">
        <f t="shared" si="39"/>
        <v>2.8026784330810735</v>
      </c>
      <c r="AO80" s="3">
        <f t="shared" si="40"/>
        <v>14.099032512804255</v>
      </c>
      <c r="AP80" s="474">
        <f t="shared" si="41"/>
        <v>53.335814561631054</v>
      </c>
    </row>
    <row r="81" spans="23:42">
      <c r="W81" s="3">
        <f t="shared" si="31"/>
        <v>43.60584643244664</v>
      </c>
      <c r="X81" s="2">
        <f t="shared" si="29"/>
        <v>3.9605991094509685E-2</v>
      </c>
      <c r="Y81">
        <v>0</v>
      </c>
      <c r="Z81" cm="1">
        <f t="array" ref="Z81">Linterp(Y81,TO_alpha,TO_CL_a)</f>
        <v>0.249</v>
      </c>
      <c r="AA81" s="2" cm="1">
        <f t="array" ref="AA81">Linterp(Z81,TO_CL_cd,TO_CD_cl)</f>
        <v>7.4049999999999991E-2</v>
      </c>
      <c r="AB81" s="1">
        <f t="shared" si="27"/>
        <v>84.951732669871788</v>
      </c>
      <c r="AC81" s="1">
        <f t="shared" si="28"/>
        <v>25.263758249815282</v>
      </c>
      <c r="AD81" s="1">
        <f t="shared" si="30"/>
        <v>272.8762066832532</v>
      </c>
      <c r="AE81" s="467" cm="1">
        <f t="array" ref="AE81">numeng*InterpolateXY($V$71,$X81,Tmil_h,Tmil_M,Tmil_table)</f>
        <v>3404.4807808543246</v>
      </c>
      <c r="AF81" s="3">
        <f t="shared" si="32"/>
        <v>9.0857644919500444</v>
      </c>
      <c r="AG81" s="3">
        <f t="shared" si="33"/>
        <v>0.5996981431405809</v>
      </c>
      <c r="AH81" s="3">
        <f t="shared" si="34"/>
        <v>4.7949436934730825</v>
      </c>
      <c r="AI81" s="3">
        <f t="shared" si="35"/>
        <v>24.515948564635849</v>
      </c>
      <c r="AJ81" s="474">
        <f t="shared" si="36"/>
        <v>104.53346420056158</v>
      </c>
      <c r="AK81" s="467" cm="1">
        <f t="array" ref="AK81">numeng*InterpolateXY($V$71,$X81,Tmax_h,Tmax_M,Tmax_table)</f>
        <v>4992.255632364202</v>
      </c>
      <c r="AL81" s="3">
        <f t="shared" si="37"/>
        <v>13.729861589448117</v>
      </c>
      <c r="AM81" s="3">
        <f t="shared" si="38"/>
        <v>0.3973025554901799</v>
      </c>
      <c r="AN81" s="3">
        <f t="shared" si="39"/>
        <v>3.1999809885712533</v>
      </c>
      <c r="AO81" s="3">
        <f t="shared" si="40"/>
        <v>16.241919583053182</v>
      </c>
      <c r="AP81" s="474">
        <f t="shared" si="41"/>
        <v>69.577734144684229</v>
      </c>
    </row>
    <row r="82" spans="23:42">
      <c r="W82" s="3">
        <f t="shared" si="31"/>
        <v>49.05657723650247</v>
      </c>
      <c r="X82" s="2">
        <f t="shared" si="29"/>
        <v>4.4556739981323396E-2</v>
      </c>
      <c r="Y82">
        <v>0</v>
      </c>
      <c r="Z82" cm="1">
        <f t="array" ref="Z82">Linterp(Y82,TO_alpha,TO_CL_a)</f>
        <v>0.249</v>
      </c>
      <c r="AA82" s="2" cm="1">
        <f t="array" ref="AA82">Linterp(Z82,TO_CL_cd,TO_CD_cl)</f>
        <v>7.4049999999999991E-2</v>
      </c>
      <c r="AB82" s="1">
        <f t="shared" si="27"/>
        <v>107.51703666030649</v>
      </c>
      <c r="AC82" s="1">
        <f t="shared" si="28"/>
        <v>31.974444034922467</v>
      </c>
      <c r="AD82" s="1">
        <f t="shared" si="30"/>
        <v>272.31207408349235</v>
      </c>
      <c r="AE82" s="467" cm="1">
        <f t="array" ref="AE82">numeng*InterpolateXY($V$71,$X82,Tmil_h,Tmil_M,Tmil_table)</f>
        <v>3407.6070181454179</v>
      </c>
      <c r="AF82" s="3">
        <f t="shared" si="32"/>
        <v>9.0769303425335277</v>
      </c>
      <c r="AG82" s="3">
        <f t="shared" si="33"/>
        <v>0.6002116815514742</v>
      </c>
      <c r="AH82" s="3">
        <f t="shared" si="34"/>
        <v>5.3951553750245562</v>
      </c>
      <c r="AI82" s="3">
        <f t="shared" si="35"/>
        <v>27.808534563487537</v>
      </c>
      <c r="AJ82" s="474">
        <f t="shared" si="36"/>
        <v>132.34199876404912</v>
      </c>
      <c r="AK82" s="467" cm="1">
        <f t="array" ref="AK82">numeng*InterpolateXY($V$71,$X82,Tmax_h,Tmax_M,Tmax_table)</f>
        <v>5004.8701570054291</v>
      </c>
      <c r="AL82" s="3">
        <f t="shared" si="37"/>
        <v>13.748779817959166</v>
      </c>
      <c r="AM82" s="3">
        <f t="shared" si="38"/>
        <v>0.3967249125050632</v>
      </c>
      <c r="AN82" s="3">
        <f t="shared" si="39"/>
        <v>3.5967059010763167</v>
      </c>
      <c r="AO82" s="3">
        <f t="shared" si="40"/>
        <v>18.380745961285466</v>
      </c>
      <c r="AP82" s="474">
        <f t="shared" si="41"/>
        <v>87.958480105969699</v>
      </c>
    </row>
    <row r="83" spans="23:42">
      <c r="W83" s="3">
        <f t="shared" si="31"/>
        <v>54.5073080405583</v>
      </c>
      <c r="X83" s="2">
        <f t="shared" si="29"/>
        <v>4.9507488868137106E-2</v>
      </c>
      <c r="Y83">
        <v>0</v>
      </c>
      <c r="Z83" cm="1">
        <f t="array" ref="Z83">Linterp(Y83,TO_alpha,TO_CL_a)</f>
        <v>0.249</v>
      </c>
      <c r="AA83" s="2" cm="1">
        <f t="array" ref="AA83">Linterp(Z83,TO_CL_cd,TO_CD_cl)</f>
        <v>7.4049999999999991E-2</v>
      </c>
      <c r="AB83" s="1">
        <f t="shared" si="27"/>
        <v>132.73708229667469</v>
      </c>
      <c r="AC83" s="1">
        <f t="shared" si="28"/>
        <v>39.474622265336379</v>
      </c>
      <c r="AD83" s="1">
        <f t="shared" si="30"/>
        <v>271.68157294258316</v>
      </c>
      <c r="AE83" s="467" cm="1">
        <f t="array" ref="AE83">numeng*InterpolateXY($V$71,$X83,Tmil_h,Tmil_M,Tmil_table)</f>
        <v>3410.7332554365116</v>
      </c>
      <c r="AF83" s="3">
        <f t="shared" si="32"/>
        <v>9.0659811214358861</v>
      </c>
      <c r="AG83" s="3">
        <f t="shared" si="33"/>
        <v>0.60086616361223066</v>
      </c>
      <c r="AH83" s="3">
        <f t="shared" si="34"/>
        <v>5.9960215386367866</v>
      </c>
      <c r="AI83" s="3">
        <f t="shared" si="35"/>
        <v>31.114017217602338</v>
      </c>
      <c r="AJ83" s="474">
        <f t="shared" si="36"/>
        <v>163.45601598165146</v>
      </c>
      <c r="AK83" s="467" cm="1">
        <f t="array" ref="AK83">numeng*InterpolateXY($V$71,$X83,Tmax_h,Tmax_M,Tmax_table)</f>
        <v>5017.4846816466561</v>
      </c>
      <c r="AL83" s="3">
        <f t="shared" si="37"/>
        <v>13.765582974789082</v>
      </c>
      <c r="AM83" s="3">
        <f t="shared" si="38"/>
        <v>0.39620985193176544</v>
      </c>
      <c r="AN83" s="3">
        <f t="shared" si="39"/>
        <v>3.9929157530080821</v>
      </c>
      <c r="AO83" s="3">
        <f t="shared" si="40"/>
        <v>20.516515825551295</v>
      </c>
      <c r="AP83" s="474">
        <f t="shared" si="41"/>
        <v>108.47499593152099</v>
      </c>
    </row>
    <row r="84" spans="23:42">
      <c r="W84" s="3">
        <f t="shared" si="31"/>
        <v>59.95803884461413</v>
      </c>
      <c r="X84" s="2">
        <f t="shared" si="29"/>
        <v>5.4458237754950824E-2</v>
      </c>
      <c r="Y84">
        <v>0</v>
      </c>
      <c r="Z84" cm="1">
        <f t="array" ref="Z84">Linterp(Y84,TO_alpha,TO_CL_a)</f>
        <v>0.249</v>
      </c>
      <c r="AA84" s="2" cm="1">
        <f t="array" ref="AA84">Linterp(Z84,TO_CL_cd,TO_CD_cl)</f>
        <v>7.4049999999999991E-2</v>
      </c>
      <c r="AB84" s="1">
        <f t="shared" si="27"/>
        <v>160.61186957897641</v>
      </c>
      <c r="AC84" s="1">
        <f t="shared" si="28"/>
        <v>47.764292941057036</v>
      </c>
      <c r="AD84" s="1">
        <f t="shared" si="30"/>
        <v>270.98470326052563</v>
      </c>
      <c r="AE84" s="467" cm="1">
        <f t="array" ref="AE84">numeng*InterpolateXY($V$71,$X84,Tmil_h,Tmil_M,Tmil_table)</f>
        <v>3413.8594927276049</v>
      </c>
      <c r="AF84" s="3">
        <f t="shared" si="32"/>
        <v>9.0529168286571124</v>
      </c>
      <c r="AG84" s="3">
        <f t="shared" si="33"/>
        <v>0.60166250939427057</v>
      </c>
      <c r="AH84" s="3">
        <f t="shared" si="34"/>
        <v>6.5976840480310575</v>
      </c>
      <c r="AI84" s="3">
        <f t="shared" si="35"/>
        <v>34.43475392280925</v>
      </c>
      <c r="AJ84" s="474">
        <f t="shared" si="36"/>
        <v>197.89076990446071</v>
      </c>
      <c r="AK84" s="467" cm="1">
        <f t="array" ref="AK84">numeng*InterpolateXY($V$71,$X84,Tmax_h,Tmax_M,Tmax_table)</f>
        <v>5030.0992062878822</v>
      </c>
      <c r="AL84" s="3">
        <f t="shared" si="37"/>
        <v>13.780271059937874</v>
      </c>
      <c r="AM84" s="3">
        <f t="shared" si="38"/>
        <v>0.39575689301076766</v>
      </c>
      <c r="AN84" s="3">
        <f t="shared" si="39"/>
        <v>4.3886726460188497</v>
      </c>
      <c r="AO84" s="3">
        <f t="shared" si="40"/>
        <v>22.650225020337796</v>
      </c>
      <c r="AP84" s="474">
        <f t="shared" si="41"/>
        <v>131.12522095185878</v>
      </c>
    </row>
    <row r="85" spans="23:42">
      <c r="W85" s="3">
        <f t="shared" si="31"/>
        <v>65.40876964866996</v>
      </c>
      <c r="X85" s="2">
        <f t="shared" si="29"/>
        <v>5.9408986641764534E-2</v>
      </c>
      <c r="Y85">
        <v>0</v>
      </c>
      <c r="Z85" cm="1">
        <f t="array" ref="Z85">Linterp(Y85,TO_alpha,TO_CL_a)</f>
        <v>0.249</v>
      </c>
      <c r="AA85" s="2" cm="1">
        <f t="array" ref="AA85">Linterp(Z85,TO_CL_cd,TO_CD_cl)</f>
        <v>7.4049999999999991E-2</v>
      </c>
      <c r="AB85" s="1">
        <f t="shared" si="27"/>
        <v>191.14139850721159</v>
      </c>
      <c r="AC85" s="1">
        <f t="shared" si="28"/>
        <v>56.8434560620844</v>
      </c>
      <c r="AD85" s="1">
        <f t="shared" si="30"/>
        <v>270.22146503731972</v>
      </c>
      <c r="AE85" s="467" cm="1">
        <f t="array" ref="AE85">numeng*InterpolateXY($V$71,$X85,Tmil_h,Tmil_M,Tmil_table)</f>
        <v>3416.9857300186982</v>
      </c>
      <c r="AF85" s="3">
        <f t="shared" si="32"/>
        <v>9.0377374641972157</v>
      </c>
      <c r="AG85" s="3">
        <f t="shared" si="33"/>
        <v>0.6026018424561711</v>
      </c>
      <c r="AH85" s="3">
        <f t="shared" si="34"/>
        <v>7.2002858904872289</v>
      </c>
      <c r="AI85" s="3">
        <f t="shared" si="35"/>
        <v>37.773134890451473</v>
      </c>
      <c r="AJ85" s="474">
        <f t="shared" si="36"/>
        <v>235.66390479491218</v>
      </c>
      <c r="AK85" s="467" cm="1">
        <f t="array" ref="AK85">numeng*InterpolateXY($V$71,$X85,Tmax_h,Tmax_M,Tmax_table)</f>
        <v>5042.7137309291093</v>
      </c>
      <c r="AL85" s="3">
        <f t="shared" si="37"/>
        <v>13.79284407340554</v>
      </c>
      <c r="AM85" s="3">
        <f t="shared" si="38"/>
        <v>0.39536561449050134</v>
      </c>
      <c r="AN85" s="3">
        <f t="shared" si="39"/>
        <v>4.7840382605093508</v>
      </c>
      <c r="AO85" s="3">
        <f t="shared" si="40"/>
        <v>24.782862638330133</v>
      </c>
      <c r="AP85" s="474">
        <f t="shared" si="41"/>
        <v>155.90808359018891</v>
      </c>
    </row>
    <row r="86" spans="23:42">
      <c r="W86" s="3">
        <f t="shared" si="31"/>
        <v>70.859500452725797</v>
      </c>
      <c r="X86" s="2">
        <f t="shared" si="29"/>
        <v>6.4359735528578252E-2</v>
      </c>
      <c r="Y86">
        <v>0</v>
      </c>
      <c r="Z86" cm="1">
        <f t="array" ref="Z86">Linterp(Y86,TO_alpha,TO_CL_a)</f>
        <v>0.249</v>
      </c>
      <c r="AA86" s="2" cm="1">
        <f t="array" ref="AA86">Linterp(Z86,TO_CL_cd,TO_CD_cl)</f>
        <v>7.4049999999999991E-2</v>
      </c>
      <c r="AB86" s="1">
        <f t="shared" si="27"/>
        <v>224.32566908138031</v>
      </c>
      <c r="AC86" s="1">
        <f t="shared" si="28"/>
        <v>66.712111628418512</v>
      </c>
      <c r="AD86" s="1">
        <f t="shared" si="30"/>
        <v>269.39185827296552</v>
      </c>
      <c r="AE86" s="467" cm="1">
        <f t="array" ref="AE86">numeng*InterpolateXY($V$71,$X86,Tmil_h,Tmil_M,Tmil_table)</f>
        <v>3420.1119673097915</v>
      </c>
      <c r="AF86" s="3">
        <f t="shared" si="32"/>
        <v>9.0204430280561922</v>
      </c>
      <c r="AG86" s="3">
        <f t="shared" si="33"/>
        <v>0.60368549382858261</v>
      </c>
      <c r="AH86" s="3">
        <f t="shared" si="34"/>
        <v>7.8039713843158118</v>
      </c>
      <c r="AI86" s="3">
        <f t="shared" si="35"/>
        <v>41.131588964663891</v>
      </c>
      <c r="AJ86" s="474">
        <f t="shared" si="36"/>
        <v>276.79549375957606</v>
      </c>
      <c r="AK86" s="467" cm="1">
        <f t="array" ref="AK86">numeng*InterpolateXY($V$71,$X86,Tmax_h,Tmax_M,Tmax_table)</f>
        <v>5055.3282555703363</v>
      </c>
      <c r="AL86" s="3">
        <f t="shared" si="37"/>
        <v>13.803302015192079</v>
      </c>
      <c r="AM86" s="3">
        <f t="shared" si="38"/>
        <v>0.39503565364208665</v>
      </c>
      <c r="AN86" s="3">
        <f t="shared" si="39"/>
        <v>5.179073914151437</v>
      </c>
      <c r="AO86" s="3">
        <f t="shared" si="40"/>
        <v>26.915412575090642</v>
      </c>
      <c r="AP86" s="474">
        <f t="shared" si="41"/>
        <v>182.82349616527955</v>
      </c>
    </row>
    <row r="87" spans="23:42">
      <c r="W87" s="3">
        <f t="shared" si="31"/>
        <v>76.310231256781634</v>
      </c>
      <c r="X87" s="2">
        <f t="shared" si="29"/>
        <v>6.9310484415391962E-2</v>
      </c>
      <c r="Y87">
        <v>0</v>
      </c>
      <c r="Z87" cm="1">
        <f t="array" ref="Z87">Linterp(Y87,TO_alpha,TO_CL_a)</f>
        <v>0.249</v>
      </c>
      <c r="AA87" s="2" cm="1">
        <f t="array" ref="AA87">Linterp(Z87,TO_CL_cd,TO_CD_cl)</f>
        <v>7.4049999999999991E-2</v>
      </c>
      <c r="AB87" s="1">
        <f t="shared" si="27"/>
        <v>260.16468130148246</v>
      </c>
      <c r="AC87" s="1">
        <f t="shared" si="28"/>
        <v>77.370259640059331</v>
      </c>
      <c r="AD87" s="1">
        <f t="shared" si="30"/>
        <v>268.49588296746293</v>
      </c>
      <c r="AE87" s="467" cm="1">
        <f t="array" ref="AE87">numeng*InterpolateXY($V$71,$X87,Tmil_h,Tmil_M,Tmil_table)</f>
        <v>3423.2382046008852</v>
      </c>
      <c r="AF87" s="3">
        <f t="shared" si="32"/>
        <v>9.0010335202340421</v>
      </c>
      <c r="AG87" s="3">
        <f t="shared" si="33"/>
        <v>0.60491500676430077</v>
      </c>
      <c r="AH87" s="3">
        <f t="shared" si="34"/>
        <v>8.408886391080113</v>
      </c>
      <c r="AI87" s="3">
        <f t="shared" si="35"/>
        <v>44.512589626278512</v>
      </c>
      <c r="AJ87" s="474">
        <f t="shared" si="36"/>
        <v>321.30808338585456</v>
      </c>
      <c r="AK87" s="467" cm="1">
        <f t="array" ref="AK87">numeng*InterpolateXY($V$71,$X87,Tmax_h,Tmax_M,Tmax_table)</f>
        <v>5067.9427802115624</v>
      </c>
      <c r="AL87" s="3">
        <f t="shared" si="37"/>
        <v>13.81164488529749</v>
      </c>
      <c r="AM87" s="3">
        <f t="shared" si="38"/>
        <v>0.39476670541482767</v>
      </c>
      <c r="AN87" s="3">
        <f t="shared" si="39"/>
        <v>5.5738406195662646</v>
      </c>
      <c r="AO87" s="3">
        <f t="shared" si="40"/>
        <v>29.048855061873173</v>
      </c>
      <c r="AP87" s="474">
        <f t="shared" si="41"/>
        <v>211.87235122715273</v>
      </c>
    </row>
    <row r="88" spans="23:42">
      <c r="W88" s="3">
        <f t="shared" si="31"/>
        <v>81.760962060837471</v>
      </c>
      <c r="X88" s="2">
        <f t="shared" si="29"/>
        <v>7.4261233302205687E-2</v>
      </c>
      <c r="Y88">
        <v>0</v>
      </c>
      <c r="Z88" cm="1">
        <f t="array" ref="Z88">Linterp(Y88,TO_alpha,TO_CL_a)</f>
        <v>0.249</v>
      </c>
      <c r="AA88" s="2" cm="1">
        <f t="array" ref="AA88">Linterp(Z88,TO_CL_cd,TO_CD_cl)</f>
        <v>7.4049999999999991E-2</v>
      </c>
      <c r="AB88" s="1">
        <f t="shared" si="27"/>
        <v>298.65843516751823</v>
      </c>
      <c r="AC88" s="1">
        <f t="shared" si="28"/>
        <v>88.817900097006913</v>
      </c>
      <c r="AD88" s="1">
        <f t="shared" si="30"/>
        <v>267.53353912081207</v>
      </c>
      <c r="AE88" s="467" cm="1">
        <f t="array" ref="AE88">numeng*InterpolateXY($V$71,$X88,Tmil_h,Tmil_M,Tmil_table)</f>
        <v>3426.3644418919785</v>
      </c>
      <c r="AF88" s="3">
        <f t="shared" si="32"/>
        <v>8.9795089407307653</v>
      </c>
      <c r="AG88" s="3">
        <f t="shared" si="33"/>
        <v>0.60629214228538464</v>
      </c>
      <c r="AH88" s="3">
        <f t="shared" si="34"/>
        <v>9.0151785333654981</v>
      </c>
      <c r="AI88" s="3">
        <f t="shared" si="35"/>
        <v>47.918661215073229</v>
      </c>
      <c r="AJ88" s="474">
        <f t="shared" si="36"/>
        <v>369.22674460092776</v>
      </c>
      <c r="AK88" s="467" cm="1">
        <f t="array" ref="AK88">numeng*InterpolateXY($V$71,$X88,Tmax_h,Tmax_M,Tmax_table)</f>
        <v>5080.5573048527895</v>
      </c>
      <c r="AL88" s="3">
        <f t="shared" si="37"/>
        <v>13.817872683721779</v>
      </c>
      <c r="AM88" s="3">
        <f t="shared" si="38"/>
        <v>0.39455852172878275</v>
      </c>
      <c r="AN88" s="3">
        <f t="shared" si="39"/>
        <v>5.9683991412950474</v>
      </c>
      <c r="AO88" s="3">
        <f t="shared" si="40"/>
        <v>31.184168181652218</v>
      </c>
      <c r="AP88" s="474">
        <f t="shared" si="41"/>
        <v>243.05651940880495</v>
      </c>
    </row>
    <row r="89" spans="23:42">
      <c r="W89" s="3">
        <f t="shared" si="31"/>
        <v>87.211692864893308</v>
      </c>
      <c r="X89" s="2">
        <f t="shared" si="29"/>
        <v>7.9211982189019398E-2</v>
      </c>
      <c r="Y89">
        <v>0</v>
      </c>
      <c r="Z89" cm="1">
        <f t="array" ref="Z89">Linterp(Y89,TO_alpha,TO_CL_a)</f>
        <v>0.249</v>
      </c>
      <c r="AA89" s="2" cm="1">
        <f t="array" ref="AA89">Linterp(Z89,TO_CL_cd,TO_CD_cl)</f>
        <v>7.4049999999999991E-2</v>
      </c>
      <c r="AB89" s="1">
        <f t="shared" si="27"/>
        <v>339.80693067948744</v>
      </c>
      <c r="AC89" s="1">
        <f t="shared" si="28"/>
        <v>101.0550329992612</v>
      </c>
      <c r="AD89" s="1">
        <f t="shared" si="30"/>
        <v>266.50482673301281</v>
      </c>
      <c r="AE89" s="467" cm="1">
        <f t="array" ref="AE89">numeng*InterpolateXY($V$71,$X89,Tmil_h,Tmil_M,Tmil_table)</f>
        <v>3429.4906791830717</v>
      </c>
      <c r="AF89" s="3">
        <f t="shared" si="32"/>
        <v>8.9558692895463601</v>
      </c>
      <c r="AG89" s="3">
        <f t="shared" si="33"/>
        <v>0.60781888556488128</v>
      </c>
      <c r="AH89" s="3">
        <f t="shared" si="34"/>
        <v>9.62299741893038</v>
      </c>
      <c r="AI89" s="3">
        <f t="shared" si="35"/>
        <v>51.352385403948468</v>
      </c>
      <c r="AJ89" s="474">
        <f t="shared" si="36"/>
        <v>420.57913000487622</v>
      </c>
      <c r="AK89" s="467" cm="1">
        <f t="array" ref="AK89">numeng*InterpolateXY($V$71,$X89,Tmax_h,Tmax_M,Tmax_table)</f>
        <v>5093.1718294940165</v>
      </c>
      <c r="AL89" s="3">
        <f t="shared" si="37"/>
        <v>13.821985410464936</v>
      </c>
      <c r="AM89" s="3">
        <f t="shared" si="38"/>
        <v>0.39441091090132974</v>
      </c>
      <c r="AN89" s="3">
        <f t="shared" si="39"/>
        <v>6.3628100521963775</v>
      </c>
      <c r="AO89" s="3">
        <f t="shared" si="40"/>
        <v>33.322329373336771</v>
      </c>
      <c r="AP89" s="474">
        <f t="shared" si="41"/>
        <v>276.37884878214174</v>
      </c>
    </row>
    <row r="90" spans="23:42">
      <c r="W90" s="3">
        <f t="shared" si="31"/>
        <v>92.662423668949145</v>
      </c>
      <c r="X90" s="2">
        <f t="shared" si="29"/>
        <v>8.4162731075833122E-2</v>
      </c>
      <c r="Y90">
        <v>0</v>
      </c>
      <c r="Z90" cm="1">
        <f t="array" ref="Z90">Linterp(Y90,TO_alpha,TO_CL_a)</f>
        <v>0.249</v>
      </c>
      <c r="AA90" s="2" cm="1">
        <f t="array" ref="AA90">Linterp(Z90,TO_CL_cd,TO_CD_cl)</f>
        <v>7.4049999999999991E-2</v>
      </c>
      <c r="AB90" s="1">
        <f t="shared" si="27"/>
        <v>383.61016783739018</v>
      </c>
      <c r="AC90" s="1">
        <f t="shared" si="28"/>
        <v>114.08165834682225</v>
      </c>
      <c r="AD90" s="1">
        <f t="shared" si="30"/>
        <v>265.40974580406527</v>
      </c>
      <c r="AE90" s="467" cm="1">
        <f t="array" ref="AE90">numeng*InterpolateXY($V$71,$X90,Tmil_h,Tmil_M,Tmil_table)</f>
        <v>3432.616916474165</v>
      </c>
      <c r="AF90" s="3">
        <f t="shared" si="32"/>
        <v>8.9301145666808317</v>
      </c>
      <c r="AG90" s="3">
        <f t="shared" si="33"/>
        <v>0.60949745318685489</v>
      </c>
      <c r="AH90" s="3">
        <f t="shared" si="34"/>
        <v>10.232494872117234</v>
      </c>
      <c r="AI90" s="3">
        <f t="shared" si="35"/>
        <v>54.816407960806259</v>
      </c>
      <c r="AJ90" s="474">
        <f t="shared" si="36"/>
        <v>475.39553796568248</v>
      </c>
      <c r="AK90" s="467" cm="1">
        <f t="array" ref="AK90">numeng*InterpolateXY($V$71,$X90,Tmax_h,Tmax_M,Tmax_table)</f>
        <v>5105.7863541352426</v>
      </c>
      <c r="AL90" s="3">
        <f t="shared" si="37"/>
        <v>13.823983065526969</v>
      </c>
      <c r="AM90" s="3">
        <f t="shared" si="38"/>
        <v>0.39432373720525055</v>
      </c>
      <c r="AN90" s="3">
        <f t="shared" si="39"/>
        <v>6.7571337894016281</v>
      </c>
      <c r="AO90" s="3">
        <f t="shared" si="40"/>
        <v>35.464316929058754</v>
      </c>
      <c r="AP90" s="474">
        <f t="shared" si="41"/>
        <v>311.84316571120053</v>
      </c>
    </row>
    <row r="91" spans="23:42">
      <c r="W91" s="3">
        <f t="shared" si="31"/>
        <v>98.113154473004982</v>
      </c>
      <c r="X91" s="2">
        <f t="shared" si="29"/>
        <v>8.9113479962646833E-2</v>
      </c>
      <c r="Y91">
        <v>0</v>
      </c>
      <c r="Z91" cm="1">
        <f t="array" ref="Z91">Linterp(Y91,TO_alpha,TO_CL_a)</f>
        <v>0.249</v>
      </c>
      <c r="AA91" s="2" cm="1">
        <f t="array" ref="AA91">Linterp(Z91,TO_CL_cd,TO_CD_cl)</f>
        <v>7.4049999999999991E-2</v>
      </c>
      <c r="AB91" s="1">
        <f t="shared" si="27"/>
        <v>430.06814664122635</v>
      </c>
      <c r="AC91" s="1">
        <f t="shared" si="28"/>
        <v>127.89777613968998</v>
      </c>
      <c r="AD91" s="1">
        <f t="shared" si="30"/>
        <v>264.24829633396934</v>
      </c>
      <c r="AE91" s="467" cm="1">
        <f t="array" ref="AE91">numeng*InterpolateXY($V$71,$X91,Tmil_h,Tmil_M,Tmil_table)</f>
        <v>3435.7431537652587</v>
      </c>
      <c r="AF91" s="3">
        <f t="shared" si="32"/>
        <v>8.9022447721341749</v>
      </c>
      <c r="AG91" s="3">
        <f t="shared" si="33"/>
        <v>0.61133030133499411</v>
      </c>
      <c r="AH91" s="3">
        <f t="shared" si="34"/>
        <v>10.843825173452229</v>
      </c>
      <c r="AI91" s="3">
        <f t="shared" si="35"/>
        <v>58.313445836439264</v>
      </c>
      <c r="AJ91" s="474">
        <f t="shared" si="36"/>
        <v>533.70898380212179</v>
      </c>
      <c r="AK91" s="467" cm="1">
        <f t="array" ref="AK91">numeng*InterpolateXY($V$71,$X91,Tmax_h,Tmax_M,Tmax_table)</f>
        <v>5118.4008787764697</v>
      </c>
      <c r="AL91" s="3">
        <f t="shared" si="37"/>
        <v>13.823865648907876</v>
      </c>
      <c r="AM91" s="3">
        <f t="shared" si="38"/>
        <v>0.39429692055642868</v>
      </c>
      <c r="AN91" s="3">
        <f t="shared" si="39"/>
        <v>7.1514307099580572</v>
      </c>
      <c r="AO91" s="3">
        <f t="shared" si="40"/>
        <v>37.611111489372419</v>
      </c>
      <c r="AP91" s="474">
        <f t="shared" si="41"/>
        <v>349.45427720057296</v>
      </c>
    </row>
    <row r="92" spans="23:42">
      <c r="W92" s="3">
        <f t="shared" si="31"/>
        <v>103.56388527706082</v>
      </c>
      <c r="X92" s="2">
        <f t="shared" si="29"/>
        <v>9.4064228849460557E-2</v>
      </c>
      <c r="Y92">
        <v>0</v>
      </c>
      <c r="Z92" cm="1">
        <f t="array" ref="Z92">Linterp(Y92,TO_alpha,TO_CL_a)</f>
        <v>0.249</v>
      </c>
      <c r="AA92" s="2" cm="1">
        <f t="array" ref="AA92">Linterp(Z92,TO_CL_cd,TO_CD_cl)</f>
        <v>7.4049999999999991E-2</v>
      </c>
      <c r="AB92" s="1">
        <f t="shared" si="27"/>
        <v>479.18086709099612</v>
      </c>
      <c r="AC92" s="1">
        <f t="shared" si="28"/>
        <v>142.50338637786447</v>
      </c>
      <c r="AD92" s="1">
        <f t="shared" si="30"/>
        <v>263.02047832272513</v>
      </c>
      <c r="AE92" s="467" cm="1">
        <f t="array" ref="AE92">numeng*InterpolateXY($V$71,$X92,Tmil_h,Tmil_M,Tmil_table)</f>
        <v>3438.869391056352</v>
      </c>
      <c r="AF92" s="3">
        <f t="shared" si="32"/>
        <v>8.8722599059063914</v>
      </c>
      <c r="AG92" s="3">
        <f t="shared" si="33"/>
        <v>0.61332013496723981</v>
      </c>
      <c r="AH92" s="3">
        <f t="shared" si="34"/>
        <v>11.457145308419468</v>
      </c>
      <c r="AI92" s="3">
        <f t="shared" si="35"/>
        <v>61.846294619651871</v>
      </c>
      <c r="AJ92" s="474">
        <f t="shared" si="36"/>
        <v>595.55527842177366</v>
      </c>
      <c r="AK92" s="467" cm="1">
        <f t="array" ref="AK92">numeng*InterpolateXY($V$71,$X92,Tmax_h,Tmax_M,Tmax_table)</f>
        <v>5131.0154034176967</v>
      </c>
      <c r="AL92" s="3">
        <f t="shared" si="37"/>
        <v>13.821633160607655</v>
      </c>
      <c r="AM92" s="3">
        <f t="shared" si="38"/>
        <v>0.39433043632981624</v>
      </c>
      <c r="AN92" s="3">
        <f t="shared" si="39"/>
        <v>7.5457611462878731</v>
      </c>
      <c r="AO92" s="3">
        <f t="shared" si="40"/>
        <v>39.763697541174572</v>
      </c>
      <c r="AP92" s="474">
        <f t="shared" si="41"/>
        <v>389.21797474174753</v>
      </c>
    </row>
    <row r="93" spans="23:42">
      <c r="W93" s="3">
        <f t="shared" si="31"/>
        <v>109.01461608111666</v>
      </c>
      <c r="X93" s="2">
        <f t="shared" si="29"/>
        <v>9.9014977736274268E-2</v>
      </c>
      <c r="Y93">
        <v>0</v>
      </c>
      <c r="Z93" cm="1">
        <f t="array" ref="Z93">Linterp(Y93,TO_alpha,TO_CL_a)</f>
        <v>0.249</v>
      </c>
      <c r="AA93" s="2" cm="1">
        <f t="array" ref="AA93">Linterp(Z93,TO_CL_cd,TO_CD_cl)</f>
        <v>7.4049999999999991E-2</v>
      </c>
      <c r="AB93" s="1">
        <f t="shared" si="27"/>
        <v>530.94832918669931</v>
      </c>
      <c r="AC93" s="1">
        <f t="shared" si="28"/>
        <v>157.89848906134569</v>
      </c>
      <c r="AD93" s="1">
        <f t="shared" si="30"/>
        <v>261.72629177033252</v>
      </c>
      <c r="AE93" s="467" cm="1">
        <f t="array" ref="AE93">numeng*InterpolateXY($V$71,$X93,Tmil_h,Tmil_M,Tmil_table)</f>
        <v>3441.9956283474453</v>
      </c>
      <c r="AF93" s="3">
        <f t="shared" si="32"/>
        <v>8.8401599679974829</v>
      </c>
      <c r="AG93" s="3">
        <f t="shared" si="33"/>
        <v>0.61546991804169304</v>
      </c>
      <c r="AH93" s="3">
        <f t="shared" si="34"/>
        <v>12.072615226461162</v>
      </c>
      <c r="AI93" s="3">
        <f t="shared" si="35"/>
        <v>65.417836404171709</v>
      </c>
      <c r="AJ93" s="474">
        <f t="shared" si="36"/>
        <v>660.97311482594534</v>
      </c>
      <c r="AK93" s="467" cm="1">
        <f t="array" ref="AK93">numeng*InterpolateXY($V$71,$X93,Tmax_h,Tmax_M,Tmax_table)</f>
        <v>5143.6299280589228</v>
      </c>
      <c r="AL93" s="3">
        <f t="shared" si="37"/>
        <v>13.817285600626306</v>
      </c>
      <c r="AM93" s="3">
        <f t="shared" si="38"/>
        <v>0.39442431530288163</v>
      </c>
      <c r="AN93" s="3">
        <f t="shared" si="39"/>
        <v>7.9401854615907546</v>
      </c>
      <c r="AO93" s="3">
        <f t="shared" si="40"/>
        <v>41.92306492315592</v>
      </c>
      <c r="AP93" s="474">
        <f t="shared" si="41"/>
        <v>431.14103966490347</v>
      </c>
    </row>
    <row r="94" spans="23:42">
      <c r="W94" s="3">
        <f t="shared" si="31"/>
        <v>114.46534688517249</v>
      </c>
      <c r="X94" s="2">
        <f t="shared" si="29"/>
        <v>0.10396572662308799</v>
      </c>
      <c r="Y94">
        <v>0</v>
      </c>
      <c r="Z94" cm="1">
        <f t="array" ref="Z94">Linterp(Y94,TO_alpha,TO_CL_a)</f>
        <v>0.249</v>
      </c>
      <c r="AA94" s="2" cm="1">
        <f t="array" ref="AA94">Linterp(Z94,TO_CL_cd,TO_CD_cl)</f>
        <v>7.4049999999999991E-2</v>
      </c>
      <c r="AB94" s="1">
        <f t="shared" si="27"/>
        <v>585.37053292833616</v>
      </c>
      <c r="AC94" s="1">
        <f t="shared" si="28"/>
        <v>174.08308419013369</v>
      </c>
      <c r="AD94" s="1">
        <f t="shared" si="30"/>
        <v>260.36573667679158</v>
      </c>
      <c r="AE94" s="467" cm="1">
        <f t="array" ref="AE94">numeng*InterpolateXY($V$71,$X94,Tmil_h,Tmil_M,Tmil_table)</f>
        <v>3445.121865638539</v>
      </c>
      <c r="AF94" s="3">
        <f t="shared" si="32"/>
        <v>8.8059449584074461</v>
      </c>
      <c r="AG94" s="3">
        <f t="shared" si="33"/>
        <v>0.61778288486764921</v>
      </c>
      <c r="AH94" s="3">
        <f t="shared" si="34"/>
        <v>12.690398111328811</v>
      </c>
      <c r="AI94" s="3">
        <f t="shared" si="35"/>
        <v>69.031048115714754</v>
      </c>
      <c r="AJ94" s="474">
        <f t="shared" si="36"/>
        <v>730.00416294166007</v>
      </c>
      <c r="AK94" s="467" cm="1">
        <f t="array" ref="AK94">numeng*InterpolateXY($V$71,$X94,Tmax_h,Tmax_M,Tmax_table)</f>
        <v>5156.2444527001498</v>
      </c>
      <c r="AL94" s="3">
        <f t="shared" si="37"/>
        <v>13.810822968963837</v>
      </c>
      <c r="AM94" s="3">
        <f t="shared" si="38"/>
        <v>0.39457864372629381</v>
      </c>
      <c r="AN94" s="3">
        <f t="shared" si="39"/>
        <v>8.3347641053170491</v>
      </c>
      <c r="AO94" s="3">
        <f t="shared" si="40"/>
        <v>44.09021034362037</v>
      </c>
      <c r="AP94" s="474">
        <f t="shared" si="41"/>
        <v>475.23125000852383</v>
      </c>
    </row>
    <row r="95" spans="23:42">
      <c r="W95" s="3">
        <f t="shared" si="31"/>
        <v>119.91607768922833</v>
      </c>
      <c r="X95" s="2">
        <f t="shared" si="29"/>
        <v>0.1089164755099017</v>
      </c>
      <c r="Y95">
        <v>0</v>
      </c>
      <c r="Z95" cm="1">
        <f t="array" ref="Z95">Linterp(Y95,TO_alpha,TO_CL_a)</f>
        <v>0.249</v>
      </c>
      <c r="AA95" s="2" cm="1">
        <f t="array" ref="AA95">Linterp(Z95,TO_CL_cd,TO_CD_cl)</f>
        <v>7.4049999999999991E-2</v>
      </c>
      <c r="AB95" s="1">
        <f t="shared" si="27"/>
        <v>642.44747831590632</v>
      </c>
      <c r="AC95" s="1">
        <f t="shared" si="28"/>
        <v>191.05717176422831</v>
      </c>
      <c r="AD95" s="1">
        <f t="shared" si="30"/>
        <v>258.93881304210237</v>
      </c>
      <c r="AE95" s="467" cm="1">
        <f t="array" ref="AE95">numeng*InterpolateXY($V$71,$X95,Tmil_h,Tmil_M,Tmil_table)</f>
        <v>3448.2481029296323</v>
      </c>
      <c r="AF95" s="3">
        <f t="shared" si="32"/>
        <v>8.7696148771362825</v>
      </c>
      <c r="AG95" s="3">
        <f t="shared" si="33"/>
        <v>0.6202625526650497</v>
      </c>
      <c r="AH95" s="3">
        <f t="shared" si="34"/>
        <v>13.310660663993861</v>
      </c>
      <c r="AI95" s="3">
        <f t="shared" si="35"/>
        <v>72.689010351894339</v>
      </c>
      <c r="AJ95" s="474">
        <f t="shared" si="36"/>
        <v>802.69317329355442</v>
      </c>
      <c r="AK95" s="467" cm="1">
        <f t="array" ref="AK95">numeng*InterpolateXY($V$71,$X95,Tmax_h,Tmax_M,Tmax_table)</f>
        <v>5168.8589773413769</v>
      </c>
      <c r="AL95" s="3">
        <f t="shared" si="37"/>
        <v>13.802245265620234</v>
      </c>
      <c r="AM95" s="3">
        <f t="shared" si="38"/>
        <v>0.39479356352214806</v>
      </c>
      <c r="AN95" s="3">
        <f t="shared" si="39"/>
        <v>8.7295576688391971</v>
      </c>
      <c r="AO95" s="3">
        <f t="shared" si="40"/>
        <v>46.266138915562635</v>
      </c>
      <c r="AP95" s="474">
        <f t="shared" si="41"/>
        <v>521.49738892408641</v>
      </c>
    </row>
    <row r="96" spans="23:42">
      <c r="W96" s="3">
        <f t="shared" si="31"/>
        <v>125.36680849328417</v>
      </c>
      <c r="X96" s="2">
        <f t="shared" si="29"/>
        <v>0.11386722439671543</v>
      </c>
      <c r="Y96">
        <v>0</v>
      </c>
      <c r="Z96" cm="1">
        <f t="array" ref="Z96">Linterp(Y96,TO_alpha,TO_CL_a)</f>
        <v>0.249</v>
      </c>
      <c r="AA96" s="2" cm="1">
        <f t="array" ref="AA96">Linterp(Z96,TO_CL_cd,TO_CD_cl)</f>
        <v>7.4049999999999991E-2</v>
      </c>
      <c r="AB96" s="1">
        <f t="shared" si="27"/>
        <v>702.17916534941014</v>
      </c>
      <c r="AC96" s="1">
        <f t="shared" si="28"/>
        <v>208.82075178362976</v>
      </c>
      <c r="AD96" s="1">
        <f t="shared" si="30"/>
        <v>257.44552086626476</v>
      </c>
      <c r="AE96" s="467" cm="1">
        <f t="array" ref="AE96">numeng*InterpolateXY($V$71,$X96,Tmil_h,Tmil_M,Tmil_table)</f>
        <v>3451.3743402207256</v>
      </c>
      <c r="AF96" s="3">
        <f t="shared" si="32"/>
        <v>8.7311697241839923</v>
      </c>
      <c r="AG96" s="3">
        <f t="shared" si="33"/>
        <v>0.62291273542611669</v>
      </c>
      <c r="AH96" s="3">
        <f t="shared" si="34"/>
        <v>13.933573399419977</v>
      </c>
      <c r="AI96" s="3">
        <f t="shared" si="35"/>
        <v>76.394916792580858</v>
      </c>
      <c r="AJ96" s="474">
        <f t="shared" si="36"/>
        <v>879.08809008613525</v>
      </c>
      <c r="AK96" s="467" cm="1">
        <f t="array" ref="AK96">numeng*InterpolateXY($V$71,$X96,Tmax_h,Tmax_M,Tmax_table)</f>
        <v>5181.473501982603</v>
      </c>
      <c r="AL96" s="3">
        <f t="shared" si="37"/>
        <v>13.791552490595507</v>
      </c>
      <c r="AM96" s="3">
        <f t="shared" si="38"/>
        <v>0.39506927261058239</v>
      </c>
      <c r="AN96" s="3">
        <f t="shared" si="39"/>
        <v>9.1246269414497796</v>
      </c>
      <c r="AO96" s="3">
        <f t="shared" si="40"/>
        <v>48.45186571397474</v>
      </c>
      <c r="AP96" s="474">
        <f t="shared" si="41"/>
        <v>569.94925463806112</v>
      </c>
    </row>
    <row r="97" spans="23:42">
      <c r="W97" s="3">
        <f t="shared" si="31"/>
        <v>130.81753929734001</v>
      </c>
      <c r="X97" s="2">
        <f t="shared" si="29"/>
        <v>0.11881797328352914</v>
      </c>
      <c r="Y97">
        <v>0</v>
      </c>
      <c r="Z97" cm="1">
        <f t="array" ref="Z97">Linterp(Y97,TO_alpha,TO_CL_a)</f>
        <v>0.249</v>
      </c>
      <c r="AA97" s="2" cm="1">
        <f t="array" ref="AA97">Linterp(Z97,TO_CL_cd,TO_CD_cl)</f>
        <v>7.4049999999999991E-2</v>
      </c>
      <c r="AB97" s="1">
        <f t="shared" si="27"/>
        <v>764.56559402884716</v>
      </c>
      <c r="AC97" s="1">
        <f t="shared" si="28"/>
        <v>227.37382424833785</v>
      </c>
      <c r="AD97" s="1">
        <f t="shared" si="30"/>
        <v>255.88586014927884</v>
      </c>
      <c r="AE97" s="467" cm="1">
        <f t="array" ref="AE97">numeng*InterpolateXY($V$71,$X97,Tmil_h,Tmil_M,Tmil_table)</f>
        <v>3454.5005775118193</v>
      </c>
      <c r="AF97" s="3">
        <f t="shared" si="32"/>
        <v>8.6906094995505789</v>
      </c>
      <c r="AG97" s="3">
        <f t="shared" si="33"/>
        <v>0.62573755918454421</v>
      </c>
      <c r="AH97" s="3">
        <f t="shared" si="34"/>
        <v>14.559310958604522</v>
      </c>
      <c r="AI97" s="3">
        <f t="shared" si="35"/>
        <v>80.152084243894791</v>
      </c>
      <c r="AJ97" s="474">
        <f t="shared" si="36"/>
        <v>959.24017433003007</v>
      </c>
      <c r="AK97" s="467" cm="1">
        <f t="array" ref="AK97">numeng*InterpolateXY($V$71,$X97,Tmax_h,Tmax_M,Tmax_table)</f>
        <v>5194.08802662383</v>
      </c>
      <c r="AL97" s="3">
        <f t="shared" si="37"/>
        <v>13.778744643889656</v>
      </c>
      <c r="AM97" s="3">
        <f t="shared" si="38"/>
        <v>0.3954060253661914</v>
      </c>
      <c r="AN97" s="3">
        <f t="shared" si="39"/>
        <v>9.5200329668159718</v>
      </c>
      <c r="AO97" s="3">
        <f t="shared" si="40"/>
        <v>50.648417360460378</v>
      </c>
      <c r="AP97" s="474">
        <f t="shared" si="41"/>
        <v>620.59767199852149</v>
      </c>
    </row>
    <row r="98" spans="23:42">
      <c r="W98" s="3">
        <f t="shared" si="31"/>
        <v>136.26827010139584</v>
      </c>
      <c r="X98" s="2">
        <f t="shared" si="29"/>
        <v>0.12376872217034286</v>
      </c>
      <c r="Y98">
        <v>0</v>
      </c>
      <c r="Z98" cm="1">
        <f t="array" ref="Z98">Linterp(Y98,TO_alpha,TO_CL_a)</f>
        <v>0.249</v>
      </c>
      <c r="AA98" s="2" cm="1">
        <f t="array" ref="AA98">Linterp(Z98,TO_CL_cd,TO_CD_cl)</f>
        <v>7.4049999999999991E-2</v>
      </c>
      <c r="AB98" s="1">
        <f t="shared" si="27"/>
        <v>829.60676435421806</v>
      </c>
      <c r="AC98" s="1">
        <f t="shared" si="28"/>
        <v>246.71638915835277</v>
      </c>
      <c r="AD98" s="1">
        <f t="shared" si="30"/>
        <v>254.25983089114459</v>
      </c>
      <c r="AE98" s="467" cm="1">
        <f t="array" ref="AE98">numeng*InterpolateXY($V$71,$X98,Tmil_h,Tmil_M,Tmil_table)</f>
        <v>3457.6268148029126</v>
      </c>
      <c r="AF98" s="3">
        <f t="shared" si="32"/>
        <v>8.6479342032360353</v>
      </c>
      <c r="AG98" s="3">
        <f t="shared" si="33"/>
        <v>0.62874147881056541</v>
      </c>
      <c r="AH98" s="3">
        <f t="shared" si="34"/>
        <v>15.188052437415088</v>
      </c>
      <c r="AI98" s="3">
        <f t="shared" si="35"/>
        <v>83.963963385338985</v>
      </c>
      <c r="AJ98" s="474">
        <f t="shared" si="36"/>
        <v>1043.2041377153691</v>
      </c>
      <c r="AK98" s="467" cm="1">
        <f t="array" ref="AK98">numeng*InterpolateXY($V$71,$X98,Tmax_h,Tmax_M,Tmax_table)</f>
        <v>5206.7025512650571</v>
      </c>
      <c r="AL98" s="3">
        <f t="shared" si="37"/>
        <v>13.763821725502673</v>
      </c>
      <c r="AM98" s="3">
        <f t="shared" si="38"/>
        <v>0.39580413320620395</v>
      </c>
      <c r="AN98" s="3">
        <f t="shared" si="39"/>
        <v>9.9158371000221752</v>
      </c>
      <c r="AO98" s="3">
        <f t="shared" si="40"/>
        <v>52.856833640372017</v>
      </c>
      <c r="AP98" s="474">
        <f t="shared" si="41"/>
        <v>673.45450563889347</v>
      </c>
    </row>
    <row r="99" spans="23:42">
      <c r="W99" s="3">
        <f t="shared" si="31"/>
        <v>141.71900090545168</v>
      </c>
      <c r="X99" s="2">
        <f t="shared" si="29"/>
        <v>0.12871947105715659</v>
      </c>
      <c r="Y99">
        <v>0</v>
      </c>
      <c r="Z99" cm="1">
        <f t="array" ref="Z99">Linterp(Y99,TO_alpha,TO_CL_a)</f>
        <v>0.249</v>
      </c>
      <c r="AA99" s="2" cm="1">
        <f t="array" ref="AA99">Linterp(Z99,TO_CL_cd,TO_CD_cl)</f>
        <v>7.4049999999999991E-2</v>
      </c>
      <c r="AB99" s="1">
        <f t="shared" si="27"/>
        <v>897.30267632552227</v>
      </c>
      <c r="AC99" s="1">
        <f t="shared" si="28"/>
        <v>266.84844651367439</v>
      </c>
      <c r="AD99" s="1">
        <f t="shared" si="30"/>
        <v>252.56743309186197</v>
      </c>
      <c r="AE99" s="467" cm="1">
        <f t="array" ref="AE99">numeng*InterpolateXY($V$71,$X99,Tmil_h,Tmil_M,Tmil_table)</f>
        <v>3460.7530520940059</v>
      </c>
      <c r="AF99" s="3">
        <f t="shared" si="32"/>
        <v>8.6031438352403669</v>
      </c>
      <c r="AG99" s="3">
        <f t="shared" si="33"/>
        <v>0.63192929646467944</v>
      </c>
      <c r="AH99" s="3">
        <f t="shared" si="34"/>
        <v>15.819981733879768</v>
      </c>
      <c r="AI99" s="3">
        <f t="shared" si="35"/>
        <v>87.834150296746671</v>
      </c>
      <c r="AJ99" s="474">
        <f t="shared" si="36"/>
        <v>1131.0382880121158</v>
      </c>
      <c r="AK99" s="467" cm="1">
        <f t="array" ref="AK99">numeng*InterpolateXY($V$71,$X99,Tmax_h,Tmax_M,Tmax_table)</f>
        <v>5219.3170759062832</v>
      </c>
      <c r="AL99" s="3">
        <f t="shared" si="37"/>
        <v>13.746783735434567</v>
      </c>
      <c r="AM99" s="3">
        <f t="shared" si="38"/>
        <v>0.39626396531297131</v>
      </c>
      <c r="AN99" s="3">
        <f t="shared" si="39"/>
        <v>10.312101065335147</v>
      </c>
      <c r="AO99" s="3">
        <f t="shared" si="40"/>
        <v>55.0781691578525</v>
      </c>
      <c r="AP99" s="474">
        <f t="shared" si="41"/>
        <v>728.53267479674594</v>
      </c>
    </row>
    <row r="100" spans="23:42">
      <c r="W100" s="3">
        <f t="shared" si="31"/>
        <v>147.16973170950752</v>
      </c>
      <c r="X100" s="2">
        <f t="shared" si="29"/>
        <v>0.1336702199439703</v>
      </c>
      <c r="Y100">
        <v>0</v>
      </c>
      <c r="Z100" cm="1">
        <f t="array" ref="Z100">Linterp(Y100,TO_alpha,TO_CL_a)</f>
        <v>0.249</v>
      </c>
      <c r="AA100" s="2" cm="1">
        <f t="array" ref="AA100">Linterp(Z100,TO_CL_cd,TO_CD_cl)</f>
        <v>7.4049999999999991E-2</v>
      </c>
      <c r="AB100" s="1">
        <f t="shared" si="27"/>
        <v>967.65332994276002</v>
      </c>
      <c r="AC100" s="1">
        <f t="shared" si="28"/>
        <v>287.76999631430266</v>
      </c>
      <c r="AD100" s="1">
        <f t="shared" si="30"/>
        <v>250.80866675143102</v>
      </c>
      <c r="AE100" s="467" cm="1">
        <f t="array" ref="AE100">numeng*InterpolateXY($V$71,$X100,Tmil_h,Tmil_M,Tmil_table)</f>
        <v>3463.8792893850996</v>
      </c>
      <c r="AF100" s="3">
        <f t="shared" si="32"/>
        <v>8.5562383955635699</v>
      </c>
      <c r="AG100" s="3">
        <f t="shared" si="33"/>
        <v>0.63530618185902654</v>
      </c>
      <c r="AH100" s="3">
        <f t="shared" si="34"/>
        <v>16.455287915738793</v>
      </c>
      <c r="AI100" s="3">
        <f t="shared" si="35"/>
        <v>91.76639884985147</v>
      </c>
      <c r="AJ100" s="474">
        <f t="shared" si="36"/>
        <v>1222.8046868619672</v>
      </c>
      <c r="AK100" s="467" cm="1">
        <f t="array" ref="AK100">numeng*InterpolateXY($V$71,$X100,Tmax_h,Tmax_M,Tmax_table)</f>
        <v>5231.9316005475102</v>
      </c>
      <c r="AL100" s="3">
        <f t="shared" si="37"/>
        <v>13.727630673685336</v>
      </c>
      <c r="AM100" s="3">
        <f t="shared" si="38"/>
        <v>0.39678594949390533</v>
      </c>
      <c r="AN100" s="3">
        <f t="shared" si="39"/>
        <v>10.708887014829052</v>
      </c>
      <c r="AO100" s="3">
        <f t="shared" si="40"/>
        <v>57.313495034358752</v>
      </c>
      <c r="AP100" s="474">
        <f t="shared" si="41"/>
        <v>785.8461698311047</v>
      </c>
    </row>
    <row r="101" spans="23:42">
      <c r="W101" s="3">
        <f t="shared" si="31"/>
        <v>152.62046251356335</v>
      </c>
      <c r="X101" s="2">
        <f t="shared" si="29"/>
        <v>0.13862096883078401</v>
      </c>
      <c r="Y101">
        <v>0</v>
      </c>
      <c r="Z101" cm="1">
        <f t="array" ref="Z101">Linterp(Y101,TO_alpha,TO_CL_a)</f>
        <v>0.249</v>
      </c>
      <c r="AA101" s="2" cm="1">
        <f t="array" ref="AA101">Linterp(Z101,TO_CL_cd,TO_CD_cl)</f>
        <v>7.4049999999999991E-2</v>
      </c>
      <c r="AB101" s="1">
        <f t="shared" si="27"/>
        <v>1040.6587252059312</v>
      </c>
      <c r="AC101" s="1">
        <f t="shared" si="28"/>
        <v>309.48103856023772</v>
      </c>
      <c r="AD101" s="1">
        <f t="shared" si="30"/>
        <v>248.98353186985173</v>
      </c>
      <c r="AE101" s="467" cm="1">
        <f t="array" ref="AE101">numeng*InterpolateXY($V$71,$X101,Tmil_h,Tmil_M,Tmil_table)</f>
        <v>3467.0055266761929</v>
      </c>
      <c r="AF101" s="3">
        <f t="shared" si="32"/>
        <v>8.5072178842056498</v>
      </c>
      <c r="AG101" s="3">
        <f t="shared" si="33"/>
        <v>0.63887769449362197</v>
      </c>
      <c r="AH101" s="3">
        <f t="shared" si="34"/>
        <v>17.094165610232416</v>
      </c>
      <c r="AI101" s="3">
        <f t="shared" si="35"/>
        <v>95.764634058515341</v>
      </c>
      <c r="AJ101" s="474">
        <f t="shared" si="36"/>
        <v>1318.5693209204826</v>
      </c>
      <c r="AK101" s="467" cm="1">
        <f t="array" ref="AK101">numeng*InterpolateXY($V$71,$X101,Tmax_h,Tmax_M,Tmax_table)</f>
        <v>5244.5461251887373</v>
      </c>
      <c r="AL101" s="3">
        <f t="shared" si="37"/>
        <v>13.706362540254977</v>
      </c>
      <c r="AM101" s="3">
        <f t="shared" si="38"/>
        <v>0.39737057318262381</v>
      </c>
      <c r="AN101" s="3">
        <f t="shared" si="39"/>
        <v>11.106257588011676</v>
      </c>
      <c r="AO101" s="3">
        <f t="shared" si="40"/>
        <v>59.563900656475901</v>
      </c>
      <c r="AP101" s="474">
        <f t="shared" si="41"/>
        <v>845.41007048758058</v>
      </c>
    </row>
    <row r="102" spans="23:42">
      <c r="W102" s="3">
        <f t="shared" si="31"/>
        <v>158.07119331761919</v>
      </c>
      <c r="X102" s="2">
        <f t="shared" si="29"/>
        <v>0.14357171771759772</v>
      </c>
      <c r="Y102">
        <v>0</v>
      </c>
      <c r="Z102" cm="1">
        <f t="array" ref="Z102">Linterp(Y102,TO_alpha,TO_CL_a)</f>
        <v>0.249</v>
      </c>
      <c r="AA102" s="2" cm="1">
        <f t="array" ref="AA102">Linterp(Z102,TO_CL_cd,TO_CD_cl)</f>
        <v>7.4049999999999991E-2</v>
      </c>
      <c r="AB102" s="1">
        <f t="shared" si="27"/>
        <v>1116.3188621150359</v>
      </c>
      <c r="AC102" s="1">
        <f t="shared" si="28"/>
        <v>331.98157325147946</v>
      </c>
      <c r="AD102" s="1">
        <f t="shared" si="30"/>
        <v>247.09202844712411</v>
      </c>
      <c r="AE102" s="467" cm="1">
        <f t="array" ref="AE102">numeng*InterpolateXY($V$71,$X102,Tmil_h,Tmil_M,Tmil_table)</f>
        <v>3470.1317639672861</v>
      </c>
      <c r="AF102" s="3">
        <f t="shared" si="32"/>
        <v>8.4560823011665995</v>
      </c>
      <c r="AG102" s="3">
        <f t="shared" si="33"/>
        <v>0.64264980805516825</v>
      </c>
      <c r="AH102" s="3">
        <f t="shared" si="34"/>
        <v>17.736815418287584</v>
      </c>
      <c r="AI102" s="3">
        <f t="shared" si="35"/>
        <v>99.832966492125919</v>
      </c>
      <c r="AJ102" s="474">
        <f t="shared" si="36"/>
        <v>1418.4022874126085</v>
      </c>
      <c r="AK102" s="467" cm="1">
        <f t="array" ref="AK102">numeng*InterpolateXY($V$71,$X102,Tmax_h,Tmax_M,Tmax_table)</f>
        <v>5257.1606498299634</v>
      </c>
      <c r="AL102" s="3">
        <f t="shared" si="37"/>
        <v>13.682979335143488</v>
      </c>
      <c r="AM102" s="3">
        <f t="shared" si="38"/>
        <v>0.39801838458570404</v>
      </c>
      <c r="AN102" s="3">
        <f t="shared" si="39"/>
        <v>11.50427597259738</v>
      </c>
      <c r="AO102" s="3">
        <f t="shared" si="40"/>
        <v>61.830495479092399</v>
      </c>
      <c r="AP102" s="474">
        <f t="shared" si="41"/>
        <v>907.24056596667299</v>
      </c>
    </row>
    <row r="103" spans="23:42">
      <c r="W103" s="3">
        <f t="shared" si="31"/>
        <v>163.52192412167503</v>
      </c>
      <c r="X103" s="2">
        <f t="shared" si="29"/>
        <v>0.14852246660441146</v>
      </c>
      <c r="Y103">
        <v>0</v>
      </c>
      <c r="Z103" cm="1">
        <f t="array" ref="Z103">Linterp(Y103,TO_alpha,TO_CL_a)</f>
        <v>0.249</v>
      </c>
      <c r="AA103" s="2" cm="1">
        <f t="array" ref="AA103">Linterp(Z103,TO_CL_cd,TO_CD_cl)</f>
        <v>7.4049999999999991E-2</v>
      </c>
      <c r="AB103" s="1">
        <f t="shared" si="27"/>
        <v>1194.6337406700743</v>
      </c>
      <c r="AC103" s="1">
        <f t="shared" si="28"/>
        <v>355.27160038802805</v>
      </c>
      <c r="AD103" s="1">
        <f t="shared" si="30"/>
        <v>245.13415648324815</v>
      </c>
      <c r="AE103" s="467" cm="1">
        <f t="array" ref="AE103">numeng*InterpolateXY($V$71,$X103,Tmil_h,Tmil_M,Tmil_table)</f>
        <v>3473.2580012583794</v>
      </c>
      <c r="AF103" s="3">
        <f t="shared" si="32"/>
        <v>8.4028316464464226</v>
      </c>
      <c r="AG103" s="3">
        <f t="shared" si="33"/>
        <v>0.64662893718934744</v>
      </c>
      <c r="AH103" s="3">
        <f t="shared" si="34"/>
        <v>18.383444355476932</v>
      </c>
      <c r="AI103" s="3">
        <f t="shared" si="35"/>
        <v>103.97570786858992</v>
      </c>
      <c r="AJ103" s="474">
        <f t="shared" si="36"/>
        <v>1522.3779952811985</v>
      </c>
      <c r="AK103" s="467" cm="1">
        <f t="array" ref="AK103">numeng*InterpolateXY($V$71,$X103,Tmax_h,Tmax_M,Tmax_table)</f>
        <v>5269.7751744711904</v>
      </c>
      <c r="AL103" s="3">
        <f t="shared" si="37"/>
        <v>13.657481058350879</v>
      </c>
      <c r="AM103" s="3">
        <f t="shared" si="38"/>
        <v>0.39872999398011838</v>
      </c>
      <c r="AN103" s="3">
        <f t="shared" si="39"/>
        <v>11.903005966577499</v>
      </c>
      <c r="AO103" s="3">
        <f t="shared" si="40"/>
        <v>64.114410890308648</v>
      </c>
      <c r="AP103" s="474">
        <f t="shared" si="41"/>
        <v>971.35497685698169</v>
      </c>
    </row>
    <row r="104" spans="23:42">
      <c r="W104" s="3">
        <f t="shared" si="31"/>
        <v>168.97265492573086</v>
      </c>
      <c r="X104" s="2">
        <f t="shared" si="29"/>
        <v>0.15347321549122517</v>
      </c>
      <c r="Y104">
        <v>0</v>
      </c>
      <c r="Z104" cm="1">
        <f t="array" ref="Z104">Linterp(Y104,TO_alpha,TO_CL_a)</f>
        <v>0.249</v>
      </c>
      <c r="AA104" s="2" cm="1">
        <f t="array" ref="AA104">Linterp(Z104,TO_CL_cd,TO_CD_cl)</f>
        <v>7.4049999999999991E-2</v>
      </c>
      <c r="AB104" s="1">
        <f t="shared" si="27"/>
        <v>1275.6033608710459</v>
      </c>
      <c r="AC104" s="1">
        <f t="shared" si="28"/>
        <v>379.35111996988326</v>
      </c>
      <c r="AD104" s="1">
        <f t="shared" si="30"/>
        <v>243.10991597822385</v>
      </c>
      <c r="AE104" s="467" cm="1">
        <f t="array" ref="AE104">numeng*InterpolateXY($V$71,$X104,Tmil_h,Tmil_M,Tmil_table)</f>
        <v>3476.3842385494731</v>
      </c>
      <c r="AF104" s="3">
        <f t="shared" si="32"/>
        <v>8.3474659200451224</v>
      </c>
      <c r="AG104" s="3">
        <f t="shared" si="33"/>
        <v>0.6508219668837234</v>
      </c>
      <c r="AH104" s="3">
        <f t="shared" si="34"/>
        <v>19.034266322360654</v>
      </c>
      <c r="AI104" s="3">
        <f t="shared" si="35"/>
        <v>108.19738795690417</v>
      </c>
      <c r="AJ104" s="474">
        <f t="shared" si="36"/>
        <v>1630.5753832381026</v>
      </c>
      <c r="AK104" s="467" cm="1">
        <f t="array" ref="AK104">numeng*InterpolateXY($V$71,$X104,Tmax_h,Tmax_M,Tmax_table)</f>
        <v>5282.3896991124175</v>
      </c>
      <c r="AL104" s="3">
        <f t="shared" si="37"/>
        <v>13.629867709877137</v>
      </c>
      <c r="AM104" s="3">
        <f t="shared" si="38"/>
        <v>0.39950607516714032</v>
      </c>
      <c r="AN104" s="3">
        <f t="shared" si="39"/>
        <v>12.30251204174464</v>
      </c>
      <c r="AO104" s="3">
        <f t="shared" si="40"/>
        <v>66.416802144789798</v>
      </c>
      <c r="AP104" s="474">
        <f t="shared" si="41"/>
        <v>1037.7717790017714</v>
      </c>
    </row>
    <row r="105" spans="23:42">
      <c r="W105" s="3">
        <f t="shared" si="31"/>
        <v>174.4233857297867</v>
      </c>
      <c r="X105" s="2">
        <f t="shared" si="29"/>
        <v>0.15842396437803888</v>
      </c>
      <c r="Y105">
        <v>0</v>
      </c>
      <c r="Z105" cm="1">
        <f t="array" ref="Z105">Linterp(Y105,TO_alpha,TO_CL_a)</f>
        <v>0.249</v>
      </c>
      <c r="AA105" s="2" cm="1">
        <f t="array" ref="AA105">Linterp(Z105,TO_CL_cd,TO_CD_cl)</f>
        <v>7.4049999999999991E-2</v>
      </c>
      <c r="AB105" s="1">
        <f t="shared" ref="AB105:AB133" si="42">Z105*S*$Q$36*$X105^2</f>
        <v>1359.2277227179511</v>
      </c>
      <c r="AC105" s="1">
        <f t="shared" ref="AC105:AC133" si="43">AA105*S*$Q$36*$X105^2</f>
        <v>404.22013199704526</v>
      </c>
      <c r="AD105" s="1">
        <f t="shared" si="30"/>
        <v>241.01930693205122</v>
      </c>
      <c r="AE105" s="467" cm="1">
        <f t="array" ref="AE105">numeng*InterpolateXY($V$71,$X105,Tmil_h,Tmil_M,Tmil_table)</f>
        <v>3479.5104758405664</v>
      </c>
      <c r="AF105" s="3">
        <f t="shared" si="32"/>
        <v>8.2899851219626939</v>
      </c>
      <c r="AG105" s="3">
        <f t="shared" si="33"/>
        <v>0.65523628472814899</v>
      </c>
      <c r="AH105" s="3">
        <f t="shared" si="34"/>
        <v>19.689502607088805</v>
      </c>
      <c r="AI105" s="3">
        <f t="shared" si="35"/>
        <v>112.50277293473887</v>
      </c>
      <c r="AJ105" s="474">
        <f t="shared" si="36"/>
        <v>1743.0781561728415</v>
      </c>
      <c r="AK105" s="467" cm="1">
        <f t="array" ref="AK105">numeng*InterpolateXY($V$71,$X105,Tmax_h,Tmax_M,Tmax_table)</f>
        <v>5295.0042237536436</v>
      </c>
      <c r="AL105" s="3">
        <f t="shared" si="37"/>
        <v>13.600139289722271</v>
      </c>
      <c r="AM105" s="3">
        <f t="shared" si="38"/>
        <v>0.40034736708925739</v>
      </c>
      <c r="AN105" s="3">
        <f t="shared" si="39"/>
        <v>12.702859408833897</v>
      </c>
      <c r="AO105" s="3">
        <f t="shared" si="40"/>
        <v>68.738850372656032</v>
      </c>
      <c r="AP105" s="474">
        <f t="shared" si="41"/>
        <v>1106.5106293744275</v>
      </c>
    </row>
    <row r="106" spans="23:42">
      <c r="W106" s="3">
        <f t="shared" si="31"/>
        <v>179.87411653384254</v>
      </c>
      <c r="X106" s="2">
        <f t="shared" si="29"/>
        <v>0.16337471326485259</v>
      </c>
      <c r="Y106">
        <v>0</v>
      </c>
      <c r="Z106" cm="1">
        <f t="array" ref="Z106">Linterp(Y106,TO_alpha,TO_CL_a)</f>
        <v>0.249</v>
      </c>
      <c r="AA106" s="2" cm="1">
        <f t="array" ref="AA106">Linterp(Z106,TO_CL_cd,TO_CD_cl)</f>
        <v>7.4049999999999991E-2</v>
      </c>
      <c r="AB106" s="1">
        <f t="shared" si="42"/>
        <v>1445.5068262107898</v>
      </c>
      <c r="AC106" s="1">
        <f t="shared" si="43"/>
        <v>429.87863646951394</v>
      </c>
      <c r="AD106" s="1">
        <f t="shared" si="30"/>
        <v>238.86232934473028</v>
      </c>
      <c r="AE106" s="467" cm="1">
        <f t="array" ref="AE106">numeng*InterpolateXY($V$71,$X106,Tmil_h,Tmil_M,Tmil_table)</f>
        <v>3482.6367131316597</v>
      </c>
      <c r="AF106" s="3">
        <f t="shared" si="32"/>
        <v>8.2303892521991386</v>
      </c>
      <c r="AG106" s="3">
        <f t="shared" si="33"/>
        <v>0.65987981635342108</v>
      </c>
      <c r="AH106" s="3">
        <f t="shared" si="34"/>
        <v>20.349382423442226</v>
      </c>
      <c r="AI106" s="3">
        <f t="shared" si="35"/>
        <v>116.89688536409972</v>
      </c>
      <c r="AJ106" s="474">
        <f t="shared" si="36"/>
        <v>1859.9750415369413</v>
      </c>
      <c r="AK106" s="467" cm="1">
        <f t="array" ref="AK106">numeng*InterpolateXY($V$71,$X106,Tmax_h,Tmax_M,Tmax_table)</f>
        <v>5307.6187483948706</v>
      </c>
      <c r="AL106" s="3">
        <f t="shared" si="37"/>
        <v>13.568295797886281</v>
      </c>
      <c r="AM106" s="3">
        <f t="shared" si="38"/>
        <v>0.40125467561743378</v>
      </c>
      <c r="AN106" s="3">
        <f t="shared" si="39"/>
        <v>13.10411408445133</v>
      </c>
      <c r="AO106" s="3">
        <f t="shared" si="40"/>
        <v>71.081764671429781</v>
      </c>
      <c r="AP106" s="474">
        <f t="shared" si="41"/>
        <v>1177.5923940458572</v>
      </c>
    </row>
    <row r="107" spans="23:42">
      <c r="W107" s="3">
        <f t="shared" si="31"/>
        <v>185.32484733789838</v>
      </c>
      <c r="X107" s="2">
        <f t="shared" si="29"/>
        <v>0.16832546215166633</v>
      </c>
      <c r="Y107">
        <v>0</v>
      </c>
      <c r="Z107" cm="1">
        <f t="array" ref="Z107">Linterp(Y107,TO_alpha,TO_CL_a)</f>
        <v>0.249</v>
      </c>
      <c r="AA107" s="2" cm="1">
        <f t="array" ref="AA107">Linterp(Z107,TO_CL_cd,TO_CD_cl)</f>
        <v>7.4049999999999991E-2</v>
      </c>
      <c r="AB107" s="1">
        <f t="shared" si="42"/>
        <v>1534.4406713495623</v>
      </c>
      <c r="AC107" s="1">
        <f t="shared" si="43"/>
        <v>456.32663338728946</v>
      </c>
      <c r="AD107" s="1">
        <f t="shared" si="30"/>
        <v>236.63898321626095</v>
      </c>
      <c r="AE107" s="467" cm="1">
        <f t="array" ref="AE107">numeng*InterpolateXY($V$71,$X107,Tmil_h,Tmil_M,Tmil_table)</f>
        <v>3485.7629504227534</v>
      </c>
      <c r="AF107" s="3">
        <f t="shared" si="32"/>
        <v>8.1686783107544585</v>
      </c>
      <c r="AG107" s="3">
        <f t="shared" si="33"/>
        <v>0.66476106438750704</v>
      </c>
      <c r="AH107" s="3">
        <f t="shared" si="34"/>
        <v>21.014143487829731</v>
      </c>
      <c r="AI107" s="3">
        <f t="shared" si="35"/>
        <v>121.38502596829662</v>
      </c>
      <c r="AJ107" s="474">
        <f t="shared" si="36"/>
        <v>1981.3600675052378</v>
      </c>
      <c r="AK107" s="467" cm="1">
        <f t="array" ref="AK107">numeng*InterpolateXY($V$71,$X107,Tmax_h,Tmax_M,Tmax_table)</f>
        <v>5320.2332730360977</v>
      </c>
      <c r="AL107" s="3">
        <f t="shared" si="37"/>
        <v>13.534337234369159</v>
      </c>
      <c r="AM107" s="3">
        <f t="shared" si="38"/>
        <v>0.402228875516914</v>
      </c>
      <c r="AN107" s="3">
        <f t="shared" si="39"/>
        <v>13.506342959968244</v>
      </c>
      <c r="AO107" s="3">
        <f t="shared" si="40"/>
        <v>73.446784289036231</v>
      </c>
      <c r="AP107" s="474">
        <f t="shared" si="41"/>
        <v>1251.0391783348934</v>
      </c>
    </row>
    <row r="108" spans="23:42">
      <c r="W108" s="3">
        <f t="shared" si="31"/>
        <v>190.77557814195421</v>
      </c>
      <c r="X108" s="2">
        <f t="shared" si="29"/>
        <v>0.17327621103848004</v>
      </c>
      <c r="Y108">
        <v>0</v>
      </c>
      <c r="Z108" cm="1">
        <f t="array" ref="Z108">Linterp(Y108,TO_alpha,TO_CL_a)</f>
        <v>0.249</v>
      </c>
      <c r="AA108" s="2" cm="1">
        <f t="array" ref="AA108">Linterp(Z108,TO_CL_cd,TO_CD_cl)</f>
        <v>7.4049999999999991E-2</v>
      </c>
      <c r="AB108" s="1">
        <f t="shared" si="42"/>
        <v>1626.0292581342678</v>
      </c>
      <c r="AC108" s="1">
        <f t="shared" si="43"/>
        <v>483.56412275037155</v>
      </c>
      <c r="AD108" s="1">
        <f t="shared" si="30"/>
        <v>234.34926854664332</v>
      </c>
      <c r="AE108" s="467" cm="1">
        <f t="array" ref="AE108">numeng*InterpolateXY($V$71,$X108,Tmil_h,Tmil_M,Tmil_table)</f>
        <v>3488.8891877138467</v>
      </c>
      <c r="AF108" s="3">
        <f t="shared" si="32"/>
        <v>8.1048522976286517</v>
      </c>
      <c r="AG108" s="3">
        <f t="shared" si="33"/>
        <v>0.66988915131274085</v>
      </c>
      <c r="AH108" s="3">
        <f t="shared" si="34"/>
        <v>21.684032639142472</v>
      </c>
      <c r="AI108" s="3">
        <f t="shared" si="35"/>
        <v>125.97279741652959</v>
      </c>
      <c r="AJ108" s="474">
        <f t="shared" si="36"/>
        <v>2107.3328649217674</v>
      </c>
      <c r="AK108" s="467" cm="1">
        <f t="array" ref="AK108">numeng*InterpolateXY($V$71,$X108,Tmax_h,Tmax_M,Tmax_table)</f>
        <v>5332.8477976773238</v>
      </c>
      <c r="AL108" s="3">
        <f t="shared" si="37"/>
        <v>13.498263599170913</v>
      </c>
      <c r="AM108" s="3">
        <f t="shared" si="38"/>
        <v>0.40327091260068243</v>
      </c>
      <c r="AN108" s="3">
        <f t="shared" si="39"/>
        <v>13.909613872568926</v>
      </c>
      <c r="AO108" s="3">
        <f t="shared" si="40"/>
        <v>75.835180906382547</v>
      </c>
      <c r="AP108" s="474">
        <f t="shared" si="41"/>
        <v>1326.8743592412759</v>
      </c>
    </row>
    <row r="109" spans="23:42">
      <c r="W109" s="3">
        <f t="shared" si="31"/>
        <v>196.22630894601005</v>
      </c>
      <c r="X109" s="2">
        <f t="shared" si="29"/>
        <v>0.17822695992529375</v>
      </c>
      <c r="Y109">
        <v>0</v>
      </c>
      <c r="Z109" cm="1">
        <f t="array" ref="Z109">Linterp(Y109,TO_alpha,TO_CL_a)</f>
        <v>0.249</v>
      </c>
      <c r="AA109" s="2" cm="1">
        <f t="array" ref="AA109">Linterp(Z109,TO_CL_cd,TO_CD_cl)</f>
        <v>7.4049999999999991E-2</v>
      </c>
      <c r="AB109" s="1">
        <f t="shared" si="42"/>
        <v>1720.2725865649072</v>
      </c>
      <c r="AC109" s="1">
        <f t="shared" si="43"/>
        <v>511.59110455876049</v>
      </c>
      <c r="AD109" s="1">
        <f t="shared" si="30"/>
        <v>231.99318533587731</v>
      </c>
      <c r="AE109" s="467" cm="1">
        <f t="array" ref="AE109">numeng*InterpolateXY($V$71,$X109,Tmil_h,Tmil_M,Tmil_table)</f>
        <v>3492.01542500494</v>
      </c>
      <c r="AF109" s="3">
        <f t="shared" si="32"/>
        <v>8.0389112128217164</v>
      </c>
      <c r="AG109" s="3">
        <f t="shared" si="33"/>
        <v>0.67527386665784672</v>
      </c>
      <c r="AH109" s="3">
        <f t="shared" si="34"/>
        <v>22.359306505800319</v>
      </c>
      <c r="AI109" s="3">
        <f t="shared" si="35"/>
        <v>130.66613034888653</v>
      </c>
      <c r="AJ109" s="474">
        <f t="shared" si="36"/>
        <v>2237.9989952706537</v>
      </c>
      <c r="AK109" s="467" cm="1">
        <f t="array" ref="AK109">numeng*InterpolateXY($V$71,$X109,Tmax_h,Tmax_M,Tmax_table)</f>
        <v>5345.4623223185508</v>
      </c>
      <c r="AL109" s="3">
        <f t="shared" si="37"/>
        <v>13.460074892291543</v>
      </c>
      <c r="AM109" s="3">
        <f t="shared" si="38"/>
        <v>0.40438180608067154</v>
      </c>
      <c r="AN109" s="3">
        <f t="shared" si="39"/>
        <v>14.313995678649597</v>
      </c>
      <c r="AO109" s="3">
        <f t="shared" si="40"/>
        <v>78.248261028629557</v>
      </c>
      <c r="AP109" s="474">
        <f t="shared" si="41"/>
        <v>1405.1226202699054</v>
      </c>
    </row>
    <row r="110" spans="23:42">
      <c r="W110" s="3">
        <f t="shared" si="31"/>
        <v>201.67703975006589</v>
      </c>
      <c r="X110" s="2">
        <f t="shared" si="29"/>
        <v>0.18317770881210746</v>
      </c>
      <c r="Y110">
        <v>0</v>
      </c>
      <c r="Z110" cm="1">
        <f t="array" ref="Z110">Linterp(Y110,TO_alpha,TO_CL_a)</f>
        <v>0.249</v>
      </c>
      <c r="AA110" s="2" cm="1">
        <f t="array" ref="AA110">Linterp(Z110,TO_CL_cd,TO_CD_cl)</f>
        <v>7.4049999999999991E-2</v>
      </c>
      <c r="AB110" s="1">
        <f t="shared" si="42"/>
        <v>1817.1706566414798</v>
      </c>
      <c r="AC110" s="1">
        <f t="shared" si="43"/>
        <v>540.40757881245599</v>
      </c>
      <c r="AD110" s="1">
        <f t="shared" si="30"/>
        <v>229.57073358396303</v>
      </c>
      <c r="AE110" s="467" cm="1">
        <f t="array" ref="AE110">numeng*InterpolateXY($V$71,$X110,Tmil_h,Tmil_M,Tmil_table)</f>
        <v>3495.1416622960337</v>
      </c>
      <c r="AF110" s="3">
        <f t="shared" si="32"/>
        <v>7.9708550563336553</v>
      </c>
      <c r="AG110" s="3">
        <f t="shared" si="33"/>
        <v>0.68092571901655896</v>
      </c>
      <c r="AH110" s="3">
        <f t="shared" si="34"/>
        <v>23.040232224816879</v>
      </c>
      <c r="AI110" s="3">
        <f t="shared" si="35"/>
        <v>135.47131190498604</v>
      </c>
      <c r="AJ110" s="474">
        <f t="shared" si="36"/>
        <v>2373.4703071756398</v>
      </c>
      <c r="AK110" s="467" cm="1">
        <f t="array" ref="AK110">numeng*InterpolateXY($V$71,$X110,Tmax_h,Tmax_M,Tmax_table)</f>
        <v>5358.0768469597779</v>
      </c>
      <c r="AL110" s="3">
        <f t="shared" si="37"/>
        <v>13.419771113731045</v>
      </c>
      <c r="AM110" s="3">
        <f t="shared" si="38"/>
        <v>0.40556265112787987</v>
      </c>
      <c r="AN110" s="3">
        <f t="shared" si="39"/>
        <v>14.719558329777477</v>
      </c>
      <c r="AO110" s="3">
        <f t="shared" si="40"/>
        <v>80.687368494920889</v>
      </c>
      <c r="AP110" s="474">
        <f t="shared" si="41"/>
        <v>1485.8099887648264</v>
      </c>
    </row>
    <row r="111" spans="23:42">
      <c r="W111" s="3">
        <f t="shared" si="31"/>
        <v>207.12777055412172</v>
      </c>
      <c r="X111" s="2">
        <f t="shared" si="29"/>
        <v>0.1881284576989212</v>
      </c>
      <c r="Y111">
        <v>0</v>
      </c>
      <c r="Z111" cm="1">
        <f t="array" ref="Z111">Linterp(Y111,TO_alpha,TO_CL_a)</f>
        <v>0.249</v>
      </c>
      <c r="AA111" s="2" cm="1">
        <f t="array" ref="AA111">Linterp(Z111,TO_CL_cd,TO_CD_cl)</f>
        <v>7.4049999999999991E-2</v>
      </c>
      <c r="AB111" s="1">
        <f t="shared" si="42"/>
        <v>1916.7234683639863</v>
      </c>
      <c r="AC111" s="1">
        <f t="shared" si="43"/>
        <v>570.01354551145846</v>
      </c>
      <c r="AD111" s="1">
        <f t="shared" si="30"/>
        <v>227.08191329090033</v>
      </c>
      <c r="AE111" s="467" cm="1">
        <f t="array" ref="AE111">numeng*InterpolateXY($V$71,$X111,Tmil_h,Tmil_M,Tmil_table)</f>
        <v>3498.267899587127</v>
      </c>
      <c r="AF111" s="3">
        <f t="shared" si="32"/>
        <v>7.9006838281644676</v>
      </c>
      <c r="AG111" s="3">
        <f t="shared" si="33"/>
        <v>0.68685599345122306</v>
      </c>
      <c r="AH111" s="3">
        <f t="shared" si="34"/>
        <v>23.727088218268101</v>
      </c>
      <c r="AI111" s="3">
        <f t="shared" si="35"/>
        <v>140.39501705456078</v>
      </c>
      <c r="AJ111" s="474">
        <f t="shared" si="36"/>
        <v>2513.8653242302007</v>
      </c>
      <c r="AK111" s="467" cm="1">
        <f t="array" ref="AK111">numeng*InterpolateXY($V$71,$X111,Tmax_h,Tmax_M,Tmax_table)</f>
        <v>5370.6913716010049</v>
      </c>
      <c r="AL111" s="3">
        <f t="shared" si="37"/>
        <v>13.377352263489422</v>
      </c>
      <c r="AM111" s="3">
        <f t="shared" si="38"/>
        <v>0.40681462165370785</v>
      </c>
      <c r="AN111" s="3">
        <f t="shared" si="39"/>
        <v>15.126372951431186</v>
      </c>
      <c r="AO111" s="3">
        <f t="shared" si="40"/>
        <v>83.153887117056954</v>
      </c>
      <c r="AP111" s="474">
        <f t="shared" si="41"/>
        <v>1568.9638758818833</v>
      </c>
    </row>
    <row r="112" spans="23:42">
      <c r="W112" s="3">
        <f t="shared" si="31"/>
        <v>212.57850135817756</v>
      </c>
      <c r="X112" s="2">
        <f t="shared" si="29"/>
        <v>0.19307920658573491</v>
      </c>
      <c r="Y112">
        <v>0</v>
      </c>
      <c r="Z112" cm="1">
        <f t="array" ref="Z112">Linterp(Y112,TO_alpha,TO_CL_a)</f>
        <v>0.249</v>
      </c>
      <c r="AA112" s="2" cm="1">
        <f t="array" ref="AA112">Linterp(Z112,TO_CL_cd,TO_CD_cl)</f>
        <v>7.4049999999999991E-2</v>
      </c>
      <c r="AB112" s="1">
        <f t="shared" si="42"/>
        <v>2018.931021732426</v>
      </c>
      <c r="AC112" s="1">
        <f t="shared" si="43"/>
        <v>600.4090046557676</v>
      </c>
      <c r="AD112" s="1">
        <f t="shared" si="30"/>
        <v>224.52672445668938</v>
      </c>
      <c r="AE112" s="467" cm="1">
        <f t="array" ref="AE112">numeng*InterpolateXY($V$71,$X112,Tmil_h,Tmil_M,Tmil_table)</f>
        <v>3501.3941368782203</v>
      </c>
      <c r="AF112" s="3">
        <f t="shared" si="32"/>
        <v>7.8283975283141523</v>
      </c>
      <c r="AG112" s="3">
        <f t="shared" si="33"/>
        <v>0.6930768149165617</v>
      </c>
      <c r="AH112" s="3">
        <f t="shared" si="34"/>
        <v>24.420165033184663</v>
      </c>
      <c r="AI112" s="3">
        <f t="shared" si="35"/>
        <v>145.44434306874038</v>
      </c>
      <c r="AJ112" s="474">
        <f t="shared" si="36"/>
        <v>2659.3096672989409</v>
      </c>
      <c r="AK112" s="467" cm="1">
        <f t="array" ref="AK112">numeng*InterpolateXY($V$71,$X112,Tmax_h,Tmax_M,Tmax_table)</f>
        <v>5383.305896242231</v>
      </c>
      <c r="AL112" s="3">
        <f t="shared" si="37"/>
        <v>13.33281834156667</v>
      </c>
      <c r="AM112" s="3">
        <f t="shared" si="38"/>
        <v>0.40813897332606652</v>
      </c>
      <c r="AN112" s="3">
        <f t="shared" si="39"/>
        <v>15.534511924757252</v>
      </c>
      <c r="AO112" s="3">
        <f t="shared" si="40"/>
        <v>85.64924345839836</v>
      </c>
      <c r="AP112" s="474">
        <f t="shared" si="41"/>
        <v>1654.6131193402816</v>
      </c>
    </row>
    <row r="113" spans="22:42">
      <c r="W113" s="3">
        <f t="shared" si="31"/>
        <v>218.0292321622334</v>
      </c>
      <c r="X113" s="2">
        <f t="shared" si="29"/>
        <v>0.19802995547254862</v>
      </c>
      <c r="Y113">
        <v>0</v>
      </c>
      <c r="Z113" cm="1">
        <f t="array" ref="Z113">Linterp(Y113,TO_alpha,TO_CL_a)</f>
        <v>0.249</v>
      </c>
      <c r="AA113" s="2" cm="1">
        <f t="array" ref="AA113">Linterp(Z113,TO_CL_cd,TO_CD_cl)</f>
        <v>7.4049999999999991E-2</v>
      </c>
      <c r="AB113" s="1">
        <f t="shared" si="42"/>
        <v>2123.7933167467991</v>
      </c>
      <c r="AC113" s="1">
        <f t="shared" si="43"/>
        <v>631.59395624538331</v>
      </c>
      <c r="AD113" s="1">
        <f t="shared" si="30"/>
        <v>221.90516708133001</v>
      </c>
      <c r="AE113" s="467" cm="1">
        <f t="array" ref="AE113">numeng*InterpolateXY($V$71,$X113,Tmil_h,Tmil_M,Tmil_table)</f>
        <v>3504.520374169314</v>
      </c>
      <c r="AF113" s="3">
        <f t="shared" si="32"/>
        <v>7.7539961567827129</v>
      </c>
      <c r="AG113" s="3">
        <f t="shared" si="33"/>
        <v>0.6996012184275594</v>
      </c>
      <c r="AH113" s="3">
        <f t="shared" si="34"/>
        <v>25.119766251612223</v>
      </c>
      <c r="AI113" s="3">
        <f t="shared" si="35"/>
        <v>150.62684751760466</v>
      </c>
      <c r="AJ113" s="474">
        <f t="shared" si="36"/>
        <v>2809.9365148165457</v>
      </c>
      <c r="AK113" s="467" cm="1">
        <f t="array" ref="AK113">numeng*InterpolateXY($V$71,$X113,Tmax_h,Tmax_M,Tmax_table)</f>
        <v>5395.9204208834581</v>
      </c>
      <c r="AL113" s="3">
        <f t="shared" si="37"/>
        <v>13.286169347962794</v>
      </c>
      <c r="AM113" s="3">
        <f t="shared" si="38"/>
        <v>0.40953704683517128</v>
      </c>
      <c r="AN113" s="3">
        <f t="shared" si="39"/>
        <v>15.944048971592423</v>
      </c>
      <c r="AO113" s="3">
        <f t="shared" si="40"/>
        <v>88.174909765167754</v>
      </c>
      <c r="AP113" s="474">
        <f t="shared" si="41"/>
        <v>1742.7880291054494</v>
      </c>
    </row>
    <row r="114" spans="22:42">
      <c r="W114" s="3">
        <f t="shared" si="31"/>
        <v>223.47996296628924</v>
      </c>
      <c r="X114" s="2">
        <f t="shared" si="29"/>
        <v>0.20298070435936233</v>
      </c>
      <c r="Y114">
        <v>0</v>
      </c>
      <c r="Z114" cm="1">
        <f t="array" ref="Z114">Linterp(Y114,TO_alpha,TO_CL_a)</f>
        <v>0.249</v>
      </c>
      <c r="AA114" s="2" cm="1">
        <f t="array" ref="AA114">Linterp(Z114,TO_CL_cd,TO_CD_cl)</f>
        <v>7.4049999999999991E-2</v>
      </c>
      <c r="AB114" s="1">
        <f t="shared" si="42"/>
        <v>2231.3103534071056</v>
      </c>
      <c r="AC114" s="1">
        <f t="shared" si="43"/>
        <v>663.56840028030581</v>
      </c>
      <c r="AD114" s="1">
        <f t="shared" si="30"/>
        <v>219.21724116482238</v>
      </c>
      <c r="AE114" s="467" cm="1">
        <f t="array" ref="AE114">numeng*InterpolateXY($V$71,$X114,Tmil_h,Tmil_M,Tmil_table)</f>
        <v>3507.6466114604073</v>
      </c>
      <c r="AF114" s="3">
        <f t="shared" si="32"/>
        <v>7.6774797135701442</v>
      </c>
      <c r="AG114" s="3">
        <f t="shared" si="33"/>
        <v>0.70644322679826743</v>
      </c>
      <c r="AH114" s="3">
        <f t="shared" si="34"/>
        <v>25.82620947841049</v>
      </c>
      <c r="AI114" s="3">
        <f t="shared" si="35"/>
        <v>155.95059023384971</v>
      </c>
      <c r="AJ114" s="474">
        <f t="shared" si="36"/>
        <v>2965.8871050503953</v>
      </c>
      <c r="AK114" s="467" cm="1">
        <f t="array" ref="AK114">numeng*InterpolateXY($V$71,$X114,Tmax_h,Tmax_M,Tmax_table)</f>
        <v>5408.5349455246842</v>
      </c>
      <c r="AL114" s="3">
        <f t="shared" si="37"/>
        <v>13.237405282677786</v>
      </c>
      <c r="AM114" s="3">
        <f t="shared" si="38"/>
        <v>0.41101027142540886</v>
      </c>
      <c r="AN114" s="3">
        <f t="shared" si="39"/>
        <v>16.355059243017831</v>
      </c>
      <c r="AO114" s="3">
        <f t="shared" si="40"/>
        <v>90.732407063293934</v>
      </c>
      <c r="AP114" s="474">
        <f t="shared" si="41"/>
        <v>1833.5204361687433</v>
      </c>
    </row>
    <row r="115" spans="22:42">
      <c r="W115" s="3">
        <f t="shared" si="31"/>
        <v>228.93069377034507</v>
      </c>
      <c r="X115" s="2">
        <f t="shared" si="29"/>
        <v>0.20793145324617604</v>
      </c>
      <c r="Y115">
        <v>0</v>
      </c>
      <c r="Z115" cm="1">
        <f t="array" ref="Z115">Linterp(Y115,TO_alpha,TO_CL_a)</f>
        <v>0.249</v>
      </c>
      <c r="AA115" s="2" cm="1">
        <f t="array" ref="AA115">Linterp(Z115,TO_CL_cd,TO_CD_cl)</f>
        <v>7.4049999999999991E-2</v>
      </c>
      <c r="AB115" s="1">
        <f t="shared" si="42"/>
        <v>2341.4821317133456</v>
      </c>
      <c r="AC115" s="1">
        <f t="shared" si="43"/>
        <v>696.33233676053499</v>
      </c>
      <c r="AD115" s="1">
        <f t="shared" si="30"/>
        <v>216.46294670716634</v>
      </c>
      <c r="AE115" s="467" cm="1">
        <f t="array" ref="AE115">numeng*InterpolateXY($V$71,$X115,Tmil_h,Tmil_M,Tmil_table)</f>
        <v>3510.7728487515005</v>
      </c>
      <c r="AF115" s="3">
        <f t="shared" si="32"/>
        <v>7.5988481986764516</v>
      </c>
      <c r="AG115" s="3">
        <f t="shared" si="33"/>
        <v>0.71361793689779884</v>
      </c>
      <c r="AH115" s="3">
        <f t="shared" si="34"/>
        <v>26.539827415308288</v>
      </c>
      <c r="AI115" s="3">
        <f t="shared" si="35"/>
        <v>161.42417974548763</v>
      </c>
      <c r="AJ115" s="474">
        <f t="shared" si="36"/>
        <v>3127.3112847958828</v>
      </c>
      <c r="AK115" s="467" cm="1">
        <f t="array" ref="AK115">numeng*InterpolateXY($V$71,$X115,Tmax_h,Tmax_M,Tmax_table)</f>
        <v>5421.1494701659112</v>
      </c>
      <c r="AL115" s="3">
        <f t="shared" si="37"/>
        <v>13.186526145711655</v>
      </c>
      <c r="AM115" s="3">
        <f t="shared" si="38"/>
        <v>0.41256016871128121</v>
      </c>
      <c r="AN115" s="3">
        <f t="shared" si="39"/>
        <v>16.767619411729111</v>
      </c>
      <c r="AO115" s="3">
        <f t="shared" si="40"/>
        <v>93.323308435023691</v>
      </c>
      <c r="AP115" s="474">
        <f t="shared" si="41"/>
        <v>1926.8437446037669</v>
      </c>
    </row>
    <row r="116" spans="22:42">
      <c r="W116" s="3">
        <f t="shared" si="31"/>
        <v>234.38142457440091</v>
      </c>
      <c r="X116" s="2">
        <f t="shared" si="29"/>
        <v>0.21288220213298978</v>
      </c>
      <c r="Y116">
        <v>0</v>
      </c>
      <c r="Z116" cm="1">
        <f t="array" ref="Z116">Linterp(Y116,TO_alpha,TO_CL_a)</f>
        <v>0.249</v>
      </c>
      <c r="AA116" s="2" cm="1">
        <f t="array" ref="AA116">Linterp(Z116,TO_CL_cd,TO_CD_cl)</f>
        <v>7.4049999999999991E-2</v>
      </c>
      <c r="AB116" s="1">
        <f t="shared" si="42"/>
        <v>2454.3086516655203</v>
      </c>
      <c r="AC116" s="1">
        <f t="shared" si="43"/>
        <v>729.88576568607118</v>
      </c>
      <c r="AD116" s="1">
        <f t="shared" si="30"/>
        <v>213.64228370836202</v>
      </c>
      <c r="AE116" s="467" cm="1">
        <f t="array" ref="AE116">numeng*InterpolateXY($V$71,$X116,Tmil_h,Tmil_M,Tmil_table)</f>
        <v>3513.8990860425943</v>
      </c>
      <c r="AF116" s="3">
        <f t="shared" si="32"/>
        <v>7.5181016121016304</v>
      </c>
      <c r="AG116" s="3">
        <f t="shared" si="33"/>
        <v>0.72114161550891376</v>
      </c>
      <c r="AH116" s="3">
        <f t="shared" si="34"/>
        <v>27.260969030817201</v>
      </c>
      <c r="AI116" s="3">
        <f t="shared" si="35"/>
        <v>167.05682475399357</v>
      </c>
      <c r="AJ116" s="474">
        <f t="shared" si="36"/>
        <v>3294.3681095498764</v>
      </c>
      <c r="AK116" s="467" cm="1">
        <f t="array" ref="AK116">numeng*InterpolateXY($V$71,$X116,Tmax_h,Tmax_M,Tmax_table)</f>
        <v>5433.7639948071383</v>
      </c>
      <c r="AL116" s="3">
        <f t="shared" si="37"/>
        <v>13.133531937064399</v>
      </c>
      <c r="AM116" s="3">
        <f t="shared" si="38"/>
        <v>0.41418835679719235</v>
      </c>
      <c r="AN116" s="3">
        <f t="shared" si="39"/>
        <v>17.181807768526305</v>
      </c>
      <c r="AO116" s="3">
        <f t="shared" si="40"/>
        <v>95.949242490718319</v>
      </c>
      <c r="AP116" s="474">
        <f t="shared" si="41"/>
        <v>2022.7929870944852</v>
      </c>
    </row>
    <row r="117" spans="22:42">
      <c r="W117" s="3">
        <f t="shared" si="31"/>
        <v>239.83215537845675</v>
      </c>
      <c r="X117" s="2">
        <f t="shared" si="29"/>
        <v>0.21783295101980349</v>
      </c>
      <c r="Y117">
        <v>0</v>
      </c>
      <c r="Z117" cm="1">
        <f t="array" ref="Z117">Linterp(Y117,TO_alpha,TO_CL_a)</f>
        <v>0.249</v>
      </c>
      <c r="AA117" s="2" cm="1">
        <f t="array" ref="AA117">Linterp(Z117,TO_CL_cd,TO_CD_cl)</f>
        <v>7.4049999999999991E-2</v>
      </c>
      <c r="AB117" s="1">
        <f t="shared" si="42"/>
        <v>2569.7899132636271</v>
      </c>
      <c r="AC117" s="1">
        <f t="shared" si="43"/>
        <v>764.22868705691383</v>
      </c>
      <c r="AD117" s="1">
        <f t="shared" si="30"/>
        <v>210.75525216840936</v>
      </c>
      <c r="AE117" s="467" cm="1">
        <f t="array" ref="AE117">numeng*InterpolateXY($V$71,$X117,Tmil_h,Tmil_M,Tmil_table)</f>
        <v>3517.0253233336875</v>
      </c>
      <c r="AF117" s="3">
        <f t="shared" si="32"/>
        <v>7.4352399538456844</v>
      </c>
      <c r="AG117" s="3">
        <f t="shared" si="33"/>
        <v>0.7290318060370643</v>
      </c>
      <c r="AH117" s="3">
        <f t="shared" si="34"/>
        <v>27.990000836854264</v>
      </c>
      <c r="AI117" s="3">
        <f t="shared" si="35"/>
        <v>172.85839132016682</v>
      </c>
      <c r="AJ117" s="474">
        <f t="shared" si="36"/>
        <v>3467.2265008700433</v>
      </c>
      <c r="AK117" s="467" cm="1">
        <f t="array" ref="AK117">numeng*InterpolateXY($V$71,$X117,Tmax_h,Tmax_M,Tmax_table)</f>
        <v>5446.3785194483644</v>
      </c>
      <c r="AL117" s="3">
        <f t="shared" si="37"/>
        <v>13.078422656736011</v>
      </c>
      <c r="AM117" s="3">
        <f t="shared" si="38"/>
        <v>0.41589655472278525</v>
      </c>
      <c r="AN117" s="3">
        <f t="shared" si="39"/>
        <v>17.59770432324909</v>
      </c>
      <c r="AO117" s="3">
        <f t="shared" si="40"/>
        <v>98.611897052575785</v>
      </c>
      <c r="AP117" s="474">
        <f t="shared" si="41"/>
        <v>2121.4048841470608</v>
      </c>
    </row>
    <row r="118" spans="22:42">
      <c r="W118" s="3">
        <f t="shared" si="31"/>
        <v>245.28288618251258</v>
      </c>
      <c r="X118" s="2">
        <f t="shared" si="29"/>
        <v>0.2227836999066172</v>
      </c>
      <c r="Y118">
        <v>0</v>
      </c>
      <c r="Z118" cm="1">
        <f t="array" ref="Z118">Linterp(Y118,TO_alpha,TO_CL_a)</f>
        <v>0.249</v>
      </c>
      <c r="AA118" s="2" cm="1">
        <f t="array" ref="AA118">Linterp(Z118,TO_CL_cd,TO_CD_cl)</f>
        <v>7.4049999999999991E-2</v>
      </c>
      <c r="AB118" s="1">
        <f t="shared" si="42"/>
        <v>2687.9259165076678</v>
      </c>
      <c r="AC118" s="1">
        <f t="shared" si="43"/>
        <v>799.36110087306338</v>
      </c>
      <c r="AD118" s="1">
        <f t="shared" si="30"/>
        <v>207.80185208730833</v>
      </c>
      <c r="AE118" s="467" cm="1">
        <f t="array" ref="AE118">numeng*InterpolateXY($V$71,$X118,Tmil_h,Tmil_M,Tmil_table)</f>
        <v>3520.1515606247808</v>
      </c>
      <c r="AF118" s="3">
        <f t="shared" si="32"/>
        <v>7.350263223908609</v>
      </c>
      <c r="AG118" s="3">
        <f t="shared" si="33"/>
        <v>0.7373074475080158</v>
      </c>
      <c r="AH118" s="3">
        <f t="shared" si="34"/>
        <v>28.72730828436228</v>
      </c>
      <c r="AI118" s="3">
        <f t="shared" si="35"/>
        <v>178.83946652053163</v>
      </c>
      <c r="AJ118" s="474">
        <f t="shared" si="36"/>
        <v>3646.0659673905748</v>
      </c>
      <c r="AK118" s="467" cm="1">
        <f t="array" ref="AK118">numeng*InterpolateXY($V$71,$X118,Tmax_h,Tmax_M,Tmax_table)</f>
        <v>5458.9930440895914</v>
      </c>
      <c r="AL118" s="3">
        <f t="shared" si="37"/>
        <v>13.021198304726504</v>
      </c>
      <c r="AM118" s="3">
        <f t="shared" si="38"/>
        <v>0.41768658725765656</v>
      </c>
      <c r="AN118" s="3">
        <f t="shared" si="39"/>
        <v>18.015390910506746</v>
      </c>
      <c r="AO118" s="3">
        <f t="shared" si="40"/>
        <v>101.31302306847874</v>
      </c>
      <c r="AP118" s="474">
        <f t="shared" si="41"/>
        <v>2222.7179072155395</v>
      </c>
    </row>
    <row r="119" spans="22:42">
      <c r="W119" s="3">
        <f t="shared" si="31"/>
        <v>250.73361698656842</v>
      </c>
      <c r="X119" s="2">
        <f t="shared" si="29"/>
        <v>0.22773444879343091</v>
      </c>
      <c r="Y119">
        <v>0</v>
      </c>
      <c r="Z119" cm="1">
        <f t="array" ref="Z119">Linterp(Y119,TO_alpha,TO_CL_a)</f>
        <v>0.249</v>
      </c>
      <c r="AA119" s="2" cm="1">
        <f t="array" ref="AA119">Linterp(Z119,TO_CL_cd,TO_CD_cl)</f>
        <v>7.4049999999999991E-2</v>
      </c>
      <c r="AB119" s="1">
        <f t="shared" si="42"/>
        <v>2808.7166613976415</v>
      </c>
      <c r="AC119" s="1">
        <f t="shared" si="43"/>
        <v>835.28300713451938</v>
      </c>
      <c r="AD119" s="1">
        <f t="shared" si="30"/>
        <v>204.78208346505897</v>
      </c>
      <c r="AE119" s="467" cm="1">
        <f t="array" ref="AE119">numeng*InterpolateXY($V$71,$X119,Tmil_h,Tmil_M,Tmil_table)</f>
        <v>3523.2777979158741</v>
      </c>
      <c r="AF119" s="3">
        <f t="shared" si="32"/>
        <v>7.2631714222904105</v>
      </c>
      <c r="AG119" s="3">
        <f t="shared" si="33"/>
        <v>0.74598900751557151</v>
      </c>
      <c r="AH119" s="3">
        <f t="shared" si="34"/>
        <v>29.473297291877852</v>
      </c>
      <c r="AI119" s="3">
        <f t="shared" si="35"/>
        <v>185.01142945522355</v>
      </c>
      <c r="AJ119" s="474">
        <f t="shared" si="36"/>
        <v>3831.0773968457984</v>
      </c>
      <c r="AK119" s="467" cm="1">
        <f t="array" ref="AK119">numeng*InterpolateXY($V$71,$X119,Tmax_h,Tmax_M,Tmax_table)</f>
        <v>5471.6075687308185</v>
      </c>
      <c r="AL119" s="3">
        <f t="shared" si="37"/>
        <v>12.961858881035864</v>
      </c>
      <c r="AM119" s="3">
        <f t="shared" si="38"/>
        <v>0.41956039007162022</v>
      </c>
      <c r="AN119" s="3">
        <f t="shared" si="39"/>
        <v>18.434951300578366</v>
      </c>
      <c r="AO119" s="3">
        <f t="shared" si="40"/>
        <v>104.05443877579035</v>
      </c>
      <c r="AP119" s="474">
        <f t="shared" si="41"/>
        <v>2326.77234599133</v>
      </c>
    </row>
    <row r="120" spans="22:42">
      <c r="W120" s="3">
        <f t="shared" si="31"/>
        <v>256.18434779062426</v>
      </c>
      <c r="X120" s="2">
        <f t="shared" si="29"/>
        <v>0.23268519768024465</v>
      </c>
      <c r="Y120">
        <v>0</v>
      </c>
      <c r="Z120" cm="1">
        <f t="array" ref="Z120">Linterp(Y120,TO_alpha,TO_CL_a)</f>
        <v>0.249</v>
      </c>
      <c r="AA120" s="2" cm="1">
        <f t="array" ref="AA120">Linterp(Z120,TO_CL_cd,TO_CD_cl)</f>
        <v>7.4049999999999991E-2</v>
      </c>
      <c r="AB120" s="1">
        <f t="shared" si="42"/>
        <v>2932.1621479335499</v>
      </c>
      <c r="AC120" s="1">
        <f t="shared" si="43"/>
        <v>871.9944058412824</v>
      </c>
      <c r="AD120" s="1">
        <f t="shared" si="30"/>
        <v>201.69594630166125</v>
      </c>
      <c r="AE120" s="467" cm="1">
        <f t="array" ref="AE120">numeng*InterpolateXY($V$71,$X120,Tmil_h,Tmil_M,Tmil_table)</f>
        <v>3526.4040352069678</v>
      </c>
      <c r="AF120" s="3">
        <f t="shared" si="32"/>
        <v>7.1739645489910826</v>
      </c>
      <c r="AG120" s="3">
        <f t="shared" si="33"/>
        <v>0.75509863104406438</v>
      </c>
      <c r="AH120" s="3">
        <f t="shared" si="34"/>
        <v>30.228395922921916</v>
      </c>
      <c r="AI120" s="3">
        <f t="shared" si="35"/>
        <v>191.3865306274507</v>
      </c>
      <c r="AJ120" s="474">
        <f t="shared" si="36"/>
        <v>4022.463927473249</v>
      </c>
      <c r="AK120" s="467" cm="1">
        <f t="array" ref="AK120">numeng*InterpolateXY($V$71,$X120,Tmax_h,Tmax_M,Tmax_table)</f>
        <v>5484.2220933720446</v>
      </c>
      <c r="AL120" s="3">
        <f t="shared" si="37"/>
        <v>12.900404385664102</v>
      </c>
      <c r="AM120" s="3">
        <f t="shared" si="38"/>
        <v>0.42152001530926742</v>
      </c>
      <c r="AN120" s="3">
        <f t="shared" si="39"/>
        <v>18.856471315887632</v>
      </c>
      <c r="AO120" s="3">
        <f t="shared" si="40"/>
        <v>106.83803413671247</v>
      </c>
      <c r="AP120" s="474">
        <f t="shared" si="41"/>
        <v>2433.6103801280424</v>
      </c>
    </row>
    <row r="121" spans="22:42">
      <c r="W121" s="3">
        <f t="shared" si="31"/>
        <v>261.63507859468007</v>
      </c>
      <c r="X121" s="2">
        <f t="shared" si="29"/>
        <v>0.23763594656705833</v>
      </c>
      <c r="Y121">
        <v>0</v>
      </c>
      <c r="Z121" cm="1">
        <f t="array" ref="Z121">Linterp(Y121,TO_alpha,TO_CL_a)</f>
        <v>0.249</v>
      </c>
      <c r="AA121" s="2" cm="1">
        <f t="array" ref="AA121">Linterp(Z121,TO_CL_cd,TO_CD_cl)</f>
        <v>7.4049999999999991E-2</v>
      </c>
      <c r="AB121" s="1">
        <f t="shared" si="42"/>
        <v>3058.2623761153905</v>
      </c>
      <c r="AC121" s="1">
        <f t="shared" si="43"/>
        <v>909.49529699335187</v>
      </c>
      <c r="AD121" s="1">
        <f t="shared" si="30"/>
        <v>198.54344059711525</v>
      </c>
      <c r="AE121" s="467" cm="1">
        <f t="array" ref="AE121">numeng*InterpolateXY($V$71,$X121,Tmil_h,Tmil_M,Tmil_table)</f>
        <v>3529.5302724980611</v>
      </c>
      <c r="AF121" s="3">
        <f t="shared" si="32"/>
        <v>7.082642604010629</v>
      </c>
      <c r="AG121" s="3">
        <f t="shared" si="33"/>
        <v>0.76466030740114266</v>
      </c>
      <c r="AH121" s="3">
        <f t="shared" si="34"/>
        <v>30.993056230323059</v>
      </c>
      <c r="AI121" s="3">
        <f t="shared" si="35"/>
        <v>197.97798087903507</v>
      </c>
      <c r="AJ121" s="474">
        <f t="shared" si="36"/>
        <v>4220.4419083522844</v>
      </c>
      <c r="AK121" s="467" cm="1">
        <f t="array" ref="AK121">numeng*InterpolateXY($V$71,$X121,Tmax_h,Tmax_M,Tmax_table)</f>
        <v>5496.8366180132716</v>
      </c>
      <c r="AL121" s="3">
        <f t="shared" si="37"/>
        <v>12.83683481861121</v>
      </c>
      <c r="AM121" s="3">
        <f t="shared" si="38"/>
        <v>0.42356763760041261</v>
      </c>
      <c r="AN121" s="3">
        <f t="shared" si="39"/>
        <v>19.280038953488045</v>
      </c>
      <c r="AO121" s="3">
        <f t="shared" si="40"/>
        <v>109.66577556881205</v>
      </c>
      <c r="AP121" s="474">
        <f t="shared" si="41"/>
        <v>2543.2761556968544</v>
      </c>
    </row>
    <row r="122" spans="22:42">
      <c r="W122" s="3">
        <f t="shared" si="31"/>
        <v>267.08580939873588</v>
      </c>
      <c r="X122" s="2">
        <f t="shared" si="29"/>
        <v>0.24258669545387201</v>
      </c>
      <c r="Y122">
        <v>0</v>
      </c>
      <c r="Z122" cm="1">
        <f t="array" ref="Z122">Linterp(Y122,TO_alpha,TO_CL_a)</f>
        <v>0.249</v>
      </c>
      <c r="AA122" s="2" cm="1">
        <f t="array" ref="AA122">Linterp(Z122,TO_CL_cd,TO_CD_cl)</f>
        <v>7.4049999999999991E-2</v>
      </c>
      <c r="AB122" s="1">
        <f t="shared" si="42"/>
        <v>3187.0173459431644</v>
      </c>
      <c r="AC122" s="1">
        <f t="shared" si="43"/>
        <v>947.78568059072802</v>
      </c>
      <c r="AD122" s="1">
        <f t="shared" si="30"/>
        <v>195.32456635142091</v>
      </c>
      <c r="AE122" s="467" cm="1">
        <f t="array" ref="AE122">numeng*InterpolateXY($V$71,$X122,Tmil_h,Tmil_M,Tmil_table)</f>
        <v>3532.6565097891544</v>
      </c>
      <c r="AF122" s="3">
        <f t="shared" si="32"/>
        <v>6.9892055873490504</v>
      </c>
      <c r="AG122" s="3">
        <f t="shared" si="33"/>
        <v>0.77470005786484208</v>
      </c>
      <c r="AH122" s="3">
        <f t="shared" si="34"/>
        <v>31.767756288187901</v>
      </c>
      <c r="AI122" s="3">
        <f t="shared" si="35"/>
        <v>204.80005126142504</v>
      </c>
      <c r="AJ122" s="474">
        <f t="shared" si="36"/>
        <v>4425.2419596137097</v>
      </c>
      <c r="AK122" s="467" cm="1">
        <f t="array" ref="AK122">numeng*InterpolateXY($V$71,$X122,Tmax_h,Tmax_M,Tmax_table)</f>
        <v>5509.4511426544977</v>
      </c>
      <c r="AL122" s="3">
        <f t="shared" si="37"/>
        <v>12.771150179877194</v>
      </c>
      <c r="AM122" s="3">
        <f t="shared" si="38"/>
        <v>0.42570556054117931</v>
      </c>
      <c r="AN122" s="3">
        <f t="shared" si="39"/>
        <v>19.705744514029224</v>
      </c>
      <c r="AO122" s="3">
        <f t="shared" si="40"/>
        <v>112.53971099653361</v>
      </c>
      <c r="AP122" s="474">
        <f t="shared" si="41"/>
        <v>2655.8158666933882</v>
      </c>
    </row>
    <row r="123" spans="22:42">
      <c r="V123" t="s">
        <v>590</v>
      </c>
      <c r="W123" s="460">
        <f t="shared" si="31"/>
        <v>272.53654020279168</v>
      </c>
      <c r="X123" s="475">
        <f t="shared" si="29"/>
        <v>0.24753744434068572</v>
      </c>
      <c r="Y123" s="476">
        <v>0</v>
      </c>
      <c r="Z123" s="476" cm="1">
        <f t="array" ref="Z123">Linterp(Y123,TO_alpha,TO_CL_a)</f>
        <v>0.249</v>
      </c>
      <c r="AA123" s="475" cm="1">
        <f t="array" ref="AA123">Linterp(Z123,TO_CL_cd,TO_CD_cl)</f>
        <v>7.4049999999999991E-2</v>
      </c>
      <c r="AB123" s="477">
        <f t="shared" si="42"/>
        <v>3318.4270574168722</v>
      </c>
      <c r="AC123" s="477">
        <f t="shared" si="43"/>
        <v>986.86555663341107</v>
      </c>
      <c r="AD123" s="477">
        <f t="shared" si="30"/>
        <v>192.03932356457821</v>
      </c>
      <c r="AE123" s="478" cm="1">
        <f t="array" ref="AE123">numeng*InterpolateXY($V$71,$X123,Tmil_h,Tmil_M,Tmil_table)</f>
        <v>3535.7827470802476</v>
      </c>
      <c r="AF123" s="460">
        <f t="shared" si="32"/>
        <v>6.8936534990063443</v>
      </c>
      <c r="AG123" s="460">
        <f t="shared" si="33"/>
        <v>0.78524614708694918</v>
      </c>
      <c r="AH123" s="460">
        <f t="shared" si="34"/>
        <v>32.553002435274848</v>
      </c>
      <c r="AI123" s="460">
        <f t="shared" si="35"/>
        <v>211.86818545330308</v>
      </c>
      <c r="AJ123" s="479">
        <f t="shared" si="36"/>
        <v>4637.110145067013</v>
      </c>
      <c r="AK123" s="478" cm="1">
        <f t="array" ref="AK123">numeng*InterpolateXY($V$71,$X123,Tmax_h,Tmax_M,Tmax_table)</f>
        <v>5522.0656672957248</v>
      </c>
      <c r="AL123" s="460">
        <f t="shared" si="37"/>
        <v>12.703350469462052</v>
      </c>
      <c r="AM123" s="460">
        <f t="shared" si="38"/>
        <v>0.4279362236839126</v>
      </c>
      <c r="AN123" s="460">
        <f t="shared" si="39"/>
        <v>20.133680737713135</v>
      </c>
      <c r="AO123" s="460">
        <f t="shared" si="40"/>
        <v>115.46197525195888</v>
      </c>
      <c r="AP123" s="479">
        <f t="shared" si="41"/>
        <v>2771.2778419453471</v>
      </c>
    </row>
    <row r="124" spans="22:42">
      <c r="W124" s="3">
        <f>W123+(V$73-V$72)/10</f>
        <v>273.83433325137639</v>
      </c>
      <c r="X124" s="2">
        <f t="shared" si="29"/>
        <v>0.24871619407564136</v>
      </c>
      <c r="Y124" s="3">
        <f>Y123+U$133/10</f>
        <v>0.71294407893865341</v>
      </c>
      <c r="Z124" cm="1">
        <f t="array" ref="Z124">Linterp(Y124,TO_alpha,TO_CL_a)</f>
        <v>0.29961902960464437</v>
      </c>
      <c r="AA124" s="2" cm="1">
        <f t="array" ref="AA124">Linterp(Z124,TO_CL_cd,TO_CD_cl)</f>
        <v>7.2511429111860662E-2</v>
      </c>
      <c r="AB124" s="1">
        <f t="shared" si="42"/>
        <v>4031.1470697737086</v>
      </c>
      <c r="AC124" s="1">
        <f t="shared" si="43"/>
        <v>975.58634835405712</v>
      </c>
      <c r="AD124" s="1">
        <f t="shared" si="30"/>
        <v>174.2213232556573</v>
      </c>
      <c r="AE124" s="467" cm="1">
        <f t="array" ref="AE124">numeng*InterpolateXY($V$71,$X124,Tmil_h,Tmil_M,Tmil_table)</f>
        <v>3536.5270892924127</v>
      </c>
      <c r="AF124" s="3">
        <f t="shared" si="32"/>
        <v>6.9809373222293765</v>
      </c>
      <c r="AG124" s="3">
        <f t="shared" si="33"/>
        <v>0.18707478516748391</v>
      </c>
      <c r="AH124" s="3">
        <f t="shared" si="34"/>
        <v>32.74007722044233</v>
      </c>
      <c r="AI124" s="3">
        <f t="shared" si="35"/>
        <v>51.106106886604515</v>
      </c>
      <c r="AJ124" s="474">
        <f t="shared" si="36"/>
        <v>4688.2162519536178</v>
      </c>
      <c r="AK124" s="467" cm="1">
        <f t="array" ref="AK124">numeng*InterpolateXY($V$71,$X124,Tmax_h,Tmax_M,Tmax_table)</f>
        <v>5525.0691255436359</v>
      </c>
      <c r="AL124" s="3">
        <f t="shared" si="37"/>
        <v>12.797242001715455</v>
      </c>
      <c r="AM124" s="3">
        <f t="shared" si="38"/>
        <v>0.10178532518815488</v>
      </c>
      <c r="AN124" s="3">
        <f t="shared" si="39"/>
        <v>20.235466062901288</v>
      </c>
      <c r="AO124" s="3">
        <f t="shared" si="40"/>
        <v>27.806268513934356</v>
      </c>
      <c r="AP124" s="474">
        <f t="shared" si="41"/>
        <v>2799.0841104592814</v>
      </c>
    </row>
    <row r="125" spans="22:42">
      <c r="W125" s="3">
        <f t="shared" ref="W125:W133" si="44">W124+(V$73-V$72)/10</f>
        <v>275.1321262999611</v>
      </c>
      <c r="X125" s="2">
        <f t="shared" si="29"/>
        <v>0.24989494381059699</v>
      </c>
      <c r="Y125" s="3">
        <f t="shared" ref="Y125:Y133" si="45">Y124+U$133/10</f>
        <v>1.4258881578773068</v>
      </c>
      <c r="Z125" cm="1">
        <f t="array" ref="Z125">Linterp(Y125,TO_alpha,TO_CL_a)</f>
        <v>0.34981217105141149</v>
      </c>
      <c r="AA125" s="2" cm="1">
        <f t="array" ref="AA125">Linterp(Z125,TO_CL_cd,TO_CD_cl)</f>
        <v>7.1802629605280235E-2</v>
      </c>
      <c r="AB125" s="1">
        <f t="shared" si="42"/>
        <v>4751.1744518820224</v>
      </c>
      <c r="AC125" s="1">
        <f t="shared" si="43"/>
        <v>975.22855860957816</v>
      </c>
      <c r="AD125" s="1">
        <f t="shared" si="30"/>
        <v>156.22063870294946</v>
      </c>
      <c r="AE125" s="467" cm="1">
        <f t="array" ref="AE125">numeng*InterpolateXY($V$71,$X125,Tmil_h,Tmil_M,Tmil_table)</f>
        <v>3537.2714315045778</v>
      </c>
      <c r="AF125" s="3">
        <f t="shared" si="32"/>
        <v>7.0368113238995473</v>
      </c>
      <c r="AG125" s="3">
        <f t="shared" si="33"/>
        <v>0.18516426301353331</v>
      </c>
      <c r="AH125" s="3">
        <f t="shared" si="34"/>
        <v>32.925241483455864</v>
      </c>
      <c r="AI125" s="3">
        <f t="shared" si="35"/>
        <v>50.824484950986026</v>
      </c>
      <c r="AJ125" s="474">
        <f t="shared" si="36"/>
        <v>4739.0407369046034</v>
      </c>
      <c r="AK125" s="467" cm="1">
        <f t="array" ref="AK125">numeng*InterpolateXY($V$71,$X125,Tmax_h,Tmax_M,Tmax_table)</f>
        <v>5528.072583791547</v>
      </c>
      <c r="AL125" s="3">
        <f t="shared" si="37"/>
        <v>12.859723712415997</v>
      </c>
      <c r="AM125" s="3">
        <f t="shared" si="38"/>
        <v>0.1011649672876091</v>
      </c>
      <c r="AN125" s="3">
        <f t="shared" si="39"/>
        <v>20.336631030188897</v>
      </c>
      <c r="AO125" s="3">
        <f t="shared" si="40"/>
        <v>27.76808696125282</v>
      </c>
      <c r="AP125" s="474">
        <f t="shared" si="41"/>
        <v>2826.8521974205341</v>
      </c>
    </row>
    <row r="126" spans="22:42">
      <c r="W126" s="3">
        <f t="shared" si="44"/>
        <v>276.42991934854581</v>
      </c>
      <c r="X126" s="2">
        <f t="shared" si="29"/>
        <v>0.25107369354555259</v>
      </c>
      <c r="Y126" s="3">
        <f t="shared" si="45"/>
        <v>2.1388322368159605</v>
      </c>
      <c r="Z126" cm="1">
        <f t="array" ref="Z126">Linterp(Y126,TO_alpha,TO_CL_a)</f>
        <v>0.39985708881393323</v>
      </c>
      <c r="AA126" s="2" cm="1">
        <f t="array" ref="AA126">Linterp(Z126,TO_CL_cd,TO_CD_cl)</f>
        <v>7.1500857467116388E-2</v>
      </c>
      <c r="AB126" s="1">
        <f t="shared" si="42"/>
        <v>5482.2438103335035</v>
      </c>
      <c r="AC126" s="1">
        <f t="shared" si="43"/>
        <v>980.31307746813661</v>
      </c>
      <c r="AD126" s="1">
        <f t="shared" si="30"/>
        <v>137.94390474166241</v>
      </c>
      <c r="AE126" s="467" cm="1">
        <f t="array" ref="AE126">numeng*InterpolateXY($V$71,$X126,Tmil_h,Tmil_M,Tmil_table)</f>
        <v>3538.0157737167428</v>
      </c>
      <c r="AF126" s="3">
        <f t="shared" si="32"/>
        <v>7.0775744870858563</v>
      </c>
      <c r="AG126" s="3">
        <f t="shared" si="33"/>
        <v>0.18389649623643128</v>
      </c>
      <c r="AH126" s="3">
        <f t="shared" si="34"/>
        <v>33.109137979692292</v>
      </c>
      <c r="AI126" s="3">
        <f t="shared" si="35"/>
        <v>50.715163825879493</v>
      </c>
      <c r="AJ126" s="474">
        <f t="shared" si="36"/>
        <v>4789.7559007304826</v>
      </c>
      <c r="AK126" s="467" cm="1">
        <f t="array" ref="AK126">numeng*InterpolateXY($V$71,$X126,Tmax_h,Tmax_M,Tmax_table)</f>
        <v>5531.0760420394581</v>
      </c>
      <c r="AL126" s="3">
        <f t="shared" si="37"/>
        <v>12.907094584632677</v>
      </c>
      <c r="AM126" s="3">
        <f t="shared" si="38"/>
        <v>0.10073366712360891</v>
      </c>
      <c r="AN126" s="3">
        <f t="shared" si="39"/>
        <v>20.437364697312507</v>
      </c>
      <c r="AO126" s="3">
        <f t="shared" si="40"/>
        <v>27.780433752186738</v>
      </c>
      <c r="AP126" s="474">
        <f t="shared" si="41"/>
        <v>2854.6326311727207</v>
      </c>
    </row>
    <row r="127" spans="22:42">
      <c r="W127" s="3">
        <f t="shared" si="44"/>
        <v>277.72771239713052</v>
      </c>
      <c r="X127" s="2">
        <f t="shared" si="29"/>
        <v>0.25225244328050828</v>
      </c>
      <c r="Y127" s="3">
        <f t="shared" si="45"/>
        <v>2.8517763157546137</v>
      </c>
      <c r="Z127" cm="1">
        <f t="array" ref="Z127">Linterp(Y127,TO_alpha,TO_CL_a)</f>
        <v>0.4504761184185776</v>
      </c>
      <c r="AA127" s="2" cm="1">
        <f t="array" ref="AA127">Linterp(Z127,TO_CL_cd,TO_CD_cl)</f>
        <v>7.2528567105114655E-2</v>
      </c>
      <c r="AB127" s="1">
        <f t="shared" si="42"/>
        <v>6234.3855719584917</v>
      </c>
      <c r="AC127" s="1">
        <f t="shared" si="43"/>
        <v>1003.7625388496124</v>
      </c>
      <c r="AD127" s="1">
        <f t="shared" si="30"/>
        <v>119.14036070103771</v>
      </c>
      <c r="AE127" s="467" cm="1">
        <f t="array" ref="AE127">numeng*InterpolateXY($V$71,$X127,Tmil_h,Tmil_M,Tmil_table)</f>
        <v>3538.7601159289084</v>
      </c>
      <c r="AF127" s="3">
        <f t="shared" si="32"/>
        <v>7.0661627345230986</v>
      </c>
      <c r="AG127" s="3">
        <f t="shared" si="33"/>
        <v>0.18351486997395935</v>
      </c>
      <c r="AH127" s="3">
        <f t="shared" si="34"/>
        <v>33.292652849666254</v>
      </c>
      <c r="AI127" s="3">
        <f t="shared" si="35"/>
        <v>50.848082867442521</v>
      </c>
      <c r="AJ127" s="474">
        <f t="shared" si="36"/>
        <v>4840.6039835979254</v>
      </c>
      <c r="AK127" s="467" cm="1">
        <f t="array" ref="AK127">numeng*InterpolateXY($V$71,$X127,Tmax_h,Tmax_M,Tmax_table)</f>
        <v>5534.0795002873692</v>
      </c>
      <c r="AL127" s="3">
        <f t="shared" si="37"/>
        <v>12.902290541100291</v>
      </c>
      <c r="AM127" s="3">
        <f t="shared" si="38"/>
        <v>0.10056752938997821</v>
      </c>
      <c r="AN127" s="3">
        <f t="shared" si="39"/>
        <v>20.537932226702484</v>
      </c>
      <c r="AO127" s="3">
        <f t="shared" si="40"/>
        <v>27.865131958632013</v>
      </c>
      <c r="AP127" s="474">
        <f t="shared" si="41"/>
        <v>2882.4977631313527</v>
      </c>
    </row>
    <row r="128" spans="22:42">
      <c r="W128" s="3">
        <f t="shared" si="44"/>
        <v>279.02550544571523</v>
      </c>
      <c r="X128" s="2">
        <f t="shared" si="29"/>
        <v>0.25343119301546391</v>
      </c>
      <c r="Y128" s="3">
        <f t="shared" si="45"/>
        <v>3.5647203946932668</v>
      </c>
      <c r="Z128" cm="1">
        <f t="array" ref="Z128">Linterp(Y128,TO_alpha,TO_CL_a)</f>
        <v>0.50053042762852873</v>
      </c>
      <c r="AA128" s="2" cm="1">
        <f t="array" ref="AA128">Linterp(Z128,TO_CL_cd,TO_CD_cl)</f>
        <v>7.5556225328624049E-2</v>
      </c>
      <c r="AB128" s="1">
        <f t="shared" si="42"/>
        <v>6992.0052030715806</v>
      </c>
      <c r="AC128" s="1">
        <f t="shared" si="43"/>
        <v>1055.4593516425757</v>
      </c>
      <c r="AD128" s="1">
        <f t="shared" si="30"/>
        <v>100.19986992321049</v>
      </c>
      <c r="AE128" s="467" cm="1">
        <f t="array" ref="AE128">numeng*InterpolateXY($V$71,$X128,Tmil_h,Tmil_M,Tmil_table)</f>
        <v>3539.5044581410734</v>
      </c>
      <c r="AF128" s="3">
        <f t="shared" si="32"/>
        <v>6.9725306037793908</v>
      </c>
      <c r="AG128" s="3">
        <f t="shared" si="33"/>
        <v>0.18488801162767371</v>
      </c>
      <c r="AH128" s="3">
        <f t="shared" si="34"/>
        <v>33.477540861293924</v>
      </c>
      <c r="AI128" s="3">
        <f t="shared" si="35"/>
        <v>51.468497707136407</v>
      </c>
      <c r="AJ128" s="474">
        <f t="shared" si="36"/>
        <v>4892.072481305062</v>
      </c>
      <c r="AK128" s="467" cm="1">
        <f t="array" ref="AK128">numeng*InterpolateXY($V$71,$X128,Tmax_h,Tmax_M,Tmax_table)</f>
        <v>5537.0829585352803</v>
      </c>
      <c r="AL128" s="3">
        <f t="shared" si="37"/>
        <v>12.815266119386955</v>
      </c>
      <c r="AM128" s="3">
        <f t="shared" si="38"/>
        <v>0.10092662111861136</v>
      </c>
      <c r="AN128" s="3">
        <f t="shared" si="39"/>
        <v>20.638858847821094</v>
      </c>
      <c r="AO128" s="3">
        <f t="shared" si="40"/>
        <v>28.095610536896295</v>
      </c>
      <c r="AP128" s="474">
        <f t="shared" si="41"/>
        <v>2910.5933736682491</v>
      </c>
    </row>
    <row r="129" spans="21:42">
      <c r="W129" s="3">
        <f t="shared" si="44"/>
        <v>280.32329849429993</v>
      </c>
      <c r="X129" s="2">
        <f t="shared" si="29"/>
        <v>0.25460994275041954</v>
      </c>
      <c r="Y129" s="3">
        <f t="shared" si="45"/>
        <v>4.27766447363192</v>
      </c>
      <c r="Z129" cm="1">
        <f t="array" ref="Z129">Linterp(Y129,TO_alpha,TO_CL_a)</f>
        <v>0.55071417762786634</v>
      </c>
      <c r="AA129" s="2" cm="1">
        <f t="array" ref="AA129">Linterp(Z129,TO_CL_cd,TO_CD_cl)</f>
        <v>8.0917125130970075E-2</v>
      </c>
      <c r="AB129" s="1">
        <f t="shared" si="42"/>
        <v>7764.7611081538771</v>
      </c>
      <c r="AC129" s="1">
        <f t="shared" si="43"/>
        <v>1140.8860925043032</v>
      </c>
      <c r="AD129" s="1">
        <f t="shared" si="30"/>
        <v>80.880972296153075</v>
      </c>
      <c r="AE129" s="467" cm="1">
        <f t="array" ref="AE129">numeng*InterpolateXY($V$71,$X129,Tmil_h,Tmil_M,Tmil_table)</f>
        <v>3540.2488003532385</v>
      </c>
      <c r="AF129" s="3">
        <f t="shared" si="32"/>
        <v>6.7813483054250199</v>
      </c>
      <c r="AG129" s="3">
        <f t="shared" si="33"/>
        <v>0.18871666053656988</v>
      </c>
      <c r="AH129" s="3">
        <f t="shared" si="34"/>
        <v>33.666257521830495</v>
      </c>
      <c r="AI129" s="3">
        <f t="shared" si="35"/>
        <v>52.779219177342114</v>
      </c>
      <c r="AJ129" s="474">
        <f t="shared" si="36"/>
        <v>4944.8517004824043</v>
      </c>
      <c r="AK129" s="467" cm="1">
        <f t="array" ref="AK129">numeng*InterpolateXY($V$71,$X129,Tmax_h,Tmax_M,Tmax_table)</f>
        <v>5540.0864167831915</v>
      </c>
      <c r="AL129" s="3">
        <f t="shared" si="37"/>
        <v>12.630691530062958</v>
      </c>
      <c r="AM129" s="3">
        <f t="shared" si="38"/>
        <v>0.10200386768408881</v>
      </c>
      <c r="AN129" s="3">
        <f t="shared" si="39"/>
        <v>20.740862715505184</v>
      </c>
      <c r="AO129" s="3">
        <f t="shared" si="40"/>
        <v>28.52787069317532</v>
      </c>
      <c r="AP129" s="474">
        <f t="shared" si="41"/>
        <v>2939.1212443614245</v>
      </c>
    </row>
    <row r="130" spans="21:42">
      <c r="W130" s="3">
        <f t="shared" si="44"/>
        <v>281.62109154288464</v>
      </c>
      <c r="X130" s="2">
        <f t="shared" si="29"/>
        <v>0.25578869248537517</v>
      </c>
      <c r="Y130" s="3">
        <f t="shared" si="45"/>
        <v>4.9906085525705732</v>
      </c>
      <c r="Z130" cm="1">
        <f t="array" ref="Z130">Linterp(Y130,TO_alpha,TO_CL_a)</f>
        <v>0.60133320723251071</v>
      </c>
      <c r="AA130" s="2" cm="1">
        <f t="array" ref="AA130">Linterp(Z130,TO_CL_cd,TO_CD_cl)</f>
        <v>8.9319969735802571E-2</v>
      </c>
      <c r="AB130" s="1">
        <f t="shared" si="42"/>
        <v>8557.1470342386783</v>
      </c>
      <c r="AC130" s="1">
        <f t="shared" si="43"/>
        <v>1271.0492368126927</v>
      </c>
      <c r="AD130" s="1">
        <f t="shared" si="30"/>
        <v>61.071324144033042</v>
      </c>
      <c r="AE130" s="467" cm="1">
        <f t="array" ref="AE130">numeng*InterpolateXY($V$71,$X130,Tmil_h,Tmil_M,Tmil_table)</f>
        <v>3540.9931425654036</v>
      </c>
      <c r="AF130" s="3">
        <f t="shared" si="32"/>
        <v>6.4607514946070541</v>
      </c>
      <c r="AG130" s="3">
        <f t="shared" si="33"/>
        <v>0.19601015974544533</v>
      </c>
      <c r="AH130" s="3">
        <f t="shared" si="34"/>
        <v>33.862267681575943</v>
      </c>
      <c r="AI130" s="3">
        <f t="shared" si="35"/>
        <v>55.073404829622696</v>
      </c>
      <c r="AJ130" s="474">
        <f t="shared" si="36"/>
        <v>4999.925105312027</v>
      </c>
      <c r="AK130" s="467" cm="1">
        <f t="array" ref="AK130">numeng*InterpolateXY($V$71,$X130,Tmax_h,Tmax_M,Tmax_table)</f>
        <v>5543.0898750311026</v>
      </c>
      <c r="AL130" s="3">
        <f t="shared" si="37"/>
        <v>12.316702428275363</v>
      </c>
      <c r="AM130" s="3">
        <f t="shared" si="38"/>
        <v>0.1040423741856162</v>
      </c>
      <c r="AN130" s="3">
        <f t="shared" si="39"/>
        <v>20.844905089690801</v>
      </c>
      <c r="AO130" s="3">
        <f t="shared" si="40"/>
        <v>29.233014249878305</v>
      </c>
      <c r="AP130" s="474">
        <f t="shared" si="41"/>
        <v>2968.3542586113026</v>
      </c>
    </row>
    <row r="131" spans="21:42">
      <c r="W131" s="3">
        <f t="shared" si="44"/>
        <v>282.91888459146935</v>
      </c>
      <c r="X131" s="2">
        <f t="shared" si="29"/>
        <v>0.2569674422203308</v>
      </c>
      <c r="Y131" s="3">
        <f t="shared" si="45"/>
        <v>5.7035526315092264</v>
      </c>
      <c r="Z131" cm="1">
        <f t="array" ref="Z131">Linterp(Y131,TO_alpha,TO_CL_a)</f>
        <v>0.65124868420564586</v>
      </c>
      <c r="AA131" s="2" cm="1">
        <f t="array" ref="AA131">Linterp(Z131,TO_CL_cd,TO_CD_cl)</f>
        <v>0.10139957894580667</v>
      </c>
      <c r="AB131" s="1">
        <f t="shared" si="42"/>
        <v>9353.070013563025</v>
      </c>
      <c r="AC131" s="1">
        <f t="shared" si="43"/>
        <v>1456.2752819727216</v>
      </c>
      <c r="AD131" s="1">
        <f t="shared" si="30"/>
        <v>41.173249660924377</v>
      </c>
      <c r="AE131" s="467" cm="1">
        <f t="array" ref="AE131">numeng*InterpolateXY($V$71,$X131,Tmil_h,Tmil_M,Tmil_table)</f>
        <v>3541.7374847775686</v>
      </c>
      <c r="AF131" s="3">
        <f t="shared" si="32"/>
        <v>5.9793593434956884</v>
      </c>
      <c r="AG131" s="3">
        <f t="shared" si="33"/>
        <v>0.20864654109185352</v>
      </c>
      <c r="AH131" s="3">
        <f t="shared" si="34"/>
        <v>34.070914222667795</v>
      </c>
      <c r="AI131" s="3">
        <f t="shared" si="35"/>
        <v>58.894656664255244</v>
      </c>
      <c r="AJ131" s="474">
        <f t="shared" si="36"/>
        <v>5058.8197619762823</v>
      </c>
      <c r="AK131" s="467" cm="1">
        <f t="array" ref="AK131">numeng*InterpolateXY($V$71,$X131,Tmax_h,Tmax_M,Tmax_table)</f>
        <v>5546.0933332790137</v>
      </c>
      <c r="AL131" s="3">
        <f t="shared" si="37"/>
        <v>11.841917986194369</v>
      </c>
      <c r="AM131" s="3">
        <f t="shared" si="38"/>
        <v>0.10743933439240588</v>
      </c>
      <c r="AN131" s="3">
        <f t="shared" si="39"/>
        <v>20.952344424083208</v>
      </c>
      <c r="AO131" s="3">
        <f t="shared" si="40"/>
        <v>30.326899636889848</v>
      </c>
      <c r="AP131" s="474">
        <f t="shared" si="41"/>
        <v>2998.6811582481923</v>
      </c>
    </row>
    <row r="132" spans="21:42">
      <c r="U132" t="s">
        <v>596</v>
      </c>
      <c r="W132" s="3">
        <f t="shared" si="44"/>
        <v>284.21667764005406</v>
      </c>
      <c r="X132" s="2">
        <f t="shared" si="29"/>
        <v>0.25814619195528643</v>
      </c>
      <c r="Y132" s="3">
        <f t="shared" si="45"/>
        <v>6.4164967104478796</v>
      </c>
      <c r="Z132" cm="1">
        <f t="array" ref="Z132">Linterp(Y132,TO_alpha,TO_CL_a)</f>
        <v>0.70157126644179946</v>
      </c>
      <c r="AA132" s="2" cm="1">
        <f t="array" ref="AA132">Linterp(Z132,TO_CL_cd,TO_CD_cl)</f>
        <v>0.11758136858346582</v>
      </c>
      <c r="AB132" s="1">
        <f t="shared" si="42"/>
        <v>10168.440756854499</v>
      </c>
      <c r="AC132" s="1">
        <f t="shared" si="43"/>
        <v>1704.2020358312814</v>
      </c>
      <c r="AD132" s="1">
        <f t="shared" si="30"/>
        <v>20.788981078637519</v>
      </c>
      <c r="AE132" s="467" cm="1">
        <f t="array" ref="AE132">numeng*InterpolateXY($V$71,$X132,Tmil_h,Tmil_M,Tmil_table)</f>
        <v>3542.4818269897337</v>
      </c>
      <c r="AF132" s="3">
        <f t="shared" si="32"/>
        <v>5.3159953930461787</v>
      </c>
      <c r="AG132" s="3">
        <f t="shared" si="33"/>
        <v>0.22979234895318293</v>
      </c>
      <c r="AH132" s="3">
        <f t="shared" si="34"/>
        <v>34.300706571620978</v>
      </c>
      <c r="AI132" s="3">
        <f t="shared" si="35"/>
        <v>65.161706510032914</v>
      </c>
      <c r="AJ132" s="474">
        <f t="shared" si="36"/>
        <v>5123.981468486315</v>
      </c>
      <c r="AK132" s="467" cm="1">
        <f t="array" ref="AK132">numeng*InterpolateXY($V$71,$X132,Tmax_h,Tmax_M,Tmax_table)</f>
        <v>5549.0967915269248</v>
      </c>
      <c r="AL132" s="3">
        <f t="shared" si="37"/>
        <v>11.185161744775234</v>
      </c>
      <c r="AM132" s="3">
        <f t="shared" si="38"/>
        <v>0.11271885655906937</v>
      </c>
      <c r="AN132" s="3">
        <f t="shared" si="39"/>
        <v>21.065063280642278</v>
      </c>
      <c r="AO132" s="3">
        <f t="shared" si="40"/>
        <v>31.963436044361124</v>
      </c>
      <c r="AP132" s="474">
        <f t="shared" si="41"/>
        <v>3030.6445942925534</v>
      </c>
    </row>
    <row r="133" spans="21:42" ht="15" thickBot="1">
      <c r="U133" cm="1">
        <f t="array" ref="U133">Linterp(U135,TO_CL_a,TO_alpha)</f>
        <v>7.1294407893865337</v>
      </c>
      <c r="V133" t="s">
        <v>591</v>
      </c>
      <c r="W133" s="461">
        <f t="shared" si="44"/>
        <v>285.51447068863877</v>
      </c>
      <c r="X133" s="480">
        <f t="shared" si="29"/>
        <v>0.25932494169024206</v>
      </c>
      <c r="Y133" s="461">
        <f t="shared" si="45"/>
        <v>7.1294407893865328</v>
      </c>
      <c r="Z133" s="150" cm="1">
        <f t="array" ref="Z133">Linterp(Y133,TO_alpha,TO_CL_a)</f>
        <v>0.75206085525705724</v>
      </c>
      <c r="AA133" s="480" cm="1">
        <f t="array" ref="AA133">Linterp(Z133,TO_CL_cd,TO_CD_cl)</f>
        <v>0.13646860197081692</v>
      </c>
      <c r="AB133" s="481">
        <f t="shared" si="42"/>
        <v>10999.999999999998</v>
      </c>
      <c r="AC133" s="481">
        <f t="shared" si="43"/>
        <v>1996.0547224145653</v>
      </c>
      <c r="AD133" s="481">
        <f t="shared" si="30"/>
        <v>4.5474735088646414E-14</v>
      </c>
      <c r="AE133" s="482" cm="1">
        <f t="array" ref="AE133">numeng*InterpolateXY($V$71,$X133,Tmil_h,Tmil_M,Tmil_table)</f>
        <v>3543.2261692018988</v>
      </c>
      <c r="AF133" s="483">
        <f t="shared" si="32"/>
        <v>4.5253358299032431</v>
      </c>
      <c r="AG133" s="483">
        <f t="shared" si="33"/>
        <v>0.2637433938933646</v>
      </c>
      <c r="AH133" s="483">
        <f t="shared" si="34"/>
        <v>34.564449965514342</v>
      </c>
      <c r="AI133" s="483">
        <f t="shared" si="35"/>
        <v>75.131413333486677</v>
      </c>
      <c r="AJ133" s="484">
        <f t="shared" si="36"/>
        <v>5199.1128818198013</v>
      </c>
      <c r="AK133" s="482" cm="1">
        <f t="array" ref="AK133">numeng*InterpolateXY($V$71,$X133,Tmax_h,Tmax_M,Tmax_table)</f>
        <v>5552.1002497748359</v>
      </c>
      <c r="AL133" s="483">
        <f t="shared" si="37"/>
        <v>10.401109890662669</v>
      </c>
      <c r="AM133" s="483">
        <f t="shared" si="38"/>
        <v>0.12024244580098196</v>
      </c>
      <c r="AN133" s="483">
        <f t="shared" si="39"/>
        <v>21.185305726443261</v>
      </c>
      <c r="AO133" s="483">
        <f t="shared" si="40"/>
        <v>34.252933362022034</v>
      </c>
      <c r="AP133" s="484">
        <f t="shared" si="41"/>
        <v>3064.8975276545752</v>
      </c>
    </row>
    <row r="134" spans="21:42" ht="15" thickBot="1">
      <c r="U134" t="s">
        <v>597</v>
      </c>
      <c r="AB134" s="3"/>
      <c r="AC134" s="3"/>
      <c r="AD134" s="1"/>
    </row>
    <row r="135" spans="21:42">
      <c r="U135">
        <f>M36/(S*Q36*X133^2)</f>
        <v>0.75206085525705735</v>
      </c>
      <c r="W135" s="444" t="s">
        <v>610</v>
      </c>
      <c r="X135" s="485" t="s">
        <v>604</v>
      </c>
      <c r="Y135" s="242" t="s">
        <v>606</v>
      </c>
      <c r="Z135" s="445"/>
      <c r="AB135" s="3"/>
      <c r="AC135" s="3"/>
      <c r="AD135" s="1"/>
    </row>
    <row r="136" spans="21:42">
      <c r="W136" s="467"/>
      <c r="X136" t="s">
        <v>182</v>
      </c>
      <c r="Y136" t="s">
        <v>182</v>
      </c>
      <c r="Z136" s="486"/>
    </row>
    <row r="137" spans="21:42">
      <c r="W137" s="467" t="s">
        <v>590</v>
      </c>
      <c r="X137" s="3">
        <f>AJ123</f>
        <v>4637.110145067013</v>
      </c>
      <c r="Y137" s="3">
        <f>AP123</f>
        <v>2771.2778419453471</v>
      </c>
      <c r="Z137" s="486" t="s">
        <v>132</v>
      </c>
    </row>
    <row r="138" spans="21:42" ht="15" thickBot="1">
      <c r="W138" s="468" t="s">
        <v>607</v>
      </c>
      <c r="X138" s="450">
        <f>AJ133</f>
        <v>5199.1128818198013</v>
      </c>
      <c r="Y138" s="450">
        <f>AP133</f>
        <v>3064.8975276545752</v>
      </c>
      <c r="Z138" s="487" t="s">
        <v>132</v>
      </c>
    </row>
  </sheetData>
  <mergeCells count="16">
    <mergeCell ref="AE1:AJ1"/>
    <mergeCell ref="AK1:AP1"/>
    <mergeCell ref="B2:C2"/>
    <mergeCell ref="B3:C3"/>
    <mergeCell ref="L2:M2"/>
    <mergeCell ref="L3:M3"/>
    <mergeCell ref="AE71:AJ71"/>
    <mergeCell ref="AK71:AP71"/>
    <mergeCell ref="B4:C4"/>
    <mergeCell ref="L4:M4"/>
    <mergeCell ref="B32:C32"/>
    <mergeCell ref="B33:C33"/>
    <mergeCell ref="B34:C34"/>
    <mergeCell ref="L32:M32"/>
    <mergeCell ref="L33:M33"/>
    <mergeCell ref="L34:M34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6F209-2AB1-4B33-A854-228A7807F5B8}">
  <sheetPr codeName="Sheet28">
    <tabColor theme="9" tint="-0.499984740745262"/>
  </sheetPr>
  <dimension ref="B1:N26"/>
  <sheetViews>
    <sheetView workbookViewId="0">
      <selection activeCell="F21" sqref="F21"/>
    </sheetView>
  </sheetViews>
  <sheetFormatPr defaultRowHeight="14.5"/>
  <cols>
    <col min="1" max="1" width="2.7265625" customWidth="1"/>
    <col min="2" max="2" width="7.7265625" customWidth="1"/>
    <col min="3" max="3" width="24.7265625" customWidth="1"/>
    <col min="4" max="4" width="16.7265625" customWidth="1"/>
    <col min="5" max="5" width="24.7265625" customWidth="1"/>
    <col min="6" max="6" width="16.7265625" customWidth="1"/>
    <col min="7" max="7" width="23.7265625" customWidth="1"/>
    <col min="8" max="8" width="8.7265625" customWidth="1"/>
    <col min="9" max="9" width="18.7265625" customWidth="1"/>
    <col min="10" max="11" width="10.7265625" customWidth="1"/>
    <col min="12" max="12" width="12.7265625" customWidth="1"/>
    <col min="13" max="13" width="10.7265625" customWidth="1"/>
    <col min="14" max="20" width="12.7265625" customWidth="1"/>
  </cols>
  <sheetData>
    <row r="1" spans="2:14" ht="15" thickBot="1"/>
    <row r="2" spans="2:14">
      <c r="B2" s="655" t="s">
        <v>327</v>
      </c>
      <c r="C2" s="656"/>
      <c r="D2" s="657"/>
    </row>
    <row r="3" spans="2:14" ht="16" thickBot="1">
      <c r="B3" s="658" t="s">
        <v>172</v>
      </c>
      <c r="C3" s="659"/>
      <c r="D3" s="660"/>
      <c r="I3" s="349" t="s">
        <v>1</v>
      </c>
      <c r="J3" s="14">
        <v>1E-3</v>
      </c>
      <c r="K3" t="s">
        <v>461</v>
      </c>
    </row>
    <row r="4" spans="2:14" ht="15.5">
      <c r="B4" s="6"/>
      <c r="C4" s="6"/>
      <c r="I4" s="349" t="s">
        <v>367</v>
      </c>
      <c r="J4" s="1">
        <v>1E-4</v>
      </c>
    </row>
    <row r="5" spans="2:14" ht="15" thickBot="1">
      <c r="B5" s="5"/>
      <c r="C5" s="5"/>
      <c r="D5" s="1"/>
      <c r="F5" s="5"/>
      <c r="G5" s="1"/>
      <c r="I5" s="112" t="s">
        <v>613</v>
      </c>
      <c r="J5" s="499">
        <v>11000</v>
      </c>
      <c r="K5" s="5" t="s">
        <v>547</v>
      </c>
    </row>
    <row r="6" spans="2:14" ht="18.75" customHeight="1" thickBot="1">
      <c r="B6" s="5"/>
      <c r="C6" s="666" t="s">
        <v>445</v>
      </c>
      <c r="D6" s="213" t="s">
        <v>438</v>
      </c>
      <c r="E6" s="666" t="s">
        <v>446</v>
      </c>
      <c r="F6" s="213" t="s">
        <v>439</v>
      </c>
      <c r="G6" s="213" t="s">
        <v>447</v>
      </c>
      <c r="K6" s="14"/>
    </row>
    <row r="7" spans="2:14" ht="18.75" customHeight="1" thickBot="1">
      <c r="C7" s="666"/>
      <c r="D7" s="213" t="s">
        <v>78</v>
      </c>
      <c r="E7" s="666"/>
      <c r="F7" s="213" t="s">
        <v>78</v>
      </c>
      <c r="G7" s="213" t="s">
        <v>78</v>
      </c>
      <c r="I7" s="664" t="s">
        <v>457</v>
      </c>
      <c r="J7" s="664"/>
      <c r="K7" s="355"/>
      <c r="L7" s="359" t="s">
        <v>459</v>
      </c>
    </row>
    <row r="8" spans="2:14" ht="18.75" customHeight="1" thickBot="1">
      <c r="C8" s="211"/>
      <c r="D8" s="210" t="s">
        <v>125</v>
      </c>
      <c r="E8" s="211"/>
      <c r="F8" s="210" t="s">
        <v>125</v>
      </c>
      <c r="G8" s="213" t="s">
        <v>125</v>
      </c>
      <c r="L8" s="341"/>
    </row>
    <row r="9" spans="2:14" ht="18.75" customHeight="1" thickBot="1">
      <c r="B9" s="668" t="s">
        <v>170</v>
      </c>
      <c r="C9" s="665" t="s">
        <v>440</v>
      </c>
      <c r="D9" s="661">
        <f>M10</f>
        <v>295.82933359876591</v>
      </c>
      <c r="E9" s="663" t="s">
        <v>443</v>
      </c>
      <c r="F9" s="661">
        <f>M26</f>
        <v>121.00527629087956</v>
      </c>
      <c r="G9" s="667">
        <f>D9+F9</f>
        <v>416.83460988964549</v>
      </c>
      <c r="I9" t="s">
        <v>454</v>
      </c>
      <c r="J9">
        <v>4.5999999999999996</v>
      </c>
      <c r="K9" s="351"/>
      <c r="L9" s="351" t="s">
        <v>85</v>
      </c>
      <c r="M9" s="354" cm="1">
        <f t="array" ref="M9">InterpolateXYZ(J10,J4,J3,FFnorm_PS,FFnorm_M,FFnorm_h,FFnorm_table)*numeng</f>
        <v>3858.6434817230343</v>
      </c>
      <c r="N9" t="s">
        <v>450</v>
      </c>
    </row>
    <row r="10" spans="2:14" ht="18.75" customHeight="1" thickBot="1">
      <c r="B10" s="668"/>
      <c r="C10" s="665"/>
      <c r="D10" s="662"/>
      <c r="E10" s="663"/>
      <c r="F10" s="662"/>
      <c r="G10" s="667"/>
      <c r="I10" t="s">
        <v>449</v>
      </c>
      <c r="J10" s="356">
        <v>1</v>
      </c>
      <c r="L10" t="s">
        <v>455</v>
      </c>
      <c r="M10" s="350">
        <f>M9*J9/60</f>
        <v>295.82933359876591</v>
      </c>
      <c r="N10" t="s">
        <v>451</v>
      </c>
    </row>
    <row r="11" spans="2:14" ht="8.25" customHeight="1" thickBot="1">
      <c r="B11" s="669"/>
      <c r="C11" s="670"/>
      <c r="D11" s="670"/>
      <c r="E11" s="670"/>
      <c r="F11" s="670"/>
      <c r="G11" s="671"/>
      <c r="I11" s="334"/>
      <c r="J11" s="334"/>
      <c r="K11" s="334"/>
      <c r="L11" s="352"/>
      <c r="M11" s="334"/>
    </row>
    <row r="12" spans="2:14" ht="18.75" customHeight="1" thickBot="1">
      <c r="B12" s="668" t="s">
        <v>171</v>
      </c>
      <c r="C12" s="665" t="s">
        <v>441</v>
      </c>
      <c r="D12" s="661">
        <f>M13</f>
        <v>64.317266469629118</v>
      </c>
      <c r="E12" s="663" t="s">
        <v>444</v>
      </c>
      <c r="F12" s="661">
        <f>M26</f>
        <v>121.00527629087956</v>
      </c>
      <c r="G12" s="667">
        <f t="shared" ref="G12" si="0">D12+F12</f>
        <v>185.32254276050867</v>
      </c>
      <c r="I12" t="s">
        <v>454</v>
      </c>
      <c r="J12">
        <v>20</v>
      </c>
      <c r="K12" s="351"/>
      <c r="L12" s="351" t="s">
        <v>85</v>
      </c>
      <c r="M12" s="354" cm="1">
        <f t="array" ref="M12">InterpolateXYZ(J13,J3,J4,FFnorm_PS,FFnorm_M,FFnorm_h,FFnorm_table)*numeng</f>
        <v>192.95179940888733</v>
      </c>
      <c r="N12" t="s">
        <v>450</v>
      </c>
    </row>
    <row r="13" spans="2:14" ht="18.75" customHeight="1" thickBot="1">
      <c r="B13" s="668"/>
      <c r="C13" s="665"/>
      <c r="D13" s="662"/>
      <c r="E13" s="663"/>
      <c r="F13" s="662"/>
      <c r="G13" s="667"/>
      <c r="I13" t="s">
        <v>449</v>
      </c>
      <c r="J13" s="356">
        <v>0.05</v>
      </c>
      <c r="L13" t="s">
        <v>455</v>
      </c>
      <c r="M13" s="350">
        <f>M12*J12/60</f>
        <v>64.317266469629118</v>
      </c>
      <c r="N13" t="s">
        <v>451</v>
      </c>
    </row>
    <row r="14" spans="2:14" ht="8.25" customHeight="1" thickBot="1">
      <c r="B14" s="669"/>
      <c r="C14" s="670"/>
      <c r="D14" s="670"/>
      <c r="E14" s="670"/>
      <c r="F14" s="670"/>
      <c r="G14" s="671"/>
      <c r="I14" s="334"/>
      <c r="J14" s="334"/>
      <c r="K14" s="334"/>
      <c r="L14" s="353"/>
      <c r="M14" s="334"/>
    </row>
    <row r="15" spans="2:14" ht="18.75" customHeight="1" thickBot="1">
      <c r="B15" s="668" t="s">
        <v>448</v>
      </c>
      <c r="C15" s="665" t="s">
        <v>442</v>
      </c>
      <c r="D15" s="661">
        <f>M16</f>
        <v>239.7999992834678</v>
      </c>
      <c r="E15" s="663" t="s">
        <v>444</v>
      </c>
      <c r="F15" s="661">
        <f>M26</f>
        <v>121.00527629087956</v>
      </c>
      <c r="G15" s="667">
        <f t="shared" ref="G15" si="1">D15+F15</f>
        <v>360.80527557434738</v>
      </c>
      <c r="I15" t="s">
        <v>454</v>
      </c>
      <c r="J15">
        <v>6</v>
      </c>
      <c r="L15" t="s">
        <v>85</v>
      </c>
      <c r="M15" s="354" cm="1">
        <f t="array" ref="M15">InterpolateXYZ(J20,J4,J3,FFnorm_PS,FFnorm_M,FFnorm_h,FFnorm_table)*numeng</f>
        <v>2397.9999928346779</v>
      </c>
      <c r="N15" t="s">
        <v>450</v>
      </c>
    </row>
    <row r="16" spans="2:14" ht="18.75" customHeight="1" thickBot="1">
      <c r="B16" s="668"/>
      <c r="C16" s="665"/>
      <c r="D16" s="662"/>
      <c r="E16" s="663"/>
      <c r="F16" s="662"/>
      <c r="G16" s="667"/>
      <c r="I16" t="s">
        <v>456</v>
      </c>
      <c r="J16" s="164">
        <f>J5</f>
        <v>11000</v>
      </c>
      <c r="K16" t="s">
        <v>451</v>
      </c>
      <c r="L16" t="s">
        <v>455</v>
      </c>
      <c r="M16" s="350">
        <f>M15*J15/60</f>
        <v>239.7999992834678</v>
      </c>
      <c r="N16" t="s">
        <v>451</v>
      </c>
    </row>
    <row r="17" spans="9:14" ht="18.75" customHeight="1">
      <c r="I17" t="s">
        <v>452</v>
      </c>
      <c r="J17" s="162">
        <v>0.2</v>
      </c>
    </row>
    <row r="18" spans="9:14" ht="18.75" customHeight="1">
      <c r="I18" t="s">
        <v>84</v>
      </c>
      <c r="J18" s="165">
        <f>J17*J16</f>
        <v>2200</v>
      </c>
      <c r="K18" t="s">
        <v>451</v>
      </c>
    </row>
    <row r="19" spans="9:14" ht="18.75" customHeight="1">
      <c r="I19" t="s">
        <v>453</v>
      </c>
      <c r="J19" s="165" cm="1">
        <f t="array" ref="J19">InterpolateXY(J3,J4,Tnorm_h,Tnorm_M,Tnorm_table)*numeng</f>
        <v>3540.0399020668069</v>
      </c>
      <c r="K19" t="s">
        <v>451</v>
      </c>
    </row>
    <row r="20" spans="9:14" ht="18.75" customHeight="1" thickBot="1">
      <c r="I20" t="s">
        <v>449</v>
      </c>
      <c r="J20" s="358">
        <f>J18/J19</f>
        <v>0.62146192157765179</v>
      </c>
    </row>
    <row r="21" spans="9:14" ht="18.75" customHeight="1">
      <c r="J21" s="357"/>
    </row>
    <row r="22" spans="9:14" ht="18.75" customHeight="1"/>
    <row r="23" spans="9:14" ht="18.75" customHeight="1">
      <c r="I23" s="664" t="s">
        <v>458</v>
      </c>
      <c r="J23" s="664"/>
      <c r="L23" s="359" t="s">
        <v>460</v>
      </c>
    </row>
    <row r="24" spans="9:14" ht="18.75" customHeight="1" thickBot="1"/>
    <row r="25" spans="9:14" ht="18.75" customHeight="1">
      <c r="I25" t="s">
        <v>454</v>
      </c>
      <c r="J25" s="3">
        <v>0.5</v>
      </c>
      <c r="L25" t="s">
        <v>85</v>
      </c>
      <c r="M25" s="354" cm="1">
        <f t="array" ref="M25">InterpolateXY(J3,J4,FFmax_h,FFmax_M,FFmax_table)*numeng</f>
        <v>14520.633154905549</v>
      </c>
      <c r="N25" t="s">
        <v>450</v>
      </c>
    </row>
    <row r="26" spans="9:14" ht="18.75" customHeight="1" thickBot="1">
      <c r="L26" t="s">
        <v>455</v>
      </c>
      <c r="M26" s="350">
        <f>M25*J25/60</f>
        <v>121.00527629087956</v>
      </c>
      <c r="N26" t="s">
        <v>451</v>
      </c>
    </row>
  </sheetData>
  <mergeCells count="26">
    <mergeCell ref="I23:J23"/>
    <mergeCell ref="B9:B10"/>
    <mergeCell ref="B12:B13"/>
    <mergeCell ref="B15:B16"/>
    <mergeCell ref="B11:G11"/>
    <mergeCell ref="B14:G14"/>
    <mergeCell ref="I7:J7"/>
    <mergeCell ref="C9:C10"/>
    <mergeCell ref="C12:C13"/>
    <mergeCell ref="C15:C16"/>
    <mergeCell ref="E6:E7"/>
    <mergeCell ref="C6:C7"/>
    <mergeCell ref="D12:D13"/>
    <mergeCell ref="E12:E13"/>
    <mergeCell ref="F12:F13"/>
    <mergeCell ref="G12:G13"/>
    <mergeCell ref="D15:D16"/>
    <mergeCell ref="E15:E16"/>
    <mergeCell ref="F15:F16"/>
    <mergeCell ref="G15:G16"/>
    <mergeCell ref="G9:G10"/>
    <mergeCell ref="B2:D2"/>
    <mergeCell ref="B3:D3"/>
    <mergeCell ref="D9:D10"/>
    <mergeCell ref="E9:E10"/>
    <mergeCell ref="F9:F10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F1230-8C14-4407-B58E-3ABC38EA057A}">
  <sheetPr codeName="Sheet41">
    <tabColor theme="1"/>
  </sheetPr>
  <dimension ref="B1:K13"/>
  <sheetViews>
    <sheetView workbookViewId="0">
      <selection activeCell="H23" sqref="H23"/>
    </sheetView>
  </sheetViews>
  <sheetFormatPr defaultRowHeight="14.5"/>
  <cols>
    <col min="2" max="2" width="35.7265625" customWidth="1"/>
    <col min="3" max="6" width="12.7265625" customWidth="1"/>
    <col min="8" max="8" width="13.453125" customWidth="1"/>
    <col min="9" max="9" width="13.26953125" customWidth="1"/>
    <col min="10" max="10" width="13.54296875" customWidth="1"/>
    <col min="11" max="11" width="12.54296875" customWidth="1"/>
  </cols>
  <sheetData>
    <row r="1" spans="2:11" ht="15" thickBot="1"/>
    <row r="2" spans="2:11">
      <c r="B2" s="362" t="s">
        <v>469</v>
      </c>
    </row>
    <row r="3" spans="2:11" ht="15" thickBot="1">
      <c r="B3" s="363" t="s">
        <v>242</v>
      </c>
    </row>
    <row r="4" spans="2:11" ht="15" thickBot="1"/>
    <row r="5" spans="2:11" ht="18.75" customHeight="1" thickBot="1">
      <c r="B5" s="279"/>
      <c r="C5" s="280" t="s">
        <v>121</v>
      </c>
      <c r="D5" s="280"/>
      <c r="E5" s="280" t="s">
        <v>55</v>
      </c>
      <c r="F5" s="280" t="s">
        <v>421</v>
      </c>
    </row>
    <row r="6" spans="2:11" ht="18.75" customHeight="1" thickBot="1">
      <c r="B6" s="204" t="s">
        <v>462</v>
      </c>
      <c r="C6" s="206"/>
      <c r="D6" s="206"/>
      <c r="E6" s="344"/>
      <c r="F6" s="344"/>
      <c r="H6" s="518"/>
      <c r="I6" s="518"/>
    </row>
    <row r="7" spans="2:11" ht="18.75" customHeight="1" thickBot="1">
      <c r="B7" s="283" t="s">
        <v>424</v>
      </c>
      <c r="C7" s="209" t="s">
        <v>347</v>
      </c>
      <c r="D7" s="202" t="s">
        <v>81</v>
      </c>
      <c r="E7" s="255">
        <f>'18 - Landing'!D12</f>
        <v>210.44304418717189</v>
      </c>
      <c r="F7" s="255">
        <f>'18 - Landing'!N12</f>
        <v>223.3096305544305</v>
      </c>
      <c r="H7" s="519"/>
      <c r="I7" s="519"/>
    </row>
    <row r="8" spans="2:11" ht="18.75" customHeight="1" thickBot="1">
      <c r="B8" s="283" t="s">
        <v>463</v>
      </c>
      <c r="C8" s="209" t="s">
        <v>347</v>
      </c>
      <c r="D8" s="202" t="s">
        <v>81</v>
      </c>
      <c r="E8" s="255">
        <f>'18 - Landing'!D13</f>
        <v>231.48734860588911</v>
      </c>
      <c r="F8" s="255">
        <f>'18 - Landing'!N13</f>
        <v>245.64059360987358</v>
      </c>
      <c r="H8" s="5" t="s">
        <v>95</v>
      </c>
      <c r="I8" s="519"/>
    </row>
    <row r="9" spans="2:11" ht="18.75" customHeight="1" thickBot="1">
      <c r="B9" s="283" t="s">
        <v>464</v>
      </c>
      <c r="C9" s="209" t="s">
        <v>347</v>
      </c>
      <c r="D9" s="202" t="s">
        <v>81</v>
      </c>
      <c r="E9" s="255">
        <f>'18 - Landing'!D14</f>
        <v>252.53165302460627</v>
      </c>
      <c r="F9" s="255">
        <f>'18 - Landing'!N14</f>
        <v>267.9715566653166</v>
      </c>
      <c r="H9" s="515" t="s">
        <v>55</v>
      </c>
      <c r="I9" s="280" t="s">
        <v>611</v>
      </c>
      <c r="J9" s="280" t="s">
        <v>421</v>
      </c>
      <c r="K9" s="280" t="s">
        <v>611</v>
      </c>
    </row>
    <row r="10" spans="2:11" ht="18.75" customHeight="1" thickBot="1">
      <c r="B10" s="204" t="s">
        <v>465</v>
      </c>
      <c r="C10" s="205"/>
      <c r="D10" s="206"/>
      <c r="E10" s="205"/>
      <c r="F10" s="205"/>
      <c r="H10" s="516"/>
      <c r="I10" s="205"/>
      <c r="J10" s="516"/>
      <c r="K10" s="205"/>
    </row>
    <row r="11" spans="2:11" ht="18.75" customHeight="1" thickBot="1">
      <c r="B11" s="283" t="s">
        <v>466</v>
      </c>
      <c r="C11" s="209" t="s">
        <v>132</v>
      </c>
      <c r="D11" s="202" t="s">
        <v>93</v>
      </c>
      <c r="E11" s="257">
        <f>'18 - Landing'!C17</f>
        <v>694.46204581766733</v>
      </c>
      <c r="F11" s="257">
        <f>'18 - Landing'!M17</f>
        <v>736.92178082962073</v>
      </c>
      <c r="H11" s="517">
        <f>'18 - Landing'!AI17</f>
        <v>758.68268420884442</v>
      </c>
      <c r="I11" s="520">
        <f>E11-H11</f>
        <v>-64.22063839117709</v>
      </c>
      <c r="J11" s="517">
        <f>'18 - Landing'!AZ17</f>
        <v>755.47301142107221</v>
      </c>
      <c r="K11" s="520">
        <f>F11-J11</f>
        <v>-18.551230591451485</v>
      </c>
    </row>
    <row r="12" spans="2:11" ht="18.75" customHeight="1" thickBot="1">
      <c r="B12" s="283" t="s">
        <v>467</v>
      </c>
      <c r="C12" s="209" t="s">
        <v>132</v>
      </c>
      <c r="D12" s="202" t="s">
        <v>93</v>
      </c>
      <c r="E12" s="257">
        <f>'18 - Landing'!C18</f>
        <v>2775.8641845685147</v>
      </c>
      <c r="F12" s="257">
        <f>'18 - Landing'!M18</f>
        <v>3125.6760753512708</v>
      </c>
      <c r="H12" s="517">
        <f>H13-H11</f>
        <v>2731.9571130298555</v>
      </c>
      <c r="I12" s="520">
        <f t="shared" ref="I12:I13" si="0">E12-H12</f>
        <v>43.907071538659238</v>
      </c>
      <c r="J12" s="517">
        <f>J13-J11</f>
        <v>3053.0691119919684</v>
      </c>
      <c r="K12" s="520">
        <f t="shared" ref="K12:K13" si="1">F12-J12</f>
        <v>72.606963359302426</v>
      </c>
    </row>
    <row r="13" spans="2:11" ht="18.75" customHeight="1" thickBot="1">
      <c r="B13" s="283" t="s">
        <v>468</v>
      </c>
      <c r="C13" s="209" t="s">
        <v>132</v>
      </c>
      <c r="D13" s="202" t="s">
        <v>93</v>
      </c>
      <c r="E13" s="257">
        <f>'18 - Landing'!D20</f>
        <v>3470.326230386182</v>
      </c>
      <c r="F13" s="257">
        <f>'18 - Landing'!N20</f>
        <v>3862.5978561808915</v>
      </c>
      <c r="H13" s="517">
        <f>'18 - Landing'!AI67</f>
        <v>3490.6397972386999</v>
      </c>
      <c r="I13" s="520">
        <f t="shared" si="0"/>
        <v>-20.313566852517852</v>
      </c>
      <c r="J13" s="517">
        <f>'18 - Landing'!AZ67</f>
        <v>3808.5421234130408</v>
      </c>
      <c r="K13" s="520">
        <f t="shared" si="1"/>
        <v>54.055732767850714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FCDE4-C2E5-430B-96CA-41CAEB573F50}">
  <sheetPr codeName="Sheet17">
    <tabColor theme="1"/>
  </sheetPr>
  <dimension ref="B1:AZ69"/>
  <sheetViews>
    <sheetView topLeftCell="A3" workbookViewId="0">
      <selection activeCell="AI67" sqref="AI67"/>
    </sheetView>
  </sheetViews>
  <sheetFormatPr defaultRowHeight="14.5"/>
  <cols>
    <col min="1" max="1" width="2.7265625" customWidth="1"/>
    <col min="2" max="8" width="12.7265625" customWidth="1"/>
    <col min="9" max="9" width="2.7265625" customWidth="1"/>
    <col min="10" max="10" width="1.7265625" customWidth="1"/>
    <col min="11" max="11" width="2.7265625" customWidth="1"/>
    <col min="12" max="18" width="12.7265625" customWidth="1"/>
    <col min="19" max="19" width="2.54296875" style="507" customWidth="1"/>
    <col min="21" max="21" width="10.1796875" customWidth="1"/>
  </cols>
  <sheetData>
    <row r="1" spans="2:52" ht="15" thickBot="1">
      <c r="J1" s="334"/>
    </row>
    <row r="2" spans="2:52">
      <c r="B2" s="672" t="s">
        <v>332</v>
      </c>
      <c r="C2" s="673"/>
      <c r="J2" s="334"/>
      <c r="L2" s="672" t="s">
        <v>332</v>
      </c>
      <c r="M2" s="673"/>
      <c r="T2" t="s">
        <v>626</v>
      </c>
      <c r="V2" t="s">
        <v>55</v>
      </c>
      <c r="W2">
        <v>0</v>
      </c>
      <c r="X2" t="s">
        <v>132</v>
      </c>
      <c r="AD2" t="s">
        <v>624</v>
      </c>
      <c r="AK2" t="s">
        <v>626</v>
      </c>
      <c r="AM2" t="s">
        <v>55</v>
      </c>
      <c r="AN2">
        <v>4000</v>
      </c>
      <c r="AO2" t="s">
        <v>132</v>
      </c>
      <c r="AU2" t="s">
        <v>624</v>
      </c>
    </row>
    <row r="3" spans="2:52" ht="15" thickBot="1">
      <c r="B3" s="674" t="s">
        <v>470</v>
      </c>
      <c r="C3" s="675"/>
      <c r="J3" s="334"/>
      <c r="L3" s="674" t="s">
        <v>471</v>
      </c>
      <c r="M3" s="675"/>
      <c r="T3" s="106">
        <f>D14</f>
        <v>252.53165302460627</v>
      </c>
      <c r="V3" t="s">
        <v>185</v>
      </c>
      <c r="W3" t="s">
        <v>72</v>
      </c>
      <c r="X3" t="s">
        <v>84</v>
      </c>
      <c r="Y3" t="s">
        <v>593</v>
      </c>
      <c r="Z3" t="s">
        <v>74</v>
      </c>
      <c r="AA3" t="s">
        <v>616</v>
      </c>
      <c r="AB3" t="s">
        <v>75</v>
      </c>
      <c r="AC3" t="s">
        <v>617</v>
      </c>
      <c r="AD3" t="s">
        <v>248</v>
      </c>
      <c r="AE3" t="s">
        <v>618</v>
      </c>
      <c r="AF3" t="s">
        <v>192</v>
      </c>
      <c r="AG3" t="s">
        <v>108</v>
      </c>
      <c r="AH3" t="s">
        <v>195</v>
      </c>
      <c r="AI3" t="s">
        <v>182</v>
      </c>
      <c r="AK3" s="106">
        <f>N14</f>
        <v>267.9715566653166</v>
      </c>
      <c r="AM3" t="s">
        <v>185</v>
      </c>
      <c r="AN3" t="s">
        <v>72</v>
      </c>
      <c r="AO3" t="s">
        <v>84</v>
      </c>
      <c r="AP3" t="s">
        <v>593</v>
      </c>
      <c r="AQ3" t="s">
        <v>74</v>
      </c>
      <c r="AR3" t="s">
        <v>616</v>
      </c>
      <c r="AS3" t="s">
        <v>75</v>
      </c>
      <c r="AT3" t="s">
        <v>617</v>
      </c>
      <c r="AU3" t="s">
        <v>248</v>
      </c>
      <c r="AV3" t="s">
        <v>618</v>
      </c>
      <c r="AW3" t="s">
        <v>192</v>
      </c>
      <c r="AX3" t="s">
        <v>108</v>
      </c>
      <c r="AY3" t="s">
        <v>195</v>
      </c>
      <c r="AZ3" t="s">
        <v>182</v>
      </c>
    </row>
    <row r="4" spans="2:52">
      <c r="J4" s="334"/>
      <c r="V4" s="55" t="s">
        <v>621</v>
      </c>
      <c r="W4" s="55"/>
      <c r="X4" s="55" t="s">
        <v>78</v>
      </c>
      <c r="Y4" s="55" t="s">
        <v>199</v>
      </c>
      <c r="Z4" s="55"/>
      <c r="AA4" s="55" t="s">
        <v>78</v>
      </c>
      <c r="AB4" s="55"/>
      <c r="AC4" s="55" t="s">
        <v>78</v>
      </c>
      <c r="AD4" s="55" t="s">
        <v>78</v>
      </c>
      <c r="AE4" s="55" t="s">
        <v>619</v>
      </c>
      <c r="AF4" s="55" t="s">
        <v>620</v>
      </c>
      <c r="AG4" s="55" t="s">
        <v>620</v>
      </c>
      <c r="AH4" s="55" t="s">
        <v>30</v>
      </c>
      <c r="AI4" s="55" t="s">
        <v>30</v>
      </c>
      <c r="AJ4" s="55"/>
      <c r="AM4" s="55" t="s">
        <v>621</v>
      </c>
      <c r="AN4" s="55"/>
      <c r="AO4" s="55" t="s">
        <v>78</v>
      </c>
      <c r="AP4" s="55" t="s">
        <v>199</v>
      </c>
      <c r="AQ4" s="55"/>
      <c r="AR4" s="55" t="s">
        <v>78</v>
      </c>
      <c r="AS4" s="55"/>
      <c r="AT4" s="55" t="s">
        <v>78</v>
      </c>
      <c r="AU4" s="55" t="s">
        <v>78</v>
      </c>
      <c r="AV4" s="55" t="s">
        <v>619</v>
      </c>
      <c r="AW4" s="55" t="s">
        <v>620</v>
      </c>
      <c r="AX4" s="55" t="s">
        <v>620</v>
      </c>
      <c r="AY4" s="55" t="s">
        <v>30</v>
      </c>
      <c r="AZ4" s="55" t="s">
        <v>30</v>
      </c>
    </row>
    <row r="5" spans="2:52">
      <c r="B5" t="s">
        <v>6</v>
      </c>
      <c r="C5" s="8">
        <v>8500</v>
      </c>
      <c r="D5" t="s">
        <v>5</v>
      </c>
      <c r="F5" t="s">
        <v>0</v>
      </c>
      <c r="G5" s="1">
        <f>Linterp(C6,atmos_h,atmos_qms)</f>
        <v>1481.3539468577285</v>
      </c>
      <c r="H5" t="s">
        <v>19</v>
      </c>
      <c r="J5" s="334"/>
      <c r="L5" t="s">
        <v>6</v>
      </c>
      <c r="M5" s="8">
        <v>8500</v>
      </c>
      <c r="N5" t="s">
        <v>5</v>
      </c>
      <c r="P5" t="s">
        <v>0</v>
      </c>
      <c r="Q5" s="1">
        <f>Linterp(M6,atmos_h,atmos_qms)</f>
        <v>1279.3877901163921</v>
      </c>
      <c r="R5" t="s">
        <v>19</v>
      </c>
      <c r="U5" s="476" t="s">
        <v>615</v>
      </c>
      <c r="V5" s="460">
        <f>D13</f>
        <v>231.48734860588911</v>
      </c>
      <c r="W5" s="511" cm="1">
        <f t="array" ref="W5">V5/Linterp(W$2,atmos_h,atmos_aspeed)</f>
        <v>0.20734233383124107</v>
      </c>
      <c r="X5" s="460">
        <f>(AC5-$M$5*SIN(RADIANS(-4))*(1-(V5/32.174)*(V5-T3)/(0-50)))</f>
        <v>550.63900225099678</v>
      </c>
      <c r="Y5" s="460" cm="1">
        <f t="array" ref="Y5">Linterp(T7,LND_CL_a,LND_alpha)</f>
        <v>6.3537810200322955</v>
      </c>
      <c r="Z5" s="511" cm="1">
        <f t="array" ref="Z5">Linterp(Y5,LND_alpha,LND_CL_a)</f>
        <v>0.78511845242229295</v>
      </c>
      <c r="AA5" s="460" cm="1">
        <f t="array" ref="AA5">Z5*S*Linterp(W$2,atmos_h,atmos_qms)*W5^2</f>
        <v>8500</v>
      </c>
      <c r="AB5" s="511" cm="1">
        <f t="array" ref="AB5">Linterp(Z5,LND_CL_cd,LND_CD_cl)</f>
        <v>0.16194027382357959</v>
      </c>
      <c r="AC5" s="460" cm="1">
        <f t="array" ref="AC5">AB5*S*Linterp(W$2,atmos_h,atmos_qms)*W5^2</f>
        <v>1753.2288577011439</v>
      </c>
      <c r="AD5" s="460">
        <f>$T$10*($C$5-AA5)</f>
        <v>0</v>
      </c>
      <c r="AE5" s="460">
        <f>(X5-AC5-AD5)/($M$5/32.174)</f>
        <v>-4.552014824618003</v>
      </c>
      <c r="AF5" s="460">
        <v>0</v>
      </c>
      <c r="AG5" s="460">
        <f>AF5</f>
        <v>0</v>
      </c>
      <c r="AH5" s="460">
        <v>0</v>
      </c>
      <c r="AI5" s="460">
        <v>0</v>
      </c>
      <c r="AL5" s="476" t="s">
        <v>615</v>
      </c>
      <c r="AM5" s="460">
        <f>N13</f>
        <v>245.64059360987358</v>
      </c>
      <c r="AN5" s="511" cm="1">
        <f t="array" ref="AN5">AM5/Linterp(AN$2,atmos_h,atmos_aspeed)</f>
        <v>0.22310859572544844</v>
      </c>
      <c r="AO5" s="460">
        <f>(AT5-$M$5*SIN(RADIANS(-4))*(1-(AM5/32.174)*(AM5-AK3)/(0-50)))</f>
        <v>324.36924574552631</v>
      </c>
      <c r="AP5" s="460" cm="1">
        <f t="array" ref="AP5">Linterp(AK7,LND_CL_a,LND_alpha)</f>
        <v>6.3537813418078466</v>
      </c>
      <c r="AQ5" s="511" cm="1">
        <f t="array" ref="AQ5">Linterp(AP5,LND_alpha,LND_CL_a)</f>
        <v>0.7851184752683571</v>
      </c>
      <c r="AR5" s="460" cm="1">
        <f t="array" ref="AR5">AQ5*S*Linterp(AN$2,atmos_h,atmos_qms)*AN5^2</f>
        <v>8499.9999999999982</v>
      </c>
      <c r="AS5" s="511" cm="1">
        <f t="array" ref="AS5">Linterp(AQ5,LND_CL_cd,LND_CD_cl)</f>
        <v>0.16194028159124141</v>
      </c>
      <c r="AT5" s="460" cm="1">
        <f t="array" ref="AT5">AS5*S*Linterp(AN$2,atmos_h,atmos_qms)*AN5^2</f>
        <v>1753.228890779905</v>
      </c>
      <c r="AU5" s="460">
        <f>$T$10*($C$5-AR5)</f>
        <v>4.5474735088646414E-14</v>
      </c>
      <c r="AV5" s="460">
        <f>(AO5-AT5-AU5)/($M$5/32.174)</f>
        <v>-5.4084859081571874</v>
      </c>
      <c r="AW5" s="460">
        <v>0</v>
      </c>
      <c r="AX5" s="460">
        <f>AW5</f>
        <v>0</v>
      </c>
      <c r="AY5" s="460">
        <v>0</v>
      </c>
      <c r="AZ5" s="460">
        <v>0</v>
      </c>
    </row>
    <row r="6" spans="2:52">
      <c r="B6" t="s">
        <v>1</v>
      </c>
      <c r="C6" s="8">
        <v>1E-3</v>
      </c>
      <c r="D6" t="s">
        <v>2</v>
      </c>
      <c r="F6" t="s">
        <v>153</v>
      </c>
      <c r="G6" s="1">
        <f>Linterp(C6,atmos_h,atmos_aspeed)</f>
        <v>1116.4499961587444</v>
      </c>
      <c r="H6" t="s">
        <v>20</v>
      </c>
      <c r="J6" s="334"/>
      <c r="L6" t="s">
        <v>1</v>
      </c>
      <c r="M6" s="8">
        <v>4000</v>
      </c>
      <c r="N6" t="s">
        <v>2</v>
      </c>
      <c r="P6" t="s">
        <v>153</v>
      </c>
      <c r="Q6" s="1">
        <f>Linterp(M6,atmos_h,atmos_aspeed)</f>
        <v>1100.9911689469482</v>
      </c>
      <c r="R6" t="s">
        <v>20</v>
      </c>
      <c r="T6" t="s">
        <v>622</v>
      </c>
      <c r="V6" s="3">
        <f>V5-(V$5-V$17)/12</f>
        <v>230.5228179866979</v>
      </c>
      <c r="W6" s="63" cm="1">
        <f t="array" ref="W6">V6/Linterp(W$2,atmos_h,atmos_aspeed)</f>
        <v>0.20647840744027757</v>
      </c>
      <c r="X6" s="3">
        <f>X5-(X$5-X$17)/12</f>
        <v>519.83071075864655</v>
      </c>
      <c r="Y6" s="3">
        <f>Y5-Y$5/12</f>
        <v>5.8242992683629371</v>
      </c>
      <c r="Z6" s="63" cm="1">
        <f t="array" ref="Z6">Linterp(Y6,LND_alpha,LND_CL_a)</f>
        <v>0.74752524805376852</v>
      </c>
      <c r="AA6" s="3" cm="1">
        <f t="array" ref="AA6">Z6*S*Linterp(W$2,atmos_h,atmos_qms)*W6^2</f>
        <v>8025.7000658072984</v>
      </c>
      <c r="AB6" s="63" cm="1">
        <f t="array" ref="AB6">Linterp(Z6,LND_CL_cd,LND_CD_cl)</f>
        <v>0.14930706945505517</v>
      </c>
      <c r="AC6" s="3" cm="1">
        <f t="array" ref="AC6">AB6*S*Linterp(W$2,atmos_h,atmos_qms)*W6^2</f>
        <v>1603.014426965201</v>
      </c>
      <c r="AD6" s="3">
        <f>$T$10*($C$5-AA6)</f>
        <v>11.85749835481754</v>
      </c>
      <c r="AE6" s="3">
        <f t="shared" ref="AE6:AE16" si="0">(X6-AC6-AD6)/($M$5/32.174)</f>
        <v>-4.1449242396820685</v>
      </c>
      <c r="AF6" s="3">
        <f>(V6-V5)/AVERAGE(AE5:AE6)</f>
        <v>0.22180921633692824</v>
      </c>
      <c r="AG6" s="3">
        <f>AG5+AF6</f>
        <v>0.22180921633692824</v>
      </c>
      <c r="AH6" s="3">
        <f>AVERAGE(V5:V6)*AF6</f>
        <v>51.239056495797691</v>
      </c>
      <c r="AI6" s="3">
        <f>AI5+AH6</f>
        <v>51.239056495797691</v>
      </c>
      <c r="AK6" t="s">
        <v>622</v>
      </c>
      <c r="AM6" s="3">
        <f>AM5-(AM$5-AM$17)/12</f>
        <v>244.61709113649911</v>
      </c>
      <c r="AN6" s="63" cm="1">
        <f t="array" ref="AN6">AM6/Linterp(AN$2,atmos_h,atmos_aspeed)</f>
        <v>0.22217897657659244</v>
      </c>
      <c r="AO6" s="3">
        <f>AO5-(AO$5-AO$17)/12</f>
        <v>311.01383208029358</v>
      </c>
      <c r="AP6" s="3">
        <f>AP5-AP$5/12</f>
        <v>5.8242995633238595</v>
      </c>
      <c r="AQ6" s="63" cm="1">
        <f t="array" ref="AQ6">Linterp(AP6,LND_alpha,LND_CL_a)</f>
        <v>0.74752526899599403</v>
      </c>
      <c r="AR6" s="3" cm="1">
        <f t="array" ref="AR6">AQ6*S*Linterp(AN$2,atmos_h,atmos_qms)*AN6^2</f>
        <v>8025.7000571117205</v>
      </c>
      <c r="AS6" s="63" cm="1">
        <f t="array" ref="AS6">Linterp(AQ6,LND_CL_cd,LND_CD_cl)</f>
        <v>0.14930707531887832</v>
      </c>
      <c r="AT6" s="3" cm="1">
        <f t="array" ref="AT6">AS6*S*Linterp(AN$2,atmos_h,atmos_qms)*AN6^2</f>
        <v>1603.0144432753984</v>
      </c>
      <c r="AU6" s="3">
        <f>$T$10*($C$5-AR6)</f>
        <v>11.857498572206987</v>
      </c>
      <c r="AV6" s="3">
        <f t="shared" ref="AV6:AV8" si="1">(AO6-AT6-AU6)/($M$5/32.174)</f>
        <v>-4.9353330380768812</v>
      </c>
      <c r="AW6" s="3">
        <f>(AM6-AM5)/AVERAGE(AV5:AV6)</f>
        <v>0.1978964401241953</v>
      </c>
      <c r="AX6" s="3">
        <f>AX5+AW6</f>
        <v>0.1978964401241953</v>
      </c>
      <c r="AY6" s="3">
        <f>AVERAGE(AM5:AM6)*AW6</f>
        <v>48.510125277418574</v>
      </c>
      <c r="AZ6" s="3">
        <f>AZ5+AY6</f>
        <v>48.510125277418574</v>
      </c>
    </row>
    <row r="7" spans="2:52">
      <c r="B7" t="s">
        <v>72</v>
      </c>
      <c r="C7" s="8">
        <v>0.1</v>
      </c>
      <c r="D7" t="s">
        <v>154</v>
      </c>
      <c r="F7" t="s">
        <v>155</v>
      </c>
      <c r="G7" s="9">
        <f>Linterp(C6,atmos_h,atmos_rho)</f>
        <v>2.376879930835467E-3</v>
      </c>
      <c r="H7" t="s">
        <v>156</v>
      </c>
      <c r="J7" s="334"/>
      <c r="L7" t="s">
        <v>72</v>
      </c>
      <c r="M7" s="8">
        <v>0.1</v>
      </c>
      <c r="N7" t="s">
        <v>154</v>
      </c>
      <c r="P7" t="s">
        <v>155</v>
      </c>
      <c r="Q7" s="9">
        <f>Linterp(M6,atmos_h,atmos_rho)</f>
        <v>2.1108700044307608E-3</v>
      </c>
      <c r="R7" t="s">
        <v>156</v>
      </c>
      <c r="T7" s="509" cm="1">
        <f t="array" ref="T7">$M$5/(S*W5*W5*Linterp(W2,atmos_h,atmos_qms))</f>
        <v>0.78511845242229295</v>
      </c>
      <c r="V7" s="3">
        <f t="shared" ref="V7:V16" si="2">V6-(V$5-V$17)/12</f>
        <v>229.55828736750669</v>
      </c>
      <c r="W7" s="63" cm="1">
        <f t="array" ref="W7">V7/Linterp(W$2,atmos_h,atmos_aspeed)</f>
        <v>0.20561448104931407</v>
      </c>
      <c r="X7" s="3">
        <f t="shared" ref="X7:X16" si="3">X6-(X$5-X$17)/12</f>
        <v>489.02241926629631</v>
      </c>
      <c r="Y7" s="3">
        <f t="shared" ref="Y7:Y15" si="4">Y6-Y$5/12</f>
        <v>5.2948175166935787</v>
      </c>
      <c r="Z7" s="63" cm="1">
        <f t="array" ref="Z7">Linterp(Y7,LND_alpha,LND_CL_a)</f>
        <v>0.7099320436852441</v>
      </c>
      <c r="AA7" s="3" cm="1">
        <f t="array" ref="AA7">Z7*S*Linterp(W$2,atmos_h,atmos_qms)*W7^2</f>
        <v>7558.4361874774513</v>
      </c>
      <c r="AB7" s="63" cm="1">
        <f t="array" ref="AB7">Linterp(Z7,LND_CL_cd,LND_CD_cl)</f>
        <v>0.13878097223186836</v>
      </c>
      <c r="AC7" s="3" cm="1">
        <f t="array" ref="AC7">AB7*S*Linterp(W$2,atmos_h,atmos_qms)*W7^2</f>
        <v>1477.5599044740791</v>
      </c>
      <c r="AD7" s="3">
        <f t="shared" ref="AD7:AD16" si="5">$T$10*($C$5-AA7)</f>
        <v>23.539095313063719</v>
      </c>
      <c r="AE7" s="3">
        <f t="shared" si="0"/>
        <v>-3.8308884590209074</v>
      </c>
      <c r="AF7" s="3">
        <f t="shared" ref="AF7:AF17" si="6">(V7-V6)/AVERAGE(AE6:AE7)</f>
        <v>0.24186390920339945</v>
      </c>
      <c r="AG7" s="3">
        <f t="shared" ref="AG7:AG17" si="7">AG6+AF7</f>
        <v>0.46367312554032769</v>
      </c>
      <c r="AH7" s="3">
        <f t="shared" ref="AH7:AH17" si="8">AVERAGE(V6:V7)*AF7</f>
        <v>55.638507345794501</v>
      </c>
      <c r="AI7" s="3">
        <f t="shared" ref="AI7:AI17" si="9">AI6+AH7</f>
        <v>106.87756384159219</v>
      </c>
      <c r="AK7" cm="1">
        <f t="array" ref="AK7">$M$5/(S*AN5*AN5*Linterp(AN2,atmos_h,atmos_qms))</f>
        <v>0.7851184752683571</v>
      </c>
      <c r="AM7" s="3">
        <f t="shared" ref="AM7:AM16" si="10">AM6-(AM$5-AM$17)/12</f>
        <v>243.59358866312465</v>
      </c>
      <c r="AN7" s="63" cm="1">
        <f t="array" ref="AN7">AM7/Linterp(AN$2,atmos_h,atmos_aspeed)</f>
        <v>0.22124935742773641</v>
      </c>
      <c r="AO7" s="3">
        <f t="shared" ref="AO7:AO16" si="11">AO6-(AO$5-AO$17)/12</f>
        <v>297.65841841506085</v>
      </c>
      <c r="AP7" s="3">
        <f t="shared" ref="AP7:AP15" si="12">AP6-AP$5/12</f>
        <v>5.2948177848398723</v>
      </c>
      <c r="AQ7" s="63" cm="1">
        <f t="array" ref="AQ7">Linterp(AP7,LND_alpha,LND_CL_a)</f>
        <v>0.70993206272363085</v>
      </c>
      <c r="AR7" s="3" cm="1">
        <f t="array" ref="AR7">AQ7*S*Linterp(AN$2,atmos_h,atmos_qms)*AN7^2</f>
        <v>7558.4361702315227</v>
      </c>
      <c r="AS7" s="63" cm="1">
        <f t="array" ref="AS7">Linterp(AQ7,LND_CL_cd,LND_CD_cl)</f>
        <v>0.13878097756261665</v>
      </c>
      <c r="AT7" s="3" cm="1">
        <f t="array" ref="AT7">AS7*S*Linterp(AN$2,atmos_h,atmos_qms)*AN7^2</f>
        <v>1477.559918233645</v>
      </c>
      <c r="AU7" s="3">
        <f t="shared" ref="AU7:AU16" si="13">$T$10*($C$5-AR7)</f>
        <v>23.539095744211934</v>
      </c>
      <c r="AV7" s="3">
        <f t="shared" si="1"/>
        <v>-4.5552350260749881</v>
      </c>
      <c r="AW7" s="3">
        <f t="shared" ref="AW7:AW67" si="14">(AM7-AM6)/AVERAGE(AV6:AV7)</f>
        <v>0.21568834793788072</v>
      </c>
      <c r="AX7" s="3">
        <f t="shared" ref="AX7:AX67" si="15">AX6+AW7</f>
        <v>0.41358478806207599</v>
      </c>
      <c r="AY7" s="3">
        <f t="shared" ref="AY7:AY67" si="16">AVERAGE(AM6:AM7)*AW7</f>
        <v>52.650677485805268</v>
      </c>
      <c r="AZ7" s="3">
        <f t="shared" ref="AZ7:AZ67" si="17">AZ6+AY7</f>
        <v>101.16080276322384</v>
      </c>
    </row>
    <row r="8" spans="2:52" ht="16.5">
      <c r="B8" t="s">
        <v>243</v>
      </c>
      <c r="C8" s="106">
        <f>_xlfn.SINGLE(CLmaxLND)</f>
        <v>0.95</v>
      </c>
      <c r="G8" s="9"/>
      <c r="J8" s="334"/>
      <c r="L8" t="s">
        <v>243</v>
      </c>
      <c r="M8" s="106">
        <f>_xlfn.SINGLE(CLmaxLND)</f>
        <v>0.95</v>
      </c>
      <c r="Q8" s="9"/>
      <c r="V8" s="3">
        <f t="shared" si="2"/>
        <v>228.59375674831549</v>
      </c>
      <c r="W8" s="63" cm="1">
        <f t="array" ref="W8">V8/Linterp(W$2,atmos_h,atmos_aspeed)</f>
        <v>0.20475055465835054</v>
      </c>
      <c r="X8" s="3">
        <f t="shared" si="3"/>
        <v>458.21412777394607</v>
      </c>
      <c r="Y8" s="3">
        <f t="shared" si="4"/>
        <v>4.7653357650242203</v>
      </c>
      <c r="Z8" s="63" cm="1">
        <f t="array" ref="Z8">Linterp(Y8,LND_alpha,LND_CL_a)</f>
        <v>0.67257350355169543</v>
      </c>
      <c r="AA8" s="3" cm="1">
        <f t="array" ref="AA8">Z8*S*Linterp(W$2,atmos_h,atmos_qms)*W8^2</f>
        <v>7100.6434190525542</v>
      </c>
      <c r="AB8" s="63" cm="1">
        <f t="array" ref="AB8">Linterp(Z8,LND_CL_cd,LND_CD_cl)</f>
        <v>0.1288691109234408</v>
      </c>
      <c r="AC8" s="3" cm="1">
        <f t="array" ref="AC8">AB8*S*Linterp(W$2,atmos_h,atmos_qms)*W8^2</f>
        <v>1360.525800623293</v>
      </c>
      <c r="AD8" s="3">
        <f t="shared" si="5"/>
        <v>34.983914523686146</v>
      </c>
      <c r="AE8" s="3">
        <f t="shared" si="0"/>
        <v>-3.547829203310584</v>
      </c>
      <c r="AF8" s="3">
        <f t="shared" si="6"/>
        <v>0.26143583840188317</v>
      </c>
      <c r="AG8" s="3">
        <f t="shared" si="7"/>
        <v>0.7251089639422108</v>
      </c>
      <c r="AH8" s="3">
        <f t="shared" si="8"/>
        <v>59.888681884478267</v>
      </c>
      <c r="AI8" s="3">
        <f t="shared" si="9"/>
        <v>166.76624572607045</v>
      </c>
      <c r="AM8" s="3">
        <f t="shared" si="10"/>
        <v>242.57008618975019</v>
      </c>
      <c r="AN8" s="63" cm="1">
        <f t="array" ref="AN8">AM8/Linterp(AN$2,atmos_h,atmos_aspeed)</f>
        <v>0.22031973827888038</v>
      </c>
      <c r="AO8" s="3">
        <f t="shared" si="11"/>
        <v>284.30300474982812</v>
      </c>
      <c r="AP8" s="3">
        <f t="shared" si="12"/>
        <v>4.7653360063558852</v>
      </c>
      <c r="AQ8" s="63" cm="1">
        <f t="array" ref="AQ8">Linterp(AP8,LND_alpha,LND_CL_a)</f>
        <v>0.67257352044491192</v>
      </c>
      <c r="AR8" s="3" cm="1">
        <f t="array" ref="AR8">AQ8*S*Linterp(AN$2,atmos_h,atmos_qms)*AN8^2</f>
        <v>7100.6433907806631</v>
      </c>
      <c r="AS8" s="63" cm="1">
        <f t="array" ref="AS8">Linterp(AQ8,LND_CL_cd,LND_CD_cl)</f>
        <v>0.1288691153156771</v>
      </c>
      <c r="AT8" s="3" cm="1">
        <f t="array" ref="AT8">AS8*S*Linterp(AN$2,atmos_h,atmos_qms)*AN8^2</f>
        <v>1360.5258074042217</v>
      </c>
      <c r="AU8" s="3">
        <f t="shared" si="13"/>
        <v>34.983915230483426</v>
      </c>
      <c r="AV8" s="3">
        <f t="shared" si="1"/>
        <v>-4.2061135224974153</v>
      </c>
      <c r="AW8" s="3">
        <f t="shared" si="14"/>
        <v>0.23364039627010066</v>
      </c>
      <c r="AX8" s="3">
        <f t="shared" si="15"/>
        <v>0.64722518433217668</v>
      </c>
      <c r="AY8" s="3">
        <f t="shared" si="16"/>
        <v>56.793736822377021</v>
      </c>
      <c r="AZ8" s="3">
        <f t="shared" si="17"/>
        <v>157.95453958560086</v>
      </c>
    </row>
    <row r="9" spans="2:52" ht="16.5">
      <c r="B9" s="108" t="s">
        <v>244</v>
      </c>
      <c r="C9" s="109">
        <v>0.3</v>
      </c>
      <c r="G9" s="9"/>
      <c r="J9" s="334"/>
      <c r="L9" s="108" t="s">
        <v>244</v>
      </c>
      <c r="M9" s="109">
        <v>0.3</v>
      </c>
      <c r="Q9" s="9"/>
      <c r="T9" s="108" t="s">
        <v>628</v>
      </c>
      <c r="V9" s="3">
        <f t="shared" si="2"/>
        <v>227.62922612912428</v>
      </c>
      <c r="W9" s="63" cm="1">
        <f t="array" ref="W9">V9/Linterp(W$2,atmos_h,atmos_aspeed)</f>
        <v>0.20388662826738704</v>
      </c>
      <c r="X9" s="3">
        <f t="shared" si="3"/>
        <v>427.40583628159584</v>
      </c>
      <c r="Y9" s="3">
        <f t="shared" si="4"/>
        <v>4.2358540133548619</v>
      </c>
      <c r="Z9" s="63" cm="1">
        <f t="array" ref="Z9">Linterp(Y9,LND_alpha,LND_CL_a)</f>
        <v>0.63550978093484034</v>
      </c>
      <c r="AA9" s="3" cm="1">
        <f t="array" ref="AA9">Z9*S*Linterp(W$2,atmos_h,atmos_qms)*W9^2</f>
        <v>6652.8464927015548</v>
      </c>
      <c r="AB9" s="63" cm="1">
        <f t="array" ref="AB9">Linterp(Z9,LND_CL_cd,LND_CD_cl)</f>
        <v>0.12039176056827126</v>
      </c>
      <c r="AC9" s="3" cm="1">
        <f t="array" ref="AC9">AB9*S*Linterp(W$2,atmos_h,atmos_qms)*W9^2</f>
        <v>1260.3234852948881</v>
      </c>
      <c r="AD9" s="3">
        <f t="shared" si="5"/>
        <v>46.178837682461136</v>
      </c>
      <c r="AE9" s="3">
        <f>(X9-AC9-AD9)/($M$5/32.174)</f>
        <v>-3.3275353368175491</v>
      </c>
      <c r="AF9" s="3">
        <f t="shared" si="6"/>
        <v>0.28057584832388621</v>
      </c>
      <c r="AG9" s="3">
        <f t="shared" si="7"/>
        <v>1.0056848122660971</v>
      </c>
      <c r="AH9" s="3">
        <f t="shared" si="8"/>
        <v>64.002575222845735</v>
      </c>
      <c r="AI9" s="3">
        <f t="shared" si="9"/>
        <v>230.76882094891619</v>
      </c>
      <c r="AK9" s="108" t="s">
        <v>628</v>
      </c>
      <c r="AM9" s="3">
        <f t="shared" si="10"/>
        <v>241.54658371637572</v>
      </c>
      <c r="AN9" s="63" cm="1">
        <f t="array" ref="AN9">AM9/Linterp(AN$2,atmos_h,atmos_aspeed)</f>
        <v>0.21939011913002435</v>
      </c>
      <c r="AO9" s="3">
        <f t="shared" si="11"/>
        <v>270.94759108459539</v>
      </c>
      <c r="AP9" s="3">
        <f t="shared" si="12"/>
        <v>4.235854227871898</v>
      </c>
      <c r="AQ9" s="63" cm="1">
        <f t="array" ref="AQ9">Linterp(AP9,LND_alpha,LND_CL_a)</f>
        <v>0.63550979595103285</v>
      </c>
      <c r="AR9" s="3" cm="1">
        <f t="array" ref="AR9">AQ9*S*Linterp(AN$2,atmos_h,atmos_qms)*AN9^2</f>
        <v>6652.8464563085081</v>
      </c>
      <c r="AS9" s="63" cm="1">
        <f t="array" ref="AS9">Linterp(AQ9,LND_CL_cd,LND_CD_cl)</f>
        <v>0.12039176327118591</v>
      </c>
      <c r="AT9" s="3" cm="1">
        <f t="array" ref="AT9">AS9*S*Linterp(AN$2,atmos_h,atmos_qms)*AN9^2</f>
        <v>1260.3234769164067</v>
      </c>
      <c r="AU9" s="3">
        <f t="shared" si="13"/>
        <v>46.178838592287299</v>
      </c>
      <c r="AV9" s="3">
        <f>(AO9-AT9-AU9)/($M$5/32.174)</f>
        <v>-3.9197573768965817</v>
      </c>
      <c r="AW9" s="3">
        <f t="shared" si="14"/>
        <v>0.25191206851459913</v>
      </c>
      <c r="AX9" s="3">
        <f t="shared" si="15"/>
        <v>0.89913725284677581</v>
      </c>
      <c r="AY9" s="3">
        <f t="shared" si="16"/>
        <v>60.977415859225786</v>
      </c>
      <c r="AZ9" s="3">
        <f t="shared" si="17"/>
        <v>218.93195544482666</v>
      </c>
    </row>
    <row r="10" spans="2:52">
      <c r="B10" s="108"/>
      <c r="C10" s="109"/>
      <c r="G10" s="9"/>
      <c r="J10" s="334"/>
      <c r="L10" s="108"/>
      <c r="M10" s="109"/>
      <c r="Q10" s="9"/>
      <c r="T10">
        <v>2.5000000000000001E-2</v>
      </c>
      <c r="V10" s="3">
        <f t="shared" si="2"/>
        <v>226.66469550993307</v>
      </c>
      <c r="W10" s="63" cm="1">
        <f t="array" ref="W10">V10/Linterp(W$2,atmos_h,atmos_aspeed)</f>
        <v>0.20302270187642354</v>
      </c>
      <c r="X10" s="3">
        <f t="shared" si="3"/>
        <v>396.5975447892456</v>
      </c>
      <c r="Y10" s="3">
        <f t="shared" si="4"/>
        <v>3.7063722616855039</v>
      </c>
      <c r="Z10" s="63" cm="1">
        <f t="array" ref="Z10">Linterp(Y10,LND_alpha,LND_CL_a)</f>
        <v>0.59815243057967082</v>
      </c>
      <c r="AA10" s="3" cm="1">
        <f t="array" ref="AA10">Z10*S*Linterp(W$2,atmos_h,atmos_qms)*W10^2</f>
        <v>6208.8169217492032</v>
      </c>
      <c r="AB10" s="63" cm="1">
        <f t="array" ref="AB10">Linterp(Z10,LND_CL_cd,LND_CD_cl)</f>
        <v>0.11370438889274734</v>
      </c>
      <c r="AC10" s="3" cm="1">
        <f t="array" ref="AC10">AB10*S*Linterp(W$2,atmos_h,atmos_qms)*W10^2</f>
        <v>1180.2505477580105</v>
      </c>
      <c r="AD10" s="3">
        <f t="shared" si="5"/>
        <v>57.279576956269921</v>
      </c>
      <c r="AE10" s="3">
        <f t="shared" si="0"/>
        <v>-3.1830782148833023</v>
      </c>
      <c r="AF10" s="3">
        <f t="shared" si="6"/>
        <v>0.29629484580273746</v>
      </c>
      <c r="AG10" s="3">
        <f t="shared" si="7"/>
        <v>1.3019796580688345</v>
      </c>
      <c r="AH10" s="3">
        <f t="shared" si="8"/>
        <v>67.30247373058269</v>
      </c>
      <c r="AI10" s="3">
        <f t="shared" si="9"/>
        <v>298.07129467949886</v>
      </c>
      <c r="AK10">
        <v>2.5000000000000001E-2</v>
      </c>
      <c r="AM10" s="3">
        <f t="shared" si="10"/>
        <v>240.52308124300126</v>
      </c>
      <c r="AN10" s="63" cm="1">
        <f t="array" ref="AN10">AM10/Linterp(AN$2,atmos_h,atmos_aspeed)</f>
        <v>0.21846049998116832</v>
      </c>
      <c r="AO10" s="3">
        <f t="shared" si="11"/>
        <v>257.59217741936266</v>
      </c>
      <c r="AP10" s="3">
        <f t="shared" si="12"/>
        <v>3.7063724493879109</v>
      </c>
      <c r="AQ10" s="63" cm="1">
        <f t="array" ref="AQ10">Linterp(AP10,LND_alpha,LND_CL_a)</f>
        <v>0.59815244390654165</v>
      </c>
      <c r="AR10" s="3" cm="1">
        <f t="array" ref="AR10">AQ10*S*Linterp(AN$2,atmos_h,atmos_qms)*AN10^2</f>
        <v>6208.8168794124158</v>
      </c>
      <c r="AS10" s="63" cm="1">
        <f t="array" ref="AS10">Linterp(AQ10,LND_CL_cd,LND_CD_cl)</f>
        <v>0.11370439102504667</v>
      </c>
      <c r="AT10" s="3" cm="1">
        <f t="array" ref="AT10">AS10*S*Linterp(AN$2,atmos_h,atmos_qms)*AN10^2</f>
        <v>1180.2505355472954</v>
      </c>
      <c r="AU10" s="3">
        <f t="shared" si="13"/>
        <v>57.279578014689605</v>
      </c>
      <c r="AV10" s="3">
        <f t="shared" ref="AV10:AV16" si="18">(AO10-AT10-AU10)/($M$5/32.174)</f>
        <v>-3.7092380185238505</v>
      </c>
      <c r="AW10" s="3">
        <f t="shared" si="14"/>
        <v>0.26831906963500241</v>
      </c>
      <c r="AX10" s="3">
        <f t="shared" si="15"/>
        <v>1.1674563224817782</v>
      </c>
      <c r="AY10" s="3">
        <f t="shared" si="16"/>
        <v>64.674242000578673</v>
      </c>
      <c r="AZ10" s="3">
        <f t="shared" si="17"/>
        <v>283.60619744540531</v>
      </c>
    </row>
    <row r="11" spans="2:52" ht="15" thickBot="1">
      <c r="C11" s="4" t="s">
        <v>161</v>
      </c>
      <c r="J11" s="334"/>
      <c r="M11" s="4" t="s">
        <v>161</v>
      </c>
      <c r="V11" s="3">
        <f t="shared" si="2"/>
        <v>225.70016489074186</v>
      </c>
      <c r="W11" s="63" cm="1">
        <f t="array" ref="W11">V11/Linterp(W$2,atmos_h,atmos_aspeed)</f>
        <v>0.20215877548546002</v>
      </c>
      <c r="X11" s="3">
        <f t="shared" si="3"/>
        <v>365.78925329689537</v>
      </c>
      <c r="Y11" s="3">
        <f t="shared" si="4"/>
        <v>3.176890510016146</v>
      </c>
      <c r="Z11" s="63" cm="1">
        <f t="array" ref="Z11">Linterp(Y11,LND_alpha,LND_CL_a)</f>
        <v>0.5605592262111464</v>
      </c>
      <c r="AA11" s="3" cm="1">
        <f t="array" ref="AA11">Z11*S*Linterp(W$2,atmos_h,atmos_qms)*W11^2</f>
        <v>5769.1851574365583</v>
      </c>
      <c r="AB11" s="63" cm="1">
        <f t="array" ref="AB11">Linterp(Z11,LND_CL_cd,LND_CD_cl)</f>
        <v>0.10768947619378341</v>
      </c>
      <c r="AC11" s="3" cm="1">
        <f t="array" ref="AC11">AB11*S*Linterp(W$2,atmos_h,atmos_qms)*W11^2</f>
        <v>1108.3227224151949</v>
      </c>
      <c r="AD11" s="3">
        <f t="shared" si="5"/>
        <v>68.270371064086049</v>
      </c>
      <c r="AE11" s="3">
        <f t="shared" si="0"/>
        <v>-3.0690356181209495</v>
      </c>
      <c r="AF11" s="3">
        <f t="shared" si="6"/>
        <v>0.30854544397434119</v>
      </c>
      <c r="AG11" s="3">
        <f t="shared" si="7"/>
        <v>1.6105251020431757</v>
      </c>
      <c r="AH11" s="3">
        <f t="shared" si="8"/>
        <v>69.787558345358562</v>
      </c>
      <c r="AI11" s="3">
        <f t="shared" si="9"/>
        <v>367.85885302485741</v>
      </c>
      <c r="AM11" s="3">
        <f t="shared" si="10"/>
        <v>239.49957876962679</v>
      </c>
      <c r="AN11" s="63" cm="1">
        <f t="array" ref="AN11">AM11/Linterp(AN$2,atmos_h,atmos_aspeed)</f>
        <v>0.21753088083231228</v>
      </c>
      <c r="AO11" s="3">
        <f t="shared" si="11"/>
        <v>244.23676375412995</v>
      </c>
      <c r="AP11" s="3">
        <f t="shared" si="12"/>
        <v>3.1768906709039237</v>
      </c>
      <c r="AQ11" s="63" cm="1">
        <f t="array" ref="AQ11">Linterp(AP11,LND_alpha,LND_CL_a)</f>
        <v>0.56055923763417859</v>
      </c>
      <c r="AR11" s="3" cm="1">
        <f t="array" ref="AR11">AQ11*S*Linterp(AN$2,atmos_h,atmos_qms)*AN11^2</f>
        <v>5769.185107123767</v>
      </c>
      <c r="AS11" s="63" cm="1">
        <f t="array" ref="AS11">Linterp(AQ11,LND_CL_cd,LND_CD_cl)</f>
        <v>0.10768947802146857</v>
      </c>
      <c r="AT11" s="3" cm="1">
        <f t="array" ref="AT11">AS11*S*Linterp(AN$2,atmos_h,atmos_qms)*AN11^2</f>
        <v>1108.3227089744917</v>
      </c>
      <c r="AU11" s="3">
        <f t="shared" si="13"/>
        <v>68.270372321905825</v>
      </c>
      <c r="AV11" s="3">
        <f t="shared" si="18"/>
        <v>-3.5291331953652842</v>
      </c>
      <c r="AW11" s="3">
        <f t="shared" si="14"/>
        <v>0.28279911132784852</v>
      </c>
      <c r="AX11" s="3">
        <f t="shared" si="15"/>
        <v>1.4502554338096267</v>
      </c>
      <c r="AY11" s="3">
        <f t="shared" si="16"/>
        <v>67.874990834400592</v>
      </c>
      <c r="AZ11" s="3">
        <f t="shared" si="17"/>
        <v>351.48118827980591</v>
      </c>
    </row>
    <row r="12" spans="2:52" ht="16.5">
      <c r="B12" t="s">
        <v>162</v>
      </c>
      <c r="C12" s="3">
        <v>1</v>
      </c>
      <c r="D12" s="167">
        <f>SQRT(2*C5/(G7*S*C8))</f>
        <v>210.44304418717189</v>
      </c>
      <c r="E12" t="s">
        <v>20</v>
      </c>
      <c r="F12" s="338">
        <f>D12/G$6</f>
        <v>0.18849303140420243</v>
      </c>
      <c r="G12" t="s">
        <v>23</v>
      </c>
      <c r="H12" s="1"/>
      <c r="J12" s="334"/>
      <c r="L12" t="s">
        <v>162</v>
      </c>
      <c r="M12" s="3">
        <v>1</v>
      </c>
      <c r="N12" s="167">
        <f>SQRT(2*M5/(Q7*S*M8))</f>
        <v>223.3096305544305</v>
      </c>
      <c r="O12" t="s">
        <v>20</v>
      </c>
      <c r="P12" s="338">
        <f>N12/Q$6</f>
        <v>0.20282599611404403</v>
      </c>
      <c r="Q12" t="s">
        <v>23</v>
      </c>
      <c r="R12" s="1"/>
      <c r="S12" s="508"/>
      <c r="V12" s="3">
        <f t="shared" si="2"/>
        <v>224.73563427155065</v>
      </c>
      <c r="W12" s="63" cm="1">
        <f t="array" ref="W12">V12/Linterp(W$2,atmos_h,atmos_aspeed)</f>
        <v>0.20129484909449652</v>
      </c>
      <c r="X12" s="3">
        <f t="shared" si="3"/>
        <v>334.98096180454513</v>
      </c>
      <c r="Y12" s="3">
        <f t="shared" si="4"/>
        <v>2.647408758346788</v>
      </c>
      <c r="Z12" s="63" cm="1">
        <f t="array" ref="Z12">Linterp(Y12,LND_alpha,LND_CL_a)</f>
        <v>0.52296602184262198</v>
      </c>
      <c r="AA12" s="3" cm="1">
        <f t="array" ref="AA12">Z12*S*Linterp(W$2,atmos_h,atmos_qms)*W12^2</f>
        <v>5336.3778463819581</v>
      </c>
      <c r="AB12" s="63" cm="1">
        <f t="array" ref="AB12">Linterp(Z12,LND_CL_cd,LND_CD_cl)</f>
        <v>0.10275592262111463</v>
      </c>
      <c r="AC12" s="3" cm="1">
        <f t="array" ref="AC12">AB12*S*Linterp(W$2,atmos_h,atmos_qms)*W12^2</f>
        <v>1048.527831937942</v>
      </c>
      <c r="AD12" s="3">
        <f t="shared" si="5"/>
        <v>79.090553840451051</v>
      </c>
      <c r="AE12" s="3">
        <f t="shared" si="0"/>
        <v>-3.0002725269334802</v>
      </c>
      <c r="AF12" s="3">
        <f t="shared" si="6"/>
        <v>0.31783873750986108</v>
      </c>
      <c r="AG12" s="3">
        <f t="shared" si="7"/>
        <v>1.9283638395530367</v>
      </c>
      <c r="AH12" s="3">
        <f t="shared" si="8"/>
        <v>71.582972867494192</v>
      </c>
      <c r="AI12" s="3">
        <f t="shared" si="9"/>
        <v>439.44182589235163</v>
      </c>
      <c r="AM12" s="3">
        <f t="shared" si="10"/>
        <v>238.47607629625233</v>
      </c>
      <c r="AN12" s="63" cm="1">
        <f t="array" ref="AN12">AM12/Linterp(AN$2,atmos_h,atmos_aspeed)</f>
        <v>0.21660126168345628</v>
      </c>
      <c r="AO12" s="3">
        <f t="shared" si="11"/>
        <v>230.88135008889725</v>
      </c>
      <c r="AP12" s="3">
        <f t="shared" si="12"/>
        <v>2.6474088924199366</v>
      </c>
      <c r="AQ12" s="63" cm="1">
        <f t="array" ref="AQ12">Linterp(AP12,LND_alpha,LND_CL_a)</f>
        <v>0.52296603136181552</v>
      </c>
      <c r="AR12" s="3" cm="1">
        <f t="array" ref="AR12">AQ12*S*Linterp(AN$2,atmos_h,atmos_qms)*AN12^2</f>
        <v>5336.3777882338127</v>
      </c>
      <c r="AS12" s="63" cm="1">
        <f t="array" ref="AS12">Linterp(AQ12,LND_CL_cd,LND_CD_cl)</f>
        <v>0.10275592376341786</v>
      </c>
      <c r="AT12" s="3" cm="1">
        <f t="array" ref="AT12">AS12*S*Linterp(AN$2,atmos_h,atmos_qms)*AN12^2</f>
        <v>1048.5278130830957</v>
      </c>
      <c r="AU12" s="3">
        <f t="shared" si="13"/>
        <v>79.090555294154683</v>
      </c>
      <c r="AV12" s="3">
        <f t="shared" si="18"/>
        <v>-3.3943078619305256</v>
      </c>
      <c r="AW12" s="3">
        <f t="shared" si="14"/>
        <v>0.29566294127568649</v>
      </c>
      <c r="AX12" s="3">
        <f t="shared" si="15"/>
        <v>1.7459183750853131</v>
      </c>
      <c r="AY12" s="3">
        <f t="shared" si="16"/>
        <v>70.659844017475393</v>
      </c>
      <c r="AZ12" s="3">
        <f t="shared" si="17"/>
        <v>422.1410322972813</v>
      </c>
    </row>
    <row r="13" spans="2:52" ht="16.5">
      <c r="B13" t="s">
        <v>245</v>
      </c>
      <c r="C13" s="3">
        <v>1.1000000000000001</v>
      </c>
      <c r="D13" s="168">
        <f>1.1*D12</f>
        <v>231.48734860588911</v>
      </c>
      <c r="E13" t="s">
        <v>20</v>
      </c>
      <c r="F13" s="339">
        <f t="shared" ref="F13:F14" si="19">D13/G$6</f>
        <v>0.2073423345446227</v>
      </c>
      <c r="G13" t="s">
        <v>23</v>
      </c>
      <c r="H13" s="1"/>
      <c r="J13" s="334"/>
      <c r="L13" t="s">
        <v>245</v>
      </c>
      <c r="M13" s="3">
        <v>1.1000000000000001</v>
      </c>
      <c r="N13" s="168">
        <f>1.1*N12</f>
        <v>245.64059360987358</v>
      </c>
      <c r="O13" t="s">
        <v>20</v>
      </c>
      <c r="P13" s="339">
        <f t="shared" ref="P13:P14" si="20">N13/Q$6</f>
        <v>0.22310859572544844</v>
      </c>
      <c r="Q13" t="s">
        <v>23</v>
      </c>
      <c r="R13" s="1"/>
      <c r="S13" s="508"/>
      <c r="V13" s="3">
        <f t="shared" si="2"/>
        <v>223.77110365235944</v>
      </c>
      <c r="W13" s="63" cm="1">
        <f t="array" ref="W13">V13/Linterp(W$2,atmos_h,atmos_aspeed)</f>
        <v>0.20043092270353302</v>
      </c>
      <c r="X13" s="3">
        <f t="shared" si="3"/>
        <v>304.1726703121949</v>
      </c>
      <c r="Y13" s="3">
        <f t="shared" si="4"/>
        <v>2.1179270066774301</v>
      </c>
      <c r="Z13" s="63" cm="1">
        <f t="array" ref="Z13">Linterp(Y13,LND_alpha,LND_CL_a)</f>
        <v>0.4853728174740975</v>
      </c>
      <c r="AA13" s="3" cm="1">
        <f t="array" ref="AA13">Z13*S*Linterp(W$2,atmos_h,atmos_qms)*W13^2</f>
        <v>4910.3525928811614</v>
      </c>
      <c r="AB13" s="63" cm="1">
        <f t="array" ref="AB13">Linterp(Z13,LND_CL_cd,LND_CD_cl)</f>
        <v>9.8829825397927798E-2</v>
      </c>
      <c r="AC13" s="3" cm="1">
        <f t="array" ref="AC13">AB13*S*Linterp(W$2,atmos_h,atmos_qms)*W13^2</f>
        <v>999.82790944531041</v>
      </c>
      <c r="AD13" s="3">
        <f t="shared" si="5"/>
        <v>89.741185177970976</v>
      </c>
      <c r="AE13" s="3">
        <f t="shared" si="0"/>
        <v>-2.9728640653864584</v>
      </c>
      <c r="AF13" s="3">
        <f t="shared" si="6"/>
        <v>0.32295615688125062</v>
      </c>
      <c r="AG13" s="3">
        <f t="shared" si="7"/>
        <v>2.2513199964342872</v>
      </c>
      <c r="AH13" s="3">
        <f t="shared" si="8"/>
        <v>72.424006207626135</v>
      </c>
      <c r="AI13" s="3">
        <f t="shared" si="9"/>
        <v>511.86583209997775</v>
      </c>
      <c r="AM13" s="3">
        <f t="shared" si="10"/>
        <v>237.45257382287787</v>
      </c>
      <c r="AN13" s="63" cm="1">
        <f t="array" ref="AN13">AM13/Linterp(AN$2,atmos_h,atmos_aspeed)</f>
        <v>0.21567164253460025</v>
      </c>
      <c r="AO13" s="3">
        <f t="shared" si="11"/>
        <v>217.52593642366455</v>
      </c>
      <c r="AP13" s="3">
        <f t="shared" si="12"/>
        <v>2.1179271139359495</v>
      </c>
      <c r="AQ13" s="63" cm="1">
        <f t="array" ref="AQ13">Linterp(AP13,LND_alpha,LND_CL_a)</f>
        <v>0.4853728250894524</v>
      </c>
      <c r="AR13" s="3" cm="1">
        <f t="array" ref="AR13">AQ13*S*Linterp(AN$2,atmos_h,atmos_qms)*AN13^2</f>
        <v>4910.3525270373975</v>
      </c>
      <c r="AS13" s="63" cm="1">
        <f t="array" ref="AS13">Linterp(AQ13,LND_CL_cd,LND_CD_cl)</f>
        <v>9.8829826007156202E-2</v>
      </c>
      <c r="AT13" s="3" cm="1">
        <f t="array" ref="AT13">AS13*S*Linterp(AN$2,atmos_h,atmos_qms)*AN13^2</f>
        <v>999.82788651480178</v>
      </c>
      <c r="AU13" s="3">
        <f t="shared" si="13"/>
        <v>89.741186824065068</v>
      </c>
      <c r="AV13" s="3">
        <f t="shared" si="18"/>
        <v>-3.300837163189378</v>
      </c>
      <c r="AW13" s="3">
        <f t="shared" si="14"/>
        <v>0.30574467604042194</v>
      </c>
      <c r="AX13" s="3">
        <f t="shared" si="15"/>
        <v>2.0516630511257352</v>
      </c>
      <c r="AY13" s="3">
        <f t="shared" si="16"/>
        <v>72.756325474514398</v>
      </c>
      <c r="AZ13" s="3">
        <f t="shared" si="17"/>
        <v>494.89735777179567</v>
      </c>
    </row>
    <row r="14" spans="2:52" ht="17" thickBot="1">
      <c r="B14" t="s">
        <v>246</v>
      </c>
      <c r="C14" s="3">
        <v>1.2</v>
      </c>
      <c r="D14" s="166">
        <f>1.2*D12</f>
        <v>252.53165302460627</v>
      </c>
      <c r="E14" t="s">
        <v>20</v>
      </c>
      <c r="F14" s="340">
        <f t="shared" si="19"/>
        <v>0.22619163768504291</v>
      </c>
      <c r="G14" t="s">
        <v>23</v>
      </c>
      <c r="H14" s="1"/>
      <c r="J14" s="334"/>
      <c r="L14" t="s">
        <v>246</v>
      </c>
      <c r="M14" s="3">
        <v>1.2</v>
      </c>
      <c r="N14" s="166">
        <f>1.2*N12</f>
        <v>267.9715566653166</v>
      </c>
      <c r="O14" t="s">
        <v>20</v>
      </c>
      <c r="P14" s="340">
        <f t="shared" si="20"/>
        <v>0.24339119533685283</v>
      </c>
      <c r="Q14" t="s">
        <v>23</v>
      </c>
      <c r="R14" s="1"/>
      <c r="S14" s="508"/>
      <c r="V14" s="3">
        <f t="shared" si="2"/>
        <v>222.80657303316823</v>
      </c>
      <c r="W14" s="63" cm="1">
        <f t="array" ref="W14">V14/Linterp(W$2,atmos_h,atmos_aspeed)</f>
        <v>0.19956699631256949</v>
      </c>
      <c r="X14" s="3">
        <f t="shared" si="3"/>
        <v>273.36437881984466</v>
      </c>
      <c r="Y14" s="3">
        <f t="shared" si="4"/>
        <v>1.5884452550080721</v>
      </c>
      <c r="Z14" s="63" cm="1">
        <f t="array" ref="Z14">Linterp(Y14,LND_alpha,LND_CL_a)</f>
        <v>0.44819116785056501</v>
      </c>
      <c r="AA14" s="3" cm="1">
        <f t="array" ref="AA14">Z14*S*Linterp(W$2,atmos_h,atmos_qms)*W14^2</f>
        <v>4495.1947459515213</v>
      </c>
      <c r="AB14" s="63" cm="1">
        <f t="array" ref="AB14">Linterp(Z14,LND_CL_cd,LND_CD_cl)</f>
        <v>9.5963823357011299E-2</v>
      </c>
      <c r="AC14" s="3" cm="1">
        <f t="array" ref="AC14">AB14*S*Linterp(W$2,atmos_h,atmos_qms)*W14^2</f>
        <v>962.48231892799276</v>
      </c>
      <c r="AD14" s="3">
        <f t="shared" si="5"/>
        <v>100.12013135121197</v>
      </c>
      <c r="AE14" s="3">
        <f t="shared" si="0"/>
        <v>-2.9874053777804059</v>
      </c>
      <c r="AF14" s="3">
        <f t="shared" si="6"/>
        <v>0.32365336110668352</v>
      </c>
      <c r="AG14" s="3">
        <f t="shared" si="7"/>
        <v>2.5749733575409706</v>
      </c>
      <c r="AH14" s="3">
        <f t="shared" si="8"/>
        <v>72.268183027242415</v>
      </c>
      <c r="AI14" s="3">
        <f t="shared" si="9"/>
        <v>584.13401512722021</v>
      </c>
      <c r="AM14" s="3">
        <f t="shared" si="10"/>
        <v>236.4290713495034</v>
      </c>
      <c r="AN14" s="63" cm="1">
        <f t="array" ref="AN14">AM14/Linterp(AN$2,atmos_h,atmos_aspeed)</f>
        <v>0.21474202338574422</v>
      </c>
      <c r="AO14" s="3">
        <f t="shared" si="11"/>
        <v>204.17052275843184</v>
      </c>
      <c r="AP14" s="3">
        <f t="shared" si="12"/>
        <v>1.5884453354519623</v>
      </c>
      <c r="AQ14" s="63" cm="1">
        <f t="array" ref="AQ14">Linterp(AP14,LND_alpha,LND_CL_a)</f>
        <v>0.44819117348163734</v>
      </c>
      <c r="AR14" s="3" cm="1">
        <f t="array" ref="AR14">AQ14*S*Linterp(AN$2,atmos_h,atmos_qms)*AN14^2</f>
        <v>4495.1946716240263</v>
      </c>
      <c r="AS14" s="63" cm="1">
        <f t="array" ref="AS14">Linterp(AQ14,LND_CL_cd,LND_CD_cl)</f>
        <v>9.5963823469632753E-2</v>
      </c>
      <c r="AT14" s="3" cm="1">
        <f t="array" ref="AT14">AS14*S*Linterp(AN$2,atmos_h,atmos_qms)*AN14^2</f>
        <v>962.48229205039343</v>
      </c>
      <c r="AU14" s="3">
        <f t="shared" si="13"/>
        <v>100.12013320939934</v>
      </c>
      <c r="AV14" s="3">
        <f t="shared" si="18"/>
        <v>-3.2493162389504451</v>
      </c>
      <c r="AW14" s="3">
        <f t="shared" si="14"/>
        <v>0.31251252010070574</v>
      </c>
      <c r="AX14" s="3">
        <f t="shared" si="15"/>
        <v>2.3641755712264407</v>
      </c>
      <c r="AY14" s="3">
        <f t="shared" si="16"/>
        <v>74.046973581144641</v>
      </c>
      <c r="AZ14" s="3">
        <f t="shared" si="17"/>
        <v>568.94433135294025</v>
      </c>
    </row>
    <row r="15" spans="2:52">
      <c r="J15" s="334"/>
      <c r="V15" s="3">
        <f t="shared" si="2"/>
        <v>221.84204241397703</v>
      </c>
      <c r="W15" s="63" cm="1">
        <f t="array" ref="W15">V15/Linterp(W$2,atmos_h,atmos_aspeed)</f>
        <v>0.198703069921606</v>
      </c>
      <c r="X15" s="3">
        <f t="shared" si="3"/>
        <v>242.5560873274944</v>
      </c>
      <c r="Y15" s="3">
        <f t="shared" si="4"/>
        <v>1.0589635033387141</v>
      </c>
      <c r="Z15" s="63" cm="1">
        <f t="array" ref="Z15">Linterp(Y15,LND_alpha,LND_CL_a)</f>
        <v>0.41112744523370998</v>
      </c>
      <c r="AA15" s="3" cm="1">
        <f t="array" ref="AA15">Z15*S*Linterp(W$2,atmos_h,atmos_qms)*W15^2</f>
        <v>4087.8353906296411</v>
      </c>
      <c r="AB15" s="63" cm="1">
        <f t="array" ref="AB15">Linterp(Z15,LND_CL_cd,LND_CD_cl)</f>
        <v>9.5222548904674201E-2</v>
      </c>
      <c r="AC15" s="3" cm="1">
        <f t="array" ref="AC15">AB15*S*Linterp(W$2,atmos_h,atmos_qms)*W15^2</f>
        <v>946.79669263435596</v>
      </c>
      <c r="AD15" s="3">
        <f t="shared" si="5"/>
        <v>110.30411523425897</v>
      </c>
      <c r="AE15" s="3">
        <f t="shared" si="0"/>
        <v>-3.0831955104341189</v>
      </c>
      <c r="AF15" s="3">
        <f t="shared" si="6"/>
        <v>0.31777105329515232</v>
      </c>
      <c r="AG15" s="3">
        <f t="shared" si="7"/>
        <v>2.8927444108361229</v>
      </c>
      <c r="AH15" s="3">
        <f t="shared" si="8"/>
        <v>70.648229438435251</v>
      </c>
      <c r="AI15" s="3">
        <f t="shared" si="9"/>
        <v>654.78224456565545</v>
      </c>
      <c r="AM15" s="3">
        <f t="shared" si="10"/>
        <v>235.40556887612894</v>
      </c>
      <c r="AN15" s="63" cm="1">
        <f t="array" ref="AN15">AM15/Linterp(AN$2,atmos_h,atmos_aspeed)</f>
        <v>0.21381240423688819</v>
      </c>
      <c r="AO15" s="3">
        <f t="shared" si="11"/>
        <v>190.81510909319914</v>
      </c>
      <c r="AP15" s="3">
        <f t="shared" si="12"/>
        <v>1.0589635569679752</v>
      </c>
      <c r="AQ15" s="63" cm="1">
        <f t="array" ref="AQ15">Linterp(AP15,LND_alpha,LND_CL_a)</f>
        <v>0.41112744898775822</v>
      </c>
      <c r="AR15" s="3" cm="1">
        <f t="array" ref="AR15">AQ15*S*Linterp(AN$2,atmos_h,atmos_qms)*AN15^2</f>
        <v>4087.8353090046921</v>
      </c>
      <c r="AS15" s="63" cm="1">
        <f t="array" ref="AS15">Linterp(AQ15,LND_CL_cd,LND_CD_cl)</f>
        <v>9.522254897975517E-2</v>
      </c>
      <c r="AT15" s="3" cm="1">
        <f t="array" ref="AT15">AS15*S*Linterp(AN$2,atmos_h,atmos_qms)*AN15^2</f>
        <v>946.79666583016797</v>
      </c>
      <c r="AU15" s="3">
        <f t="shared" si="13"/>
        <v>110.3041172748827</v>
      </c>
      <c r="AV15" s="3">
        <f t="shared" si="18"/>
        <v>-3.2790441500773309</v>
      </c>
      <c r="AW15" s="3">
        <f t="shared" si="14"/>
        <v>0.31355575133219227</v>
      </c>
      <c r="AX15" s="3">
        <f t="shared" si="15"/>
        <v>2.6777313225586328</v>
      </c>
      <c r="AY15" s="3">
        <f t="shared" si="16"/>
        <v>73.97323256025139</v>
      </c>
      <c r="AZ15" s="3">
        <f t="shared" si="17"/>
        <v>642.91756391319166</v>
      </c>
    </row>
    <row r="16" spans="2:52" ht="15" thickBot="1">
      <c r="J16" s="334"/>
      <c r="T16" t="s">
        <v>627</v>
      </c>
      <c r="V16" s="3">
        <f t="shared" si="2"/>
        <v>220.87751179478582</v>
      </c>
      <c r="W16" s="63" cm="1">
        <f t="array" ref="W16">V16/Linterp(W$2,atmos_h,atmos_aspeed)</f>
        <v>0.1978391435306425</v>
      </c>
      <c r="X16" s="3">
        <f t="shared" si="3"/>
        <v>211.74779583514413</v>
      </c>
      <c r="Y16" s="3">
        <f>Y15-Y$5/12</f>
        <v>0.52948175166935618</v>
      </c>
      <c r="Z16" s="63" cm="1">
        <f t="array" ref="Z16">Linterp(Y16,LND_alpha,LND_CL_a)</f>
        <v>0.37359320436852428</v>
      </c>
      <c r="AA16" s="3" cm="1">
        <f t="array" ref="AA16">Z16*S*Linterp(W$2,atmos_h,atmos_qms)*W16^2</f>
        <v>3682.4019361805863</v>
      </c>
      <c r="AB16" s="63" cm="1">
        <f t="array" ref="AB16">Linterp(Z16,LND_CL_cd,LND_CD_cl)</f>
        <v>9.4471864087370488E-2</v>
      </c>
      <c r="AC16" s="3" cm="1">
        <f t="array" ref="AC16">AB16*S*Linterp(W$2,atmos_h,atmos_qms)*W16^2</f>
        <v>931.1822890835</v>
      </c>
      <c r="AD16" s="3">
        <f t="shared" si="5"/>
        <v>120.43995159548535</v>
      </c>
      <c r="AE16" s="3">
        <f t="shared" si="0"/>
        <v>-3.1790729868712644</v>
      </c>
      <c r="AF16" s="3">
        <f t="shared" si="6"/>
        <v>0.30804511802911044</v>
      </c>
      <c r="AG16" s="3">
        <f t="shared" si="7"/>
        <v>3.2007895288652333</v>
      </c>
      <c r="AH16" s="3">
        <f t="shared" si="8"/>
        <v>68.188798665016748</v>
      </c>
      <c r="AI16" s="3">
        <f t="shared" si="9"/>
        <v>722.97104323067219</v>
      </c>
      <c r="AK16" t="s">
        <v>627</v>
      </c>
      <c r="AM16" s="3">
        <f t="shared" si="10"/>
        <v>234.38206640275448</v>
      </c>
      <c r="AN16" s="63" cm="1">
        <f t="array" ref="AN16">AM16/Linterp(AN$2,atmos_h,atmos_aspeed)</f>
        <v>0.21288278508803216</v>
      </c>
      <c r="AO16" s="3">
        <f t="shared" si="11"/>
        <v>177.45969542796644</v>
      </c>
      <c r="AP16" s="3">
        <f>AP15-AP$5/12</f>
        <v>0.52948177848398792</v>
      </c>
      <c r="AQ16" s="63" cm="1">
        <f t="array" ref="AQ16">Linterp(AP16,LND_alpha,LND_CL_a)</f>
        <v>0.37359320627236314</v>
      </c>
      <c r="AR16" s="3" cm="1">
        <f t="array" ref="AR16">AQ16*S*Linterp(AN$2,atmos_h,atmos_qms)*AN16^2</f>
        <v>3682.4018477924346</v>
      </c>
      <c r="AS16" s="63" cm="1">
        <f t="array" ref="AS16">Linterp(AQ16,LND_CL_cd,LND_CD_cl)</f>
        <v>9.4471864125447266E-2</v>
      </c>
      <c r="AT16" s="3" cm="1">
        <f t="array" ref="AT16">AS16*S*Linterp(AN$2,atmos_h,atmos_qms)*AN16^2</f>
        <v>931.18226236245619</v>
      </c>
      <c r="AU16" s="3">
        <f t="shared" si="13"/>
        <v>120.43995380518913</v>
      </c>
      <c r="AV16" s="3">
        <f t="shared" si="18"/>
        <v>-3.3088594049739326</v>
      </c>
      <c r="AW16" s="3">
        <f t="shared" si="14"/>
        <v>0.31072175383918454</v>
      </c>
      <c r="AX16" s="3">
        <f t="shared" si="15"/>
        <v>2.9884530763978172</v>
      </c>
      <c r="AY16" s="3">
        <f t="shared" si="16"/>
        <v>72.986618982908908</v>
      </c>
      <c r="AZ16" s="3">
        <f t="shared" si="17"/>
        <v>715.90418289610056</v>
      </c>
    </row>
    <row r="17" spans="2:52">
      <c r="B17" t="s">
        <v>247</v>
      </c>
      <c r="C17" s="164">
        <f>3*D13</f>
        <v>694.46204581766733</v>
      </c>
      <c r="D17" t="s">
        <v>2</v>
      </c>
      <c r="J17" s="334"/>
      <c r="L17" t="s">
        <v>247</v>
      </c>
      <c r="M17" s="164">
        <f>3*N13</f>
        <v>736.92178082962073</v>
      </c>
      <c r="N17" t="s">
        <v>2</v>
      </c>
      <c r="T17">
        <v>0.05</v>
      </c>
      <c r="U17" s="150" t="s">
        <v>623</v>
      </c>
      <c r="V17" s="461">
        <f>0.95*V5</f>
        <v>219.91298117559464</v>
      </c>
      <c r="W17" s="510" cm="1">
        <f t="array" ref="W17">V17/Linterp(W$2,atmos_h,atmos_aspeed)</f>
        <v>0.196975217139679</v>
      </c>
      <c r="X17" s="461" cm="1">
        <f t="array" ref="X17">T17*numeng*InterpolateXY(W2,W17,Tnorm_h,Tnorm_M,Tnorm_table)</f>
        <v>180.93950434279361</v>
      </c>
      <c r="Y17" s="461">
        <v>0</v>
      </c>
      <c r="Z17" s="510" cm="1">
        <f t="array" ref="Z17">Linterp(Y17,LND_alpha,LND_CL_a)</f>
        <v>0.33600000000000002</v>
      </c>
      <c r="AA17" s="461" cm="1">
        <f t="array" ref="AA17">Z17*S*Linterp(W$2,atmos_h,atmos_qms)*W17^2</f>
        <v>3282.9950589590962</v>
      </c>
      <c r="AB17" s="510" cm="1">
        <f t="array" ref="AB17">Linterp(Z17,LND_CL_cd,LND_CD_cl)</f>
        <v>9.4280000000000003E-2</v>
      </c>
      <c r="AC17" s="461" cm="1">
        <f t="array" ref="AC17">AB17*S*Linterp(W$2,atmos_h,atmos_qms)*W17^2</f>
        <v>921.19278023411778</v>
      </c>
      <c r="AD17" s="461">
        <f>M$9*($C$5-AA17)</f>
        <v>1565.1014823122712</v>
      </c>
      <c r="AE17" s="461">
        <f>(X17-AC17-AD17)/($M$5/32.174)</f>
        <v>-8.7261745871108793</v>
      </c>
      <c r="AF17" s="461">
        <f t="shared" si="6"/>
        <v>0.1620345336285279</v>
      </c>
      <c r="AG17" s="461">
        <f t="shared" si="7"/>
        <v>3.3628240624937611</v>
      </c>
      <c r="AH17" s="461">
        <f t="shared" si="8"/>
        <v>35.711640978172255</v>
      </c>
      <c r="AI17" s="461">
        <f t="shared" si="9"/>
        <v>758.68268420884442</v>
      </c>
      <c r="AK17">
        <v>0.05</v>
      </c>
      <c r="AL17" s="150" t="s">
        <v>623</v>
      </c>
      <c r="AM17" s="461">
        <f>0.95*AM5</f>
        <v>233.3585639293799</v>
      </c>
      <c r="AN17" s="510" cm="1">
        <f t="array" ref="AN17">AM17/Linterp(AN$2,atmos_h,atmos_aspeed)</f>
        <v>0.21195316593917604</v>
      </c>
      <c r="AO17" s="461" cm="1">
        <f t="array" ref="AO17">AK17*numeng*InterpolateXY(AN2,AN17,Tnorm_h,Tnorm_M,Tnorm_table)</f>
        <v>164.10428176273385</v>
      </c>
      <c r="AP17" s="461">
        <v>0</v>
      </c>
      <c r="AQ17" s="510" cm="1">
        <f t="array" ref="AQ17">Linterp(AP17,LND_alpha,LND_CL_a)</f>
        <v>0.33600000000000002</v>
      </c>
      <c r="AR17" s="461" cm="1">
        <f t="array" ref="AR17">AQ17*S*Linterp(AN$2,atmos_h,atmos_qms)*AN17^2</f>
        <v>3282.9949634276345</v>
      </c>
      <c r="AS17" s="510" cm="1">
        <f t="array" ref="AS17">Linterp(AQ17,LND_CL_cd,LND_CD_cl)</f>
        <v>9.4280000000000003E-2</v>
      </c>
      <c r="AT17" s="461" cm="1">
        <f t="array" ref="AT17">AS17*S*Linterp(AN$2,atmos_h,atmos_qms)*AN17^2</f>
        <v>921.19275342844446</v>
      </c>
      <c r="AU17" s="461">
        <f>M$9*($C$5-AR17)</f>
        <v>1565.1015109717096</v>
      </c>
      <c r="AV17" s="461">
        <f>(AO17-AT17-AU17)/($M$5/32.174)</f>
        <v>-8.7898988825148656</v>
      </c>
      <c r="AW17" s="461">
        <f t="shared" si="14"/>
        <v>0.16919132510200999</v>
      </c>
      <c r="AX17" s="461">
        <f t="shared" si="15"/>
        <v>3.1576444014998271</v>
      </c>
      <c r="AY17" s="461">
        <f t="shared" si="16"/>
        <v>39.568828524971615</v>
      </c>
      <c r="AZ17" s="461">
        <f t="shared" si="17"/>
        <v>755.47301142107221</v>
      </c>
    </row>
    <row r="18" spans="2:52" ht="15" thickBot="1">
      <c r="B18" t="s">
        <v>248</v>
      </c>
      <c r="C18" s="191">
        <f>(D13^2)/(2*32.174*C9)</f>
        <v>2775.8641845685147</v>
      </c>
      <c r="D18" t="s">
        <v>2</v>
      </c>
      <c r="J18" s="334"/>
      <c r="L18" t="s">
        <v>248</v>
      </c>
      <c r="M18" s="191">
        <f>(N13^2)/(2*32.174*M9)</f>
        <v>3125.6760753512708</v>
      </c>
      <c r="N18" t="s">
        <v>2</v>
      </c>
      <c r="U18" t="s">
        <v>625</v>
      </c>
      <c r="V18" s="3">
        <f>V17-V$17/50</f>
        <v>215.51472155208273</v>
      </c>
      <c r="W18" s="63" cm="1">
        <f t="array" ref="W18">V18/Linterp(W$2,atmos_h,atmos_aspeed)</f>
        <v>0.19303571279688542</v>
      </c>
      <c r="X18" s="3" cm="1">
        <f t="array" ref="X18">T$17*numeng*InterpolateXY(W$2,W18,Tnorm_h,Tnorm_M,Tnorm_table)</f>
        <v>180.86071425593772</v>
      </c>
      <c r="Y18" s="3">
        <v>0</v>
      </c>
      <c r="Z18" s="63" cm="1">
        <f t="array" ref="Z18">Linterp(Y18,LND_alpha,LND_CL_a)</f>
        <v>0.33600000000000002</v>
      </c>
      <c r="AA18" s="3" cm="1">
        <f t="array" ref="AA18">Z18*S*Linterp(W$2,atmos_h,atmos_qms)*W18^2</f>
        <v>3152.9884546243156</v>
      </c>
      <c r="AB18" s="63" cm="1">
        <f t="array" ref="AB18">Linterp(Z18,LND_CL_cd,LND_CD_cl)</f>
        <v>9.4280000000000003E-2</v>
      </c>
      <c r="AC18" s="3" cm="1">
        <f t="array" ref="AC18">AB18*S*Linterp(W$2,atmos_h,atmos_qms)*W18^2</f>
        <v>884.71354613684662</v>
      </c>
      <c r="AD18" s="3">
        <f>M$9*($C$5-AA18)</f>
        <v>1604.1034636127054</v>
      </c>
      <c r="AE18" s="3">
        <f t="shared" ref="AE18:AE67" si="21">(X18-AC18-AD18)/($M$5/32.174)</f>
        <v>-8.736021864848416</v>
      </c>
      <c r="AF18" s="3">
        <f t="shared" ref="AF18:AF67" si="22">(V18-V17)/AVERAGE(AE17:AE18)</f>
        <v>0.50374643712342515</v>
      </c>
      <c r="AG18" s="3">
        <f t="shared" ref="AG18:AG67" si="23">AG17+AF18</f>
        <v>3.8665704996171861</v>
      </c>
      <c r="AH18" s="3">
        <f t="shared" ref="AH18:AH67" si="24">AVERAGE(V17:V18)*AF18</f>
        <v>109.67257693695268</v>
      </c>
      <c r="AI18" s="3">
        <f t="shared" ref="AI18:AI67" si="25">AI17+AH18</f>
        <v>868.35526114579716</v>
      </c>
      <c r="AL18" t="s">
        <v>625</v>
      </c>
      <c r="AM18" s="3">
        <f>AM17-AM$17/50</f>
        <v>228.6913926507923</v>
      </c>
      <c r="AN18" s="63" cm="1">
        <f t="array" ref="AN18">AM18/Linterp(AN$2,atmos_h,atmos_aspeed)</f>
        <v>0.2077141026203925</v>
      </c>
      <c r="AO18" s="3" cm="1">
        <f t="array" ref="AO18">AK$17*numeng*InterpolateXY(AN$2,AN18,Tnorm_h,Tnorm_M,Tnorm_table)</f>
        <v>163.97044020809145</v>
      </c>
      <c r="AP18" s="3">
        <v>0</v>
      </c>
      <c r="AQ18" s="63" cm="1">
        <f t="array" ref="AQ18">Linterp(AP18,LND_alpha,LND_CL_a)</f>
        <v>0.33600000000000002</v>
      </c>
      <c r="AR18" s="3" cm="1">
        <f t="array" ref="AR18">AQ18*S*Linterp(AN$2,atmos_h,atmos_qms)*AN18^2</f>
        <v>3152.9883628758998</v>
      </c>
      <c r="AS18" s="63" cm="1">
        <f t="array" ref="AS18">Linterp(AQ18,LND_CL_cd,LND_CD_cl)</f>
        <v>9.4280000000000003E-2</v>
      </c>
      <c r="AT18" s="3" cm="1">
        <f t="array" ref="AT18">AS18*S*Linterp(AN$2,atmos_h,atmos_qms)*AN18^2</f>
        <v>884.71352039267799</v>
      </c>
      <c r="AU18" s="3">
        <f>M$9*($C$5-AR18)</f>
        <v>1604.1034911372301</v>
      </c>
      <c r="AV18" s="3">
        <f t="shared" ref="AV18:AV67" si="26">(AO18-AT18-AU18)/($M$5/32.174)</f>
        <v>-8.7999545394950722</v>
      </c>
      <c r="AW18" s="3">
        <f t="shared" si="14"/>
        <v>0.53066630705945916</v>
      </c>
      <c r="AX18" s="3">
        <f t="shared" si="15"/>
        <v>3.6883107085592863</v>
      </c>
      <c r="AY18" s="3">
        <f t="shared" si="16"/>
        <v>122.59717206769172</v>
      </c>
      <c r="AZ18" s="3">
        <f t="shared" si="17"/>
        <v>878.07018348876397</v>
      </c>
    </row>
    <row r="19" spans="2:52">
      <c r="J19" s="334"/>
      <c r="V19" s="3">
        <f t="shared" ref="V19:V66" si="27">V18-V$17/50</f>
        <v>211.11646192857083</v>
      </c>
      <c r="W19" s="63" cm="1">
        <f t="array" ref="W19">V19/Linterp(W$2,atmos_h,atmos_aspeed)</f>
        <v>0.18909620845409184</v>
      </c>
      <c r="X19" s="3" cm="1">
        <f t="array" ref="X19">T$17*numeng*InterpolateXY(W$2,W19,Tnorm_h,Tnorm_M,Tnorm_table)</f>
        <v>180.78192416908186</v>
      </c>
      <c r="Y19" s="3">
        <v>0</v>
      </c>
      <c r="Z19" s="63" cm="1">
        <f t="array" ref="Z19">Linterp(Y19,LND_alpha,LND_CL_a)</f>
        <v>0.33600000000000002</v>
      </c>
      <c r="AA19" s="3" cm="1">
        <f t="array" ref="AA19">Z19*S*Linterp(W$2,atmos_h,atmos_qms)*W19^2</f>
        <v>3025.6082463367025</v>
      </c>
      <c r="AB19" s="63" cm="1">
        <f t="array" ref="AB19">Linterp(Z19,LND_CL_cd,LND_CD_cl)</f>
        <v>9.4280000000000003E-2</v>
      </c>
      <c r="AC19" s="3" cm="1">
        <f t="array" ref="AC19">AB19*S*Linterp(W$2,atmos_h,atmos_qms)*W19^2</f>
        <v>848.9712662637628</v>
      </c>
      <c r="AD19" s="3">
        <f t="shared" ref="AD19:AD67" si="28">M$9*($C$5-AA19)</f>
        <v>1642.3175260989894</v>
      </c>
      <c r="AE19" s="3">
        <f t="shared" si="21"/>
        <v>-8.7456762326191946</v>
      </c>
      <c r="AF19" s="3">
        <f t="shared" si="22"/>
        <v>0.50318448459523901</v>
      </c>
      <c r="AG19" s="3">
        <f t="shared" si="23"/>
        <v>4.3697549842124248</v>
      </c>
      <c r="AH19" s="3">
        <f t="shared" si="24"/>
        <v>107.33709608598477</v>
      </c>
      <c r="AI19" s="3">
        <f t="shared" si="25"/>
        <v>975.6923572317819</v>
      </c>
      <c r="AM19" s="3">
        <f t="shared" ref="AM19:AM64" si="29">AM18-AM$17/50</f>
        <v>224.02422137220469</v>
      </c>
      <c r="AN19" s="63" cm="1">
        <f t="array" ref="AN19">AM19/Linterp(AN$2,atmos_h,atmos_aspeed)</f>
        <v>0.20347503930160898</v>
      </c>
      <c r="AO19" s="3" cm="1">
        <f t="array" ref="AO19">AK$17*numeng*InterpolateXY(AN$2,AN19,Tnorm_h,Tnorm_M,Tnorm_table)</f>
        <v>163.83659865344907</v>
      </c>
      <c r="AP19" s="3">
        <v>0</v>
      </c>
      <c r="AQ19" s="63" cm="1">
        <f t="array" ref="AQ19">Linterp(AP19,LND_alpha,LND_CL_a)</f>
        <v>0.33600000000000002</v>
      </c>
      <c r="AR19" s="3" cm="1">
        <f t="array" ref="AR19">AQ19*S*Linterp(AN$2,atmos_h,atmos_qms)*AN19^2</f>
        <v>3025.6081582949073</v>
      </c>
      <c r="AS19" s="63" cm="1">
        <f t="array" ref="AS19">Linterp(AQ19,LND_CL_cd,LND_CD_cl)</f>
        <v>9.4280000000000003E-2</v>
      </c>
      <c r="AT19" s="3" cm="1">
        <f t="array" ref="AT19">AS19*S*Linterp(AN$2,atmos_h,atmos_qms)*AN19^2</f>
        <v>848.97124155965435</v>
      </c>
      <c r="AU19" s="3">
        <f t="shared" ref="AU19:AU67" si="30">M$9*($C$5-AR19)</f>
        <v>1642.3175525115278</v>
      </c>
      <c r="AV19" s="3">
        <f t="shared" si="26"/>
        <v>-8.809817286514134</v>
      </c>
      <c r="AW19" s="3">
        <f t="shared" si="14"/>
        <v>0.53006607066813927</v>
      </c>
      <c r="AX19" s="3">
        <f t="shared" si="15"/>
        <v>4.2183767792274258</v>
      </c>
      <c r="AY19" s="3">
        <f t="shared" si="16"/>
        <v>119.98459332764199</v>
      </c>
      <c r="AZ19" s="3">
        <f t="shared" si="17"/>
        <v>998.05477681640593</v>
      </c>
    </row>
    <row r="20" spans="2:52">
      <c r="B20" s="5" t="s">
        <v>168</v>
      </c>
      <c r="C20" s="5"/>
      <c r="D20" s="111">
        <f>C17+C18</f>
        <v>3470.326230386182</v>
      </c>
      <c r="E20" s="5" t="s">
        <v>2</v>
      </c>
      <c r="J20" s="334"/>
      <c r="L20" s="5" t="s">
        <v>168</v>
      </c>
      <c r="M20" s="5"/>
      <c r="N20" s="111">
        <f>M17+M18</f>
        <v>3862.5978561808915</v>
      </c>
      <c r="O20" s="5" t="s">
        <v>2</v>
      </c>
      <c r="V20" s="3">
        <f t="shared" si="27"/>
        <v>206.71820230505892</v>
      </c>
      <c r="W20" s="63" cm="1">
        <f t="array" ref="W20">V20/Linterp(W$2,atmos_h,atmos_aspeed)</f>
        <v>0.18515670411129823</v>
      </c>
      <c r="X20" s="3" cm="1">
        <f t="array" ref="X20">T$17*numeng*InterpolateXY(W$2,W20,Tnorm_h,Tnorm_M,Tnorm_table)</f>
        <v>180.70313408222597</v>
      </c>
      <c r="Y20" s="3">
        <v>0</v>
      </c>
      <c r="Z20" s="63" cm="1">
        <f t="array" ref="Z20">Linterp(Y20,LND_alpha,LND_CL_a)</f>
        <v>0.33600000000000002</v>
      </c>
      <c r="AA20" s="3" cm="1">
        <f t="array" ref="AA20">Z20*S*Linterp(W$2,atmos_h,atmos_qms)*W20^2</f>
        <v>2900.8544340962562</v>
      </c>
      <c r="AB20" s="63" cm="1">
        <f t="array" ref="AB20">Linterp(Z20,LND_CL_cd,LND_CD_cl)</f>
        <v>9.4280000000000003E-2</v>
      </c>
      <c r="AC20" s="3" cm="1">
        <f t="array" ref="AC20">AB20*S*Linterp(W$2,atmos_h,atmos_qms)*W20^2</f>
        <v>813.9659406148661</v>
      </c>
      <c r="AD20" s="3">
        <f t="shared" si="28"/>
        <v>1679.743669771123</v>
      </c>
      <c r="AE20" s="3">
        <f t="shared" si="21"/>
        <v>-8.7551376904232079</v>
      </c>
      <c r="AF20" s="3">
        <f t="shared" si="22"/>
        <v>0.50263486519572076</v>
      </c>
      <c r="AG20" s="3">
        <f t="shared" si="23"/>
        <v>4.8723898494081457</v>
      </c>
      <c r="AH20" s="3">
        <f t="shared" si="24"/>
        <v>105.00913506558486</v>
      </c>
      <c r="AI20" s="3">
        <f t="shared" si="25"/>
        <v>1080.7014922973667</v>
      </c>
      <c r="AM20" s="3">
        <f t="shared" si="29"/>
        <v>219.35705009361709</v>
      </c>
      <c r="AN20" s="63" cm="1">
        <f t="array" ref="AN20">AM20/Linterp(AN$2,atmos_h,atmos_aspeed)</f>
        <v>0.19923597598282547</v>
      </c>
      <c r="AO20" s="3" cm="1">
        <f t="array" ref="AO20">AK$17*numeng*InterpolateXY(AN$2,AN20,Tnorm_h,Tnorm_M,Tnorm_table)</f>
        <v>163.70275709880667</v>
      </c>
      <c r="AP20" s="3">
        <v>0</v>
      </c>
      <c r="AQ20" s="63" cm="1">
        <f t="array" ref="AQ20">Linterp(AP20,LND_alpha,LND_CL_a)</f>
        <v>0.33600000000000002</v>
      </c>
      <c r="AR20" s="3" cm="1">
        <f t="array" ref="AR20">AQ20*S*Linterp(AN$2,atmos_h,atmos_qms)*AN20^2</f>
        <v>2900.8543496846578</v>
      </c>
      <c r="AS20" s="63" cm="1">
        <f t="array" ref="AS20">Linterp(AQ20,LND_CL_cd,LND_CD_cl)</f>
        <v>9.4280000000000003E-2</v>
      </c>
      <c r="AT20" s="3" cm="1">
        <f t="array" ref="AT20">AS20*S*Linterp(AN$2,atmos_h,atmos_qms)*AN20^2</f>
        <v>813.96591692937352</v>
      </c>
      <c r="AU20" s="3">
        <f t="shared" si="30"/>
        <v>1679.7436950946026</v>
      </c>
      <c r="AV20" s="3">
        <f t="shared" si="26"/>
        <v>-8.8194871235720456</v>
      </c>
      <c r="AW20" s="3">
        <f t="shared" si="14"/>
        <v>0.5294787780642547</v>
      </c>
      <c r="AX20" s="3">
        <f t="shared" si="15"/>
        <v>4.7478555572916807</v>
      </c>
      <c r="AY20" s="3">
        <f t="shared" si="16"/>
        <v>117.38048691614945</v>
      </c>
      <c r="AZ20" s="3">
        <f t="shared" si="17"/>
        <v>1115.4352637325553</v>
      </c>
    </row>
    <row r="21" spans="2:52">
      <c r="J21" s="334"/>
      <c r="V21" s="3">
        <f t="shared" si="27"/>
        <v>202.31994268154702</v>
      </c>
      <c r="W21" s="63" cm="1">
        <f t="array" ref="W21">V21/Linterp(W$2,atmos_h,atmos_aspeed)</f>
        <v>0.18121719976850464</v>
      </c>
      <c r="X21" s="3" cm="1">
        <f t="array" ref="X21">T$17*numeng*InterpolateXY(W$2,W21,Tnorm_h,Tnorm_M,Tnorm_table)</f>
        <v>180.62434399537011</v>
      </c>
      <c r="Y21" s="3">
        <v>0</v>
      </c>
      <c r="Z21" s="63" cm="1">
        <f t="array" ref="Z21">Linterp(Y21,LND_alpha,LND_CL_a)</f>
        <v>0.33600000000000002</v>
      </c>
      <c r="AA21" s="3" cm="1">
        <f t="array" ref="AA21">Z21*S*Linterp(W$2,atmos_h,atmos_qms)*W21^2</f>
        <v>2778.7270179029783</v>
      </c>
      <c r="AB21" s="63" cm="1">
        <f t="array" ref="AB21">Linterp(Z21,LND_CL_cd,LND_CD_cl)</f>
        <v>9.4280000000000003E-2</v>
      </c>
      <c r="AC21" s="3" cm="1">
        <f t="array" ref="AC21">AB21*S*Linterp(W$2,atmos_h,atmos_qms)*W21^2</f>
        <v>779.69756919015708</v>
      </c>
      <c r="AD21" s="3">
        <f t="shared" si="28"/>
        <v>1716.3818946291065</v>
      </c>
      <c r="AE21" s="3">
        <f t="shared" si="21"/>
        <v>-8.7644062382604631</v>
      </c>
      <c r="AF21" s="3">
        <f t="shared" si="22"/>
        <v>0.50209750224272731</v>
      </c>
      <c r="AG21" s="3">
        <f t="shared" si="23"/>
        <v>5.3744873516508731</v>
      </c>
      <c r="AH21" s="3">
        <f t="shared" si="24"/>
        <v>102.6885154598867</v>
      </c>
      <c r="AI21" s="3">
        <f t="shared" si="25"/>
        <v>1183.3900077572534</v>
      </c>
      <c r="AM21" s="3">
        <f t="shared" si="29"/>
        <v>214.68987881502949</v>
      </c>
      <c r="AN21" s="63" cm="1">
        <f t="array" ref="AN21">AM21/Linterp(AN$2,atmos_h,atmos_aspeed)</f>
        <v>0.19499691266404193</v>
      </c>
      <c r="AO21" s="3" cm="1">
        <f t="array" ref="AO21">AK$17*numeng*InterpolateXY(AN$2,AN21,Tnorm_h,Tnorm_M,Tnorm_table)</f>
        <v>163.56891554416427</v>
      </c>
      <c r="AP21" s="3">
        <v>0</v>
      </c>
      <c r="AQ21" s="63" cm="1">
        <f t="array" ref="AQ21">Linterp(AP21,LND_alpha,LND_CL_a)</f>
        <v>0.33600000000000002</v>
      </c>
      <c r="AR21" s="3" cm="1">
        <f t="array" ref="AR21">AQ21*S*Linterp(AN$2,atmos_h,atmos_qms)*AN21^2</f>
        <v>2778.726937045149</v>
      </c>
      <c r="AS21" s="63" cm="1">
        <f t="array" ref="AS21">Linterp(AQ21,LND_CL_cd,LND_CD_cl)</f>
        <v>9.4280000000000003E-2</v>
      </c>
      <c r="AT21" s="3" cm="1">
        <f t="array" ref="AT21">AS21*S*Linterp(AN$2,atmos_h,atmos_qms)*AN21^2</f>
        <v>779.69754650183518</v>
      </c>
      <c r="AU21" s="3">
        <f t="shared" si="30"/>
        <v>1716.3819188864554</v>
      </c>
      <c r="AV21" s="3">
        <f t="shared" si="26"/>
        <v>-8.8289640506688123</v>
      </c>
      <c r="AW21" s="3">
        <f t="shared" si="14"/>
        <v>0.52890434775371831</v>
      </c>
      <c r="AX21" s="3">
        <f t="shared" si="15"/>
        <v>5.2767599050453988</v>
      </c>
      <c r="AY21" s="3">
        <f t="shared" si="16"/>
        <v>114.78465391446613</v>
      </c>
      <c r="AZ21" s="3">
        <f t="shared" si="17"/>
        <v>1230.2199176470215</v>
      </c>
    </row>
    <row r="22" spans="2:52" ht="15" thickBot="1">
      <c r="V22" s="3">
        <f t="shared" si="27"/>
        <v>197.92168305803511</v>
      </c>
      <c r="W22" s="63" cm="1">
        <f t="array" ref="W22">V22/Linterp(W$2,atmos_h,atmos_aspeed)</f>
        <v>0.17727769542571106</v>
      </c>
      <c r="X22" s="3" cm="1">
        <f t="array" ref="X22">T$17*numeng*InterpolateXY(W$2,W22,Tnorm_h,Tnorm_M,Tnorm_table)</f>
        <v>180.54555390851422</v>
      </c>
      <c r="Y22" s="3">
        <v>0</v>
      </c>
      <c r="Z22" s="63" cm="1">
        <f t="array" ref="Z22">Linterp(Y22,LND_alpha,LND_CL_a)</f>
        <v>0.33600000000000002</v>
      </c>
      <c r="AA22" s="3" cm="1">
        <f t="array" ref="AA22">Z22*S*Linterp(W$2,atmos_h,atmos_qms)*W22^2</f>
        <v>2659.2259977568665</v>
      </c>
      <c r="AB22" s="63" cm="1">
        <f t="array" ref="AB22">Linterp(Z22,LND_CL_cd,LND_CD_cl)</f>
        <v>9.4280000000000003E-2</v>
      </c>
      <c r="AC22" s="3" cm="1">
        <f t="array" ref="AC22">AB22*S*Linterp(W$2,atmos_h,atmos_qms)*W22^2</f>
        <v>746.16615198963507</v>
      </c>
      <c r="AD22" s="3">
        <f t="shared" si="28"/>
        <v>1752.2322006729401</v>
      </c>
      <c r="AE22" s="3">
        <f t="shared" si="21"/>
        <v>-8.7734818761309601</v>
      </c>
      <c r="AF22" s="3">
        <f t="shared" si="22"/>
        <v>0.50157232100286187</v>
      </c>
      <c r="AG22" s="3">
        <f t="shared" si="23"/>
        <v>5.8760596726537351</v>
      </c>
      <c r="AH22" s="3">
        <f t="shared" si="24"/>
        <v>100.37506059208049</v>
      </c>
      <c r="AI22" s="3">
        <f t="shared" si="25"/>
        <v>1283.7650683493339</v>
      </c>
      <c r="AM22" s="3">
        <f t="shared" si="29"/>
        <v>210.02270753644189</v>
      </c>
      <c r="AN22" s="63" cm="1">
        <f t="array" ref="AN22">AM22/Linterp(AN$2,atmos_h,atmos_aspeed)</f>
        <v>0.19075784934525841</v>
      </c>
      <c r="AO22" s="3" cm="1">
        <f t="array" ref="AO22">AK$17*numeng*InterpolateXY(AN$2,AN22,Tnorm_h,Tnorm_M,Tnorm_table)</f>
        <v>163.4350739895219</v>
      </c>
      <c r="AP22" s="3">
        <v>0</v>
      </c>
      <c r="AQ22" s="63" cm="1">
        <f t="array" ref="AQ22">Linterp(AP22,LND_alpha,LND_CL_a)</f>
        <v>0.33600000000000002</v>
      </c>
      <c r="AR22" s="3" cm="1">
        <f t="array" ref="AR22">AQ22*S*Linterp(AN$2,atmos_h,atmos_qms)*AN22^2</f>
        <v>2659.2259203763833</v>
      </c>
      <c r="AS22" s="63" cm="1">
        <f t="array" ref="AS22">Linterp(AQ22,LND_CL_cd,LND_CD_cl)</f>
        <v>9.4280000000000003E-2</v>
      </c>
      <c r="AT22" s="3" cm="1">
        <f t="array" ref="AT22">AS22*S*Linterp(AN$2,atmos_h,atmos_qms)*AN22^2</f>
        <v>746.16613027703988</v>
      </c>
      <c r="AU22" s="3">
        <f t="shared" si="30"/>
        <v>1752.232223887085</v>
      </c>
      <c r="AV22" s="3">
        <f t="shared" si="26"/>
        <v>-8.8382480678044324</v>
      </c>
      <c r="AW22" s="3">
        <f t="shared" si="14"/>
        <v>0.52834270028461372</v>
      </c>
      <c r="AX22" s="3">
        <f t="shared" si="15"/>
        <v>5.8051026053300125</v>
      </c>
      <c r="AY22" s="3">
        <f t="shared" si="16"/>
        <v>112.19689735889928</v>
      </c>
      <c r="AZ22" s="3">
        <f t="shared" si="17"/>
        <v>1342.4168150059209</v>
      </c>
    </row>
    <row r="23" spans="2:52" ht="15.5">
      <c r="L23" s="500" t="s">
        <v>614</v>
      </c>
      <c r="M23" s="501" t="s">
        <v>74</v>
      </c>
      <c r="N23" s="366"/>
      <c r="O23" s="506" t="s">
        <v>74</v>
      </c>
      <c r="P23" s="501" t="s">
        <v>75</v>
      </c>
      <c r="V23" s="3">
        <f t="shared" si="27"/>
        <v>193.52342343452321</v>
      </c>
      <c r="W23" s="63" cm="1">
        <f t="array" ref="W23">V23/Linterp(W$2,atmos_h,atmos_aspeed)</f>
        <v>0.17333819108291745</v>
      </c>
      <c r="X23" s="3" cm="1">
        <f t="array" ref="X23">T$17*numeng*InterpolateXY(W$2,W23,Tnorm_h,Tnorm_M,Tnorm_table)</f>
        <v>180.46676382165836</v>
      </c>
      <c r="Y23" s="3">
        <v>0</v>
      </c>
      <c r="Z23" s="63" cm="1">
        <f t="array" ref="Z23">Linterp(Y23,LND_alpha,LND_CL_a)</f>
        <v>0.33600000000000002</v>
      </c>
      <c r="AA23" s="3" cm="1">
        <f t="array" ref="AA23">Z23*S*Linterp(W$2,atmos_h,atmos_qms)*W23^2</f>
        <v>2542.3513736579221</v>
      </c>
      <c r="AB23" s="63" cm="1">
        <f t="array" ref="AB23">Linterp(Z23,LND_CL_cd,LND_CD_cl)</f>
        <v>9.4280000000000003E-2</v>
      </c>
      <c r="AC23" s="3" cm="1">
        <f t="array" ref="AC23">AB23*S*Linterp(W$2,atmos_h,atmos_qms)*W23^2</f>
        <v>713.37168901330028</v>
      </c>
      <c r="AD23" s="3">
        <f t="shared" si="28"/>
        <v>1787.2945879026231</v>
      </c>
      <c r="AE23" s="3">
        <f t="shared" si="21"/>
        <v>-8.7823646040346919</v>
      </c>
      <c r="AF23" s="3">
        <f t="shared" si="22"/>
        <v>0.5010592486646539</v>
      </c>
      <c r="AG23" s="3">
        <f t="shared" si="23"/>
        <v>6.377118921318389</v>
      </c>
      <c r="AH23" s="3">
        <f t="shared" si="24"/>
        <v>98.06859547630836</v>
      </c>
      <c r="AI23" s="3">
        <f t="shared" si="25"/>
        <v>1381.8336638256424</v>
      </c>
      <c r="AM23" s="3">
        <f t="shared" si="29"/>
        <v>205.35553625785428</v>
      </c>
      <c r="AN23" s="63" cm="1">
        <f t="array" ref="AN23">AM23/Linterp(AN$2,atmos_h,atmos_aspeed)</f>
        <v>0.18651878602647487</v>
      </c>
      <c r="AO23" s="3" cm="1">
        <f t="array" ref="AO23">AK$17*numeng*InterpolateXY(AN$2,AN23,Tnorm_h,Tnorm_M,Tnorm_table)</f>
        <v>163.30123243487949</v>
      </c>
      <c r="AP23" s="3">
        <v>0</v>
      </c>
      <c r="AQ23" s="63" cm="1">
        <f t="array" ref="AQ23">Linterp(AP23,LND_alpha,LND_CL_a)</f>
        <v>0.33600000000000002</v>
      </c>
      <c r="AR23" s="3" cm="1">
        <f t="array" ref="AR23">AQ23*S*Linterp(AN$2,atmos_h,atmos_qms)*AN23^2</f>
        <v>2542.3512996783588</v>
      </c>
      <c r="AS23" s="63" cm="1">
        <f t="array" ref="AS23">Linterp(AQ23,LND_CL_cd,LND_CD_cl)</f>
        <v>9.4280000000000003E-2</v>
      </c>
      <c r="AT23" s="3" cm="1">
        <f t="array" ref="AT23">AS23*S*Linterp(AN$2,atmos_h,atmos_qms)*AN23^2</f>
        <v>713.37166825498707</v>
      </c>
      <c r="AU23" s="3">
        <f t="shared" si="30"/>
        <v>1787.2946100964921</v>
      </c>
      <c r="AV23" s="3">
        <f t="shared" si="26"/>
        <v>-8.8473391749789023</v>
      </c>
      <c r="AW23" s="3">
        <f t="shared" si="14"/>
        <v>0.52779375821880703</v>
      </c>
      <c r="AX23" s="3">
        <f t="shared" si="15"/>
        <v>6.3328963635488194</v>
      </c>
      <c r="AY23" s="3">
        <f t="shared" si="16"/>
        <v>109.61702218725972</v>
      </c>
      <c r="AZ23" s="3">
        <f t="shared" si="17"/>
        <v>1452.0338371931805</v>
      </c>
    </row>
    <row r="24" spans="2:52" ht="15.5">
      <c r="K24" s="12"/>
      <c r="L24" s="502">
        <v>0</v>
      </c>
      <c r="M24" s="503">
        <v>0.33600000000000002</v>
      </c>
      <c r="N24" s="366"/>
      <c r="O24" s="502">
        <v>0.3</v>
      </c>
      <c r="P24" s="503">
        <v>9.5000000000000001E-2</v>
      </c>
      <c r="V24" s="3">
        <f t="shared" si="27"/>
        <v>189.1251638110113</v>
      </c>
      <c r="W24" s="63" cm="1">
        <f t="array" ref="W24">V24/Linterp(W$2,atmos_h,atmos_aspeed)</f>
        <v>0.16939868674012387</v>
      </c>
      <c r="X24" s="3" cm="1">
        <f t="array" ref="X24">T$17*numeng*InterpolateXY(W$2,W24,Tnorm_h,Tnorm_M,Tnorm_table)</f>
        <v>180.38797373480247</v>
      </c>
      <c r="Y24" s="3">
        <v>0</v>
      </c>
      <c r="Z24" s="63" cm="1">
        <f t="array" ref="Z24">Linterp(Y24,LND_alpha,LND_CL_a)</f>
        <v>0.33600000000000002</v>
      </c>
      <c r="AA24" s="3" cm="1">
        <f t="array" ref="AA24">Z24*S*Linterp(W$2,atmos_h,atmos_qms)*W24^2</f>
        <v>2428.1031456061455</v>
      </c>
      <c r="AB24" s="63" cm="1">
        <f t="array" ref="AB24">Linterp(Z24,LND_CL_cd,LND_CD_cl)</f>
        <v>9.4280000000000003E-2</v>
      </c>
      <c r="AC24" s="3" cm="1">
        <f t="array" ref="AC24">AB24*S*Linterp(W$2,atmos_h,atmos_qms)*W24^2</f>
        <v>681.31418026115296</v>
      </c>
      <c r="AD24" s="3">
        <f t="shared" si="28"/>
        <v>1821.5690563181563</v>
      </c>
      <c r="AE24" s="3">
        <f t="shared" si="21"/>
        <v>-8.7910544219716655</v>
      </c>
      <c r="AF24" s="3">
        <f t="shared" si="22"/>
        <v>0.50055821431254299</v>
      </c>
      <c r="AG24" s="3">
        <f t="shared" si="23"/>
        <v>6.8776771356309316</v>
      </c>
      <c r="AH24" s="3">
        <f t="shared" si="24"/>
        <v>95.768946770421024</v>
      </c>
      <c r="AI24" s="3">
        <f t="shared" si="25"/>
        <v>1477.6026105960634</v>
      </c>
      <c r="AM24" s="3">
        <f t="shared" si="29"/>
        <v>200.68836497926668</v>
      </c>
      <c r="AN24" s="63" cm="1">
        <f t="array" ref="AN24">AM24/Linterp(AN$2,atmos_h,atmos_aspeed)</f>
        <v>0.18227972270769136</v>
      </c>
      <c r="AO24" s="3" cm="1">
        <f t="array" ref="AO24">AK$17*numeng*InterpolateXY(AN$2,AN24,Tnorm_h,Tnorm_M,Tnorm_table)</f>
        <v>163.16739088023712</v>
      </c>
      <c r="AP24" s="3">
        <v>0</v>
      </c>
      <c r="AQ24" s="63" cm="1">
        <f t="array" ref="AQ24">Linterp(AP24,LND_alpha,LND_CL_a)</f>
        <v>0.33600000000000002</v>
      </c>
      <c r="AR24" s="3" cm="1">
        <f t="array" ref="AR24">AQ24*S*Linterp(AN$2,atmos_h,atmos_qms)*AN24^2</f>
        <v>2428.1030749510778</v>
      </c>
      <c r="AS24" s="63" cm="1">
        <f t="array" ref="AS24">Linterp(AQ24,LND_CL_cd,LND_CD_cl)</f>
        <v>9.4280000000000003E-2</v>
      </c>
      <c r="AT24" s="3" cm="1">
        <f t="array" ref="AT24">AS24*S*Linterp(AN$2,atmos_h,atmos_qms)*AN24^2</f>
        <v>681.31416043567731</v>
      </c>
      <c r="AU24" s="3">
        <f t="shared" si="30"/>
        <v>1821.5690775146768</v>
      </c>
      <c r="AV24" s="3">
        <f t="shared" si="26"/>
        <v>-8.8562373721922274</v>
      </c>
      <c r="AW24" s="3">
        <f t="shared" si="14"/>
        <v>0.52725744610440017</v>
      </c>
      <c r="AX24" s="3">
        <f t="shared" si="15"/>
        <v>6.8601538096532195</v>
      </c>
      <c r="AY24" s="3">
        <f t="shared" si="16"/>
        <v>107.04483518627585</v>
      </c>
      <c r="AZ24" s="3">
        <f t="shared" si="17"/>
        <v>1559.0786723794563</v>
      </c>
    </row>
    <row r="25" spans="2:52" ht="15.5">
      <c r="K25" s="12"/>
      <c r="L25" s="502">
        <v>1</v>
      </c>
      <c r="M25" s="503">
        <v>0.40699999999999997</v>
      </c>
      <c r="N25" s="366"/>
      <c r="O25" s="502">
        <v>0.35</v>
      </c>
      <c r="P25" s="503">
        <v>9.4E-2</v>
      </c>
      <c r="V25" s="3">
        <f t="shared" si="27"/>
        <v>184.7269041874994</v>
      </c>
      <c r="W25" s="63" cm="1">
        <f t="array" ref="W25">V25/Linterp(W$2,atmos_h,atmos_aspeed)</f>
        <v>0.16545918239733029</v>
      </c>
      <c r="X25" s="3" cm="1">
        <f t="array" ref="X25">T$17*numeng*InterpolateXY(W$2,W25,Tnorm_h,Tnorm_M,Tnorm_table)</f>
        <v>180.30918364794661</v>
      </c>
      <c r="Y25" s="3">
        <v>0</v>
      </c>
      <c r="Z25" s="63" cm="1">
        <f t="array" ref="Z25">Linterp(Y25,LND_alpha,LND_CL_a)</f>
        <v>0.33600000000000002</v>
      </c>
      <c r="AA25" s="3" cm="1">
        <f t="array" ref="AA25">Z25*S*Linterp(W$2,atmos_h,atmos_qms)*W25^2</f>
        <v>2316.4813136015364</v>
      </c>
      <c r="AB25" s="63" cm="1">
        <f t="array" ref="AB25">Linterp(Z25,LND_CL_cd,LND_CD_cl)</f>
        <v>9.4280000000000003E-2</v>
      </c>
      <c r="AC25" s="3" cm="1">
        <f t="array" ref="AC25">AB25*S*Linterp(W$2,atmos_h,atmos_qms)*W25^2</f>
        <v>649.99362573319297</v>
      </c>
      <c r="AD25" s="3">
        <f t="shared" si="28"/>
        <v>1855.0556059195389</v>
      </c>
      <c r="AE25" s="3">
        <f t="shared" si="21"/>
        <v>-8.7995513299418775</v>
      </c>
      <c r="AF25" s="3">
        <f t="shared" si="22"/>
        <v>0.50006914890164633</v>
      </c>
      <c r="AG25" s="3">
        <f t="shared" si="23"/>
        <v>7.3777462845325781</v>
      </c>
      <c r="AH25" s="3">
        <f t="shared" si="24"/>
        <v>93.475942729567834</v>
      </c>
      <c r="AI25" s="3">
        <f t="shared" si="25"/>
        <v>1571.0785533256312</v>
      </c>
      <c r="AM25" s="3">
        <f t="shared" si="29"/>
        <v>196.02119370067908</v>
      </c>
      <c r="AN25" s="63" cm="1">
        <f t="array" ref="AN25">AM25/Linterp(AN$2,atmos_h,atmos_aspeed)</f>
        <v>0.17804065938890784</v>
      </c>
      <c r="AO25" s="3" cm="1">
        <f t="array" ref="AO25">AK$17*numeng*InterpolateXY(AN$2,AN25,Tnorm_h,Tnorm_M,Tnorm_table)</f>
        <v>163.03354932559472</v>
      </c>
      <c r="AP25" s="3">
        <v>0</v>
      </c>
      <c r="AQ25" s="63" cm="1">
        <f t="array" ref="AQ25">Linterp(AP25,LND_alpha,LND_CL_a)</f>
        <v>0.33600000000000002</v>
      </c>
      <c r="AR25" s="3" cm="1">
        <f t="array" ref="AR25">AQ25*S*Linterp(AN$2,atmos_h,atmos_qms)*AN25^2</f>
        <v>2316.481246194538</v>
      </c>
      <c r="AS25" s="63" cm="1">
        <f t="array" ref="AS25">Linterp(AQ25,LND_CL_cd,LND_CD_cl)</f>
        <v>9.4280000000000003E-2</v>
      </c>
      <c r="AT25" s="3" cm="1">
        <f t="array" ref="AT25">AS25*S*Linterp(AN$2,atmos_h,atmos_qms)*AN25^2</f>
        <v>649.99360681911014</v>
      </c>
      <c r="AU25" s="3">
        <f t="shared" si="30"/>
        <v>1855.0556261416384</v>
      </c>
      <c r="AV25" s="3">
        <f t="shared" si="26"/>
        <v>-8.8649426594444041</v>
      </c>
      <c r="AW25" s="3">
        <f t="shared" si="14"/>
        <v>0.52673369044900653</v>
      </c>
      <c r="AX25" s="3">
        <f t="shared" si="15"/>
        <v>7.3868875001022261</v>
      </c>
      <c r="AY25" s="3">
        <f t="shared" si="16"/>
        <v>104.48014493994226</v>
      </c>
      <c r="AZ25" s="3">
        <f t="shared" si="17"/>
        <v>1663.5588173193985</v>
      </c>
    </row>
    <row r="26" spans="2:52" ht="15.5">
      <c r="K26" s="12"/>
      <c r="L26" s="502">
        <v>2</v>
      </c>
      <c r="M26" s="503">
        <v>0.47699999999999998</v>
      </c>
      <c r="N26" s="366"/>
      <c r="O26" s="502">
        <v>0.4</v>
      </c>
      <c r="P26" s="503">
        <v>9.5000000000000001E-2</v>
      </c>
      <c r="V26" s="3">
        <f t="shared" si="27"/>
        <v>180.3286445639875</v>
      </c>
      <c r="W26" s="63" cm="1">
        <f t="array" ref="W26">V26/Linterp(W$2,atmos_h,atmos_aspeed)</f>
        <v>0.16151967805453668</v>
      </c>
      <c r="X26" s="3" cm="1">
        <f t="array" ref="X26">T$17*numeng*InterpolateXY(W$2,W26,Tnorm_h,Tnorm_M,Tnorm_table)</f>
        <v>180.23039356109075</v>
      </c>
      <c r="Y26" s="3">
        <v>0</v>
      </c>
      <c r="Z26" s="63" cm="1">
        <f t="array" ref="Z26">Linterp(Y26,LND_alpha,LND_CL_a)</f>
        <v>0.33600000000000002</v>
      </c>
      <c r="AA26" s="3" cm="1">
        <f t="array" ref="AA26">Z26*S*Linterp(W$2,atmos_h,atmos_qms)*W26^2</f>
        <v>2207.4858776440938</v>
      </c>
      <c r="AB26" s="63" cm="1">
        <f t="array" ref="AB26">Linterp(Z26,LND_CL_cd,LND_CD_cl)</f>
        <v>9.4280000000000003E-2</v>
      </c>
      <c r="AC26" s="3" cm="1">
        <f t="array" ref="AC26">AB26*S*Linterp(W$2,atmos_h,atmos_qms)*W26^2</f>
        <v>619.4100254294201</v>
      </c>
      <c r="AD26" s="3">
        <f t="shared" si="28"/>
        <v>1887.7542367067717</v>
      </c>
      <c r="AE26" s="3">
        <f t="shared" si="21"/>
        <v>-8.8078553279453278</v>
      </c>
      <c r="AF26" s="3">
        <f t="shared" si="22"/>
        <v>0.49959198523329529</v>
      </c>
      <c r="AG26" s="3">
        <f t="shared" si="23"/>
        <v>7.8773382697658736</v>
      </c>
      <c r="AH26" s="3">
        <f t="shared" si="24"/>
        <v>91.189413160592665</v>
      </c>
      <c r="AI26" s="3">
        <f t="shared" si="25"/>
        <v>1662.2679664862239</v>
      </c>
      <c r="AM26" s="3">
        <f t="shared" si="29"/>
        <v>191.35402242209148</v>
      </c>
      <c r="AN26" s="63" cm="1">
        <f t="array" ref="AN26">AM26/Linterp(AN$2,atmos_h,atmos_aspeed)</f>
        <v>0.1738015960701243</v>
      </c>
      <c r="AO26" s="3" cm="1">
        <f t="array" ref="AO26">AK$17*numeng*InterpolateXY(AN$2,AN26,Tnorm_h,Tnorm_M,Tnorm_table)</f>
        <v>162.89970777095232</v>
      </c>
      <c r="AP26" s="3">
        <v>0</v>
      </c>
      <c r="AQ26" s="63" cm="1">
        <f t="array" ref="AQ26">Linterp(AP26,LND_alpha,LND_CL_a)</f>
        <v>0.33600000000000002</v>
      </c>
      <c r="AR26" s="3" cm="1">
        <f t="array" ref="AR26">AQ26*S*Linterp(AN$2,atmos_h,atmos_qms)*AN26^2</f>
        <v>2207.4858134087403</v>
      </c>
      <c r="AS26" s="63" cm="1">
        <f t="array" ref="AS26">Linterp(AQ26,LND_CL_cd,LND_CD_cl)</f>
        <v>9.4280000000000003E-2</v>
      </c>
      <c r="AT26" s="3" cm="1">
        <f t="array" ref="AT26">AS26*S*Linterp(AN$2,atmos_h,atmos_qms)*AN26^2</f>
        <v>619.41000740528568</v>
      </c>
      <c r="AU26" s="3">
        <f t="shared" si="30"/>
        <v>1887.7542559773776</v>
      </c>
      <c r="AV26" s="3">
        <f t="shared" si="26"/>
        <v>-8.8734550367354323</v>
      </c>
      <c r="AW26" s="3">
        <f t="shared" si="14"/>
        <v>0.52622241969382955</v>
      </c>
      <c r="AX26" s="3">
        <f t="shared" si="15"/>
        <v>7.9131099197960557</v>
      </c>
      <c r="AY26" s="3">
        <f t="shared" si="16"/>
        <v>101.92276177877224</v>
      </c>
      <c r="AZ26" s="3">
        <f t="shared" si="17"/>
        <v>1765.4815790981706</v>
      </c>
    </row>
    <row r="27" spans="2:52" ht="15.5">
      <c r="L27" s="502">
        <v>3</v>
      </c>
      <c r="M27" s="503">
        <v>0.54800000000000004</v>
      </c>
      <c r="N27" s="366"/>
      <c r="O27" s="502">
        <v>0.45</v>
      </c>
      <c r="P27" s="503">
        <v>9.6000000000000002E-2</v>
      </c>
      <c r="V27" s="3">
        <f t="shared" si="27"/>
        <v>175.93038494047559</v>
      </c>
      <c r="W27" s="63" cm="1">
        <f t="array" ref="W27">V27/Linterp(W$2,atmos_h,atmos_aspeed)</f>
        <v>0.1575801737117431</v>
      </c>
      <c r="X27" s="3" cm="1">
        <f t="array" ref="X27">T$17*numeng*InterpolateXY(W$2,W27,Tnorm_h,Tnorm_M,Tnorm_table)</f>
        <v>180.15160347423489</v>
      </c>
      <c r="Y27" s="3">
        <v>0</v>
      </c>
      <c r="Z27" s="63" cm="1">
        <f t="array" ref="Z27">Linterp(Y27,LND_alpha,LND_CL_a)</f>
        <v>0.33600000000000002</v>
      </c>
      <c r="AA27" s="3" cm="1">
        <f t="array" ref="AA27">Z27*S*Linterp(W$2,atmos_h,atmos_qms)*W27^2</f>
        <v>2101.116837733819</v>
      </c>
      <c r="AB27" s="63" cm="1">
        <f t="array" ref="AB27">Linterp(Z27,LND_CL_cd,LND_CD_cl)</f>
        <v>9.4280000000000003E-2</v>
      </c>
      <c r="AC27" s="3" cm="1">
        <f t="array" ref="AC27">AB27*S*Linterp(W$2,atmos_h,atmos_qms)*W27^2</f>
        <v>589.56337934983458</v>
      </c>
      <c r="AD27" s="3">
        <f t="shared" si="28"/>
        <v>1919.6649486798542</v>
      </c>
      <c r="AE27" s="3">
        <f t="shared" si="21"/>
        <v>-8.8159664159820199</v>
      </c>
      <c r="AF27" s="3">
        <f t="shared" si="22"/>
        <v>0.49912665793132138</v>
      </c>
      <c r="AG27" s="3">
        <f t="shared" si="23"/>
        <v>8.3764649276971959</v>
      </c>
      <c r="AH27" s="3">
        <f t="shared" si="24"/>
        <v>88.909189377209344</v>
      </c>
      <c r="AI27" s="3">
        <f t="shared" si="25"/>
        <v>1751.1771558634332</v>
      </c>
      <c r="AM27" s="3">
        <f t="shared" si="29"/>
        <v>186.68685114350387</v>
      </c>
      <c r="AN27" s="63" cm="1">
        <f t="array" ref="AN27">AM27/Linterp(AN$2,atmos_h,atmos_aspeed)</f>
        <v>0.16956253275134078</v>
      </c>
      <c r="AO27" s="3" cm="1">
        <f t="array" ref="AO27">AK$17*numeng*InterpolateXY(AN$2,AN27,Tnorm_h,Tnorm_M,Tnorm_table)</f>
        <v>162.76586621630995</v>
      </c>
      <c r="AP27" s="3">
        <v>0</v>
      </c>
      <c r="AQ27" s="63" cm="1">
        <f t="array" ref="AQ27">Linterp(AP27,LND_alpha,LND_CL_a)</f>
        <v>0.33600000000000002</v>
      </c>
      <c r="AR27" s="3" cm="1">
        <f t="array" ref="AR27">AQ27*S*Linterp(AN$2,atmos_h,atmos_qms)*AN27^2</f>
        <v>2101.1167765936848</v>
      </c>
      <c r="AS27" s="63" cm="1">
        <f t="array" ref="AS27">Linterp(AQ27,LND_CL_cd,LND_CD_cl)</f>
        <v>9.4280000000000003E-2</v>
      </c>
      <c r="AT27" s="3" cm="1">
        <f t="array" ref="AT27">AS27*S*Linterp(AN$2,atmos_h,atmos_qms)*AN27^2</f>
        <v>589.56336219420416</v>
      </c>
      <c r="AU27" s="3">
        <f t="shared" si="30"/>
        <v>1919.6649670218947</v>
      </c>
      <c r="AV27" s="3">
        <f t="shared" si="26"/>
        <v>-8.8817745040653175</v>
      </c>
      <c r="AW27" s="3">
        <f t="shared" si="14"/>
        <v>0.52572356418852773</v>
      </c>
      <c r="AX27" s="3">
        <f t="shared" si="15"/>
        <v>8.4388334839845829</v>
      </c>
      <c r="AY27" s="3">
        <f t="shared" si="16"/>
        <v>99.372497729924675</v>
      </c>
      <c r="AZ27" s="3">
        <f t="shared" si="17"/>
        <v>1864.8540768280952</v>
      </c>
    </row>
    <row r="28" spans="2:52" ht="15.5">
      <c r="L28" s="502">
        <v>4</v>
      </c>
      <c r="M28" s="503">
        <v>0.61899999999999999</v>
      </c>
      <c r="N28" s="366"/>
      <c r="O28" s="502">
        <v>0.5</v>
      </c>
      <c r="P28" s="503">
        <v>0.1</v>
      </c>
      <c r="V28" s="3">
        <f t="shared" si="27"/>
        <v>171.53212531696369</v>
      </c>
      <c r="W28" s="63" cm="1">
        <f t="array" ref="W28">V28/Linterp(W$2,atmos_h,atmos_aspeed)</f>
        <v>0.15364066936894952</v>
      </c>
      <c r="X28" s="3" cm="1">
        <f t="array" ref="X28">T$17*numeng*InterpolateXY(W$2,W28,Tnorm_h,Tnorm_M,Tnorm_table)</f>
        <v>180.072813387379</v>
      </c>
      <c r="Y28" s="3">
        <v>0</v>
      </c>
      <c r="Z28" s="63" cm="1">
        <f t="array" ref="Z28">Linterp(Y28,LND_alpha,LND_CL_a)</f>
        <v>0.33600000000000002</v>
      </c>
      <c r="AA28" s="3" cm="1">
        <f t="array" ref="AA28">Z28*S*Linterp(W$2,atmos_h,atmos_qms)*W28^2</f>
        <v>1997.3741938707115</v>
      </c>
      <c r="AB28" s="63" cm="1">
        <f t="array" ref="AB28">Linterp(Z28,LND_CL_cd,LND_CD_cl)</f>
        <v>9.4280000000000003E-2</v>
      </c>
      <c r="AC28" s="3" cm="1">
        <f t="array" ref="AC28">AB28*S*Linterp(W$2,atmos_h,atmos_qms)*W28^2</f>
        <v>560.45368749443651</v>
      </c>
      <c r="AD28" s="3">
        <f t="shared" si="28"/>
        <v>1950.7877418387864</v>
      </c>
      <c r="AE28" s="3">
        <f t="shared" si="21"/>
        <v>-8.8238845940519504</v>
      </c>
      <c r="AF28" s="3">
        <f t="shared" si="22"/>
        <v>0.49867310341907861</v>
      </c>
      <c r="AG28" s="3">
        <f t="shared" si="23"/>
        <v>8.8751380311162738</v>
      </c>
      <c r="AH28" s="3">
        <f t="shared" si="24"/>
        <v>86.635104155930335</v>
      </c>
      <c r="AI28" s="3">
        <f t="shared" si="25"/>
        <v>1837.8122600193635</v>
      </c>
      <c r="AM28" s="3">
        <f t="shared" si="29"/>
        <v>182.01967986491627</v>
      </c>
      <c r="AN28" s="63" cm="1">
        <f t="array" ref="AN28">AM28/Linterp(AN$2,atmos_h,atmos_aspeed)</f>
        <v>0.16532346943255727</v>
      </c>
      <c r="AO28" s="3" cm="1">
        <f t="array" ref="AO28">AK$17*numeng*InterpolateXY(AN$2,AN28,Tnorm_h,Tnorm_M,Tnorm_table)</f>
        <v>162.63202466166754</v>
      </c>
      <c r="AP28" s="3">
        <v>0</v>
      </c>
      <c r="AQ28" s="63" cm="1">
        <f t="array" ref="AQ28">Linterp(AP28,LND_alpha,LND_CL_a)</f>
        <v>0.33600000000000002</v>
      </c>
      <c r="AR28" s="3" cm="1">
        <f t="array" ref="AR28">AQ28*S*Linterp(AN$2,atmos_h,atmos_qms)*AN28^2</f>
        <v>1997.3741357493718</v>
      </c>
      <c r="AS28" s="63" cm="1">
        <f t="array" ref="AS28">Linterp(AQ28,LND_CL_cd,LND_CD_cl)</f>
        <v>9.4280000000000003E-2</v>
      </c>
      <c r="AT28" s="3" cm="1">
        <f t="array" ref="AT28">AS28*S*Linterp(AN$2,atmos_h,atmos_qms)*AN28^2</f>
        <v>560.45367118586535</v>
      </c>
      <c r="AU28" s="3">
        <f t="shared" si="30"/>
        <v>1950.7877592751884</v>
      </c>
      <c r="AV28" s="3">
        <f t="shared" si="26"/>
        <v>-8.8899010614340508</v>
      </c>
      <c r="AW28" s="3">
        <f t="shared" si="14"/>
        <v>0.52523705616684868</v>
      </c>
      <c r="AX28" s="3">
        <f t="shared" si="15"/>
        <v>8.9640705401514325</v>
      </c>
      <c r="AY28" s="3">
        <f t="shared" si="16"/>
        <v>96.829166468176751</v>
      </c>
      <c r="AZ28" s="3">
        <f t="shared" si="17"/>
        <v>1961.6832432962719</v>
      </c>
    </row>
    <row r="29" spans="2:52" ht="15.5">
      <c r="K29" s="146"/>
      <c r="L29" s="502">
        <v>5</v>
      </c>
      <c r="M29" s="503">
        <v>0.68899999999999995</v>
      </c>
      <c r="N29" s="366"/>
      <c r="O29" s="502">
        <v>0.55000000000000004</v>
      </c>
      <c r="P29" s="503">
        <v>0.106</v>
      </c>
      <c r="V29" s="3">
        <f t="shared" si="27"/>
        <v>167.13386569345178</v>
      </c>
      <c r="W29" s="63" cm="1">
        <f t="array" ref="W29">V29/Linterp(W$2,atmos_h,atmos_aspeed)</f>
        <v>0.14970116502615591</v>
      </c>
      <c r="X29" s="3" cm="1">
        <f t="array" ref="X29">T$17*numeng*InterpolateXY(W$2,W29,Tnorm_h,Tnorm_M,Tnorm_table)</f>
        <v>179.99402330052314</v>
      </c>
      <c r="Y29" s="3">
        <v>0</v>
      </c>
      <c r="Z29" s="63" cm="1">
        <f t="array" ref="Z29">Linterp(Y29,LND_alpha,LND_CL_a)</f>
        <v>0.33600000000000002</v>
      </c>
      <c r="AA29" s="3" cm="1">
        <f t="array" ref="AA29">Z29*S*Linterp(W$2,atmos_h,atmos_qms)*W29^2</f>
        <v>1896.2579460547706</v>
      </c>
      <c r="AB29" s="63" cm="1">
        <f t="array" ref="AB29">Linterp(Z29,LND_CL_cd,LND_CD_cl)</f>
        <v>9.4280000000000003E-2</v>
      </c>
      <c r="AC29" s="3" cm="1">
        <f t="array" ref="AC29">AB29*S*Linterp(W$2,atmos_h,atmos_qms)*W29^2</f>
        <v>532.08094986322556</v>
      </c>
      <c r="AD29" s="3">
        <f t="shared" si="28"/>
        <v>1981.1226161835689</v>
      </c>
      <c r="AE29" s="3">
        <f t="shared" si="21"/>
        <v>-8.8316098621551209</v>
      </c>
      <c r="AF29" s="3">
        <f t="shared" si="22"/>
        <v>0.4982312598971847</v>
      </c>
      <c r="AG29" s="3">
        <f t="shared" si="23"/>
        <v>9.3733692910134589</v>
      </c>
      <c r="AH29" s="3">
        <f t="shared" si="24"/>
        <v>84.366991692723971</v>
      </c>
      <c r="AI29" s="3">
        <f t="shared" si="25"/>
        <v>1922.1792517120875</v>
      </c>
      <c r="AM29" s="3">
        <f t="shared" si="29"/>
        <v>177.35250858632867</v>
      </c>
      <c r="AN29" s="63" cm="1">
        <f t="array" ref="AN29">AM29/Linterp(AN$2,atmos_h,atmos_aspeed)</f>
        <v>0.16108440611377373</v>
      </c>
      <c r="AO29" s="3" cm="1">
        <f t="array" ref="AO29">AK$17*numeng*InterpolateXY(AN$2,AN29,Tnorm_h,Tnorm_M,Tnorm_table)</f>
        <v>162.49818310702517</v>
      </c>
      <c r="AP29" s="3">
        <v>0</v>
      </c>
      <c r="AQ29" s="63" cm="1">
        <f t="array" ref="AQ29">Linterp(AP29,LND_alpha,LND_CL_a)</f>
        <v>0.33600000000000002</v>
      </c>
      <c r="AR29" s="3" cm="1">
        <f t="array" ref="AR29">AQ29*S*Linterp(AN$2,atmos_h,atmos_qms)*AN29^2</f>
        <v>1896.2578908758003</v>
      </c>
      <c r="AS29" s="63" cm="1">
        <f t="array" ref="AS29">Linterp(AQ29,LND_CL_cd,LND_CD_cl)</f>
        <v>9.4280000000000003E-2</v>
      </c>
      <c r="AT29" s="3" cm="1">
        <f t="array" ref="AT29">AS29*S*Linterp(AN$2,atmos_h,atmos_qms)*AN29^2</f>
        <v>532.08093438026913</v>
      </c>
      <c r="AU29" s="3">
        <f t="shared" si="30"/>
        <v>1981.1226327372597</v>
      </c>
      <c r="AV29" s="3">
        <f t="shared" si="26"/>
        <v>-8.8978347088416392</v>
      </c>
      <c r="AW29" s="3">
        <f t="shared" si="14"/>
        <v>0.52476282972301735</v>
      </c>
      <c r="AX29" s="3">
        <f t="shared" si="15"/>
        <v>9.4888333698744489</v>
      </c>
      <c r="AY29" s="3">
        <f t="shared" si="16"/>
        <v>94.292583267714377</v>
      </c>
      <c r="AZ29" s="3">
        <f t="shared" si="17"/>
        <v>2055.9758265639862</v>
      </c>
    </row>
    <row r="30" spans="2:52" ht="15.5">
      <c r="K30" s="146"/>
      <c r="L30" s="502">
        <v>6</v>
      </c>
      <c r="M30" s="503">
        <v>0.76</v>
      </c>
      <c r="N30" s="366"/>
      <c r="O30" s="502">
        <v>0.6</v>
      </c>
      <c r="P30" s="503">
        <v>0.114</v>
      </c>
      <c r="V30" s="3">
        <f t="shared" si="27"/>
        <v>162.73560606993988</v>
      </c>
      <c r="W30" s="63" cm="1">
        <f t="array" ref="W30">V30/Linterp(W$2,atmos_h,atmos_aspeed)</f>
        <v>0.14576166068336233</v>
      </c>
      <c r="X30" s="3" cm="1">
        <f t="array" ref="X30">T$17*numeng*InterpolateXY(W$2,W30,Tnorm_h,Tnorm_M,Tnorm_table)</f>
        <v>179.91523321366725</v>
      </c>
      <c r="Y30" s="3">
        <v>0</v>
      </c>
      <c r="Z30" s="63" cm="1">
        <f t="array" ref="Z30">Linterp(Y30,LND_alpha,LND_CL_a)</f>
        <v>0.33600000000000002</v>
      </c>
      <c r="AA30" s="3" cm="1">
        <f t="array" ref="AA30">Z30*S*Linterp(W$2,atmos_h,atmos_qms)*W30^2</f>
        <v>1797.7680942859977</v>
      </c>
      <c r="AB30" s="63" cm="1">
        <f t="array" ref="AB30">Linterp(Z30,LND_CL_cd,LND_CD_cl)</f>
        <v>9.4280000000000003E-2</v>
      </c>
      <c r="AC30" s="3" cm="1">
        <f t="array" ref="AC30">AB30*S*Linterp(W$2,atmos_h,atmos_qms)*W30^2</f>
        <v>504.44516645620195</v>
      </c>
      <c r="AD30" s="3">
        <f t="shared" si="28"/>
        <v>2010.6695717142006</v>
      </c>
      <c r="AE30" s="3">
        <f t="shared" si="21"/>
        <v>-8.8391422202915297</v>
      </c>
      <c r="AF30" s="3">
        <f t="shared" si="22"/>
        <v>0.49780106732196677</v>
      </c>
      <c r="AG30" s="3">
        <f t="shared" si="23"/>
        <v>9.8711703583354264</v>
      </c>
      <c r="AH30" s="3">
        <f t="shared" si="24"/>
        <v>82.10468756037487</v>
      </c>
      <c r="AI30" s="3">
        <f t="shared" si="25"/>
        <v>2004.2839392724625</v>
      </c>
      <c r="AM30" s="3">
        <f t="shared" si="29"/>
        <v>172.68533730774107</v>
      </c>
      <c r="AN30" s="63" cm="1">
        <f t="array" ref="AN30">AM30/Linterp(AN$2,atmos_h,atmos_aspeed)</f>
        <v>0.15684534279499021</v>
      </c>
      <c r="AO30" s="3" cm="1">
        <f t="array" ref="AO30">AK$17*numeng*InterpolateXY(AN$2,AN30,Tnorm_h,Tnorm_M,Tnorm_table)</f>
        <v>162.36434155238277</v>
      </c>
      <c r="AP30" s="3">
        <v>0</v>
      </c>
      <c r="AQ30" s="63" cm="1">
        <f t="array" ref="AQ30">Linterp(AP30,LND_alpha,LND_CL_a)</f>
        <v>0.33600000000000002</v>
      </c>
      <c r="AR30" s="3" cm="1">
        <f t="array" ref="AR30">AQ30*S*Linterp(AN$2,atmos_h,atmos_qms)*AN30^2</f>
        <v>1797.7680419729713</v>
      </c>
      <c r="AS30" s="63" cm="1">
        <f t="array" ref="AS30">Linterp(AQ30,LND_CL_cd,LND_CD_cl)</f>
        <v>9.4280000000000003E-2</v>
      </c>
      <c r="AT30" s="3" cm="1">
        <f t="array" ref="AT30">AS30*S*Linterp(AN$2,atmos_h,atmos_qms)*AN30^2</f>
        <v>504.44515177741584</v>
      </c>
      <c r="AU30" s="3">
        <f t="shared" si="30"/>
        <v>2010.6695874081086</v>
      </c>
      <c r="AV30" s="3">
        <f t="shared" si="26"/>
        <v>-8.9055754462880827</v>
      </c>
      <c r="AW30" s="3">
        <f t="shared" si="14"/>
        <v>0.52430082078885809</v>
      </c>
      <c r="AX30" s="3">
        <f t="shared" si="15"/>
        <v>10.013134190663306</v>
      </c>
      <c r="AY30" s="3">
        <f t="shared" si="16"/>
        <v>91.762564954712289</v>
      </c>
      <c r="AZ30" s="3">
        <f t="shared" si="17"/>
        <v>2147.7383915186983</v>
      </c>
    </row>
    <row r="31" spans="2:52" ht="15.5">
      <c r="K31" s="146"/>
      <c r="L31" s="502">
        <v>7</v>
      </c>
      <c r="M31" s="503">
        <v>0.83099999999999996</v>
      </c>
      <c r="N31" s="366"/>
      <c r="O31" s="502">
        <v>0.65</v>
      </c>
      <c r="P31" s="503">
        <v>0.123</v>
      </c>
      <c r="V31" s="3">
        <f t="shared" si="27"/>
        <v>158.33734644642797</v>
      </c>
      <c r="W31" s="63" cm="1">
        <f t="array" ref="W31">V31/Linterp(W$2,atmos_h,atmos_aspeed)</f>
        <v>0.14182215634056874</v>
      </c>
      <c r="X31" s="3" cm="1">
        <f t="array" ref="X31">T$17*numeng*InterpolateXY(W$2,W31,Tnorm_h,Tnorm_M,Tnorm_table)</f>
        <v>179.83644312681139</v>
      </c>
      <c r="Y31" s="3">
        <v>0</v>
      </c>
      <c r="Z31" s="63" cm="1">
        <f t="array" ref="Z31">Linterp(Y31,LND_alpha,LND_CL_a)</f>
        <v>0.33600000000000002</v>
      </c>
      <c r="AA31" s="3" cm="1">
        <f t="array" ref="AA31">Z31*S*Linterp(W$2,atmos_h,atmos_qms)*W31^2</f>
        <v>1701.9046385643921</v>
      </c>
      <c r="AB31" s="63" cm="1">
        <f t="array" ref="AB31">Linterp(Z31,LND_CL_cd,LND_CD_cl)</f>
        <v>9.4280000000000003E-2</v>
      </c>
      <c r="AC31" s="3" cm="1">
        <f t="array" ref="AC31">AB31*S*Linterp(W$2,atmos_h,atmos_qms)*W31^2</f>
        <v>477.54633727336568</v>
      </c>
      <c r="AD31" s="3">
        <f t="shared" si="28"/>
        <v>2039.4286084306823</v>
      </c>
      <c r="AE31" s="3">
        <f t="shared" si="21"/>
        <v>-8.8464816684611769</v>
      </c>
      <c r="AF31" s="3">
        <f t="shared" si="22"/>
        <v>0.4973824673845979</v>
      </c>
      <c r="AG31" s="3">
        <f t="shared" si="23"/>
        <v>10.368552825720025</v>
      </c>
      <c r="AH31" s="3">
        <f t="shared" si="24"/>
        <v>79.848028666524442</v>
      </c>
      <c r="AI31" s="3">
        <f t="shared" si="25"/>
        <v>2084.1319679389871</v>
      </c>
      <c r="AM31" s="3">
        <f t="shared" si="29"/>
        <v>168.01816602915346</v>
      </c>
      <c r="AN31" s="63" cm="1">
        <f t="array" ref="AN31">AM31/Linterp(AN$2,atmos_h,atmos_aspeed)</f>
        <v>0.1526062794762067</v>
      </c>
      <c r="AO31" s="3" cm="1">
        <f t="array" ref="AO31">AK$17*numeng*InterpolateXY(AN$2,AN31,Tnorm_h,Tnorm_M,Tnorm_table)</f>
        <v>162.23049999774037</v>
      </c>
      <c r="AP31" s="3">
        <v>0</v>
      </c>
      <c r="AQ31" s="63" cm="1">
        <f t="array" ref="AQ31">Linterp(AP31,LND_alpha,LND_CL_a)</f>
        <v>0.33600000000000002</v>
      </c>
      <c r="AR31" s="3" cm="1">
        <f t="array" ref="AR31">AQ31*S*Linterp(AN$2,atmos_h,atmos_qms)*AN31^2</f>
        <v>1701.9045890408847</v>
      </c>
      <c r="AS31" s="63" cm="1">
        <f t="array" ref="AS31">Linterp(AQ31,LND_CL_cd,LND_CD_cl)</f>
        <v>9.4280000000000003E-2</v>
      </c>
      <c r="AT31" s="3" cm="1">
        <f t="array" ref="AT31">AS31*S*Linterp(AN$2,atmos_h,atmos_qms)*AN31^2</f>
        <v>477.54632337730533</v>
      </c>
      <c r="AU31" s="3">
        <f t="shared" si="30"/>
        <v>2039.4286232877344</v>
      </c>
      <c r="AV31" s="3">
        <f t="shared" si="26"/>
        <v>-8.9131232737733743</v>
      </c>
      <c r="AW31" s="3">
        <f t="shared" si="14"/>
        <v>0.52385096711164392</v>
      </c>
      <c r="AX31" s="3">
        <f t="shared" si="15"/>
        <v>10.53698515777495</v>
      </c>
      <c r="AY31" s="3">
        <f t="shared" si="16"/>
        <v>89.238929860678695</v>
      </c>
      <c r="AZ31" s="3">
        <f t="shared" si="17"/>
        <v>2236.9773213793769</v>
      </c>
    </row>
    <row r="32" spans="2:52" ht="15.5">
      <c r="K32" s="146"/>
      <c r="L32" s="502">
        <v>8</v>
      </c>
      <c r="M32" s="503">
        <v>0.878</v>
      </c>
      <c r="N32" s="366"/>
      <c r="O32" s="502">
        <v>0.7</v>
      </c>
      <c r="P32" s="503">
        <v>0.13600000000000001</v>
      </c>
      <c r="V32" s="3">
        <f t="shared" si="27"/>
        <v>153.93908682291607</v>
      </c>
      <c r="W32" s="63" cm="1">
        <f t="array" ref="W32">V32/Linterp(W$2,atmos_h,atmos_aspeed)</f>
        <v>0.13788265199777514</v>
      </c>
      <c r="X32" s="3" cm="1">
        <f t="array" ref="X32">T$17*numeng*InterpolateXY(W$2,W32,Tnorm_h,Tnorm_M,Tnorm_table)</f>
        <v>179.7576530399555</v>
      </c>
      <c r="Y32" s="3">
        <v>0</v>
      </c>
      <c r="Z32" s="63" cm="1">
        <f t="array" ref="Z32">Linterp(Y32,LND_alpha,LND_CL_a)</f>
        <v>0.33600000000000002</v>
      </c>
      <c r="AA32" s="3" cm="1">
        <f t="array" ref="AA32">Z32*S*Linterp(W$2,atmos_h,atmos_qms)*W32^2</f>
        <v>1608.6675788899533</v>
      </c>
      <c r="AB32" s="63" cm="1">
        <f t="array" ref="AB32">Linterp(Z32,LND_CL_cd,LND_CD_cl)</f>
        <v>9.4280000000000003E-2</v>
      </c>
      <c r="AC32" s="3" cm="1">
        <f t="array" ref="AC32">AB32*S*Linterp(W$2,atmos_h,atmos_qms)*W32^2</f>
        <v>451.38446231471664</v>
      </c>
      <c r="AD32" s="3">
        <f t="shared" si="28"/>
        <v>2067.3997263330139</v>
      </c>
      <c r="AE32" s="3">
        <f t="shared" si="21"/>
        <v>-8.8536282066640659</v>
      </c>
      <c r="AF32" s="3">
        <f t="shared" si="22"/>
        <v>0.49697540349091007</v>
      </c>
      <c r="AG32" s="3">
        <f t="shared" si="23"/>
        <v>10.865528229210936</v>
      </c>
      <c r="AH32" s="3">
        <f t="shared" si="24"/>
        <v>77.59685321236725</v>
      </c>
      <c r="AI32" s="3">
        <f t="shared" si="25"/>
        <v>2161.7288211513542</v>
      </c>
      <c r="AM32" s="3">
        <f t="shared" si="29"/>
        <v>163.35099475056586</v>
      </c>
      <c r="AN32" s="63" cm="1">
        <f t="array" ref="AN32">AM32/Linterp(AN$2,atmos_h,atmos_aspeed)</f>
        <v>0.14836721615742315</v>
      </c>
      <c r="AO32" s="3" cm="1">
        <f t="array" ref="AO32">AK$17*numeng*InterpolateXY(AN$2,AN32,Tnorm_h,Tnorm_M,Tnorm_table)</f>
        <v>162.09665844309799</v>
      </c>
      <c r="AP32" s="3">
        <v>0</v>
      </c>
      <c r="AQ32" s="63" cm="1">
        <f t="array" ref="AQ32">Linterp(AP32,LND_alpha,LND_CL_a)</f>
        <v>0.33600000000000002</v>
      </c>
      <c r="AR32" s="3" cm="1">
        <f t="array" ref="AR32">AQ32*S*Linterp(AN$2,atmos_h,atmos_qms)*AN32^2</f>
        <v>1608.6675320795393</v>
      </c>
      <c r="AS32" s="63" cm="1">
        <f t="array" ref="AS32">Linterp(AQ32,LND_CL_cd,LND_CD_cl)</f>
        <v>9.4280000000000003E-2</v>
      </c>
      <c r="AT32" s="3" cm="1">
        <f t="array" ref="AT32">AS32*S*Linterp(AN$2,atmos_h,atmos_qms)*AN32^2</f>
        <v>451.38444917993741</v>
      </c>
      <c r="AU32" s="3">
        <f t="shared" si="30"/>
        <v>2067.3997403761382</v>
      </c>
      <c r="AV32" s="3">
        <f t="shared" si="26"/>
        <v>-8.9204781912975211</v>
      </c>
      <c r="AW32" s="3">
        <f t="shared" si="14"/>
        <v>0.52341320823264781</v>
      </c>
      <c r="AX32" s="3">
        <f t="shared" si="15"/>
        <v>11.060398366007599</v>
      </c>
      <c r="AY32" s="3">
        <f t="shared" si="16"/>
        <v>86.721497776536495</v>
      </c>
      <c r="AZ32" s="3">
        <f t="shared" si="17"/>
        <v>2323.6988191559135</v>
      </c>
    </row>
    <row r="33" spans="6:52" ht="15.5">
      <c r="K33" s="146"/>
      <c r="L33" s="502">
        <v>9</v>
      </c>
      <c r="M33" s="503">
        <v>0.91</v>
      </c>
      <c r="N33" s="366"/>
      <c r="O33" s="502">
        <v>0.75</v>
      </c>
      <c r="P33" s="503">
        <v>0.15</v>
      </c>
      <c r="V33" s="3">
        <f t="shared" si="27"/>
        <v>149.54082719940416</v>
      </c>
      <c r="W33" s="63" cm="1">
        <f t="array" ref="W33">V33/Linterp(W$2,atmos_h,atmos_aspeed)</f>
        <v>0.13394314765498155</v>
      </c>
      <c r="X33" s="3" cm="1">
        <f t="array" ref="X33">T$17*numeng*InterpolateXY(W$2,W33,Tnorm_h,Tnorm_M,Tnorm_table)</f>
        <v>179.67886295309964</v>
      </c>
      <c r="Y33" s="3">
        <v>0</v>
      </c>
      <c r="Z33" s="63" cm="1">
        <f t="array" ref="Z33">Linterp(Y33,LND_alpha,LND_CL_a)</f>
        <v>0.33600000000000002</v>
      </c>
      <c r="AA33" s="3" cm="1">
        <f t="array" ref="AA33">Z33*S*Linterp(W$2,atmos_h,atmos_qms)*W33^2</f>
        <v>1518.0569152626824</v>
      </c>
      <c r="AB33" s="63" cm="1">
        <f t="array" ref="AB33">Linterp(Z33,LND_CL_cd,LND_CD_cl)</f>
        <v>9.4280000000000003E-2</v>
      </c>
      <c r="AC33" s="3" cm="1">
        <f t="array" ref="AC33">AB33*S*Linterp(W$2,atmos_h,atmos_qms)*W33^2</f>
        <v>425.95954158025501</v>
      </c>
      <c r="AD33" s="3">
        <f t="shared" si="28"/>
        <v>2094.5829254211953</v>
      </c>
      <c r="AE33" s="3">
        <f t="shared" si="21"/>
        <v>-8.8605818349001915</v>
      </c>
      <c r="AF33" s="3">
        <f t="shared" si="22"/>
        <v>0.49657982074186985</v>
      </c>
      <c r="AG33" s="3">
        <f t="shared" si="23"/>
        <v>11.362108049952806</v>
      </c>
      <c r="AH33" s="3">
        <f t="shared" si="24"/>
        <v>75.351000651980939</v>
      </c>
      <c r="AI33" s="3">
        <f t="shared" si="25"/>
        <v>2237.0798218033351</v>
      </c>
      <c r="AM33" s="3">
        <f t="shared" si="29"/>
        <v>158.68382347197826</v>
      </c>
      <c r="AN33" s="63" cm="1">
        <f t="array" ref="AN33">AM33/Linterp(AN$2,atmos_h,atmos_aspeed)</f>
        <v>0.14412815283863964</v>
      </c>
      <c r="AO33" s="3" cm="1">
        <f t="array" ref="AO33">AK$17*numeng*InterpolateXY(AN$2,AN33,Tnorm_h,Tnorm_M,Tnorm_table)</f>
        <v>161.96281688845559</v>
      </c>
      <c r="AP33" s="3">
        <v>0</v>
      </c>
      <c r="AQ33" s="63" cm="1">
        <f t="array" ref="AQ33">Linterp(AP33,LND_alpha,LND_CL_a)</f>
        <v>0.33600000000000002</v>
      </c>
      <c r="AR33" s="3" cm="1">
        <f t="array" ref="AR33">AQ33*S*Linterp(AN$2,atmos_h,atmos_qms)*AN33^2</f>
        <v>1518.0568710889368</v>
      </c>
      <c r="AS33" s="63" cm="1">
        <f t="array" ref="AS33">Linterp(AQ33,LND_CL_cd,LND_CD_cl)</f>
        <v>9.4280000000000003E-2</v>
      </c>
      <c r="AT33" s="3" cm="1">
        <f t="array" ref="AT33">AS33*S*Linterp(AN$2,atmos_h,atmos_qms)*AN33^2</f>
        <v>425.95952918531231</v>
      </c>
      <c r="AU33" s="3">
        <f t="shared" si="30"/>
        <v>2094.5829386733189</v>
      </c>
      <c r="AV33" s="3">
        <f t="shared" si="26"/>
        <v>-8.9276401988605212</v>
      </c>
      <c r="AW33" s="3">
        <f t="shared" si="14"/>
        <v>0.52298748546639096</v>
      </c>
      <c r="AX33" s="3">
        <f t="shared" si="15"/>
        <v>11.58338585147399</v>
      </c>
      <c r="AY33" s="3">
        <f t="shared" si="16"/>
        <v>84.210089907417327</v>
      </c>
      <c r="AZ33" s="3">
        <f t="shared" si="17"/>
        <v>2407.9089090633306</v>
      </c>
    </row>
    <row r="34" spans="6:52" ht="15.5">
      <c r="L34" s="502">
        <v>10</v>
      </c>
      <c r="M34" s="503">
        <v>0.92500000000000004</v>
      </c>
      <c r="N34" s="366"/>
      <c r="O34" s="502">
        <v>0.8</v>
      </c>
      <c r="P34" s="503">
        <v>0.16700000000000001</v>
      </c>
      <c r="V34" s="3">
        <f t="shared" si="27"/>
        <v>145.14256757589226</v>
      </c>
      <c r="W34" s="63" cm="1">
        <f t="array" ref="W34">V34/Linterp(W$2,atmos_h,atmos_aspeed)</f>
        <v>0.13000364331218797</v>
      </c>
      <c r="X34" s="3" cm="1">
        <f t="array" ref="X34">T$17*numeng*InterpolateXY(W$2,W34,Tnorm_h,Tnorm_M,Tnorm_table)</f>
        <v>179.60007286624375</v>
      </c>
      <c r="Y34" s="3">
        <v>0</v>
      </c>
      <c r="Z34" s="63" cm="1">
        <f t="array" ref="Z34">Linterp(Y34,LND_alpha,LND_CL_a)</f>
        <v>0.33600000000000002</v>
      </c>
      <c r="AA34" s="3" cm="1">
        <f t="array" ref="AA34">Z34*S*Linterp(W$2,atmos_h,atmos_qms)*W34^2</f>
        <v>1430.0726476825787</v>
      </c>
      <c r="AB34" s="63" cm="1">
        <f t="array" ref="AB34">Linterp(Z34,LND_CL_cd,LND_CD_cl)</f>
        <v>9.4280000000000003E-2</v>
      </c>
      <c r="AC34" s="3" cm="1">
        <f t="array" ref="AC34">AB34*S*Linterp(W$2,atmos_h,atmos_qms)*W34^2</f>
        <v>401.27157506998066</v>
      </c>
      <c r="AD34" s="3">
        <f t="shared" si="28"/>
        <v>2120.9782056952263</v>
      </c>
      <c r="AE34" s="3">
        <f t="shared" si="21"/>
        <v>-8.8673425531695571</v>
      </c>
      <c r="AF34" s="3">
        <f t="shared" si="22"/>
        <v>0.4961956659147051</v>
      </c>
      <c r="AG34" s="3">
        <f t="shared" si="23"/>
        <v>11.85830371586751</v>
      </c>
      <c r="AH34" s="3">
        <f t="shared" si="24"/>
        <v>73.110311652267058</v>
      </c>
      <c r="AI34" s="3">
        <f t="shared" si="25"/>
        <v>2310.1901334556023</v>
      </c>
      <c r="AM34" s="3">
        <f t="shared" si="29"/>
        <v>154.01665219339066</v>
      </c>
      <c r="AN34" s="63" cm="1">
        <f t="array" ref="AN34">AM34/Linterp(AN$2,atmos_h,atmos_aspeed)</f>
        <v>0.13988908951985612</v>
      </c>
      <c r="AO34" s="3" cm="1">
        <f t="array" ref="AO34">AK$17*numeng*InterpolateXY(AN$2,AN34,Tnorm_h,Tnorm_M,Tnorm_table)</f>
        <v>161.82897533381322</v>
      </c>
      <c r="AP34" s="3">
        <v>0</v>
      </c>
      <c r="AQ34" s="63" cm="1">
        <f t="array" ref="AQ34">Linterp(AP34,LND_alpha,LND_CL_a)</f>
        <v>0.33600000000000002</v>
      </c>
      <c r="AR34" s="3" cm="1">
        <f t="array" ref="AR34">AQ34*S*Linterp(AN$2,atmos_h,atmos_qms)*AN34^2</f>
        <v>1430.0726060690765</v>
      </c>
      <c r="AS34" s="63" cm="1">
        <f t="array" ref="AS34">Linterp(AQ34,LND_CL_cd,LND_CD_cl)</f>
        <v>9.4280000000000003E-2</v>
      </c>
      <c r="AT34" s="3" cm="1">
        <f t="array" ref="AT34">AS34*S*Linterp(AN$2,atmos_h,atmos_qms)*AN34^2</f>
        <v>401.27156339343009</v>
      </c>
      <c r="AU34" s="3">
        <f t="shared" si="30"/>
        <v>2120.9782181792771</v>
      </c>
      <c r="AV34" s="3">
        <f t="shared" si="26"/>
        <v>-8.9346092964623729</v>
      </c>
      <c r="AW34" s="3">
        <f t="shared" si="14"/>
        <v>0.52257374188056993</v>
      </c>
      <c r="AX34" s="3">
        <f t="shared" si="15"/>
        <v>12.105959593354561</v>
      </c>
      <c r="AY34" s="3">
        <f t="shared" si="16"/>
        <v>81.704528828142969</v>
      </c>
      <c r="AZ34" s="3">
        <f t="shared" si="17"/>
        <v>2489.6134378914735</v>
      </c>
    </row>
    <row r="35" spans="6:52" ht="16" thickBot="1">
      <c r="F35" s="8"/>
      <c r="L35" s="504">
        <v>11</v>
      </c>
      <c r="M35" s="505">
        <v>0.93</v>
      </c>
      <c r="N35" s="366"/>
      <c r="O35" s="502">
        <v>0.85</v>
      </c>
      <c r="P35" s="503">
        <v>0.186</v>
      </c>
      <c r="V35" s="3">
        <f t="shared" si="27"/>
        <v>140.74430795238035</v>
      </c>
      <c r="W35" s="63" cm="1">
        <f t="array" ref="W35">V35/Linterp(W$2,atmos_h,atmos_aspeed)</f>
        <v>0.12606413896939436</v>
      </c>
      <c r="X35" s="3" cm="1">
        <f t="array" ref="X35">T$17*numeng*InterpolateXY(W$2,W35,Tnorm_h,Tnorm_M,Tnorm_table)</f>
        <v>179.52128277938789</v>
      </c>
      <c r="Y35" s="3">
        <v>0</v>
      </c>
      <c r="Z35" s="63" cm="1">
        <f t="array" ref="Z35">Linterp(Y35,LND_alpha,LND_CL_a)</f>
        <v>0.33600000000000002</v>
      </c>
      <c r="AA35" s="3" cm="1">
        <f t="array" ref="AA35">Z35*S*Linterp(W$2,atmos_h,atmos_qms)*W35^2</f>
        <v>1344.7147761496417</v>
      </c>
      <c r="AB35" s="63" cm="1">
        <f t="array" ref="AB35">Linterp(Z35,LND_CL_cd,LND_CD_cl)</f>
        <v>9.4280000000000003E-2</v>
      </c>
      <c r="AC35" s="3" cm="1">
        <f t="array" ref="AC35">AB35*S*Linterp(W$2,atmos_h,atmos_qms)*W35^2</f>
        <v>377.32056278389348</v>
      </c>
      <c r="AD35" s="3">
        <f t="shared" si="28"/>
        <v>2146.5855671551076</v>
      </c>
      <c r="AE35" s="3">
        <f t="shared" si="21"/>
        <v>-8.8739103614721628</v>
      </c>
      <c r="AF35" s="3">
        <f t="shared" si="22"/>
        <v>0.49582288744466912</v>
      </c>
      <c r="AG35" s="3">
        <f t="shared" si="23"/>
        <v>12.35412660331218</v>
      </c>
      <c r="AH35" s="3">
        <f t="shared" si="24"/>
        <v>70.87462805348143</v>
      </c>
      <c r="AI35" s="3">
        <f t="shared" si="25"/>
        <v>2381.0647615090838</v>
      </c>
      <c r="AM35" s="3">
        <f t="shared" si="29"/>
        <v>149.34948091480305</v>
      </c>
      <c r="AN35" s="63" cm="1">
        <f t="array" ref="AN35">AM35/Linterp(AN$2,atmos_h,atmos_aspeed)</f>
        <v>0.13565002620107258</v>
      </c>
      <c r="AO35" s="3" cm="1">
        <f t="array" ref="AO35">AK$17*numeng*InterpolateXY(AN$2,AN35,Tnorm_h,Tnorm_M,Tnorm_table)</f>
        <v>161.69513377917082</v>
      </c>
      <c r="AP35" s="3">
        <v>0</v>
      </c>
      <c r="AQ35" s="63" cm="1">
        <f t="array" ref="AQ35">Linterp(AP35,LND_alpha,LND_CL_a)</f>
        <v>0.33600000000000002</v>
      </c>
      <c r="AR35" s="3" cm="1">
        <f t="array" ref="AR35">AQ35*S*Linterp(AN$2,atmos_h,atmos_qms)*AN35^2</f>
        <v>1344.7147370199575</v>
      </c>
      <c r="AS35" s="63" cm="1">
        <f t="array" ref="AS35">Linterp(AQ35,LND_CL_cd,LND_CD_cl)</f>
        <v>9.4280000000000003E-2</v>
      </c>
      <c r="AT35" s="3" cm="1">
        <f t="array" ref="AT35">AS35*S*Linterp(AN$2,atmos_h,atmos_qms)*AN35^2</f>
        <v>377.3205518042904</v>
      </c>
      <c r="AU35" s="3">
        <f t="shared" si="30"/>
        <v>2146.5855788940125</v>
      </c>
      <c r="AV35" s="3">
        <f t="shared" si="26"/>
        <v>-8.9413854841030762</v>
      </c>
      <c r="AW35" s="3">
        <f t="shared" si="14"/>
        <v>0.52217192227664899</v>
      </c>
      <c r="AX35" s="3">
        <f t="shared" si="15"/>
        <v>12.62813151563121</v>
      </c>
      <c r="AY35" s="3">
        <f t="shared" si="16"/>
        <v>79.204638439369646</v>
      </c>
      <c r="AZ35" s="3">
        <f t="shared" si="17"/>
        <v>2568.8180763308433</v>
      </c>
    </row>
    <row r="36" spans="6:52" ht="16" thickBot="1">
      <c r="F36" s="8"/>
      <c r="L36" s="366"/>
      <c r="M36" s="366"/>
      <c r="N36" s="366"/>
      <c r="O36" s="504">
        <v>0.9</v>
      </c>
      <c r="P36" s="505">
        <v>0.218</v>
      </c>
      <c r="V36" s="3">
        <f t="shared" si="27"/>
        <v>136.34604832886845</v>
      </c>
      <c r="W36" s="63" cm="1">
        <f t="array" ref="W36">V36/Linterp(W$2,atmos_h,atmos_aspeed)</f>
        <v>0.12212463462660078</v>
      </c>
      <c r="X36" s="3" cm="1">
        <f t="array" ref="X36">T$17*numeng*InterpolateXY(W$2,W36,Tnorm_h,Tnorm_M,Tnorm_table)</f>
        <v>179.44249269253203</v>
      </c>
      <c r="Y36" s="3">
        <v>0</v>
      </c>
      <c r="Z36" s="63" cm="1">
        <f t="array" ref="Z36">Linterp(Y36,LND_alpha,LND_CL_a)</f>
        <v>0.33600000000000002</v>
      </c>
      <c r="AA36" s="3" cm="1">
        <f t="array" ref="AA36">Z36*S*Linterp(W$2,atmos_h,atmos_qms)*W36^2</f>
        <v>1261.9833006638726</v>
      </c>
      <c r="AB36" s="63" cm="1">
        <f t="array" ref="AB36">Linterp(Z36,LND_CL_cd,LND_CD_cl)</f>
        <v>9.4280000000000003E-2</v>
      </c>
      <c r="AC36" s="3" cm="1">
        <f t="array" ref="AC36">AB36*S*Linterp(W$2,atmos_h,atmos_qms)*W36^2</f>
        <v>354.10650472199376</v>
      </c>
      <c r="AD36" s="3">
        <f t="shared" si="28"/>
        <v>2171.4050098008379</v>
      </c>
      <c r="AE36" s="3">
        <f t="shared" si="21"/>
        <v>-8.8802852598080069</v>
      </c>
      <c r="AF36" s="3">
        <f t="shared" si="22"/>
        <v>0.49546143540743165</v>
      </c>
      <c r="AG36" s="3">
        <f t="shared" si="23"/>
        <v>12.849588038719611</v>
      </c>
      <c r="AH36" s="3">
        <f t="shared" si="24"/>
        <v>68.643792830332075</v>
      </c>
      <c r="AI36" s="3">
        <f t="shared" si="25"/>
        <v>2449.708554339416</v>
      </c>
      <c r="AM36" s="3">
        <f t="shared" si="29"/>
        <v>144.68230963621545</v>
      </c>
      <c r="AN36" s="63" cm="1">
        <f t="array" ref="AN36">AM36/Linterp(AN$2,atmos_h,atmos_aspeed)</f>
        <v>0.13141096288228907</v>
      </c>
      <c r="AO36" s="3" cm="1">
        <f t="array" ref="AO36">AK$17*numeng*InterpolateXY(AN$2,AN36,Tnorm_h,Tnorm_M,Tnorm_table)</f>
        <v>161.56129222452842</v>
      </c>
      <c r="AP36" s="3">
        <v>0</v>
      </c>
      <c r="AQ36" s="63" cm="1">
        <f t="array" ref="AQ36">Linterp(AP36,LND_alpha,LND_CL_a)</f>
        <v>0.33600000000000002</v>
      </c>
      <c r="AR36" s="3" cm="1">
        <f t="array" ref="AR36">AQ36*S*Linterp(AN$2,atmos_h,atmos_qms)*AN36^2</f>
        <v>1261.9832639415813</v>
      </c>
      <c r="AS36" s="63" cm="1">
        <f t="array" ref="AS36">Linterp(AQ36,LND_CL_cd,LND_CD_cl)</f>
        <v>9.4280000000000003E-2</v>
      </c>
      <c r="AT36" s="3" cm="1">
        <f t="array" ref="AT36">AS36*S*Linterp(AN$2,atmos_h,atmos_qms)*AN36^2</f>
        <v>354.10649441789366</v>
      </c>
      <c r="AU36" s="3">
        <f t="shared" si="30"/>
        <v>2171.4050208175254</v>
      </c>
      <c r="AV36" s="3">
        <f t="shared" si="26"/>
        <v>-8.9479687617826347</v>
      </c>
      <c r="AW36" s="3">
        <f t="shared" si="14"/>
        <v>0.52178197317110908</v>
      </c>
      <c r="AX36" s="3">
        <f t="shared" si="15"/>
        <v>13.149913488802319</v>
      </c>
      <c r="AY36" s="3">
        <f t="shared" si="16"/>
        <v>76.71024392437235</v>
      </c>
      <c r="AZ36" s="3">
        <f t="shared" si="17"/>
        <v>2645.5283202552155</v>
      </c>
    </row>
    <row r="37" spans="6:52" ht="15.5">
      <c r="F37" s="142"/>
      <c r="L37" s="366"/>
      <c r="M37" s="366"/>
      <c r="N37" s="366"/>
      <c r="V37" s="3">
        <f t="shared" si="27"/>
        <v>131.94778870535654</v>
      </c>
      <c r="W37" s="63" cm="1">
        <f t="array" ref="W37">V37/Linterp(W$2,atmos_h,atmos_aspeed)</f>
        <v>0.11818513028380719</v>
      </c>
      <c r="X37" s="3" cm="1">
        <f t="array" ref="X37">T$17*numeng*InterpolateXY(W$2,W37,Tnorm_h,Tnorm_M,Tnorm_table)</f>
        <v>179.36370260567617</v>
      </c>
      <c r="Y37" s="3">
        <v>0</v>
      </c>
      <c r="Z37" s="63" cm="1">
        <f t="array" ref="Z37">Linterp(Y37,LND_alpha,LND_CL_a)</f>
        <v>0.33600000000000002</v>
      </c>
      <c r="AA37" s="3" cm="1">
        <f t="array" ref="AA37">Z37*S*Linterp(W$2,atmos_h,atmos_qms)*W37^2</f>
        <v>1181.8782212252704</v>
      </c>
      <c r="AB37" s="63" cm="1">
        <f t="array" ref="AB37">Linterp(Z37,LND_CL_cd,LND_CD_cl)</f>
        <v>9.4280000000000003E-2</v>
      </c>
      <c r="AC37" s="3" cm="1">
        <f t="array" ref="AC37">AB37*S*Linterp(W$2,atmos_h,atmos_qms)*W37^2</f>
        <v>331.62940088428121</v>
      </c>
      <c r="AD37" s="3">
        <f t="shared" si="28"/>
        <v>2195.436533632419</v>
      </c>
      <c r="AE37" s="3">
        <f t="shared" si="21"/>
        <v>-8.8864672481770928</v>
      </c>
      <c r="AF37" s="3">
        <f t="shared" si="22"/>
        <v>0.49511126150208357</v>
      </c>
      <c r="AG37" s="3">
        <f t="shared" si="23"/>
        <v>13.344699300221695</v>
      </c>
      <c r="AH37" s="3">
        <f t="shared" si="24"/>
        <v>66.417650053624783</v>
      </c>
      <c r="AI37" s="3">
        <f t="shared" si="25"/>
        <v>2516.1262043930406</v>
      </c>
      <c r="AM37" s="3">
        <f t="shared" si="29"/>
        <v>140.01513835762785</v>
      </c>
      <c r="AN37" s="63" cm="1">
        <f t="array" ref="AN37">AM37/Linterp(AN$2,atmos_h,atmos_aspeed)</f>
        <v>0.12717189956350552</v>
      </c>
      <c r="AO37" s="3" cm="1">
        <f t="array" ref="AO37">AK$17*numeng*InterpolateXY(AN$2,AN37,Tnorm_h,Tnorm_M,Tnorm_table)</f>
        <v>161.42745066988604</v>
      </c>
      <c r="AP37" s="3">
        <v>0</v>
      </c>
      <c r="AQ37" s="63" cm="1">
        <f t="array" ref="AQ37">Linterp(AP37,LND_alpha,LND_CL_a)</f>
        <v>0.33600000000000002</v>
      </c>
      <c r="AR37" s="3" cm="1">
        <f t="array" ref="AR37">AQ37*S*Linterp(AN$2,atmos_h,atmos_qms)*AN37^2</f>
        <v>1181.8781868339468</v>
      </c>
      <c r="AS37" s="63" cm="1">
        <f t="array" ref="AS37">Linterp(AQ37,LND_CL_cd,LND_CD_cl)</f>
        <v>9.4280000000000003E-2</v>
      </c>
      <c r="AT37" s="3" cm="1">
        <f t="array" ref="AT37">AS37*S*Linterp(AN$2,atmos_h,atmos_qms)*AN37^2</f>
        <v>331.62939123423956</v>
      </c>
      <c r="AU37" s="3">
        <f t="shared" si="30"/>
        <v>2195.436543949816</v>
      </c>
      <c r="AV37" s="3">
        <f t="shared" si="26"/>
        <v>-8.9543591295010465</v>
      </c>
      <c r="AW37" s="3">
        <f t="shared" si="14"/>
        <v>0.52140384277733653</v>
      </c>
      <c r="AX37" s="3">
        <f t="shared" si="15"/>
        <v>13.671317331579656</v>
      </c>
      <c r="AY37" s="3">
        <f t="shared" si="16"/>
        <v>74.221171706445404</v>
      </c>
      <c r="AZ37" s="3">
        <f t="shared" si="17"/>
        <v>2719.7494919616611</v>
      </c>
    </row>
    <row r="38" spans="6:52">
      <c r="V38" s="3">
        <f t="shared" si="27"/>
        <v>127.54952908184465</v>
      </c>
      <c r="W38" s="63" cm="1">
        <f t="array" ref="W38">V38/Linterp(W$2,atmos_h,atmos_aspeed)</f>
        <v>0.11424562594101362</v>
      </c>
      <c r="X38" s="3" cm="1">
        <f t="array" ref="X38">T$17*numeng*InterpolateXY(W$2,W38,Tnorm_h,Tnorm_M,Tnorm_table)</f>
        <v>179.28491251882031</v>
      </c>
      <c r="Y38" s="3">
        <v>0</v>
      </c>
      <c r="Z38" s="63" cm="1">
        <f t="array" ref="Z38">Linterp(Y38,LND_alpha,LND_CL_a)</f>
        <v>0.33600000000000002</v>
      </c>
      <c r="AA38" s="3" cm="1">
        <f t="array" ref="AA38">Z38*S*Linterp(W$2,atmos_h,atmos_qms)*W38^2</f>
        <v>1104.3995378338361</v>
      </c>
      <c r="AB38" s="63" cm="1">
        <f t="array" ref="AB38">Linterp(Z38,LND_CL_cd,LND_CD_cl)</f>
        <v>9.4280000000000003E-2</v>
      </c>
      <c r="AC38" s="3" cm="1">
        <f t="array" ref="AC38">AB38*S*Linterp(W$2,atmos_h,atmos_qms)*W38^2</f>
        <v>309.88925127075612</v>
      </c>
      <c r="AD38" s="3">
        <f t="shared" si="28"/>
        <v>2218.6801386498491</v>
      </c>
      <c r="AE38" s="3">
        <f t="shared" si="21"/>
        <v>-8.8924563265794152</v>
      </c>
      <c r="AF38" s="3">
        <f t="shared" si="22"/>
        <v>0.49477231903474528</v>
      </c>
      <c r="AG38" s="3">
        <f t="shared" si="23"/>
        <v>13.83947161925644</v>
      </c>
      <c r="AH38" s="3">
        <f t="shared" si="24"/>
        <v>64.196044852434895</v>
      </c>
      <c r="AI38" s="3">
        <f t="shared" si="25"/>
        <v>2580.3222492454756</v>
      </c>
      <c r="AM38" s="3">
        <f t="shared" si="29"/>
        <v>135.34796707904025</v>
      </c>
      <c r="AN38" s="63" cm="1">
        <f t="array" ref="AN38">AM38/Linterp(AN$2,atmos_h,atmos_aspeed)</f>
        <v>0.12293283624472201</v>
      </c>
      <c r="AO38" s="3" cm="1">
        <f t="array" ref="AO38">AK$17*numeng*InterpolateXY(AN$2,AN38,Tnorm_h,Tnorm_M,Tnorm_table)</f>
        <v>161.29360911524364</v>
      </c>
      <c r="AP38" s="3">
        <v>0</v>
      </c>
      <c r="AQ38" s="63" cm="1">
        <f t="array" ref="AQ38">Linterp(AP38,LND_alpha,LND_CL_a)</f>
        <v>0.33600000000000002</v>
      </c>
      <c r="AR38" s="3" cm="1">
        <f t="array" ref="AR38">AQ38*S*Linterp(AN$2,atmos_h,atmos_qms)*AN38^2</f>
        <v>1104.3995056970546</v>
      </c>
      <c r="AS38" s="63" cm="1">
        <f t="array" ref="AS38">Linterp(AQ38,LND_CL_cd,LND_CD_cl)</f>
        <v>9.4280000000000003E-2</v>
      </c>
      <c r="AT38" s="3" cm="1">
        <f t="array" ref="AT38">AS38*S*Linterp(AN$2,atmos_h,atmos_qms)*AN38^2</f>
        <v>309.88924225332829</v>
      </c>
      <c r="AU38" s="3">
        <f t="shared" si="30"/>
        <v>2218.6801482908836</v>
      </c>
      <c r="AV38" s="3">
        <f t="shared" si="26"/>
        <v>-8.9605565872583082</v>
      </c>
      <c r="AW38" s="3">
        <f t="shared" si="14"/>
        <v>0.52103748098814406</v>
      </c>
      <c r="AX38" s="3">
        <f t="shared" si="15"/>
        <v>14.1923548125678</v>
      </c>
      <c r="AY38" s="3">
        <f t="shared" si="16"/>
        <v>71.737249406897135</v>
      </c>
      <c r="AZ38" s="3">
        <f t="shared" si="17"/>
        <v>2791.4867413685583</v>
      </c>
    </row>
    <row r="39" spans="6:52">
      <c r="V39" s="3">
        <f t="shared" si="27"/>
        <v>123.15126945833276</v>
      </c>
      <c r="W39" s="63" cm="1">
        <f t="array" ref="W39">V39/Linterp(W$2,atmos_h,atmos_aspeed)</f>
        <v>0.11030612159822004</v>
      </c>
      <c r="X39" s="3" cm="1">
        <f t="array" ref="X39">T$17*numeng*InterpolateXY(W$2,W39,Tnorm_h,Tnorm_M,Tnorm_table)</f>
        <v>179.20612243196442</v>
      </c>
      <c r="Y39" s="3">
        <v>0</v>
      </c>
      <c r="Z39" s="63" cm="1">
        <f t="array" ref="Z39">Linterp(Y39,LND_alpha,LND_CL_a)</f>
        <v>0.33600000000000002</v>
      </c>
      <c r="AA39" s="3" cm="1">
        <f t="array" ref="AA39">Z39*S*Linterp(W$2,atmos_h,atmos_qms)*W39^2</f>
        <v>1029.5472504895688</v>
      </c>
      <c r="AB39" s="63" cm="1">
        <f t="array" ref="AB39">Linterp(Z39,LND_CL_cd,LND_CD_cl)</f>
        <v>9.4280000000000003E-2</v>
      </c>
      <c r="AC39" s="3" cm="1">
        <f t="array" ref="AC39">AB39*S*Linterp(W$2,atmos_h,atmos_qms)*W39^2</f>
        <v>288.88605588141826</v>
      </c>
      <c r="AD39" s="3">
        <f t="shared" si="28"/>
        <v>2241.1358248531292</v>
      </c>
      <c r="AE39" s="3">
        <f t="shared" si="21"/>
        <v>-8.8982524950149777</v>
      </c>
      <c r="AF39" s="3">
        <f t="shared" si="22"/>
        <v>0.49444456290277489</v>
      </c>
      <c r="AG39" s="3">
        <f t="shared" si="23"/>
        <v>14.333916182159214</v>
      </c>
      <c r="AH39" s="3">
        <f t="shared" si="24"/>
        <v>61.978823376787318</v>
      </c>
      <c r="AI39" s="3">
        <f t="shared" si="25"/>
        <v>2642.3010726222628</v>
      </c>
      <c r="AM39" s="3">
        <f t="shared" si="29"/>
        <v>130.68079580045264</v>
      </c>
      <c r="AN39" s="63" cm="1">
        <f t="array" ref="AN39">AM39/Linterp(AN$2,atmos_h,atmos_aspeed)</f>
        <v>0.11869377292593848</v>
      </c>
      <c r="AO39" s="3" cm="1">
        <f t="array" ref="AO39">AK$17*numeng*InterpolateXY(AN$2,AN39,Tnorm_h,Tnorm_M,Tnorm_table)</f>
        <v>161.15976756060127</v>
      </c>
      <c r="AP39" s="3">
        <v>0</v>
      </c>
      <c r="AQ39" s="63" cm="1">
        <f t="array" ref="AQ39">Linterp(AP39,LND_alpha,LND_CL_a)</f>
        <v>0.33600000000000002</v>
      </c>
      <c r="AR39" s="3" cm="1">
        <f t="array" ref="AR39">AQ39*S*Linterp(AN$2,atmos_h,atmos_qms)*AN39^2</f>
        <v>1029.5472205309045</v>
      </c>
      <c r="AS39" s="63" cm="1">
        <f t="array" ref="AS39">Linterp(AQ39,LND_CL_cd,LND_CD_cl)</f>
        <v>9.4280000000000003E-2</v>
      </c>
      <c r="AT39" s="3" cm="1">
        <f t="array" ref="AT39">AS39*S*Linterp(AN$2,atmos_h,atmos_qms)*AN39^2</f>
        <v>288.88604747515973</v>
      </c>
      <c r="AU39" s="3">
        <f t="shared" si="30"/>
        <v>2241.1358338407285</v>
      </c>
      <c r="AV39" s="3">
        <f t="shared" si="26"/>
        <v>-8.9665611350544232</v>
      </c>
      <c r="AW39" s="3">
        <f t="shared" si="14"/>
        <v>0.52068283935890869</v>
      </c>
      <c r="AX39" s="3">
        <f t="shared" si="15"/>
        <v>14.713037651926708</v>
      </c>
      <c r="AY39" s="3">
        <f t="shared" si="16"/>
        <v>69.258305803616096</v>
      </c>
      <c r="AZ39" s="3">
        <f t="shared" si="17"/>
        <v>2860.7450471721745</v>
      </c>
    </row>
    <row r="40" spans="6:52">
      <c r="V40" s="3">
        <f t="shared" si="27"/>
        <v>118.75300983482087</v>
      </c>
      <c r="W40" s="63" cm="1">
        <f t="array" ref="W40">V40/Linterp(W$2,atmos_h,atmos_aspeed)</f>
        <v>0.10636661725542645</v>
      </c>
      <c r="X40" s="3" cm="1">
        <f t="array" ref="X40">T$17*numeng*InterpolateXY(W$2,W40,Tnorm_h,Tnorm_M,Tnorm_table)</f>
        <v>179.12733234510856</v>
      </c>
      <c r="Y40" s="3">
        <v>0</v>
      </c>
      <c r="Z40" s="63" cm="1">
        <f t="array" ref="Z40">Linterp(Y40,LND_alpha,LND_CL_a)</f>
        <v>0.33600000000000002</v>
      </c>
      <c r="AA40" s="3" cm="1">
        <f t="array" ref="AA40">Z40*S*Linterp(W$2,atmos_h,atmos_qms)*W40^2</f>
        <v>957.32135919246878</v>
      </c>
      <c r="AB40" s="63" cm="1">
        <f t="array" ref="AB40">Linterp(Z40,LND_CL_cd,LND_CD_cl)</f>
        <v>9.4280000000000003E-2</v>
      </c>
      <c r="AC40" s="3" cm="1">
        <f t="array" ref="AC40">AB40*S*Linterp(W$2,atmos_h,atmos_qms)*W40^2</f>
        <v>268.61981471626774</v>
      </c>
      <c r="AD40" s="3">
        <f t="shared" si="28"/>
        <v>2262.8035922422591</v>
      </c>
      <c r="AE40" s="3">
        <f t="shared" si="21"/>
        <v>-8.9038557534837768</v>
      </c>
      <c r="AF40" s="3">
        <f t="shared" si="22"/>
        <v>0.4941279495795442</v>
      </c>
      <c r="AG40" s="3">
        <f t="shared" si="23"/>
        <v>14.828044131738759</v>
      </c>
      <c r="AH40" s="3">
        <f t="shared" si="24"/>
        <v>59.765832760821702</v>
      </c>
      <c r="AI40" s="3">
        <f t="shared" si="25"/>
        <v>2702.0669053830848</v>
      </c>
      <c r="AM40" s="3">
        <f t="shared" si="29"/>
        <v>126.01362452186504</v>
      </c>
      <c r="AN40" s="63" cm="1">
        <f t="array" ref="AN40">AM40/Linterp(AN$2,atmos_h,atmos_aspeed)</f>
        <v>0.11445470960715497</v>
      </c>
      <c r="AO40" s="3" cm="1">
        <f t="array" ref="AO40">AK$17*numeng*InterpolateXY(AN$2,AN40,Tnorm_h,Tnorm_M,Tnorm_table)</f>
        <v>161.02592600595887</v>
      </c>
      <c r="AP40" s="3">
        <v>0</v>
      </c>
      <c r="AQ40" s="63" cm="1">
        <f t="array" ref="AQ40">Linterp(AP40,LND_alpha,LND_CL_a)</f>
        <v>0.33600000000000002</v>
      </c>
      <c r="AR40" s="3" cm="1">
        <f t="array" ref="AR40">AQ40*S*Linterp(AN$2,atmos_h,atmos_qms)*AN40^2</f>
        <v>957.32133133549667</v>
      </c>
      <c r="AS40" s="63" cm="1">
        <f t="array" ref="AS40">Linterp(AQ40,LND_CL_cd,LND_CD_cl)</f>
        <v>9.4280000000000003E-2</v>
      </c>
      <c r="AT40" s="3" cm="1">
        <f t="array" ref="AT40">AS40*S*Linterp(AN$2,atmos_h,atmos_qms)*AN40^2</f>
        <v>268.61980689973399</v>
      </c>
      <c r="AU40" s="3">
        <f t="shared" si="30"/>
        <v>2262.8036005993508</v>
      </c>
      <c r="AV40" s="3">
        <f t="shared" si="26"/>
        <v>-8.9723727728893916</v>
      </c>
      <c r="AW40" s="3">
        <f t="shared" si="14"/>
        <v>0.52033987109132063</v>
      </c>
      <c r="AX40" s="3">
        <f t="shared" si="15"/>
        <v>15.233377523018028</v>
      </c>
      <c r="AY40" s="3">
        <f t="shared" si="16"/>
        <v>66.784170790188028</v>
      </c>
      <c r="AZ40" s="3">
        <f t="shared" si="17"/>
        <v>2927.5292179623625</v>
      </c>
    </row>
    <row r="41" spans="6:52">
      <c r="V41" s="3">
        <f t="shared" si="27"/>
        <v>114.35475021130898</v>
      </c>
      <c r="W41" s="63" cm="1">
        <f t="array" ref="W41">V41/Linterp(W$2,atmos_h,atmos_aspeed)</f>
        <v>0.10242711291263287</v>
      </c>
      <c r="X41" s="3" cm="1">
        <f t="array" ref="X41">T$17*numeng*InterpolateXY(W$2,W41,Tnorm_h,Tnorm_M,Tnorm_table)</f>
        <v>179.04854225825267</v>
      </c>
      <c r="Y41" s="3">
        <v>0</v>
      </c>
      <c r="Z41" s="63" cm="1">
        <f t="array" ref="Z41">Linterp(Y41,LND_alpha,LND_CL_a)</f>
        <v>0.33600000000000002</v>
      </c>
      <c r="AA41" s="3" cm="1">
        <f t="array" ref="AA41">Z41*S*Linterp(W$2,atmos_h,atmos_qms)*W41^2</f>
        <v>887.72186394253606</v>
      </c>
      <c r="AB41" s="63" cm="1">
        <f t="array" ref="AB41">Linterp(Z41,LND_CL_cd,LND_CD_cl)</f>
        <v>9.4280000000000003E-2</v>
      </c>
      <c r="AC41" s="3" cm="1">
        <f t="array" ref="AC41">AB41*S*Linterp(W$2,atmos_h,atmos_qms)*W41^2</f>
        <v>249.09052777530445</v>
      </c>
      <c r="AD41" s="3">
        <f t="shared" si="28"/>
        <v>2283.683440817239</v>
      </c>
      <c r="AE41" s="3">
        <f t="shared" si="21"/>
        <v>-8.9092661019858195</v>
      </c>
      <c r="AF41" s="3">
        <f t="shared" si="22"/>
        <v>0.49382243709980411</v>
      </c>
      <c r="AG41" s="3">
        <f t="shared" si="23"/>
        <v>15.321866568838562</v>
      </c>
      <c r="AH41" s="3">
        <f t="shared" si="24"/>
        <v>57.55692108642809</v>
      </c>
      <c r="AI41" s="3">
        <f t="shared" si="25"/>
        <v>2759.623826469513</v>
      </c>
      <c r="AM41" s="3">
        <f t="shared" si="29"/>
        <v>121.34645324327744</v>
      </c>
      <c r="AN41" s="63" cm="1">
        <f t="array" ref="AN41">AM41/Linterp(AN$2,atmos_h,atmos_aspeed)</f>
        <v>0.11021564628837144</v>
      </c>
      <c r="AO41" s="3" cm="1">
        <f t="array" ref="AO41">AK$17*numeng*InterpolateXY(AN$2,AN41,Tnorm_h,Tnorm_M,Tnorm_table)</f>
        <v>160.89208445131646</v>
      </c>
      <c r="AP41" s="3">
        <v>0</v>
      </c>
      <c r="AQ41" s="63" cm="1">
        <f t="array" ref="AQ41">Linterp(AP41,LND_alpha,LND_CL_a)</f>
        <v>0.33600000000000002</v>
      </c>
      <c r="AR41" s="3" cm="1">
        <f t="array" ref="AR41">AQ41*S*Linterp(AN$2,atmos_h,atmos_qms)*AN41^2</f>
        <v>887.72183811083073</v>
      </c>
      <c r="AS41" s="63" cm="1">
        <f t="array" ref="AS41">Linterp(AQ41,LND_CL_cd,LND_CD_cl)</f>
        <v>9.4280000000000003E-2</v>
      </c>
      <c r="AT41" s="3" cm="1">
        <f t="array" ref="AT41">AS41*S*Linterp(AN$2,atmos_h,atmos_qms)*AN41^2</f>
        <v>249.09052052705093</v>
      </c>
      <c r="AU41" s="3">
        <f t="shared" si="30"/>
        <v>2283.6834485667509</v>
      </c>
      <c r="AV41" s="3">
        <f t="shared" si="26"/>
        <v>-8.9779915007632152</v>
      </c>
      <c r="AW41" s="3">
        <f t="shared" si="14"/>
        <v>0.52000853101772837</v>
      </c>
      <c r="AX41" s="3">
        <f t="shared" si="15"/>
        <v>15.753386054035756</v>
      </c>
      <c r="AY41" s="3">
        <f t="shared" si="16"/>
        <v>64.314675335541395</v>
      </c>
      <c r="AZ41" s="3">
        <f t="shared" si="17"/>
        <v>2991.8438932979038</v>
      </c>
    </row>
    <row r="42" spans="6:52">
      <c r="V42" s="3">
        <f t="shared" si="27"/>
        <v>109.95649058779709</v>
      </c>
      <c r="W42" s="63" cm="1">
        <f t="array" ref="W42">V42/Linterp(W$2,atmos_h,atmos_aspeed)</f>
        <v>9.8487608569839305E-2</v>
      </c>
      <c r="X42" s="3" cm="1">
        <f t="array" ref="X42">T$17*numeng*InterpolateXY(W$2,W42,Tnorm_h,Tnorm_M,Tnorm_table)</f>
        <v>178.96975217139681</v>
      </c>
      <c r="Y42" s="3">
        <v>0</v>
      </c>
      <c r="Z42" s="63" cm="1">
        <f t="array" ref="Z42">Linterp(Y42,LND_alpha,LND_CL_a)</f>
        <v>0.33600000000000002</v>
      </c>
      <c r="AA42" s="3" cm="1">
        <f t="array" ref="AA42">Z42*S*Linterp(W$2,atmos_h,atmos_qms)*W42^2</f>
        <v>820.74876473977088</v>
      </c>
      <c r="AB42" s="63" cm="1">
        <f t="array" ref="AB42">Linterp(Z42,LND_CL_cd,LND_CD_cl)</f>
        <v>9.4280000000000003E-2</v>
      </c>
      <c r="AC42" s="3" cm="1">
        <f t="array" ref="AC42">AB42*S*Linterp(W$2,atmos_h,atmos_qms)*W42^2</f>
        <v>230.29819505852856</v>
      </c>
      <c r="AD42" s="3">
        <f t="shared" si="28"/>
        <v>2303.7753705780688</v>
      </c>
      <c r="AE42" s="3">
        <f t="shared" si="21"/>
        <v>-8.9144835405211005</v>
      </c>
      <c r="AF42" s="3">
        <f t="shared" si="22"/>
        <v>0.49352798504560608</v>
      </c>
      <c r="AG42" s="3">
        <f t="shared" si="23"/>
        <v>15.815394553884168</v>
      </c>
      <c r="AH42" s="3">
        <f t="shared" si="24"/>
        <v>55.351937347331287</v>
      </c>
      <c r="AI42" s="3">
        <f t="shared" si="25"/>
        <v>2814.9757638168444</v>
      </c>
      <c r="AM42" s="3">
        <f t="shared" si="29"/>
        <v>116.67928196468984</v>
      </c>
      <c r="AN42" s="63" cm="1">
        <f t="array" ref="AN42">AM42/Linterp(AN$2,atmos_h,atmos_aspeed)</f>
        <v>0.10597658296958791</v>
      </c>
      <c r="AO42" s="3" cm="1">
        <f t="array" ref="AO42">AK$17*numeng*InterpolateXY(AN$2,AN42,Tnorm_h,Tnorm_M,Tnorm_table)</f>
        <v>160.75824289667409</v>
      </c>
      <c r="AP42" s="3">
        <v>0</v>
      </c>
      <c r="AQ42" s="63" cm="1">
        <f t="array" ref="AQ42">Linterp(AP42,LND_alpha,LND_CL_a)</f>
        <v>0.33600000000000002</v>
      </c>
      <c r="AR42" s="3" cm="1">
        <f t="array" ref="AR42">AQ42*S*Linterp(AN$2,atmos_h,atmos_qms)*AN42^2</f>
        <v>820.74874085690692</v>
      </c>
      <c r="AS42" s="63" cm="1">
        <f t="array" ref="AS42">Linterp(AQ42,LND_CL_cd,LND_CD_cl)</f>
        <v>9.4280000000000003E-2</v>
      </c>
      <c r="AT42" s="3" cm="1">
        <f t="array" ref="AT42">AS42*S*Linterp(AN$2,atmos_h,atmos_qms)*AN42^2</f>
        <v>230.29818835711066</v>
      </c>
      <c r="AU42" s="3">
        <f t="shared" si="30"/>
        <v>2303.775377742928</v>
      </c>
      <c r="AV42" s="3">
        <f t="shared" si="26"/>
        <v>-8.9834173186758886</v>
      </c>
      <c r="AW42" s="3">
        <f t="shared" si="14"/>
        <v>0.51968877558607318</v>
      </c>
      <c r="AX42" s="3">
        <f t="shared" si="15"/>
        <v>16.27307482962183</v>
      </c>
      <c r="AY42" s="3">
        <f t="shared" si="16"/>
        <v>61.849651444101688</v>
      </c>
      <c r="AZ42" s="3">
        <f t="shared" si="17"/>
        <v>3053.6935447420055</v>
      </c>
    </row>
    <row r="43" spans="6:52">
      <c r="V43" s="3">
        <f t="shared" si="27"/>
        <v>105.5582309642852</v>
      </c>
      <c r="W43" s="63" cm="1">
        <f t="array" ref="W43">V43/Linterp(W$2,atmos_h,atmos_aspeed)</f>
        <v>9.4548104227045723E-2</v>
      </c>
      <c r="X43" s="3" cm="1">
        <f t="array" ref="X43">T$17*numeng*InterpolateXY(W$2,W43,Tnorm_h,Tnorm_M,Tnorm_table)</f>
        <v>178.89096208454092</v>
      </c>
      <c r="Y43" s="3">
        <v>0</v>
      </c>
      <c r="Z43" s="63" cm="1">
        <f t="array" ref="Z43">Linterp(Y43,LND_alpha,LND_CL_a)</f>
        <v>0.33600000000000002</v>
      </c>
      <c r="AA43" s="3" cm="1">
        <f t="array" ref="AA43">Z43*S*Linterp(W$2,atmos_h,atmos_qms)*W43^2</f>
        <v>756.40206158417254</v>
      </c>
      <c r="AB43" s="63" cm="1">
        <f t="array" ref="AB43">Linterp(Z43,LND_CL_cd,LND_CD_cl)</f>
        <v>9.4280000000000003E-2</v>
      </c>
      <c r="AC43" s="3" cm="1">
        <f t="array" ref="AC43">AB43*S*Linterp(W$2,atmos_h,atmos_qms)*W43^2</f>
        <v>212.24281656593985</v>
      </c>
      <c r="AD43" s="3">
        <f t="shared" si="28"/>
        <v>2323.079381524748</v>
      </c>
      <c r="AE43" s="3">
        <f t="shared" si="21"/>
        <v>-8.919508069089618</v>
      </c>
      <c r="AF43" s="3">
        <f t="shared" si="22"/>
        <v>0.49324455453278027</v>
      </c>
      <c r="AG43" s="3">
        <f t="shared" si="23"/>
        <v>16.308639108416948</v>
      </c>
      <c r="AH43" s="3">
        <f t="shared" si="24"/>
        <v>53.150731413606501</v>
      </c>
      <c r="AI43" s="3">
        <f t="shared" si="25"/>
        <v>2868.1264952304509</v>
      </c>
      <c r="AM43" s="3">
        <f t="shared" si="29"/>
        <v>112.01211068610223</v>
      </c>
      <c r="AN43" s="63" cm="1">
        <f t="array" ref="AN43">AM43/Linterp(AN$2,atmos_h,atmos_aspeed)</f>
        <v>0.10173751965080438</v>
      </c>
      <c r="AO43" s="3" cm="1">
        <f t="array" ref="AO43">AK$17*numeng*InterpolateXY(AN$2,AN43,Tnorm_h,Tnorm_M,Tnorm_table)</f>
        <v>160.62440134203169</v>
      </c>
      <c r="AP43" s="3">
        <v>0</v>
      </c>
      <c r="AQ43" s="63" cm="1">
        <f t="array" ref="AQ43">Linterp(AP43,LND_alpha,LND_CL_a)</f>
        <v>0.33600000000000002</v>
      </c>
      <c r="AR43" s="3" cm="1">
        <f t="array" ref="AR43">AQ43*S*Linterp(AN$2,atmos_h,atmos_qms)*AN43^2</f>
        <v>756.40203957372523</v>
      </c>
      <c r="AS43" s="63" cm="1">
        <f t="array" ref="AS43">Linterp(AQ43,LND_CL_cd,LND_CD_cl)</f>
        <v>9.4280000000000003E-2</v>
      </c>
      <c r="AT43" s="3" cm="1">
        <f t="array" ref="AT43">AS43*S*Linterp(AN$2,atmos_h,atmos_qms)*AN43^2</f>
        <v>212.2428103899131</v>
      </c>
      <c r="AU43" s="3">
        <f t="shared" si="30"/>
        <v>2323.0793881278823</v>
      </c>
      <c r="AV43" s="3">
        <f t="shared" si="26"/>
        <v>-8.9886502266274135</v>
      </c>
      <c r="AW43" s="3">
        <f t="shared" si="14"/>
        <v>0.51938056284540157</v>
      </c>
      <c r="AX43" s="3">
        <f t="shared" si="15"/>
        <v>16.792455392467232</v>
      </c>
      <c r="AY43" s="3">
        <f t="shared" si="16"/>
        <v>59.388932116433558</v>
      </c>
      <c r="AZ43" s="3">
        <f t="shared" si="17"/>
        <v>3113.0824768584389</v>
      </c>
    </row>
    <row r="44" spans="6:52">
      <c r="V44" s="3">
        <f t="shared" si="27"/>
        <v>101.15997134077331</v>
      </c>
      <c r="W44" s="63" cm="1">
        <f t="array" ref="W44">V44/Linterp(W$2,atmos_h,atmos_aspeed)</f>
        <v>9.0608599884252142E-2</v>
      </c>
      <c r="X44" s="3" cm="1">
        <f t="array" ref="X44">T$17*numeng*InterpolateXY(W$2,W44,Tnorm_h,Tnorm_M,Tnorm_table)</f>
        <v>178.81217199768506</v>
      </c>
      <c r="Y44" s="3">
        <v>0</v>
      </c>
      <c r="Z44" s="63" cm="1">
        <f t="array" ref="Z44">Linterp(Y44,LND_alpha,LND_CL_a)</f>
        <v>0.33600000000000002</v>
      </c>
      <c r="AA44" s="3" cm="1">
        <f t="array" ref="AA44">Z44*S*Linterp(W$2,atmos_h,atmos_qms)*W44^2</f>
        <v>694.68175447574174</v>
      </c>
      <c r="AB44" s="63" cm="1">
        <f t="array" ref="AB44">Linterp(Z44,LND_CL_cd,LND_CD_cl)</f>
        <v>9.4280000000000003E-2</v>
      </c>
      <c r="AC44" s="3" cm="1">
        <f t="array" ref="AC44">AB44*S*Linterp(W$2,atmos_h,atmos_qms)*W44^2</f>
        <v>194.92439229753847</v>
      </c>
      <c r="AD44" s="3">
        <f t="shared" si="28"/>
        <v>2341.5954736572776</v>
      </c>
      <c r="AE44" s="3">
        <f t="shared" si="21"/>
        <v>-8.924339687691381</v>
      </c>
      <c r="AF44" s="3">
        <f t="shared" si="22"/>
        <v>0.49297210819796072</v>
      </c>
      <c r="AG44" s="3">
        <f t="shared" si="23"/>
        <v>16.801611216614909</v>
      </c>
      <c r="AH44" s="3">
        <f t="shared" si="24"/>
        <v>50.95315399660862</v>
      </c>
      <c r="AI44" s="3">
        <f t="shared" si="25"/>
        <v>2919.0796492270597</v>
      </c>
      <c r="AM44" s="3">
        <f t="shared" si="29"/>
        <v>107.34493940751463</v>
      </c>
      <c r="AN44" s="63" cm="1">
        <f t="array" ref="AN44">AM44/Linterp(AN$2,atmos_h,atmos_aspeed)</f>
        <v>9.7498456332020866E-2</v>
      </c>
      <c r="AO44" s="3" cm="1">
        <f t="array" ref="AO44">AK$17*numeng*InterpolateXY(AN$2,AN44,Tnorm_h,Tnorm_M,Tnorm_table)</f>
        <v>160.49055978738932</v>
      </c>
      <c r="AP44" s="3">
        <v>0</v>
      </c>
      <c r="AQ44" s="63" cm="1">
        <f t="array" ref="AQ44">Linterp(AP44,LND_alpha,LND_CL_a)</f>
        <v>0.33600000000000002</v>
      </c>
      <c r="AR44" s="3" cm="1">
        <f t="array" ref="AR44">AQ44*S*Linterp(AN$2,atmos_h,atmos_qms)*AN44^2</f>
        <v>694.68173426128578</v>
      </c>
      <c r="AS44" s="63" cm="1">
        <f t="array" ref="AS44">Linterp(AQ44,LND_CL_cd,LND_CD_cl)</f>
        <v>9.4280000000000003E-2</v>
      </c>
      <c r="AT44" s="3" cm="1">
        <f t="array" ref="AT44">AS44*S*Linterp(AN$2,atmos_h,atmos_qms)*AN44^2</f>
        <v>194.9243866254584</v>
      </c>
      <c r="AU44" s="3">
        <f t="shared" si="30"/>
        <v>2341.5954797216141</v>
      </c>
      <c r="AV44" s="3">
        <f t="shared" si="26"/>
        <v>-8.9936902246177937</v>
      </c>
      <c r="AW44" s="3">
        <f t="shared" si="14"/>
        <v>0.51908385243194732</v>
      </c>
      <c r="AX44" s="3">
        <f t="shared" si="15"/>
        <v>17.31153924489918</v>
      </c>
      <c r="AY44" s="3">
        <f t="shared" si="16"/>
        <v>56.932351310351144</v>
      </c>
      <c r="AZ44" s="3">
        <f t="shared" si="17"/>
        <v>3170.0148281687902</v>
      </c>
    </row>
    <row r="45" spans="6:52">
      <c r="V45" s="3">
        <f t="shared" si="27"/>
        <v>96.76171171726142</v>
      </c>
      <c r="W45" s="63" cm="1">
        <f t="array" ref="W45">V45/Linterp(W$2,atmos_h,atmos_aspeed)</f>
        <v>8.666909554145856E-2</v>
      </c>
      <c r="X45" s="3" cm="1">
        <f t="array" ref="X45">T$17*numeng*InterpolateXY(W$2,W45,Tnorm_h,Tnorm_M,Tnorm_table)</f>
        <v>178.73338191082917</v>
      </c>
      <c r="Y45" s="3">
        <v>0</v>
      </c>
      <c r="Z45" s="63" cm="1">
        <f t="array" ref="Z45">Linterp(Y45,LND_alpha,LND_CL_a)</f>
        <v>0.33600000000000002</v>
      </c>
      <c r="AA45" s="3" cm="1">
        <f t="array" ref="AA45">Z45*S*Linterp(W$2,atmos_h,atmos_qms)*W45^2</f>
        <v>635.58784341447802</v>
      </c>
      <c r="AB45" s="63" cm="1">
        <f t="array" ref="AB45">Linterp(Z45,LND_CL_cd,LND_CD_cl)</f>
        <v>9.4280000000000003E-2</v>
      </c>
      <c r="AC45" s="3" cm="1">
        <f t="array" ref="AC45">AB45*S*Linterp(W$2,atmos_h,atmos_qms)*W45^2</f>
        <v>178.34292225332436</v>
      </c>
      <c r="AD45" s="3">
        <f t="shared" si="28"/>
        <v>2359.3236469756566</v>
      </c>
      <c r="AE45" s="3">
        <f t="shared" si="21"/>
        <v>-8.9289783963263769</v>
      </c>
      <c r="AF45" s="3">
        <f t="shared" si="22"/>
        <v>0.49271061018614803</v>
      </c>
      <c r="AG45" s="3">
        <f t="shared" si="23"/>
        <v>17.294321826801056</v>
      </c>
      <c r="AH45" s="3">
        <f t="shared" si="24"/>
        <v>48.759056614296838</v>
      </c>
      <c r="AI45" s="3">
        <f t="shared" si="25"/>
        <v>2967.8387058413564</v>
      </c>
      <c r="AM45" s="3">
        <f t="shared" si="29"/>
        <v>102.67776812892703</v>
      </c>
      <c r="AN45" s="63" cm="1">
        <f t="array" ref="AN45">AM45/Linterp(AN$2,atmos_h,atmos_aspeed)</f>
        <v>9.3259393013237338E-2</v>
      </c>
      <c r="AO45" s="3" cm="1">
        <f t="array" ref="AO45">AK$17*numeng*InterpolateXY(AN$2,AN45,Tnorm_h,Tnorm_M,Tnorm_table)</f>
        <v>160.35671823274691</v>
      </c>
      <c r="AP45" s="3">
        <v>0</v>
      </c>
      <c r="AQ45" s="63" cm="1">
        <f t="array" ref="AQ45">Linterp(AP45,LND_alpha,LND_CL_a)</f>
        <v>0.33600000000000002</v>
      </c>
      <c r="AR45" s="3" cm="1">
        <f t="array" ref="AR45">AQ45*S*Linterp(AN$2,atmos_h,atmos_qms)*AN45^2</f>
        <v>635.58782491958846</v>
      </c>
      <c r="AS45" s="63" cm="1">
        <f t="array" ref="AS45">Linterp(AQ45,LND_CL_cd,LND_CD_cl)</f>
        <v>9.4280000000000003E-2</v>
      </c>
      <c r="AT45" s="3" cm="1">
        <f t="array" ref="AT45">AS45*S*Linterp(AN$2,atmos_h,atmos_qms)*AN45^2</f>
        <v>178.34291706374643</v>
      </c>
      <c r="AU45" s="3">
        <f t="shared" si="30"/>
        <v>2359.3236525241232</v>
      </c>
      <c r="AV45" s="3">
        <f t="shared" si="26"/>
        <v>-8.9985373126470254</v>
      </c>
      <c r="AW45" s="3">
        <f t="shared" si="14"/>
        <v>0.51879860555577506</v>
      </c>
      <c r="AX45" s="3">
        <f t="shared" si="15"/>
        <v>17.830337850454956</v>
      </c>
      <c r="AY45" s="3">
        <f t="shared" si="16"/>
        <v>54.479743902477153</v>
      </c>
      <c r="AZ45" s="3">
        <f t="shared" si="17"/>
        <v>3224.4945720712676</v>
      </c>
    </row>
    <row r="46" spans="6:52">
      <c r="V46" s="3">
        <f t="shared" si="27"/>
        <v>92.36345209374953</v>
      </c>
      <c r="W46" s="63" cm="1">
        <f t="array" ref="W46">V46/Linterp(W$2,atmos_h,atmos_aspeed)</f>
        <v>8.2729591198664992E-2</v>
      </c>
      <c r="X46" s="3" cm="1">
        <f t="array" ref="X46">T$17*numeng*InterpolateXY(W$2,W46,Tnorm_h,Tnorm_M,Tnorm_table)</f>
        <v>178.65459182397331</v>
      </c>
      <c r="Y46" s="3">
        <v>0</v>
      </c>
      <c r="Z46" s="63" cm="1">
        <f t="array" ref="Z46">Linterp(Y46,LND_alpha,LND_CL_a)</f>
        <v>0.33600000000000002</v>
      </c>
      <c r="AA46" s="3" cm="1">
        <f t="array" ref="AA46">Z46*S*Linterp(W$2,atmos_h,atmos_qms)*W46^2</f>
        <v>579.12032840038194</v>
      </c>
      <c r="AB46" s="63" cm="1">
        <f t="array" ref="AB46">Linterp(Z46,LND_CL_cd,LND_CD_cl)</f>
        <v>9.4280000000000003E-2</v>
      </c>
      <c r="AC46" s="3" cm="1">
        <f t="array" ref="AC46">AB46*S*Linterp(W$2,atmos_h,atmos_qms)*W46^2</f>
        <v>162.49840643329765</v>
      </c>
      <c r="AD46" s="3">
        <f t="shared" si="28"/>
        <v>2376.2639014798851</v>
      </c>
      <c r="AE46" s="3">
        <f t="shared" si="21"/>
        <v>-8.9334241949946147</v>
      </c>
      <c r="AF46" s="3">
        <f t="shared" si="22"/>
        <v>0.49246002613880424</v>
      </c>
      <c r="AG46" s="3">
        <f t="shared" si="23"/>
        <v>17.78678185293986</v>
      </c>
      <c r="AH46" s="3">
        <f t="shared" si="24"/>
        <v>46.56829155693805</v>
      </c>
      <c r="AI46" s="3">
        <f t="shared" si="25"/>
        <v>3014.4069973982946</v>
      </c>
      <c r="AM46" s="3">
        <f t="shared" si="29"/>
        <v>98.010596850339425</v>
      </c>
      <c r="AN46" s="63" cm="1">
        <f t="array" ref="AN46">AM46/Linterp(AN$2,atmos_h,atmos_aspeed)</f>
        <v>8.9020329694453809E-2</v>
      </c>
      <c r="AO46" s="3" cm="1">
        <f t="array" ref="AO46">AK$17*numeng*InterpolateXY(AN$2,AN46,Tnorm_h,Tnorm_M,Tnorm_table)</f>
        <v>160.22287667810451</v>
      </c>
      <c r="AP46" s="3">
        <v>0</v>
      </c>
      <c r="AQ46" s="63" cm="1">
        <f t="array" ref="AQ46">Linterp(AP46,LND_alpha,LND_CL_a)</f>
        <v>0.33600000000000002</v>
      </c>
      <c r="AR46" s="3" cm="1">
        <f t="array" ref="AR46">AQ46*S*Linterp(AN$2,atmos_h,atmos_qms)*AN46^2</f>
        <v>579.12031154863314</v>
      </c>
      <c r="AS46" s="63" cm="1">
        <f t="array" ref="AS46">Linterp(AQ46,LND_CL_cd,LND_CD_cl)</f>
        <v>9.4280000000000003E-2</v>
      </c>
      <c r="AT46" s="3" cm="1">
        <f t="array" ref="AT46">AS46*S*Linterp(AN$2,atmos_h,atmos_qms)*AN46^2</f>
        <v>162.49840170477717</v>
      </c>
      <c r="AU46" s="3">
        <f t="shared" si="30"/>
        <v>2376.2639065354101</v>
      </c>
      <c r="AV46" s="3">
        <f t="shared" si="26"/>
        <v>-9.0031914907151123</v>
      </c>
      <c r="AW46" s="3">
        <f t="shared" si="14"/>
        <v>0.51852478498797594</v>
      </c>
      <c r="AX46" s="3">
        <f t="shared" si="15"/>
        <v>18.348862635442931</v>
      </c>
      <c r="AY46" s="3">
        <f t="shared" si="16"/>
        <v>52.030945650231288</v>
      </c>
      <c r="AZ46" s="3">
        <f t="shared" si="17"/>
        <v>3276.525517721499</v>
      </c>
    </row>
    <row r="47" spans="6:52">
      <c r="V47" s="3">
        <f t="shared" si="27"/>
        <v>87.965192470237639</v>
      </c>
      <c r="W47" s="63" cm="1">
        <f t="array" ref="W47">V47/Linterp(W$2,atmos_h,atmos_aspeed)</f>
        <v>7.8790086855871411E-2</v>
      </c>
      <c r="X47" s="3" cm="1">
        <f t="array" ref="X47">T$17*numeng*InterpolateXY(W$2,W47,Tnorm_h,Tnorm_M,Tnorm_table)</f>
        <v>178.57580173711744</v>
      </c>
      <c r="Y47" s="3">
        <v>0</v>
      </c>
      <c r="Z47" s="63" cm="1">
        <f t="array" ref="Z47">Linterp(Y47,LND_alpha,LND_CL_a)</f>
        <v>0.33600000000000002</v>
      </c>
      <c r="AA47" s="3" cm="1">
        <f t="array" ref="AA47">Z47*S*Linterp(W$2,atmos_h,atmos_qms)*W47^2</f>
        <v>525.27920943345282</v>
      </c>
      <c r="AB47" s="63" cm="1">
        <f t="array" ref="AB47">Linterp(Z47,LND_CL_cd,LND_CD_cl)</f>
        <v>9.4280000000000003E-2</v>
      </c>
      <c r="AC47" s="3" cm="1">
        <f t="array" ref="AC47">AB47*S*Linterp(W$2,atmos_h,atmos_qms)*W47^2</f>
        <v>147.39084483745813</v>
      </c>
      <c r="AD47" s="3">
        <f t="shared" si="28"/>
        <v>2392.416237169964</v>
      </c>
      <c r="AE47" s="3">
        <f t="shared" si="21"/>
        <v>-8.9376770836960908</v>
      </c>
      <c r="AF47" s="3">
        <f t="shared" si="22"/>
        <v>0.49222032318246939</v>
      </c>
      <c r="AG47" s="3">
        <f t="shared" si="23"/>
        <v>18.279002176122329</v>
      </c>
      <c r="AH47" s="3">
        <f t="shared" si="24"/>
        <v>44.380711853171206</v>
      </c>
      <c r="AI47" s="3">
        <f t="shared" si="25"/>
        <v>3058.7877092514659</v>
      </c>
      <c r="AM47" s="3">
        <f t="shared" si="29"/>
        <v>93.343425571751823</v>
      </c>
      <c r="AN47" s="63" cm="1">
        <f t="array" ref="AN47">AM47/Linterp(AN$2,atmos_h,atmos_aspeed)</f>
        <v>8.4781266375670294E-2</v>
      </c>
      <c r="AO47" s="3" cm="1">
        <f t="array" ref="AO47">AK$17*numeng*InterpolateXY(AN$2,AN47,Tnorm_h,Tnorm_M,Tnorm_table)</f>
        <v>160.08903512346214</v>
      </c>
      <c r="AP47" s="3">
        <v>0</v>
      </c>
      <c r="AQ47" s="63" cm="1">
        <f t="array" ref="AQ47">Linterp(AP47,LND_alpha,LND_CL_a)</f>
        <v>0.33600000000000002</v>
      </c>
      <c r="AR47" s="3" cm="1">
        <f t="array" ref="AR47">AQ47*S*Linterp(AN$2,atmos_h,atmos_qms)*AN47^2</f>
        <v>525.27919414842006</v>
      </c>
      <c r="AS47" s="63" cm="1">
        <f t="array" ref="AS47">Linterp(AQ47,LND_CL_cd,LND_CD_cl)</f>
        <v>9.4280000000000003E-2</v>
      </c>
      <c r="AT47" s="3" cm="1">
        <f t="array" ref="AT47">AS47*S*Linterp(AN$2,atmos_h,atmos_qms)*AN47^2</f>
        <v>147.3908405485507</v>
      </c>
      <c r="AU47" s="3">
        <f t="shared" si="30"/>
        <v>2392.4162417554739</v>
      </c>
      <c r="AV47" s="3">
        <f t="shared" si="26"/>
        <v>-9.0076527588220472</v>
      </c>
      <c r="AW47" s="3">
        <f t="shared" si="14"/>
        <v>0.51826235504840801</v>
      </c>
      <c r="AX47" s="3">
        <f t="shared" si="15"/>
        <v>18.867124990491337</v>
      </c>
      <c r="AY47" s="3">
        <f t="shared" si="16"/>
        <v>49.585793154229442</v>
      </c>
      <c r="AZ47" s="3">
        <f t="shared" si="17"/>
        <v>3326.1113108757286</v>
      </c>
    </row>
    <row r="48" spans="6:52">
      <c r="V48" s="3">
        <f t="shared" si="27"/>
        <v>83.566932846725749</v>
      </c>
      <c r="W48" s="63" cm="1">
        <f t="array" ref="W48">V48/Linterp(W$2,atmos_h,atmos_aspeed)</f>
        <v>7.4850582513077829E-2</v>
      </c>
      <c r="X48" s="3" cm="1">
        <f t="array" ref="X48">T$17*numeng*InterpolateXY(W$2,W48,Tnorm_h,Tnorm_M,Tnorm_table)</f>
        <v>178.49701165026158</v>
      </c>
      <c r="Y48" s="3">
        <v>0</v>
      </c>
      <c r="Z48" s="63" cm="1">
        <f t="array" ref="Z48">Linterp(Y48,LND_alpha,LND_CL_a)</f>
        <v>0.33600000000000002</v>
      </c>
      <c r="AA48" s="3" cm="1">
        <f t="array" ref="AA48">Z48*S*Linterp(W$2,atmos_h,atmos_qms)*W48^2</f>
        <v>474.06448651369107</v>
      </c>
      <c r="AB48" s="63" cm="1">
        <f t="array" ref="AB48">Linterp(Z48,LND_CL_cd,LND_CD_cl)</f>
        <v>9.4280000000000003E-2</v>
      </c>
      <c r="AC48" s="3" cm="1">
        <f t="array" ref="AC48">AB48*S*Linterp(W$2,atmos_h,atmos_qms)*W48^2</f>
        <v>133.02023746580593</v>
      </c>
      <c r="AD48" s="3">
        <f t="shared" si="28"/>
        <v>2407.7806540458928</v>
      </c>
      <c r="AE48" s="3">
        <f t="shared" si="21"/>
        <v>-8.9417370624308088</v>
      </c>
      <c r="AF48" s="3">
        <f t="shared" si="22"/>
        <v>0.49199146991789516</v>
      </c>
      <c r="AG48" s="3">
        <f t="shared" si="23"/>
        <v>18.770993646040225</v>
      </c>
      <c r="AH48" s="3">
        <f t="shared" si="24"/>
        <v>42.19617123641671</v>
      </c>
      <c r="AI48" s="3">
        <f t="shared" si="25"/>
        <v>3100.9838804878827</v>
      </c>
      <c r="AM48" s="3">
        <f t="shared" si="29"/>
        <v>88.67625429316422</v>
      </c>
      <c r="AN48" s="63" cm="1">
        <f t="array" ref="AN48">AM48/Linterp(AN$2,atmos_h,atmos_aspeed)</f>
        <v>8.0542203056886766E-2</v>
      </c>
      <c r="AO48" s="3" cm="1">
        <f t="array" ref="AO48">AK$17*numeng*InterpolateXY(AN$2,AN48,Tnorm_h,Tnorm_M,Tnorm_table)</f>
        <v>159.95519356881974</v>
      </c>
      <c r="AP48" s="3">
        <v>0</v>
      </c>
      <c r="AQ48" s="63" cm="1">
        <f t="array" ref="AQ48">Linterp(AP48,LND_alpha,LND_CL_a)</f>
        <v>0.33600000000000002</v>
      </c>
      <c r="AR48" s="3" cm="1">
        <f t="array" ref="AR48">AQ48*S*Linterp(AN$2,atmos_h,atmos_qms)*AN48^2</f>
        <v>474.06447271894888</v>
      </c>
      <c r="AS48" s="63" cm="1">
        <f t="array" ref="AS48">Linterp(AQ48,LND_CL_cd,LND_CD_cl)</f>
        <v>9.4280000000000003E-2</v>
      </c>
      <c r="AT48" s="3" cm="1">
        <f t="array" ref="AT48">AS48*S*Linterp(AN$2,atmos_h,atmos_qms)*AN48^2</f>
        <v>133.02023359506697</v>
      </c>
      <c r="AU48" s="3">
        <f t="shared" si="30"/>
        <v>2407.7806581843151</v>
      </c>
      <c r="AV48" s="3">
        <f t="shared" si="26"/>
        <v>-9.0119211169678373</v>
      </c>
      <c r="AW48" s="3">
        <f t="shared" si="14"/>
        <v>0.51801128159397369</v>
      </c>
      <c r="AX48" s="3">
        <f t="shared" si="15"/>
        <v>19.385136272085312</v>
      </c>
      <c r="AY48" s="3">
        <f t="shared" si="16"/>
        <v>47.144123821074984</v>
      </c>
      <c r="AZ48" s="3">
        <f t="shared" si="17"/>
        <v>3373.2554346968036</v>
      </c>
    </row>
    <row r="49" spans="22:52">
      <c r="V49" s="3">
        <f t="shared" si="27"/>
        <v>79.168673223213858</v>
      </c>
      <c r="W49" s="63" cm="1">
        <f t="array" ref="W49">V49/Linterp(W$2,atmos_h,atmos_aspeed)</f>
        <v>7.0911078170284247E-2</v>
      </c>
      <c r="X49" s="3" cm="1">
        <f t="array" ref="X49">T$17*numeng*InterpolateXY(W$2,W49,Tnorm_h,Tnorm_M,Tnorm_table)</f>
        <v>178.41822156340569</v>
      </c>
      <c r="Y49" s="3">
        <v>0</v>
      </c>
      <c r="Z49" s="63" cm="1">
        <f t="array" ref="Z49">Linterp(Y49,LND_alpha,LND_CL_a)</f>
        <v>0.33600000000000002</v>
      </c>
      <c r="AA49" s="3" cm="1">
        <f t="array" ref="AA49">Z49*S*Linterp(W$2,atmos_h,atmos_qms)*W49^2</f>
        <v>425.47615964109656</v>
      </c>
      <c r="AB49" s="63" cm="1">
        <f t="array" ref="AB49">Linterp(Z49,LND_CL_cd,LND_CD_cl)</f>
        <v>9.4280000000000003E-2</v>
      </c>
      <c r="AC49" s="3" cm="1">
        <f t="array" ref="AC49">AB49*S*Linterp(W$2,atmos_h,atmos_qms)*W49^2</f>
        <v>119.38658431834101</v>
      </c>
      <c r="AD49" s="3">
        <f t="shared" si="28"/>
        <v>2422.357152107671</v>
      </c>
      <c r="AE49" s="3">
        <f t="shared" si="21"/>
        <v>-8.9456041311987633</v>
      </c>
      <c r="AF49" s="3">
        <f t="shared" si="22"/>
        <v>0.49177343640968774</v>
      </c>
      <c r="AG49" s="3">
        <f t="shared" si="23"/>
        <v>19.262767082449912</v>
      </c>
      <c r="AH49" s="3">
        <f t="shared" si="24"/>
        <v>40.014524111613717</v>
      </c>
      <c r="AI49" s="3">
        <f t="shared" si="25"/>
        <v>3140.9984045994966</v>
      </c>
      <c r="AM49" s="3">
        <f t="shared" si="29"/>
        <v>84.009083014576618</v>
      </c>
      <c r="AN49" s="63" cm="1">
        <f t="array" ref="AN49">AM49/Linterp(AN$2,atmos_h,atmos_aspeed)</f>
        <v>7.6303139738103237E-2</v>
      </c>
      <c r="AO49" s="3" cm="1">
        <f t="array" ref="AO49">AK$17*numeng*InterpolateXY(AN$2,AN49,Tnorm_h,Tnorm_M,Tnorm_table)</f>
        <v>159.82135201417736</v>
      </c>
      <c r="AP49" s="3">
        <v>0</v>
      </c>
      <c r="AQ49" s="63" cm="1">
        <f t="array" ref="AQ49">Linterp(AP49,LND_alpha,LND_CL_a)</f>
        <v>0.33600000000000002</v>
      </c>
      <c r="AR49" s="3" cm="1">
        <f t="array" ref="AR49">AQ49*S*Linterp(AN$2,atmos_h,atmos_qms)*AN49^2</f>
        <v>425.47614726021993</v>
      </c>
      <c r="AS49" s="63" cm="1">
        <f t="array" ref="AS49">Linterp(AQ49,LND_CL_cd,LND_CD_cl)</f>
        <v>9.4280000000000003E-2</v>
      </c>
      <c r="AT49" s="3" cm="1">
        <f t="array" ref="AT49">AS49*S*Linterp(AN$2,atmos_h,atmos_qms)*AN49^2</f>
        <v>119.38658084432598</v>
      </c>
      <c r="AU49" s="3">
        <f t="shared" si="30"/>
        <v>2422.3571558219337</v>
      </c>
      <c r="AV49" s="3">
        <f t="shared" si="26"/>
        <v>-9.0159965651524807</v>
      </c>
      <c r="AW49" s="3">
        <f t="shared" si="14"/>
        <v>0.51777153200742621</v>
      </c>
      <c r="AX49" s="3">
        <f t="shared" si="15"/>
        <v>19.902907804092738</v>
      </c>
      <c r="AY49" s="3">
        <f t="shared" si="16"/>
        <v>44.705775826524061</v>
      </c>
      <c r="AZ49" s="3">
        <f t="shared" si="17"/>
        <v>3417.9612105233277</v>
      </c>
    </row>
    <row r="50" spans="22:52">
      <c r="V50" s="3">
        <f t="shared" si="27"/>
        <v>74.770413599701968</v>
      </c>
      <c r="W50" s="63" cm="1">
        <f t="array" ref="W50">V50/Linterp(W$2,atmos_h,atmos_aspeed)</f>
        <v>6.697157382749068E-2</v>
      </c>
      <c r="X50" s="3" cm="1">
        <f t="array" ref="X50">T$17*numeng*InterpolateXY(W$2,W50,Tnorm_h,Tnorm_M,Tnorm_table)</f>
        <v>178.33943147654983</v>
      </c>
      <c r="Y50" s="3">
        <v>0</v>
      </c>
      <c r="Z50" s="63" cm="1">
        <f t="array" ref="Z50">Linterp(Y50,LND_alpha,LND_CL_a)</f>
        <v>0.33600000000000002</v>
      </c>
      <c r="AA50" s="3" cm="1">
        <f t="array" ref="AA50">Z50*S*Linterp(W$2,atmos_h,atmos_qms)*W50^2</f>
        <v>379.51422881566953</v>
      </c>
      <c r="AB50" s="63" cm="1">
        <f t="array" ref="AB50">Linterp(Z50,LND_CL_cd,LND_CD_cl)</f>
        <v>9.4280000000000003E-2</v>
      </c>
      <c r="AC50" s="3" cm="1">
        <f t="array" ref="AC50">AB50*S*Linterp(W$2,atmos_h,atmos_qms)*W50^2</f>
        <v>106.48988539506345</v>
      </c>
      <c r="AD50" s="3">
        <f t="shared" si="28"/>
        <v>2436.1457313552992</v>
      </c>
      <c r="AE50" s="3">
        <f t="shared" si="21"/>
        <v>-8.9492782899999579</v>
      </c>
      <c r="AF50" s="3">
        <f t="shared" si="22"/>
        <v>0.49156619417645381</v>
      </c>
      <c r="AG50" s="3">
        <f t="shared" si="23"/>
        <v>19.754333276626365</v>
      </c>
      <c r="AH50" s="3">
        <f t="shared" si="24"/>
        <v>37.835625522269716</v>
      </c>
      <c r="AI50" s="3">
        <f t="shared" si="25"/>
        <v>3178.8340301217663</v>
      </c>
      <c r="AM50" s="3">
        <f t="shared" si="29"/>
        <v>79.341911735989015</v>
      </c>
      <c r="AN50" s="63" cm="1">
        <f t="array" ref="AN50">AM50/Linterp(AN$2,atmos_h,atmos_aspeed)</f>
        <v>7.2064076419319709E-2</v>
      </c>
      <c r="AO50" s="3" cm="1">
        <f t="array" ref="AO50">AK$17*numeng*InterpolateXY(AN$2,AN50,Tnorm_h,Tnorm_M,Tnorm_table)</f>
        <v>159.68751045953496</v>
      </c>
      <c r="AP50" s="3">
        <v>0</v>
      </c>
      <c r="AQ50" s="63" cm="1">
        <f t="array" ref="AQ50">Linterp(AP50,LND_alpha,LND_CL_a)</f>
        <v>0.33600000000000002</v>
      </c>
      <c r="AR50" s="3" cm="1">
        <f t="array" ref="AR50">AQ50*S*Linterp(AN$2,atmos_h,atmos_qms)*AN50^2</f>
        <v>379.51421777223305</v>
      </c>
      <c r="AS50" s="63" cm="1">
        <f t="array" ref="AS50">Linterp(AQ50,LND_CL_cd,LND_CD_cl)</f>
        <v>9.4280000000000003E-2</v>
      </c>
      <c r="AT50" s="3" cm="1">
        <f t="array" ref="AT50">AS50*S*Linterp(AN$2,atmos_h,atmos_qms)*AN50^2</f>
        <v>106.48988229632776</v>
      </c>
      <c r="AU50" s="3">
        <f t="shared" si="30"/>
        <v>2436.1457346683301</v>
      </c>
      <c r="AV50" s="3">
        <f t="shared" si="26"/>
        <v>-9.0198791033759775</v>
      </c>
      <c r="AW50" s="3">
        <f t="shared" si="14"/>
        <v>0.5175430751867004</v>
      </c>
      <c r="AX50" s="3">
        <f t="shared" si="15"/>
        <v>20.420450879279439</v>
      </c>
      <c r="AY50" s="3">
        <f t="shared" si="16"/>
        <v>42.270588079007148</v>
      </c>
      <c r="AZ50" s="3">
        <f t="shared" si="17"/>
        <v>3460.2317986023349</v>
      </c>
    </row>
    <row r="51" spans="22:52">
      <c r="V51" s="3">
        <f t="shared" si="27"/>
        <v>70.372153976190077</v>
      </c>
      <c r="W51" s="63" cm="1">
        <f t="array" ref="W51">V51/Linterp(W$2,atmos_h,atmos_aspeed)</f>
        <v>6.3032069484697098E-2</v>
      </c>
      <c r="X51" s="3" cm="1">
        <f t="array" ref="X51">T$17*numeng*InterpolateXY(W$2,W51,Tnorm_h,Tnorm_M,Tnorm_table)</f>
        <v>178.26064138969394</v>
      </c>
      <c r="Y51" s="3">
        <v>0</v>
      </c>
      <c r="Z51" s="63" cm="1">
        <f t="array" ref="Z51">Linterp(Y51,LND_alpha,LND_CL_a)</f>
        <v>0.33600000000000002</v>
      </c>
      <c r="AA51" s="3" cm="1">
        <f t="array" ref="AA51">Z51*S*Linterp(W$2,atmos_h,atmos_qms)*W51^2</f>
        <v>336.17869403740957</v>
      </c>
      <c r="AB51" s="63" cm="1">
        <f t="array" ref="AB51">Linterp(Z51,LND_CL_cd,LND_CD_cl)</f>
        <v>9.4280000000000003E-2</v>
      </c>
      <c r="AC51" s="3" cm="1">
        <f t="array" ref="AC51">AB51*S*Linterp(W$2,atmos_h,atmos_qms)*W51^2</f>
        <v>94.330140695973128</v>
      </c>
      <c r="AD51" s="3">
        <f t="shared" si="28"/>
        <v>2449.1463917887772</v>
      </c>
      <c r="AE51" s="3">
        <f t="shared" si="21"/>
        <v>-8.9527595388343943</v>
      </c>
      <c r="AF51" s="3">
        <f t="shared" si="22"/>
        <v>0.49136971618144237</v>
      </c>
      <c r="AG51" s="3">
        <f t="shared" si="23"/>
        <v>20.245702992807807</v>
      </c>
      <c r="AH51" s="3">
        <f t="shared" si="24"/>
        <v>35.659331117805941</v>
      </c>
      <c r="AI51" s="3">
        <f t="shared" si="25"/>
        <v>3214.4933612395721</v>
      </c>
      <c r="AM51" s="3">
        <f t="shared" si="29"/>
        <v>74.674740457401413</v>
      </c>
      <c r="AN51" s="63" cm="1">
        <f t="array" ref="AN51">AM51/Linterp(AN$2,atmos_h,atmos_aspeed)</f>
        <v>6.7825013100536194E-2</v>
      </c>
      <c r="AO51" s="3" cm="1">
        <f t="array" ref="AO51">AK$17*numeng*InterpolateXY(AN$2,AN51,Tnorm_h,Tnorm_M,Tnorm_table)</f>
        <v>159.55366890489256</v>
      </c>
      <c r="AP51" s="3">
        <v>0</v>
      </c>
      <c r="AQ51" s="63" cm="1">
        <f t="array" ref="AQ51">Linterp(AP51,LND_alpha,LND_CL_a)</f>
        <v>0.33600000000000002</v>
      </c>
      <c r="AR51" s="3" cm="1">
        <f t="array" ref="AR51">AQ51*S*Linterp(AN$2,atmos_h,atmos_qms)*AN51^2</f>
        <v>336.17868425498841</v>
      </c>
      <c r="AS51" s="63" cm="1">
        <f t="array" ref="AS51">Linterp(AQ51,LND_CL_cd,LND_CD_cl)</f>
        <v>9.4280000000000003E-2</v>
      </c>
      <c r="AT51" s="3" cm="1">
        <f t="array" ref="AT51">AS51*S*Linterp(AN$2,atmos_h,atmos_qms)*AN51^2</f>
        <v>94.330137951072331</v>
      </c>
      <c r="AU51" s="3">
        <f t="shared" si="30"/>
        <v>2449.1463947235034</v>
      </c>
      <c r="AV51" s="3">
        <f t="shared" si="26"/>
        <v>-9.0235687316383277</v>
      </c>
      <c r="AW51" s="3">
        <f t="shared" si="14"/>
        <v>0.51732588153475845</v>
      </c>
      <c r="AX51" s="3">
        <f t="shared" si="15"/>
        <v>20.937776760814199</v>
      </c>
      <c r="AY51" s="3">
        <f t="shared" si="16"/>
        <v>39.838400183488993</v>
      </c>
      <c r="AZ51" s="3">
        <f t="shared" si="17"/>
        <v>3500.0701987858238</v>
      </c>
    </row>
    <row r="52" spans="22:52">
      <c r="V52" s="3">
        <f t="shared" si="27"/>
        <v>65.973894352678187</v>
      </c>
      <c r="W52" s="63" cm="1">
        <f t="array" ref="W52">V52/Linterp(W$2,atmos_h,atmos_aspeed)</f>
        <v>5.9092565141903516E-2</v>
      </c>
      <c r="X52" s="3" cm="1">
        <f t="array" ref="X52">T$17*numeng*InterpolateXY(W$2,W52,Tnorm_h,Tnorm_M,Tnorm_table)</f>
        <v>178.18185130283808</v>
      </c>
      <c r="Y52" s="3">
        <v>0</v>
      </c>
      <c r="Z52" s="63" cm="1">
        <f t="array" ref="Z52">Linterp(Y52,LND_alpha,LND_CL_a)</f>
        <v>0.33600000000000002</v>
      </c>
      <c r="AA52" s="3" cm="1">
        <f t="array" ref="AA52">Z52*S*Linterp(W$2,atmos_h,atmos_qms)*W52^2</f>
        <v>295.46955530631681</v>
      </c>
      <c r="AB52" s="63" cm="1">
        <f t="array" ref="AB52">Linterp(Z52,LND_CL_cd,LND_CD_cl)</f>
        <v>9.4280000000000003E-2</v>
      </c>
      <c r="AC52" s="3" cm="1">
        <f t="array" ref="AC52">AB52*S*Linterp(W$2,atmos_h,atmos_qms)*W52^2</f>
        <v>82.907350221070089</v>
      </c>
      <c r="AD52" s="3">
        <f t="shared" si="28"/>
        <v>2461.3591334081048</v>
      </c>
      <c r="AE52" s="3">
        <f t="shared" si="21"/>
        <v>-8.9560478777020656</v>
      </c>
      <c r="AF52" s="3">
        <f t="shared" si="22"/>
        <v>0.49118397682367926</v>
      </c>
      <c r="AG52" s="3">
        <f t="shared" si="23"/>
        <v>20.736886969631488</v>
      </c>
      <c r="AH52" s="3">
        <f t="shared" si="24"/>
        <v>33.485497121183542</v>
      </c>
      <c r="AI52" s="3">
        <f t="shared" si="25"/>
        <v>3247.9788583607556</v>
      </c>
      <c r="AM52" s="3">
        <f t="shared" si="29"/>
        <v>70.00756917881381</v>
      </c>
      <c r="AN52" s="63" cm="1">
        <f t="array" ref="AN52">AM52/Linterp(AN$2,atmos_h,atmos_aspeed)</f>
        <v>6.3585949781752665E-2</v>
      </c>
      <c r="AO52" s="3" cm="1">
        <f t="array" ref="AO52">AK$17*numeng*InterpolateXY(AN$2,AN52,Tnorm_h,Tnorm_M,Tnorm_table)</f>
        <v>159.41982735025019</v>
      </c>
      <c r="AP52" s="3">
        <v>0</v>
      </c>
      <c r="AQ52" s="63" cm="1">
        <f t="array" ref="AQ52">Linterp(AP52,LND_alpha,LND_CL_a)</f>
        <v>0.33600000000000002</v>
      </c>
      <c r="AR52" s="3" cm="1">
        <f t="array" ref="AR52">AQ52*S*Linterp(AN$2,atmos_h,atmos_qms)*AN52^2</f>
        <v>295.46954670848572</v>
      </c>
      <c r="AS52" s="63" cm="1">
        <f t="array" ref="AS52">Linterp(AQ52,LND_CL_cd,LND_CD_cl)</f>
        <v>9.4280000000000003E-2</v>
      </c>
      <c r="AT52" s="3" cm="1">
        <f t="array" ref="AT52">AS52*S*Linterp(AN$2,atmos_h,atmos_qms)*AN52^2</f>
        <v>82.907347808559621</v>
      </c>
      <c r="AU52" s="3">
        <f t="shared" si="30"/>
        <v>2461.359135987454</v>
      </c>
      <c r="AV52" s="3">
        <f t="shared" si="26"/>
        <v>-9.0270654499395278</v>
      </c>
      <c r="AW52" s="3">
        <f t="shared" si="14"/>
        <v>0.51711992294994613</v>
      </c>
      <c r="AX52" s="3">
        <f t="shared" si="15"/>
        <v>21.454896683764144</v>
      </c>
      <c r="AY52" s="3">
        <f t="shared" si="16"/>
        <v>37.409052405649931</v>
      </c>
      <c r="AZ52" s="3">
        <f t="shared" si="17"/>
        <v>3537.4792511914738</v>
      </c>
    </row>
    <row r="53" spans="22:52">
      <c r="V53" s="3">
        <f t="shared" si="27"/>
        <v>61.575634729166296</v>
      </c>
      <c r="W53" s="63" cm="1">
        <f t="array" ref="W53">V53/Linterp(W$2,atmos_h,atmos_aspeed)</f>
        <v>5.5153060799109942E-2</v>
      </c>
      <c r="X53" s="3" cm="1">
        <f t="array" ref="X53">T$17*numeng*InterpolateXY(W$2,W53,Tnorm_h,Tnorm_M,Tnorm_table)</f>
        <v>178.10306121598219</v>
      </c>
      <c r="Y53" s="3">
        <v>0</v>
      </c>
      <c r="Z53" s="63" cm="1">
        <f t="array" ref="Z53">Linterp(Y53,LND_alpha,LND_CL_a)</f>
        <v>0.33600000000000002</v>
      </c>
      <c r="AA53" s="3" cm="1">
        <f t="array" ref="AA53">Z53*S*Linterp(W$2,atmos_h,atmos_qms)*W53^2</f>
        <v>257.38681262239146</v>
      </c>
      <c r="AB53" s="63" cm="1">
        <f t="array" ref="AB53">Linterp(Z53,LND_CL_cd,LND_CD_cl)</f>
        <v>9.4280000000000003E-2</v>
      </c>
      <c r="AC53" s="3" cm="1">
        <f t="array" ref="AC53">AB53*S*Linterp(W$2,atmos_h,atmos_qms)*W53^2</f>
        <v>72.221513970354366</v>
      </c>
      <c r="AD53" s="3">
        <f t="shared" si="28"/>
        <v>2472.7839562132826</v>
      </c>
      <c r="AE53" s="3">
        <f t="shared" si="21"/>
        <v>-8.9591433066029804</v>
      </c>
      <c r="AF53" s="3">
        <f t="shared" si="22"/>
        <v>0.49100895192958616</v>
      </c>
      <c r="AG53" s="3">
        <f t="shared" si="23"/>
        <v>21.227895921561075</v>
      </c>
      <c r="AH53" s="3">
        <f t="shared" si="24"/>
        <v>31.313980296794366</v>
      </c>
      <c r="AI53" s="3">
        <f t="shared" si="25"/>
        <v>3279.29283865755</v>
      </c>
      <c r="AM53" s="3">
        <f t="shared" si="29"/>
        <v>65.340397900226208</v>
      </c>
      <c r="AN53" s="63" cm="1">
        <f t="array" ref="AN53">AM53/Linterp(AN$2,atmos_h,atmos_aspeed)</f>
        <v>5.9346886462969144E-2</v>
      </c>
      <c r="AO53" s="3" cm="1">
        <f t="array" ref="AO53">AK$17*numeng*InterpolateXY(AN$2,AN53,Tnorm_h,Tnorm_M,Tnorm_table)</f>
        <v>159.28598579560779</v>
      </c>
      <c r="AP53" s="3">
        <v>0</v>
      </c>
      <c r="AQ53" s="63" cm="1">
        <f t="array" ref="AQ53">Linterp(AP53,LND_alpha,LND_CL_a)</f>
        <v>0.33600000000000002</v>
      </c>
      <c r="AR53" s="3" cm="1">
        <f t="array" ref="AR53">AQ53*S*Linterp(AN$2,atmos_h,atmos_qms)*AN53^2</f>
        <v>257.38680513272527</v>
      </c>
      <c r="AS53" s="63" cm="1">
        <f t="array" ref="AS53">Linterp(AQ53,LND_CL_cd,LND_CD_cl)</f>
        <v>9.4280000000000003E-2</v>
      </c>
      <c r="AT53" s="3" cm="1">
        <f t="array" ref="AT53">AS53*S*Linterp(AN$2,atmos_h,atmos_qms)*AN53^2</f>
        <v>72.22151186878969</v>
      </c>
      <c r="AU53" s="3">
        <f t="shared" si="30"/>
        <v>2472.7839584601825</v>
      </c>
      <c r="AV53" s="3">
        <f t="shared" si="26"/>
        <v>-9.0303692582795829</v>
      </c>
      <c r="AW53" s="3">
        <f t="shared" si="14"/>
        <v>0.51692517281685302</v>
      </c>
      <c r="AX53" s="3">
        <f t="shared" si="15"/>
        <v>21.971821856580998</v>
      </c>
      <c r="AY53" s="3">
        <f t="shared" si="16"/>
        <v>34.982385636371248</v>
      </c>
      <c r="AZ53" s="3">
        <f t="shared" si="17"/>
        <v>3572.4616368278453</v>
      </c>
    </row>
    <row r="54" spans="22:52">
      <c r="V54" s="3">
        <f t="shared" si="27"/>
        <v>57.177375105654406</v>
      </c>
      <c r="W54" s="63" cm="1">
        <f t="array" ref="W54">V54/Linterp(W$2,atmos_h,atmos_aspeed)</f>
        <v>5.121355645631636E-2</v>
      </c>
      <c r="X54" s="3" cm="1">
        <f t="array" ref="X54">T$17*numeng*InterpolateXY(W$2,W54,Tnorm_h,Tnorm_M,Tnorm_table)</f>
        <v>178.02427112912633</v>
      </c>
      <c r="Y54" s="3">
        <v>0</v>
      </c>
      <c r="Z54" s="63" cm="1">
        <f t="array" ref="Z54">Linterp(Y54,LND_alpha,LND_CL_a)</f>
        <v>0.33600000000000002</v>
      </c>
      <c r="AA54" s="3" cm="1">
        <f t="array" ref="AA54">Z54*S*Linterp(W$2,atmos_h,atmos_qms)*W54^2</f>
        <v>221.93046598563333</v>
      </c>
      <c r="AB54" s="63" cm="1">
        <f t="array" ref="AB54">Linterp(Z54,LND_CL_cd,LND_CD_cl)</f>
        <v>9.4280000000000003E-2</v>
      </c>
      <c r="AC54" s="3" cm="1">
        <f t="array" ref="AC54">AB54*S*Linterp(W$2,atmos_h,atmos_qms)*W54^2</f>
        <v>62.272631943825928</v>
      </c>
      <c r="AD54" s="3">
        <f t="shared" si="28"/>
        <v>2483.42086020431</v>
      </c>
      <c r="AE54" s="3">
        <f t="shared" si="21"/>
        <v>-8.96204582553713</v>
      </c>
      <c r="AF54" s="3">
        <f t="shared" si="22"/>
        <v>0.49084461874507984</v>
      </c>
      <c r="AG54" s="3">
        <f t="shared" si="23"/>
        <v>21.718740540306154</v>
      </c>
      <c r="AH54" s="3">
        <f t="shared" si="24"/>
        <v>29.144637918601642</v>
      </c>
      <c r="AI54" s="3">
        <f t="shared" si="25"/>
        <v>3308.4374765761518</v>
      </c>
      <c r="AM54" s="3">
        <f t="shared" si="29"/>
        <v>60.673226621638612</v>
      </c>
      <c r="AN54" s="63" cm="1">
        <f t="array" ref="AN54">AM54/Linterp(AN$2,atmos_h,atmos_aspeed)</f>
        <v>5.5107823144185622E-2</v>
      </c>
      <c r="AO54" s="3" cm="1">
        <f t="array" ref="AO54">AK$17*numeng*InterpolateXY(AN$2,AN54,Tnorm_h,Tnorm_M,Tnorm_table)</f>
        <v>159.15214424096541</v>
      </c>
      <c r="AP54" s="3">
        <v>0</v>
      </c>
      <c r="AQ54" s="63" cm="1">
        <f t="array" ref="AQ54">Linterp(AP54,LND_alpha,LND_CL_a)</f>
        <v>0.33600000000000002</v>
      </c>
      <c r="AR54" s="3" cm="1">
        <f t="array" ref="AR54">AQ54*S*Linterp(AN$2,atmos_h,atmos_qms)*AN54^2</f>
        <v>221.93045952770689</v>
      </c>
      <c r="AS54" s="63" cm="1">
        <f t="array" ref="AS54">Linterp(AQ54,LND_CL_cd,LND_CD_cl)</f>
        <v>9.4280000000000003E-2</v>
      </c>
      <c r="AT54" s="3" cm="1">
        <f t="array" ref="AT54">AS54*S*Linterp(AN$2,atmos_h,atmos_qms)*AN54^2</f>
        <v>62.272630131762511</v>
      </c>
      <c r="AU54" s="3">
        <f t="shared" si="30"/>
        <v>2483.4208621416878</v>
      </c>
      <c r="AV54" s="3">
        <f t="shared" si="26"/>
        <v>-9.0334801566584897</v>
      </c>
      <c r="AW54" s="3">
        <f t="shared" si="14"/>
        <v>0.51674160599767105</v>
      </c>
      <c r="AX54" s="3">
        <f t="shared" si="15"/>
        <v>22.488563462578668</v>
      </c>
      <c r="AY54" s="3">
        <f t="shared" si="16"/>
        <v>32.558241356507963</v>
      </c>
      <c r="AZ54" s="3">
        <f t="shared" si="17"/>
        <v>3605.0198781843533</v>
      </c>
    </row>
    <row r="55" spans="22:52">
      <c r="V55" s="3">
        <f t="shared" si="27"/>
        <v>52.779115482142515</v>
      </c>
      <c r="W55" s="63" cm="1">
        <f t="array" ref="W55">V55/Linterp(W$2,atmos_h,atmos_aspeed)</f>
        <v>4.7274052113522785E-2</v>
      </c>
      <c r="X55" s="3" cm="1">
        <f t="array" ref="X55">T$17*numeng*InterpolateXY(W$2,W55,Tnorm_h,Tnorm_M,Tnorm_table)</f>
        <v>177.94548104227047</v>
      </c>
      <c r="Y55" s="3">
        <v>0</v>
      </c>
      <c r="Z55" s="63" cm="1">
        <f t="array" ref="Z55">Linterp(Y55,LND_alpha,LND_CL_a)</f>
        <v>0.33600000000000002</v>
      </c>
      <c r="AA55" s="3" cm="1">
        <f t="array" ref="AA55">Z55*S*Linterp(W$2,atmos_h,atmos_qms)*W55^2</f>
        <v>189.10051539604257</v>
      </c>
      <c r="AB55" s="63" cm="1">
        <f t="array" ref="AB55">Linterp(Z55,LND_CL_cd,LND_CD_cl)</f>
        <v>9.4280000000000003E-2</v>
      </c>
      <c r="AC55" s="3" cm="1">
        <f t="array" ref="AC55">AB55*S*Linterp(W$2,atmos_h,atmos_qms)*W55^2</f>
        <v>53.060704141484798</v>
      </c>
      <c r="AD55" s="3">
        <f t="shared" si="28"/>
        <v>2493.2698453811868</v>
      </c>
      <c r="AE55" s="3">
        <f t="shared" si="21"/>
        <v>-8.9647554345045197</v>
      </c>
      <c r="AF55" s="3">
        <f t="shared" si="22"/>
        <v>0.49069095592814888</v>
      </c>
      <c r="AG55" s="3">
        <f t="shared" si="23"/>
        <v>22.209431496234302</v>
      </c>
      <c r="AH55" s="3">
        <f t="shared" si="24"/>
        <v>26.977327738515289</v>
      </c>
      <c r="AI55" s="3">
        <f t="shared" si="25"/>
        <v>3335.414804314667</v>
      </c>
      <c r="AM55" s="3">
        <f t="shared" si="29"/>
        <v>56.006055343051017</v>
      </c>
      <c r="AN55" s="63" cm="1">
        <f t="array" ref="AN55">AM55/Linterp(AN$2,atmos_h,atmos_aspeed)</f>
        <v>5.08687598254021E-2</v>
      </c>
      <c r="AO55" s="3" cm="1">
        <f t="array" ref="AO55">AK$17*numeng*InterpolateXY(AN$2,AN55,Tnorm_h,Tnorm_M,Tnorm_table)</f>
        <v>159.01830268632301</v>
      </c>
      <c r="AP55" s="3">
        <v>0</v>
      </c>
      <c r="AQ55" s="63" cm="1">
        <f t="array" ref="AQ55">Linterp(AP55,LND_alpha,LND_CL_a)</f>
        <v>0.33600000000000002</v>
      </c>
      <c r="AR55" s="3" cm="1">
        <f t="array" ref="AR55">AQ55*S*Linterp(AN$2,atmos_h,atmos_qms)*AN55^2</f>
        <v>189.10050989343063</v>
      </c>
      <c r="AS55" s="63" cm="1">
        <f t="array" ref="AS55">Linterp(AQ55,LND_CL_cd,LND_CD_cl)</f>
        <v>9.4280000000000003E-2</v>
      </c>
      <c r="AT55" s="3" cm="1">
        <f t="array" ref="AT55">AS55*S*Linterp(AN$2,atmos_h,atmos_qms)*AN55^2</f>
        <v>53.060702597478091</v>
      </c>
      <c r="AU55" s="3">
        <f t="shared" si="30"/>
        <v>2493.2698470319706</v>
      </c>
      <c r="AV55" s="3">
        <f t="shared" si="26"/>
        <v>-9.0363981450762481</v>
      </c>
      <c r="AW55" s="3">
        <f t="shared" si="14"/>
        <v>0.5165691988240495</v>
      </c>
      <c r="AX55" s="3">
        <f t="shared" si="15"/>
        <v>23.005132661402719</v>
      </c>
      <c r="AY55" s="3">
        <f t="shared" si="16"/>
        <v>30.136461601932545</v>
      </c>
      <c r="AZ55" s="3">
        <f t="shared" si="17"/>
        <v>3635.156339786286</v>
      </c>
    </row>
    <row r="56" spans="22:52">
      <c r="V56" s="3">
        <f t="shared" si="27"/>
        <v>48.380855858630625</v>
      </c>
      <c r="W56" s="63" cm="1">
        <f t="array" ref="W56">V56/Linterp(W$2,atmos_h,atmos_aspeed)</f>
        <v>4.3334547770729204E-2</v>
      </c>
      <c r="X56" s="3" cm="1">
        <f t="array" ref="X56">T$17*numeng*InterpolateXY(W$2,W56,Tnorm_h,Tnorm_M,Tnorm_table)</f>
        <v>177.86669095541458</v>
      </c>
      <c r="Y56" s="3">
        <v>0</v>
      </c>
      <c r="Z56" s="63" cm="1">
        <f t="array" ref="Z56">Linterp(Y56,LND_alpha,LND_CL_a)</f>
        <v>0.33600000000000002</v>
      </c>
      <c r="AA56" s="3" cm="1">
        <f t="array" ref="AA56">Z56*S*Linterp(W$2,atmos_h,atmos_qms)*W56^2</f>
        <v>158.89696085361896</v>
      </c>
      <c r="AB56" s="63" cm="1">
        <f t="array" ref="AB56">Linterp(Z56,LND_CL_cd,LND_CD_cl)</f>
        <v>9.4280000000000003E-2</v>
      </c>
      <c r="AC56" s="3" cm="1">
        <f t="array" ref="AC56">AB56*S*Linterp(W$2,atmos_h,atmos_qms)*W56^2</f>
        <v>44.585730563330941</v>
      </c>
      <c r="AD56" s="3">
        <f t="shared" si="28"/>
        <v>2502.3309117439144</v>
      </c>
      <c r="AE56" s="3">
        <f t="shared" si="21"/>
        <v>-8.9672721335051531</v>
      </c>
      <c r="AF56" s="3">
        <f t="shared" si="22"/>
        <v>0.49054794354189873</v>
      </c>
      <c r="AG56" s="3">
        <f t="shared" si="23"/>
        <v>22.6999794397762</v>
      </c>
      <c r="AH56" s="3">
        <f t="shared" si="24"/>
        <v>24.81190795498684</v>
      </c>
      <c r="AI56" s="3">
        <f t="shared" si="25"/>
        <v>3360.2267122696539</v>
      </c>
      <c r="AM56" s="3">
        <f t="shared" si="29"/>
        <v>51.338884064463421</v>
      </c>
      <c r="AN56" s="63" cm="1">
        <f t="array" ref="AN56">AM56/Linterp(AN$2,atmos_h,atmos_aspeed)</f>
        <v>4.6629696506618586E-2</v>
      </c>
      <c r="AO56" s="3" cm="1">
        <f t="array" ref="AO56">AK$17*numeng*InterpolateXY(AN$2,AN56,Tnorm_h,Tnorm_M,Tnorm_table)</f>
        <v>158.88446113168061</v>
      </c>
      <c r="AP56" s="3">
        <v>0</v>
      </c>
      <c r="AQ56" s="63" cm="1">
        <f t="array" ref="AQ56">Linterp(AP56,LND_alpha,LND_CL_a)</f>
        <v>0.33600000000000002</v>
      </c>
      <c r="AR56" s="3" cm="1">
        <f t="array" ref="AR56">AQ56*S*Linterp(AN$2,atmos_h,atmos_qms)*AN56^2</f>
        <v>158.89695622989655</v>
      </c>
      <c r="AS56" s="63" cm="1">
        <f t="array" ref="AS56">Linterp(AQ56,LND_CL_cd,LND_CD_cl)</f>
        <v>9.4280000000000003E-2</v>
      </c>
      <c r="AT56" s="3" cm="1">
        <f t="array" ref="AT56">AS56*S*Linterp(AN$2,atmos_h,atmos_qms)*AN56^2</f>
        <v>44.585729265936443</v>
      </c>
      <c r="AU56" s="3">
        <f t="shared" si="30"/>
        <v>2502.3309131310307</v>
      </c>
      <c r="AV56" s="3">
        <f t="shared" si="26"/>
        <v>-9.0391232235328616</v>
      </c>
      <c r="AW56" s="3">
        <f t="shared" si="14"/>
        <v>0.51640792908943112</v>
      </c>
      <c r="AX56" s="3">
        <f t="shared" si="15"/>
        <v>23.521540590492151</v>
      </c>
      <c r="AY56" s="3">
        <f t="shared" si="16"/>
        <v>27.716888928832496</v>
      </c>
      <c r="AZ56" s="3">
        <f t="shared" si="17"/>
        <v>3662.8732287151183</v>
      </c>
    </row>
    <row r="57" spans="22:52">
      <c r="V57" s="3">
        <f t="shared" si="27"/>
        <v>43.982596235118734</v>
      </c>
      <c r="W57" s="63" cm="1">
        <f t="array" ref="W57">V57/Linterp(W$2,atmos_h,atmos_aspeed)</f>
        <v>3.9395043427935629E-2</v>
      </c>
      <c r="X57" s="3" cm="1">
        <f t="array" ref="X57">T$17*numeng*InterpolateXY(W$2,W57,Tnorm_h,Tnorm_M,Tnorm_table)</f>
        <v>177.78790086855872</v>
      </c>
      <c r="Y57" s="3">
        <v>0</v>
      </c>
      <c r="Z57" s="63" cm="1">
        <f t="array" ref="Z57">Linterp(Y57,LND_alpha,LND_CL_a)</f>
        <v>0.33600000000000002</v>
      </c>
      <c r="AA57" s="3" cm="1">
        <f t="array" ref="AA57">Z57*S*Linterp(W$2,atmos_h,atmos_qms)*W57^2</f>
        <v>131.31980235836269</v>
      </c>
      <c r="AB57" s="63" cm="1">
        <f t="array" ref="AB57">Linterp(Z57,LND_CL_cd,LND_CD_cl)</f>
        <v>9.4280000000000003E-2</v>
      </c>
      <c r="AC57" s="3" cm="1">
        <f t="array" ref="AC57">AB57*S*Linterp(W$2,atmos_h,atmos_qms)*W57^2</f>
        <v>36.847711209364391</v>
      </c>
      <c r="AD57" s="3">
        <f t="shared" si="28"/>
        <v>2510.604059292491</v>
      </c>
      <c r="AE57" s="3">
        <f t="shared" si="21"/>
        <v>-8.9695959225390212</v>
      </c>
      <c r="AF57" s="3">
        <f t="shared" si="22"/>
        <v>0.49041556304806638</v>
      </c>
      <c r="AG57" s="3">
        <f t="shared" si="23"/>
        <v>23.190395002824268</v>
      </c>
      <c r="AH57" s="3">
        <f t="shared" si="24"/>
        <v>22.648237181809598</v>
      </c>
      <c r="AI57" s="3">
        <f t="shared" si="25"/>
        <v>3382.8749494514636</v>
      </c>
      <c r="AM57" s="3">
        <f t="shared" si="29"/>
        <v>46.671712785875826</v>
      </c>
      <c r="AN57" s="63" cm="1">
        <f t="array" ref="AN57">AM57/Linterp(AN$2,atmos_h,atmos_aspeed)</f>
        <v>4.2390633187835064E-2</v>
      </c>
      <c r="AO57" s="3" cm="1">
        <f t="array" ref="AO57">AK$17*numeng*InterpolateXY(AN$2,AN57,Tnorm_h,Tnorm_M,Tnorm_table)</f>
        <v>158.75061957703824</v>
      </c>
      <c r="AP57" s="3">
        <v>0</v>
      </c>
      <c r="AQ57" s="63" cm="1">
        <f t="array" ref="AQ57">Linterp(AP57,LND_alpha,LND_CL_a)</f>
        <v>0.33600000000000002</v>
      </c>
      <c r="AR57" s="3" cm="1">
        <f t="array" ref="AR57">AQ57*S*Linterp(AN$2,atmos_h,atmos_qms)*AN57^2</f>
        <v>131.31979853710448</v>
      </c>
      <c r="AS57" s="63" cm="1">
        <f t="array" ref="AS57">Linterp(AQ57,LND_CL_cd,LND_CD_cl)</f>
        <v>9.4280000000000003E-2</v>
      </c>
      <c r="AT57" s="3" cm="1">
        <f t="array" ref="AT57">AS57*S*Linterp(AN$2,atmos_h,atmos_qms)*AN57^2</f>
        <v>36.847710137137526</v>
      </c>
      <c r="AU57" s="3">
        <f t="shared" si="30"/>
        <v>2510.6040604388686</v>
      </c>
      <c r="AV57" s="3">
        <f t="shared" si="26"/>
        <v>-9.0416553920283285</v>
      </c>
      <c r="AW57" s="3">
        <f t="shared" si="14"/>
        <v>0.51625777604187939</v>
      </c>
      <c r="AX57" s="3">
        <f t="shared" si="15"/>
        <v>24.03779836653403</v>
      </c>
      <c r="AY57" s="3">
        <f t="shared" si="16"/>
        <v>25.299366379246685</v>
      </c>
      <c r="AZ57" s="3">
        <f t="shared" si="17"/>
        <v>3688.1725950943651</v>
      </c>
    </row>
    <row r="58" spans="22:52">
      <c r="V58" s="3">
        <f t="shared" si="27"/>
        <v>39.584336611606844</v>
      </c>
      <c r="W58" s="63" cm="1">
        <f t="array" ref="W58">V58/Linterp(W$2,atmos_h,atmos_aspeed)</f>
        <v>3.5455539085142047E-2</v>
      </c>
      <c r="X58" s="3" cm="1">
        <f t="array" ref="X58">T$17*numeng*InterpolateXY(W$2,W58,Tnorm_h,Tnorm_M,Tnorm_table)</f>
        <v>177.70911078170286</v>
      </c>
      <c r="Y58" s="3">
        <v>0</v>
      </c>
      <c r="Z58" s="63" cm="1">
        <f t="array" ref="Z58">Linterp(Y58,LND_alpha,LND_CL_a)</f>
        <v>0.33600000000000002</v>
      </c>
      <c r="AA58" s="3" cm="1">
        <f t="array" ref="AA58">Z58*S*Linterp(W$2,atmos_h,atmos_qms)*W58^2</f>
        <v>106.36903991027368</v>
      </c>
      <c r="AB58" s="63" cm="1">
        <f t="array" ref="AB58">Linterp(Z58,LND_CL_cd,LND_CD_cl)</f>
        <v>9.4280000000000003E-2</v>
      </c>
      <c r="AC58" s="3" cm="1">
        <f t="array" ref="AC58">AB58*S*Linterp(W$2,atmos_h,atmos_qms)*W58^2</f>
        <v>29.846646079585124</v>
      </c>
      <c r="AD58" s="3">
        <f t="shared" si="28"/>
        <v>2518.0892880269175</v>
      </c>
      <c r="AE58" s="3">
        <f t="shared" si="21"/>
        <v>-8.9717268016061293</v>
      </c>
      <c r="AF58" s="3">
        <f t="shared" si="22"/>
        <v>0.49029379730099626</v>
      </c>
      <c r="AG58" s="3">
        <f t="shared" si="23"/>
        <v>23.680688800125264</v>
      </c>
      <c r="AH58" s="3">
        <f t="shared" si="24"/>
        <v>20.486174417109218</v>
      </c>
      <c r="AI58" s="3">
        <f t="shared" si="25"/>
        <v>3403.361123868573</v>
      </c>
      <c r="AM58" s="3">
        <f t="shared" si="29"/>
        <v>42.004541507288231</v>
      </c>
      <c r="AN58" s="63" cm="1">
        <f t="array" ref="AN58">AM58/Linterp(AN$2,atmos_h,atmos_aspeed)</f>
        <v>3.8151569869051549E-2</v>
      </c>
      <c r="AO58" s="3" cm="1">
        <f t="array" ref="AO58">AK$17*numeng*InterpolateXY(AN$2,AN58,Tnorm_h,Tnorm_M,Tnorm_table)</f>
        <v>158.61677802239586</v>
      </c>
      <c r="AP58" s="3">
        <v>0</v>
      </c>
      <c r="AQ58" s="63" cm="1">
        <f t="array" ref="AQ58">Linterp(AP58,LND_alpha,LND_CL_a)</f>
        <v>0.33600000000000002</v>
      </c>
      <c r="AR58" s="3" cm="1">
        <f t="array" ref="AR58">AQ58*S*Linterp(AN$2,atmos_h,atmos_qms)*AN58^2</f>
        <v>106.3690368150546</v>
      </c>
      <c r="AS58" s="63" cm="1">
        <f t="array" ref="AS58">Linterp(AQ58,LND_CL_cd,LND_CD_cl)</f>
        <v>9.4280000000000003E-2</v>
      </c>
      <c r="AT58" s="3" cm="1">
        <f t="array" ref="AT58">AS58*S*Linterp(AN$2,atmos_h,atmos_qms)*AN58^2</f>
        <v>29.846645211081388</v>
      </c>
      <c r="AU58" s="3">
        <f t="shared" si="30"/>
        <v>2518.0892889554834</v>
      </c>
      <c r="AV58" s="3">
        <f t="shared" si="26"/>
        <v>-9.0439946505626452</v>
      </c>
      <c r="AW58" s="3">
        <f t="shared" si="14"/>
        <v>0.5161187203773816</v>
      </c>
      <c r="AX58" s="3">
        <f t="shared" si="15"/>
        <v>24.553917086911412</v>
      </c>
      <c r="AY58" s="3">
        <f t="shared" si="16"/>
        <v>22.883737446823559</v>
      </c>
      <c r="AZ58" s="3">
        <f t="shared" si="17"/>
        <v>3711.0563325411886</v>
      </c>
    </row>
    <row r="59" spans="22:52">
      <c r="V59" s="3">
        <f t="shared" si="27"/>
        <v>35.186076988094953</v>
      </c>
      <c r="W59" s="63" cm="1">
        <f t="array" ref="W59">V59/Linterp(W$2,atmos_h,atmos_aspeed)</f>
        <v>3.1516034742348473E-2</v>
      </c>
      <c r="X59" s="3" cm="1">
        <f t="array" ref="X59">T$17*numeng*InterpolateXY(W$2,W59,Tnorm_h,Tnorm_M,Tnorm_table)</f>
        <v>177.630320694847</v>
      </c>
      <c r="Y59" s="3">
        <v>0</v>
      </c>
      <c r="Z59" s="63" cm="1">
        <f t="array" ref="Z59">Linterp(Y59,LND_alpha,LND_CL_a)</f>
        <v>0.33600000000000002</v>
      </c>
      <c r="AA59" s="3" cm="1">
        <f t="array" ref="AA59">Z59*S*Linterp(W$2,atmos_h,atmos_qms)*W59^2</f>
        <v>84.044673509351966</v>
      </c>
      <c r="AB59" s="63" cm="1">
        <f t="array" ref="AB59">Linterp(Z59,LND_CL_cd,LND_CD_cl)</f>
        <v>9.4280000000000003E-2</v>
      </c>
      <c r="AC59" s="3" cm="1">
        <f t="array" ref="AC59">AB59*S*Linterp(W$2,atmos_h,atmos_qms)*W59^2</f>
        <v>23.582535173993161</v>
      </c>
      <c r="AD59" s="3">
        <f t="shared" si="28"/>
        <v>2524.7865979471944</v>
      </c>
      <c r="AE59" s="3">
        <f t="shared" si="21"/>
        <v>-8.9736647707064794</v>
      </c>
      <c r="AF59" s="3">
        <f t="shared" si="22"/>
        <v>0.49018263054207517</v>
      </c>
      <c r="AG59" s="3">
        <f t="shared" si="23"/>
        <v>24.17087143066734</v>
      </c>
      <c r="AH59" s="3">
        <f t="shared" si="24"/>
        <v>18.325579012510389</v>
      </c>
      <c r="AI59" s="3">
        <f t="shared" si="25"/>
        <v>3421.6867028810834</v>
      </c>
      <c r="AM59" s="3">
        <f t="shared" si="29"/>
        <v>37.337370228700635</v>
      </c>
      <c r="AN59" s="63" cm="1">
        <f t="array" ref="AN59">AM59/Linterp(AN$2,atmos_h,atmos_aspeed)</f>
        <v>3.3912506550268028E-2</v>
      </c>
      <c r="AO59" s="3" cm="1">
        <f t="array" ref="AO59">AK$17*numeng*InterpolateXY(AN$2,AN59,Tnorm_h,Tnorm_M,Tnorm_table)</f>
        <v>158.48293646775346</v>
      </c>
      <c r="AP59" s="3">
        <v>0</v>
      </c>
      <c r="AQ59" s="63" cm="1">
        <f t="array" ref="AQ59">Linterp(AP59,LND_alpha,LND_CL_a)</f>
        <v>0.33600000000000002</v>
      </c>
      <c r="AR59" s="3" cm="1">
        <f t="array" ref="AR59">AQ59*S*Linterp(AN$2,atmos_h,atmos_qms)*AN59^2</f>
        <v>84.044671063746748</v>
      </c>
      <c r="AS59" s="63" cm="1">
        <f t="array" ref="AS59">Linterp(AQ59,LND_CL_cd,LND_CD_cl)</f>
        <v>9.4280000000000003E-2</v>
      </c>
      <c r="AT59" s="3" cm="1">
        <f t="array" ref="AT59">AS59*S*Linterp(AN$2,atmos_h,atmos_qms)*AN59^2</f>
        <v>23.582534487767987</v>
      </c>
      <c r="AU59" s="3">
        <f t="shared" si="30"/>
        <v>2524.7865986808761</v>
      </c>
      <c r="AV59" s="3">
        <f t="shared" si="26"/>
        <v>-9.046140999135817</v>
      </c>
      <c r="AW59" s="3">
        <f t="shared" si="14"/>
        <v>0.51599074423362778</v>
      </c>
      <c r="AX59" s="3">
        <f t="shared" si="15"/>
        <v>25.069907831145038</v>
      </c>
      <c r="AY59" s="3">
        <f t="shared" si="16"/>
        <v>20.469846042785854</v>
      </c>
      <c r="AZ59" s="3">
        <f t="shared" si="17"/>
        <v>3731.5261785839743</v>
      </c>
    </row>
    <row r="60" spans="22:52">
      <c r="V60" s="3">
        <f t="shared" si="27"/>
        <v>30.787817364583059</v>
      </c>
      <c r="W60" s="63" cm="1">
        <f t="array" ref="W60">V60/Linterp(W$2,atmos_h,atmos_aspeed)</f>
        <v>2.7576530399554891E-2</v>
      </c>
      <c r="X60" s="3" cm="1">
        <f t="array" ref="X60">T$17*numeng*InterpolateXY(W$2,W60,Tnorm_h,Tnorm_M,Tnorm_table)</f>
        <v>177.55153060799111</v>
      </c>
      <c r="Y60" s="3">
        <v>0</v>
      </c>
      <c r="Z60" s="63" cm="1">
        <f t="array" ref="Z60">Linterp(Y60,LND_alpha,LND_CL_a)</f>
        <v>0.33600000000000002</v>
      </c>
      <c r="AA60" s="3" cm="1">
        <f t="array" ref="AA60">Z60*S*Linterp(W$2,atmos_h,atmos_qms)*W60^2</f>
        <v>64.346703155597496</v>
      </c>
      <c r="AB60" s="63" cm="1">
        <f t="array" ref="AB60">Linterp(Z60,LND_CL_cd,LND_CD_cl)</f>
        <v>9.4280000000000003E-2</v>
      </c>
      <c r="AC60" s="3" cm="1">
        <f t="array" ref="AC60">AB60*S*Linterp(W$2,atmos_h,atmos_qms)*W60^2</f>
        <v>18.055378492588488</v>
      </c>
      <c r="AD60" s="3">
        <f t="shared" si="28"/>
        <v>2530.6959890533208</v>
      </c>
      <c r="AE60" s="3">
        <f t="shared" si="21"/>
        <v>-8.9754098298400677</v>
      </c>
      <c r="AF60" s="3">
        <f t="shared" si="22"/>
        <v>0.4900820483946251</v>
      </c>
      <c r="AG60" s="3">
        <f t="shared" si="23"/>
        <v>24.660953479061966</v>
      </c>
      <c r="AH60" s="3">
        <f t="shared" si="24"/>
        <v>16.166310642465515</v>
      </c>
      <c r="AI60" s="3">
        <f t="shared" si="25"/>
        <v>3437.8530135235487</v>
      </c>
      <c r="AM60" s="3">
        <f t="shared" si="29"/>
        <v>32.67019895011304</v>
      </c>
      <c r="AN60" s="63" cm="1">
        <f t="array" ref="AN60">AM60/Linterp(AN$2,atmos_h,atmos_aspeed)</f>
        <v>2.9673443231484513E-2</v>
      </c>
      <c r="AO60" s="3" cm="1">
        <f t="array" ref="AO60">AK$17*numeng*InterpolateXY(AN$2,AN60,Tnorm_h,Tnorm_M,Tnorm_table)</f>
        <v>158.34909491311109</v>
      </c>
      <c r="AP60" s="3">
        <v>0</v>
      </c>
      <c r="AQ60" s="63" cm="1">
        <f t="array" ref="AQ60">Linterp(AP60,LND_alpha,LND_CL_a)</f>
        <v>0.33600000000000002</v>
      </c>
      <c r="AR60" s="3" cm="1">
        <f t="array" ref="AR60">AQ60*S*Linterp(AN$2,atmos_h,atmos_qms)*AN60^2</f>
        <v>64.346701283181062</v>
      </c>
      <c r="AS60" s="63" cm="1">
        <f t="array" ref="AS60">Linterp(AQ60,LND_CL_cd,LND_CD_cl)</f>
        <v>9.4280000000000003E-2</v>
      </c>
      <c r="AT60" s="3" cm="1">
        <f t="array" ref="AT60">AS60*S*Linterp(AN$2,atmos_h,atmos_qms)*AN60^2</f>
        <v>18.055377967197352</v>
      </c>
      <c r="AU60" s="3">
        <f t="shared" si="30"/>
        <v>2530.6959896150456</v>
      </c>
      <c r="AV60" s="3">
        <f t="shared" si="26"/>
        <v>-9.0480944377478405</v>
      </c>
      <c r="AW60" s="3">
        <f t="shared" si="14"/>
        <v>0.51587383118426089</v>
      </c>
      <c r="AX60" s="3">
        <f t="shared" si="15"/>
        <v>25.5857816623293</v>
      </c>
      <c r="AY60" s="3">
        <f t="shared" si="16"/>
        <v>18.057536462085896</v>
      </c>
      <c r="AZ60" s="3">
        <f t="shared" si="17"/>
        <v>3749.5837150460602</v>
      </c>
    </row>
    <row r="61" spans="22:52">
      <c r="V61" s="3">
        <f t="shared" si="27"/>
        <v>26.389557741071165</v>
      </c>
      <c r="W61" s="63" cm="1">
        <f t="array" ref="W61">V61/Linterp(W$2,atmos_h,atmos_aspeed)</f>
        <v>2.3637026056761309E-2</v>
      </c>
      <c r="X61" s="3" cm="1">
        <f t="array" ref="X61">T$17*numeng*InterpolateXY(W$2,W61,Tnorm_h,Tnorm_M,Tnorm_table)</f>
        <v>177.47274052113525</v>
      </c>
      <c r="Y61" s="3">
        <v>0</v>
      </c>
      <c r="Z61" s="63" cm="1">
        <f t="array" ref="Z61">Linterp(Y61,LND_alpha,LND_CL_a)</f>
        <v>0.33600000000000002</v>
      </c>
      <c r="AA61" s="3" cm="1">
        <f t="array" ref="AA61">Z61*S*Linterp(W$2,atmos_h,atmos_qms)*W61^2</f>
        <v>47.275128849010301</v>
      </c>
      <c r="AB61" s="63" cm="1">
        <f t="array" ref="AB61">Linterp(Z61,LND_CL_cd,LND_CD_cl)</f>
        <v>9.4280000000000003E-2</v>
      </c>
      <c r="AC61" s="3" cm="1">
        <f t="array" ref="AC61">AB61*S*Linterp(W$2,atmos_h,atmos_qms)*W61^2</f>
        <v>13.265176035371104</v>
      </c>
      <c r="AD61" s="3">
        <f t="shared" si="28"/>
        <v>2535.8174613452966</v>
      </c>
      <c r="AE61" s="3">
        <f t="shared" si="21"/>
        <v>-8.9769619790068926</v>
      </c>
      <c r="AF61" s="3">
        <f t="shared" si="22"/>
        <v>0.48999203785924528</v>
      </c>
      <c r="AG61" s="3">
        <f t="shared" si="23"/>
        <v>25.150945516921212</v>
      </c>
      <c r="AH61" s="3">
        <f t="shared" si="24"/>
        <v>14.008229273730995</v>
      </c>
      <c r="AI61" s="3">
        <f t="shared" si="25"/>
        <v>3451.8612427972798</v>
      </c>
      <c r="AM61" s="3">
        <f t="shared" si="29"/>
        <v>28.003027671525441</v>
      </c>
      <c r="AN61" s="63" cm="1">
        <f t="array" ref="AN61">AM61/Linterp(AN$2,atmos_h,atmos_aspeed)</f>
        <v>2.5434379912700991E-2</v>
      </c>
      <c r="AO61" s="3" cm="1">
        <f t="array" ref="AO61">AK$17*numeng*InterpolateXY(AN$2,AN61,Tnorm_h,Tnorm_M,Tnorm_table)</f>
        <v>158.21525335846869</v>
      </c>
      <c r="AP61" s="3">
        <v>0</v>
      </c>
      <c r="AQ61" s="63" cm="1">
        <f t="array" ref="AQ61">Linterp(AP61,LND_alpha,LND_CL_a)</f>
        <v>0.33600000000000002</v>
      </c>
      <c r="AR61" s="3" cm="1">
        <f t="array" ref="AR61">AQ61*S*Linterp(AN$2,atmos_h,atmos_qms)*AN61^2</f>
        <v>47.275127473357436</v>
      </c>
      <c r="AS61" s="63" cm="1">
        <f t="array" ref="AS61">Linterp(AQ61,LND_CL_cd,LND_CD_cl)</f>
        <v>9.4280000000000003E-2</v>
      </c>
      <c r="AT61" s="3" cm="1">
        <f t="array" ref="AT61">AS61*S*Linterp(AN$2,atmos_h,atmos_qms)*AN61^2</f>
        <v>13.265175649369461</v>
      </c>
      <c r="AU61" s="3">
        <f t="shared" si="30"/>
        <v>2535.8174617579925</v>
      </c>
      <c r="AV61" s="3">
        <f t="shared" si="26"/>
        <v>-9.0498549663987156</v>
      </c>
      <c r="AW61" s="3">
        <f t="shared" si="14"/>
        <v>0.51576796623359655</v>
      </c>
      <c r="AX61" s="3">
        <f t="shared" si="15"/>
        <v>26.101549628562896</v>
      </c>
      <c r="AY61" s="3">
        <f t="shared" si="16"/>
        <v>15.646653349736292</v>
      </c>
      <c r="AZ61" s="3">
        <f t="shared" si="17"/>
        <v>3765.2303683957966</v>
      </c>
    </row>
    <row r="62" spans="22:52">
      <c r="V62" s="3">
        <f t="shared" si="27"/>
        <v>21.991298117559271</v>
      </c>
      <c r="W62" s="63" cm="1">
        <f t="array" ref="W62">V62/Linterp(W$2,atmos_h,atmos_aspeed)</f>
        <v>1.9697521713967728E-2</v>
      </c>
      <c r="X62" s="3" cm="1">
        <f t="array" ref="X62">T$17*numeng*InterpolateXY(W$2,W62,Tnorm_h,Tnorm_M,Tnorm_table)</f>
        <v>177.39395043427936</v>
      </c>
      <c r="Y62" s="3">
        <v>0</v>
      </c>
      <c r="Z62" s="63" cm="1">
        <f t="array" ref="Z62">Linterp(Y62,LND_alpha,LND_CL_a)</f>
        <v>0.33600000000000002</v>
      </c>
      <c r="AA62" s="3" cm="1">
        <f t="array" ref="AA62">Z62*S*Linterp(W$2,atmos_h,atmos_qms)*W62^2</f>
        <v>32.829950589590389</v>
      </c>
      <c r="AB62" s="63" cm="1">
        <f t="array" ref="AB62">Linterp(Z62,LND_CL_cd,LND_CD_cl)</f>
        <v>9.4280000000000003E-2</v>
      </c>
      <c r="AC62" s="3" cm="1">
        <f t="array" ref="AC62">AB62*S*Linterp(W$2,atmos_h,atmos_qms)*W62^2</f>
        <v>9.211927802341016</v>
      </c>
      <c r="AD62" s="3">
        <f t="shared" si="28"/>
        <v>2540.1510148231228</v>
      </c>
      <c r="AE62" s="3">
        <f t="shared" si="21"/>
        <v>-8.9783212182069612</v>
      </c>
      <c r="AF62" s="3">
        <f t="shared" si="22"/>
        <v>0.48991258730960907</v>
      </c>
      <c r="AG62" s="3">
        <f t="shared" si="23"/>
        <v>25.640858104230819</v>
      </c>
      <c r="AH62" s="3">
        <f t="shared" si="24"/>
        <v>11.851195134977448</v>
      </c>
      <c r="AI62" s="3">
        <f t="shared" si="25"/>
        <v>3463.7124379322572</v>
      </c>
      <c r="AM62" s="3">
        <f t="shared" si="29"/>
        <v>23.335856392937842</v>
      </c>
      <c r="AN62" s="63" cm="1">
        <f t="array" ref="AN62">AM62/Linterp(AN$2,atmos_h,atmos_aspeed)</f>
        <v>2.119531659391747E-2</v>
      </c>
      <c r="AO62" s="3" cm="1">
        <f t="array" ref="AO62">AK$17*numeng*InterpolateXY(AN$2,AN62,Tnorm_h,Tnorm_M,Tnorm_table)</f>
        <v>158.08141180382631</v>
      </c>
      <c r="AP62" s="3">
        <v>0</v>
      </c>
      <c r="AQ62" s="63" cm="1">
        <f t="array" ref="AQ62">Linterp(AP62,LND_alpha,LND_CL_a)</f>
        <v>0.33600000000000002</v>
      </c>
      <c r="AR62" s="3" cm="1">
        <f t="array" ref="AR62">AQ62*S*Linterp(AN$2,atmos_h,atmos_qms)*AN62^2</f>
        <v>32.829949634275927</v>
      </c>
      <c r="AS62" s="63" cm="1">
        <f t="array" ref="AS62">Linterp(AQ62,LND_CL_cd,LND_CD_cl)</f>
        <v>9.4280000000000003E-2</v>
      </c>
      <c r="AT62" s="3" cm="1">
        <f t="array" ref="AT62">AS62*S*Linterp(AN$2,atmos_h,atmos_qms)*AN62^2</f>
        <v>9.2119275342843281</v>
      </c>
      <c r="AU62" s="3">
        <f t="shared" si="30"/>
        <v>2540.1510151097173</v>
      </c>
      <c r="AV62" s="3">
        <f t="shared" si="26"/>
        <v>-9.0514225850884458</v>
      </c>
      <c r="AW62" s="3">
        <f t="shared" si="14"/>
        <v>0.51567313581180396</v>
      </c>
      <c r="AX62" s="3">
        <f t="shared" si="15"/>
        <v>26.617222764374699</v>
      </c>
      <c r="AY62" s="3">
        <f t="shared" si="16"/>
        <v>13.237041667300216</v>
      </c>
      <c r="AZ62" s="3">
        <f t="shared" si="17"/>
        <v>3778.4674100630968</v>
      </c>
    </row>
    <row r="63" spans="22:52">
      <c r="V63" s="3">
        <f t="shared" si="27"/>
        <v>17.593038494047377</v>
      </c>
      <c r="W63" s="63" cm="1">
        <f t="array" ref="W63">V63/Linterp(W$2,atmos_h,atmos_aspeed)</f>
        <v>1.5758017371174146E-2</v>
      </c>
      <c r="X63" s="3" cm="1">
        <f t="array" ref="X63">T$17*numeng*InterpolateXY(W$2,W63,Tnorm_h,Tnorm_M,Tnorm_table)</f>
        <v>177.3151603474235</v>
      </c>
      <c r="Y63" s="3">
        <v>0</v>
      </c>
      <c r="Z63" s="63" cm="1">
        <f t="array" ref="Z63">Linterp(Y63,LND_alpha,LND_CL_a)</f>
        <v>0.33600000000000002</v>
      </c>
      <c r="AA63" s="3" cm="1">
        <f t="array" ref="AA63">Z63*S*Linterp(W$2,atmos_h,atmos_qms)*W63^2</f>
        <v>21.011168377337754</v>
      </c>
      <c r="AB63" s="63" cm="1">
        <f t="array" ref="AB63">Linterp(Z63,LND_CL_cd,LND_CD_cl)</f>
        <v>9.4280000000000003E-2</v>
      </c>
      <c r="AC63" s="3" cm="1">
        <f t="array" ref="AC63">AB63*S*Linterp(W$2,atmos_h,atmos_qms)*W63^2</f>
        <v>5.8956337934982237</v>
      </c>
      <c r="AD63" s="3">
        <f t="shared" si="28"/>
        <v>2543.6966494867988</v>
      </c>
      <c r="AE63" s="3">
        <f t="shared" si="21"/>
        <v>-8.979487547440268</v>
      </c>
      <c r="AF63" s="3">
        <f t="shared" si="22"/>
        <v>0.48984368648870324</v>
      </c>
      <c r="AG63" s="3">
        <f t="shared" si="23"/>
        <v>26.130701790719524</v>
      </c>
      <c r="AH63" s="3">
        <f t="shared" si="24"/>
        <v>9.695068686519571</v>
      </c>
      <c r="AI63" s="3">
        <f t="shared" si="25"/>
        <v>3473.407506618777</v>
      </c>
      <c r="AM63" s="3">
        <f t="shared" si="29"/>
        <v>18.668685114350243</v>
      </c>
      <c r="AN63" s="63" cm="1">
        <f t="array" ref="AN63">AM63/Linterp(AN$2,atmos_h,atmos_aspeed)</f>
        <v>1.6956253275133948E-2</v>
      </c>
      <c r="AO63" s="3" cm="1">
        <f t="array" ref="AO63">AK$17*numeng*InterpolateXY(AN$2,AN63,Tnorm_h,Tnorm_M,Tnorm_table)</f>
        <v>157.94757024918391</v>
      </c>
      <c r="AP63" s="3">
        <v>0</v>
      </c>
      <c r="AQ63" s="63" cm="1">
        <f t="array" ref="AQ63">Linterp(AP63,LND_alpha,LND_CL_a)</f>
        <v>0.33600000000000002</v>
      </c>
      <c r="AR63" s="3" cm="1">
        <f t="array" ref="AR63">AQ63*S*Linterp(AN$2,atmos_h,atmos_qms)*AN63^2</f>
        <v>21.011167765936527</v>
      </c>
      <c r="AS63" s="63" cm="1">
        <f t="array" ref="AS63">Linterp(AQ63,LND_CL_cd,LND_CD_cl)</f>
        <v>9.4280000000000003E-2</v>
      </c>
      <c r="AT63" s="3" cm="1">
        <f t="array" ref="AT63">AS63*S*Linterp(AN$2,atmos_h,atmos_qms)*AN63^2</f>
        <v>5.8956336219419505</v>
      </c>
      <c r="AU63" s="3">
        <f t="shared" si="30"/>
        <v>2543.6966496702189</v>
      </c>
      <c r="AV63" s="3">
        <f t="shared" si="26"/>
        <v>-9.0527972938170276</v>
      </c>
      <c r="AW63" s="3">
        <f t="shared" si="14"/>
        <v>0.51558932777055533</v>
      </c>
      <c r="AX63" s="3">
        <f t="shared" si="15"/>
        <v>27.132812092145254</v>
      </c>
      <c r="AY63" s="3">
        <f t="shared" si="16"/>
        <v>10.828546659526525</v>
      </c>
      <c r="AZ63" s="3">
        <f t="shared" si="17"/>
        <v>3789.2959567226235</v>
      </c>
    </row>
    <row r="64" spans="22:52">
      <c r="V64" s="3">
        <f t="shared" si="27"/>
        <v>13.194778870535483</v>
      </c>
      <c r="W64" s="63" cm="1">
        <f t="array" ref="W64">V64/Linterp(W$2,atmos_h,atmos_aspeed)</f>
        <v>1.1818513028380566E-2</v>
      </c>
      <c r="X64" s="3" cm="1">
        <f t="array" ref="X64">T$17*numeng*InterpolateXY(W$2,W64,Tnorm_h,Tnorm_M,Tnorm_table)</f>
        <v>177.23637026056761</v>
      </c>
      <c r="Y64" s="3">
        <v>0</v>
      </c>
      <c r="Z64" s="63" cm="1">
        <f t="array" ref="Z64">Linterp(Y64,LND_alpha,LND_CL_a)</f>
        <v>0.33600000000000002</v>
      </c>
      <c r="AA64" s="3" cm="1">
        <f t="array" ref="AA64">Z64*S*Linterp(W$2,atmos_h,atmos_qms)*W64^2</f>
        <v>11.818782212252398</v>
      </c>
      <c r="AB64" s="63" cm="1">
        <f t="array" ref="AB64">Linterp(Z64,LND_CL_cd,LND_CD_cl)</f>
        <v>9.4280000000000003E-2</v>
      </c>
      <c r="AC64" s="3" cm="1">
        <f t="array" ref="AC64">AB64*S*Linterp(W$2,atmos_h,atmos_qms)*W64^2</f>
        <v>3.3162940088427262</v>
      </c>
      <c r="AD64" s="3">
        <f t="shared" si="28"/>
        <v>2546.4543653363239</v>
      </c>
      <c r="AE64" s="3">
        <f t="shared" si="21"/>
        <v>-8.9804609667068096</v>
      </c>
      <c r="AF64" s="3">
        <f t="shared" si="22"/>
        <v>0.48978532650551621</v>
      </c>
      <c r="AG64" s="3">
        <f t="shared" si="23"/>
        <v>26.620487117225039</v>
      </c>
      <c r="AH64" s="3">
        <f t="shared" si="24"/>
        <v>7.5397105901522092</v>
      </c>
      <c r="AI64" s="3">
        <f t="shared" si="25"/>
        <v>3480.947217208929</v>
      </c>
      <c r="AM64" s="3">
        <f t="shared" si="29"/>
        <v>14.001513835762644</v>
      </c>
      <c r="AN64" s="63" cm="1">
        <f t="array" ref="AN64">AM64/Linterp(AN$2,atmos_h,atmos_aspeed)</f>
        <v>1.2717189956350426E-2</v>
      </c>
      <c r="AO64" s="3" cm="1">
        <f t="array" ref="AO64">AK$17*numeng*InterpolateXY(AN$2,AN64,Tnorm_h,Tnorm_M,Tnorm_table)</f>
        <v>157.81372869454151</v>
      </c>
      <c r="AP64" s="3">
        <v>0</v>
      </c>
      <c r="AQ64" s="63" cm="1">
        <f t="array" ref="AQ64">Linterp(AP64,LND_alpha,LND_CL_a)</f>
        <v>0.33600000000000002</v>
      </c>
      <c r="AR64" s="3" cm="1">
        <f t="array" ref="AR64">AQ64*S*Linterp(AN$2,atmos_h,atmos_qms)*AN64^2</f>
        <v>11.818781868339231</v>
      </c>
      <c r="AS64" s="63" cm="1">
        <f t="array" ref="AS64">Linterp(AQ64,LND_CL_cd,LND_CD_cl)</f>
        <v>9.4280000000000003E-2</v>
      </c>
      <c r="AT64" s="3" cm="1">
        <f t="array" ref="AT64">AS64*S*Linterp(AN$2,atmos_h,atmos_qms)*AN64^2</f>
        <v>3.3162939123423292</v>
      </c>
      <c r="AU64" s="3">
        <f t="shared" si="30"/>
        <v>2546.4543654394979</v>
      </c>
      <c r="AV64" s="3">
        <f t="shared" si="26"/>
        <v>-9.0539790925844628</v>
      </c>
      <c r="AW64" s="3">
        <f t="shared" si="14"/>
        <v>0.51551653137912801</v>
      </c>
      <c r="AX64" s="3">
        <f t="shared" si="15"/>
        <v>27.648328623524382</v>
      </c>
      <c r="AY64" s="3">
        <f t="shared" si="16"/>
        <v>8.4210138211141139</v>
      </c>
      <c r="AZ64" s="3">
        <f t="shared" si="17"/>
        <v>3797.7169705437377</v>
      </c>
    </row>
    <row r="65" spans="21:52">
      <c r="V65" s="3">
        <f>V64-V$17/50</f>
        <v>8.7965192470235891</v>
      </c>
      <c r="W65" s="63" cm="1">
        <f t="array" ref="W65">V65/Linterp(W$2,atmos_h,atmos_aspeed)</f>
        <v>7.8790086855869846E-3</v>
      </c>
      <c r="X65" s="3" cm="1">
        <f t="array" ref="X65">T$17*numeng*InterpolateXY(W$2,W65,Tnorm_h,Tnorm_M,Tnorm_table)</f>
        <v>177.15758017371175</v>
      </c>
      <c r="Y65" s="3">
        <v>0</v>
      </c>
      <c r="Z65" s="63" cm="1">
        <f t="array" ref="Z65">Linterp(Y65,LND_alpha,LND_CL_a)</f>
        <v>0.33600000000000002</v>
      </c>
      <c r="AA65" s="3" cm="1">
        <f t="array" ref="AA65">Z65*S*Linterp(W$2,atmos_h,atmos_qms)*W65^2</f>
        <v>5.2527920943343203</v>
      </c>
      <c r="AB65" s="63" cm="1">
        <f t="array" ref="AB65">Linterp(Z65,LND_CL_cd,LND_CD_cl)</f>
        <v>9.4280000000000003E-2</v>
      </c>
      <c r="AC65" s="3" cm="1">
        <f t="array" ref="AC65">AB65*S*Linterp(W$2,atmos_h,atmos_qms)*W65^2</f>
        <v>1.4739084483745228</v>
      </c>
      <c r="AD65" s="3">
        <f t="shared" si="28"/>
        <v>2548.4241623716998</v>
      </c>
      <c r="AE65" s="3">
        <f t="shared" si="21"/>
        <v>-8.9812414760065948</v>
      </c>
      <c r="AF65" s="3">
        <f t="shared" si="22"/>
        <v>0.48973749983216697</v>
      </c>
      <c r="AG65" s="3">
        <f t="shared" si="23"/>
        <v>27.110224617057206</v>
      </c>
      <c r="AH65" s="3">
        <f t="shared" si="24"/>
        <v>5.38498167907861</v>
      </c>
      <c r="AI65" s="3">
        <f t="shared" si="25"/>
        <v>3486.3321988880075</v>
      </c>
      <c r="AM65" s="3">
        <f>AM64-AM$17/50</f>
        <v>9.3343425571750451</v>
      </c>
      <c r="AN65" s="63" cm="1">
        <f t="array" ref="AN65">AM65/Linterp(AN$2,atmos_h,atmos_aspeed)</f>
        <v>8.4781266375669045E-3</v>
      </c>
      <c r="AO65" s="3" cm="1">
        <f t="array" ref="AO65">AK$17*numeng*InterpolateXY(AN$2,AN65,Tnorm_h,Tnorm_M,Tnorm_table)</f>
        <v>157.67988713989914</v>
      </c>
      <c r="AP65" s="3">
        <v>0</v>
      </c>
      <c r="AQ65" s="63" cm="1">
        <f t="array" ref="AQ65">Linterp(AP65,LND_alpha,LND_CL_a)</f>
        <v>0.33600000000000002</v>
      </c>
      <c r="AR65" s="3" cm="1">
        <f t="array" ref="AR65">AQ65*S*Linterp(AN$2,atmos_h,atmos_qms)*AN65^2</f>
        <v>5.2527919414840456</v>
      </c>
      <c r="AS65" s="63" cm="1">
        <f t="array" ref="AS65">Linterp(AQ65,LND_CL_cd,LND_CD_cl)</f>
        <v>9.4280000000000003E-2</v>
      </c>
      <c r="AT65" s="3" cm="1">
        <f t="array" ref="AT65">AS65*S*Linterp(AN$2,atmos_h,atmos_qms)*AN65^2</f>
        <v>1.4739084054854636</v>
      </c>
      <c r="AU65" s="3">
        <f t="shared" si="30"/>
        <v>2548.4241624175547</v>
      </c>
      <c r="AV65" s="3">
        <f t="shared" si="26"/>
        <v>-9.0549679813907495</v>
      </c>
      <c r="AW65" s="3">
        <f t="shared" si="14"/>
        <v>0.51545473732096758</v>
      </c>
      <c r="AX65" s="3">
        <f t="shared" si="15"/>
        <v>28.163783360845351</v>
      </c>
      <c r="AY65" s="3">
        <f t="shared" si="16"/>
        <v>6.0142888635907594</v>
      </c>
      <c r="AZ65" s="3">
        <f t="shared" si="17"/>
        <v>3803.7312594073283</v>
      </c>
    </row>
    <row r="66" spans="21:52">
      <c r="V66" s="3">
        <f t="shared" si="27"/>
        <v>4.398259623511696</v>
      </c>
      <c r="W66" s="63" cm="1">
        <f t="array" ref="W66">V66/Linterp(W$2,atmos_h,atmos_aspeed)</f>
        <v>3.9395043427934038E-3</v>
      </c>
      <c r="X66" s="3" cm="1">
        <f t="array" ref="X66">T$17*numeng*InterpolateXY(W$2,W66,Tnorm_h,Tnorm_M,Tnorm_table)</f>
        <v>177.07879008685586</v>
      </c>
      <c r="Y66" s="3">
        <v>0</v>
      </c>
      <c r="Z66" s="63" cm="1">
        <f t="array" ref="Z66">Linterp(Y66,LND_alpha,LND_CL_a)</f>
        <v>0.33600000000000002</v>
      </c>
      <c r="AA66" s="3" cm="1">
        <f t="array" ref="AA66">Z66*S*Linterp(W$2,atmos_h,atmos_qms)*W66^2</f>
        <v>1.313198023583521</v>
      </c>
      <c r="AB66" s="63" cm="1">
        <f t="array" ref="AB66">Linterp(Z66,LND_CL_cd,LND_CD_cl)</f>
        <v>9.4280000000000003E-2</v>
      </c>
      <c r="AC66" s="3" cm="1">
        <f t="array" ref="AC66">AB66*S*Linterp(W$2,atmos_h,atmos_qms)*W66^2</f>
        <v>0.36847711209361411</v>
      </c>
      <c r="AD66" s="3">
        <f t="shared" si="28"/>
        <v>2549.6060405929252</v>
      </c>
      <c r="AE66" s="3">
        <f t="shared" si="21"/>
        <v>-8.9818290753396184</v>
      </c>
      <c r="AF66" s="3">
        <f t="shared" si="22"/>
        <v>0.48970020030147604</v>
      </c>
      <c r="AG66" s="3">
        <f t="shared" si="23"/>
        <v>27.599924817358684</v>
      </c>
      <c r="AH66" s="3">
        <f t="shared" si="24"/>
        <v>3.2307429279174062</v>
      </c>
      <c r="AI66" s="3">
        <f t="shared" si="25"/>
        <v>3489.5629418159251</v>
      </c>
      <c r="AM66" s="3">
        <f t="shared" ref="AM66" si="31">AM65-AM$17/50</f>
        <v>4.6671712785874471</v>
      </c>
      <c r="AN66" s="63" cm="1">
        <f t="array" ref="AN66">AM66/Linterp(AN$2,atmos_h,atmos_aspeed)</f>
        <v>4.2390633187833838E-3</v>
      </c>
      <c r="AO66" s="3" cm="1">
        <f t="array" ref="AO66">AK$17*numeng*InterpolateXY(AN$2,AN66,Tnorm_h,Tnorm_M,Tnorm_table)</f>
        <v>157.54604558525673</v>
      </c>
      <c r="AP66" s="3">
        <v>0</v>
      </c>
      <c r="AQ66" s="63" cm="1">
        <f t="array" ref="AQ66">Linterp(AP66,LND_alpha,LND_CL_a)</f>
        <v>0.33600000000000002</v>
      </c>
      <c r="AR66" s="3" cm="1">
        <f t="array" ref="AR66">AQ66*S*Linterp(AN$2,atmos_h,atmos_qms)*AN66^2</f>
        <v>1.313197985370969</v>
      </c>
      <c r="AS66" s="63" cm="1">
        <f t="array" ref="AS66">Linterp(AQ66,LND_CL_cd,LND_CD_cl)</f>
        <v>9.4280000000000003E-2</v>
      </c>
      <c r="AT66" s="3" cm="1">
        <f t="array" ref="AT66">AS66*S*Linterp(AN$2,atmos_h,atmos_qms)*AN66^2</f>
        <v>0.36847710137135403</v>
      </c>
      <c r="AU66" s="3">
        <f t="shared" si="30"/>
        <v>2549.6060406043885</v>
      </c>
      <c r="AV66" s="3">
        <f t="shared" si="26"/>
        <v>-9.0557639602358897</v>
      </c>
      <c r="AW66" s="3">
        <f t="shared" si="14"/>
        <v>0.51540393769070492</v>
      </c>
      <c r="AX66" s="3">
        <f t="shared" si="15"/>
        <v>28.679187298536057</v>
      </c>
      <c r="AY66" s="3">
        <f t="shared" si="16"/>
        <v>3.6082176822914369</v>
      </c>
      <c r="AZ66" s="3">
        <f t="shared" si="17"/>
        <v>3807.3394770896198</v>
      </c>
    </row>
    <row r="67" spans="21:52">
      <c r="U67" s="512" t="s">
        <v>629</v>
      </c>
      <c r="V67" s="513">
        <v>0</v>
      </c>
      <c r="W67" s="514" cm="1">
        <f t="array" ref="W67">V67/Linterp(W$2,atmos_h,atmos_aspeed)</f>
        <v>0</v>
      </c>
      <c r="X67" s="513" cm="1">
        <f t="array" ref="X67">T$17*numeng*InterpolateXY(W$2,W67,Tnorm_h,Tnorm_M,Tnorm_table)</f>
        <v>177</v>
      </c>
      <c r="Y67" s="513">
        <v>0</v>
      </c>
      <c r="Z67" s="514" cm="1">
        <f t="array" ref="Z67">Linterp(Y67,LND_alpha,LND_CL_a)</f>
        <v>0.33600000000000002</v>
      </c>
      <c r="AA67" s="513" cm="1">
        <f t="array" ref="AA67">Z67*S*Linterp(W$2,atmos_h,atmos_qms)*W67^2</f>
        <v>0</v>
      </c>
      <c r="AB67" s="514" cm="1">
        <f t="array" ref="AB67">Linterp(Z67,LND_CL_cd,LND_CD_cl)</f>
        <v>9.4280000000000003E-2</v>
      </c>
      <c r="AC67" s="513" cm="1">
        <f t="array" ref="AC67">AB67*S*Linterp(W$2,atmos_h,atmos_qms)*W67^2</f>
        <v>0</v>
      </c>
      <c r="AD67" s="513">
        <f t="shared" si="28"/>
        <v>2550</v>
      </c>
      <c r="AE67" s="513">
        <f t="shared" si="21"/>
        <v>-8.982223764705882</v>
      </c>
      <c r="AF67" s="513">
        <f t="shared" si="22"/>
        <v>0.48967342310495626</v>
      </c>
      <c r="AG67" s="513">
        <f t="shared" si="23"/>
        <v>28.089598240463641</v>
      </c>
      <c r="AH67" s="513">
        <f t="shared" si="24"/>
        <v>1.0768554227746441</v>
      </c>
      <c r="AI67" s="513">
        <f t="shared" si="25"/>
        <v>3490.6397972386999</v>
      </c>
      <c r="AL67" s="512" t="s">
        <v>629</v>
      </c>
      <c r="AM67" s="513">
        <v>0</v>
      </c>
      <c r="AN67" s="514" cm="1">
        <f t="array" ref="AN67">AM67/Linterp(AN$2,atmos_h,atmos_aspeed)</f>
        <v>0</v>
      </c>
      <c r="AO67" s="513" cm="1">
        <f t="array" ref="AO67">AK$17*numeng*InterpolateXY(AN$2,AN67,Tnorm_h,Tnorm_M,Tnorm_table)</f>
        <v>157.41220403061436</v>
      </c>
      <c r="AP67" s="513">
        <v>0</v>
      </c>
      <c r="AQ67" s="514" cm="1">
        <f t="array" ref="AQ67">Linterp(AP67,LND_alpha,LND_CL_a)</f>
        <v>0.33600000000000002</v>
      </c>
      <c r="AR67" s="513" cm="1">
        <f t="array" ref="AR67">AQ67*S*Linterp(AN$2,atmos_h,atmos_qms)*AN67^2</f>
        <v>0</v>
      </c>
      <c r="AS67" s="514" cm="1">
        <f t="array" ref="AS67">Linterp(AQ67,LND_CL_cd,LND_CD_cl)</f>
        <v>9.4280000000000003E-2</v>
      </c>
      <c r="AT67" s="513" cm="1">
        <f t="array" ref="AT67">AS67*S*Linterp(AN$2,atmos_h,atmos_qms)*AN67^2</f>
        <v>0</v>
      </c>
      <c r="AU67" s="3">
        <f t="shared" si="30"/>
        <v>2550</v>
      </c>
      <c r="AV67" s="513">
        <f t="shared" si="26"/>
        <v>-9.0563670291198832</v>
      </c>
      <c r="AW67" s="513">
        <f t="shared" si="14"/>
        <v>0.51536412599161008</v>
      </c>
      <c r="AX67" s="513">
        <f t="shared" si="15"/>
        <v>29.194551424527667</v>
      </c>
      <c r="AY67" s="513">
        <f t="shared" si="16"/>
        <v>1.2026463234211824</v>
      </c>
      <c r="AZ67" s="513">
        <f t="shared" si="17"/>
        <v>3808.5421234130408</v>
      </c>
    </row>
    <row r="68" spans="21:52">
      <c r="V68" s="3"/>
    </row>
    <row r="69" spans="21:52">
      <c r="V69" s="3"/>
    </row>
  </sheetData>
  <mergeCells count="4">
    <mergeCell ref="B2:C2"/>
    <mergeCell ref="B3:C3"/>
    <mergeCell ref="L2:M2"/>
    <mergeCell ref="L3:M3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77AE2-318B-44CE-B1E2-7F56A4E086C4}">
  <sheetPr codeName="Sheet29">
    <tabColor theme="0"/>
  </sheetPr>
  <dimension ref="B1:N26"/>
  <sheetViews>
    <sheetView tabSelected="1" workbookViewId="0">
      <selection activeCell="O8" sqref="O8"/>
    </sheetView>
  </sheetViews>
  <sheetFormatPr defaultRowHeight="14.5"/>
  <cols>
    <col min="1" max="1" width="2.7265625" customWidth="1"/>
    <col min="2" max="2" width="16.7265625" customWidth="1"/>
    <col min="3" max="3" width="10.7265625" customWidth="1"/>
    <col min="4" max="4" width="16.7265625" customWidth="1"/>
    <col min="5" max="8" width="20.7265625" customWidth="1"/>
    <col min="9" max="12" width="12.7265625" customWidth="1"/>
    <col min="13" max="14" width="10.7265625" customWidth="1"/>
  </cols>
  <sheetData>
    <row r="1" spans="2:14" ht="15" thickBot="1"/>
    <row r="2" spans="2:14">
      <c r="B2" s="676" t="s">
        <v>333</v>
      </c>
      <c r="C2" s="677"/>
      <c r="D2" s="7"/>
      <c r="E2" s="11"/>
      <c r="F2" s="19"/>
      <c r="G2" s="16"/>
      <c r="H2" s="12"/>
      <c r="I2" s="12"/>
      <c r="J2" s="12"/>
      <c r="K2" s="12"/>
    </row>
    <row r="3" spans="2:14" ht="15" thickBot="1">
      <c r="B3" s="678" t="s">
        <v>249</v>
      </c>
      <c r="C3" s="679"/>
      <c r="D3" s="7"/>
      <c r="E3" s="11"/>
      <c r="F3" s="19"/>
      <c r="G3" s="16"/>
      <c r="H3" s="12"/>
      <c r="I3" s="12"/>
      <c r="J3" s="12"/>
      <c r="K3" s="12"/>
    </row>
    <row r="4" spans="2:14" ht="15" thickBot="1">
      <c r="B4" s="6"/>
      <c r="C4" s="6"/>
      <c r="D4" s="7"/>
      <c r="E4" s="11"/>
      <c r="F4" s="19"/>
      <c r="G4" s="144" t="s">
        <v>632</v>
      </c>
      <c r="H4" s="12"/>
      <c r="I4" s="12"/>
      <c r="J4" s="684" t="s">
        <v>684</v>
      </c>
      <c r="K4" s="12"/>
    </row>
    <row r="5" spans="2:14" ht="18.75" customHeight="1">
      <c r="B5" s="210" t="s">
        <v>472</v>
      </c>
      <c r="C5" s="347" t="s">
        <v>108</v>
      </c>
      <c r="D5" s="680" t="s">
        <v>478</v>
      </c>
      <c r="E5" s="347" t="s">
        <v>249</v>
      </c>
      <c r="F5" s="347" t="s">
        <v>474</v>
      </c>
      <c r="G5" s="347" t="s">
        <v>249</v>
      </c>
      <c r="H5" s="347" t="s">
        <v>476</v>
      </c>
    </row>
    <row r="6" spans="2:14" ht="18.75" customHeight="1" thickBot="1">
      <c r="B6" s="240" t="s">
        <v>473</v>
      </c>
      <c r="C6" s="241" t="s">
        <v>200</v>
      </c>
      <c r="D6" s="681"/>
      <c r="E6" s="241" t="s">
        <v>475</v>
      </c>
      <c r="F6" s="365" t="s">
        <v>367</v>
      </c>
      <c r="G6" s="241" t="s">
        <v>250</v>
      </c>
      <c r="H6" s="365" t="s">
        <v>477</v>
      </c>
      <c r="K6" s="341"/>
      <c r="L6" s="341"/>
      <c r="M6" s="341"/>
      <c r="N6" s="341"/>
    </row>
    <row r="7" spans="2:14" ht="18.75" customHeight="1" thickBot="1">
      <c r="B7" s="364"/>
      <c r="C7" s="364"/>
      <c r="D7" s="204"/>
      <c r="E7" s="372" t="s">
        <v>125</v>
      </c>
      <c r="F7" s="241" t="s">
        <v>80</v>
      </c>
      <c r="G7" s="372" t="s">
        <v>125</v>
      </c>
      <c r="H7" s="241" t="s">
        <v>125</v>
      </c>
      <c r="J7" s="341"/>
      <c r="K7" s="341"/>
      <c r="L7" s="341"/>
      <c r="M7" s="341"/>
      <c r="N7" s="341"/>
    </row>
    <row r="8" spans="2:14" ht="18.75" customHeight="1" thickBot="1">
      <c r="B8" s="348">
        <v>0</v>
      </c>
      <c r="C8" s="202">
        <v>20</v>
      </c>
      <c r="D8" s="370" t="s">
        <v>55</v>
      </c>
      <c r="E8" s="379" t="s">
        <v>482</v>
      </c>
      <c r="F8" s="523">
        <f>'19 - Cruise at SL (2)'!F92</f>
        <v>0.31446813551171482</v>
      </c>
      <c r="G8" s="682">
        <f>'19 - Cruise at SL (2)'!D$5*(1-1/(EXP(('19 - Landing Reserves'!C8/60)/'19 - Cruise at SL (2)'!F$93)))</f>
        <v>267.78480012116063</v>
      </c>
      <c r="H8" s="376">
        <f>G8</f>
        <v>267.78480012116063</v>
      </c>
      <c r="K8" s="341"/>
      <c r="L8" s="341"/>
      <c r="M8" s="341"/>
      <c r="N8" s="341"/>
    </row>
    <row r="9" spans="2:14" ht="18.75" customHeight="1" thickBot="1">
      <c r="B9" s="348">
        <v>5</v>
      </c>
      <c r="C9" s="202">
        <v>20</v>
      </c>
      <c r="D9" s="370" t="s">
        <v>55</v>
      </c>
      <c r="E9" s="373">
        <f>B9*E$17/100</f>
        <v>189.5</v>
      </c>
      <c r="F9" s="524">
        <f>'19 - Cruise at SL (2)'!F92</f>
        <v>0.31446813551171482</v>
      </c>
      <c r="G9" s="683">
        <f>'19 - Cruise at SL (2)'!D$5*(1-1/(EXP(('19 - Landing Reserves'!C9/60)/'19 - Cruise at SL (2)'!F$93)))</f>
        <v>267.78480012116063</v>
      </c>
      <c r="H9" s="377">
        <f t="shared" ref="H9:H12" si="0">E9+G9</f>
        <v>457.28480012116063</v>
      </c>
      <c r="J9" s="341"/>
      <c r="K9" s="341"/>
      <c r="L9" s="341"/>
      <c r="M9" s="341"/>
      <c r="N9" s="341"/>
    </row>
    <row r="10" spans="2:14" ht="18.75" customHeight="1" thickBot="1">
      <c r="B10" s="348">
        <v>5</v>
      </c>
      <c r="C10" s="202">
        <v>20</v>
      </c>
      <c r="D10" s="370" t="s">
        <v>385</v>
      </c>
      <c r="E10" s="373">
        <f t="shared" ref="E10:E13" si="1">B10*E$17/100</f>
        <v>189.5</v>
      </c>
      <c r="F10" s="524">
        <f>'19 - Cruise at 10k (2)'!F91</f>
        <v>0.38289275258432087</v>
      </c>
      <c r="G10" s="683">
        <f>'19 - Cruise at SL (2)'!D$5*(1-1/(EXP(('19 - Landing Reserves'!C10/60)/'19 - Cruise at 10k (2)'!F$92)))</f>
        <v>258.26367763623682</v>
      </c>
      <c r="H10" s="377">
        <f t="shared" si="0"/>
        <v>447.76367763623682</v>
      </c>
      <c r="J10" s="341"/>
      <c r="K10" s="341"/>
      <c r="L10" s="341"/>
      <c r="M10" s="341"/>
      <c r="N10" s="341"/>
    </row>
    <row r="11" spans="2:14" ht="18.75" customHeight="1" thickBot="1">
      <c r="B11" s="348">
        <v>5</v>
      </c>
      <c r="C11" s="202">
        <v>10</v>
      </c>
      <c r="D11" s="370" t="s">
        <v>55</v>
      </c>
      <c r="E11" s="373">
        <f t="shared" si="1"/>
        <v>189.5</v>
      </c>
      <c r="F11" s="524">
        <f>'19 - Cruise at SL (2)'!F92</f>
        <v>0.31446813551171482</v>
      </c>
      <c r="G11" s="683">
        <f>'19 - Cruise at SL (2)'!D$5*(1-1/(EXP(('19 - Landing Reserves'!C11/60)/'19 - Cruise at SL (2)'!F$93)))</f>
        <v>134.96388537562103</v>
      </c>
      <c r="H11" s="377">
        <f t="shared" si="0"/>
        <v>324.46388537562103</v>
      </c>
      <c r="J11" s="341"/>
      <c r="K11" s="341"/>
      <c r="L11" s="341"/>
      <c r="M11" s="341"/>
      <c r="N11" s="341"/>
    </row>
    <row r="12" spans="2:14" ht="18.75" customHeight="1" thickBot="1">
      <c r="B12" s="348">
        <v>5</v>
      </c>
      <c r="C12" s="202">
        <v>30</v>
      </c>
      <c r="D12" s="370" t="s">
        <v>55</v>
      </c>
      <c r="E12" s="373">
        <f t="shared" si="1"/>
        <v>189.5</v>
      </c>
      <c r="F12" s="524">
        <f>'19 - Cruise at SL (2)'!F92</f>
        <v>0.31446813551171482</v>
      </c>
      <c r="G12" s="683">
        <f>'19 - Cruise at SL (2)'!D$5*(1-1/(EXP(('19 - Landing Reserves'!C12/60)/'19 - Cruise at SL (2)'!F$93)))</f>
        <v>398.49677054750032</v>
      </c>
      <c r="H12" s="377">
        <f t="shared" si="0"/>
        <v>587.99677054750032</v>
      </c>
      <c r="J12" s="341"/>
      <c r="K12" s="341"/>
      <c r="L12" s="341"/>
      <c r="M12" s="341"/>
      <c r="N12" s="341"/>
    </row>
    <row r="13" spans="2:14" ht="18.75" customHeight="1" thickBot="1">
      <c r="B13" s="348">
        <v>10</v>
      </c>
      <c r="C13" s="202">
        <v>0</v>
      </c>
      <c r="D13" s="371" t="s">
        <v>482</v>
      </c>
      <c r="E13" s="374">
        <f t="shared" si="1"/>
        <v>379</v>
      </c>
      <c r="F13" s="380" t="s">
        <v>482</v>
      </c>
      <c r="G13" s="375" t="s">
        <v>482</v>
      </c>
      <c r="H13" s="378">
        <f>E13</f>
        <v>379</v>
      </c>
      <c r="J13" s="341"/>
      <c r="K13" s="341"/>
      <c r="L13" s="341"/>
      <c r="M13" s="341"/>
      <c r="N13" s="341"/>
    </row>
    <row r="14" spans="2:14" ht="15.5">
      <c r="E14" s="383" t="s">
        <v>489</v>
      </c>
      <c r="F14" s="383" t="s">
        <v>489</v>
      </c>
      <c r="G14" s="383" t="s">
        <v>489</v>
      </c>
      <c r="H14" s="1">
        <f>SUM(H8:H13)</f>
        <v>2464.2939338016795</v>
      </c>
      <c r="I14" s="526"/>
    </row>
    <row r="15" spans="2:14" ht="16" thickBot="1">
      <c r="E15" s="368" t="s">
        <v>485</v>
      </c>
      <c r="F15" s="383" t="s">
        <v>489</v>
      </c>
      <c r="G15" s="383" t="s">
        <v>489</v>
      </c>
      <c r="H15" s="17">
        <f>E17-H14</f>
        <v>1325.7060661983205</v>
      </c>
      <c r="I15" t="s">
        <v>633</v>
      </c>
    </row>
    <row r="16" spans="2:14" ht="15.5">
      <c r="E16" s="381" t="s">
        <v>479</v>
      </c>
      <c r="F16" s="383" t="s">
        <v>489</v>
      </c>
      <c r="G16" s="383" t="s">
        <v>489</v>
      </c>
    </row>
    <row r="17" spans="5:7" ht="15.5">
      <c r="E17" s="382">
        <f>'Aircraft Data'!I13</f>
        <v>3790</v>
      </c>
      <c r="F17" s="383" t="s">
        <v>489</v>
      </c>
      <c r="G17" s="383" t="s">
        <v>489</v>
      </c>
    </row>
    <row r="18" spans="5:7" ht="15.5">
      <c r="F18" s="383" t="s">
        <v>489</v>
      </c>
      <c r="G18" s="383" t="s">
        <v>489</v>
      </c>
    </row>
    <row r="19" spans="5:7" ht="16" thickBot="1">
      <c r="F19" s="383" t="s">
        <v>489</v>
      </c>
      <c r="G19" s="369" t="s">
        <v>486</v>
      </c>
    </row>
    <row r="20" spans="5:7" ht="15.5">
      <c r="F20" s="383" t="s">
        <v>489</v>
      </c>
      <c r="G20" s="367" t="s">
        <v>483</v>
      </c>
    </row>
    <row r="21" spans="5:7" ht="15.5">
      <c r="F21" s="383" t="s">
        <v>489</v>
      </c>
      <c r="G21" s="366" t="s">
        <v>481</v>
      </c>
    </row>
    <row r="22" spans="5:7" ht="15.5">
      <c r="F22" s="383" t="s">
        <v>489</v>
      </c>
      <c r="G22" s="366" t="s">
        <v>484</v>
      </c>
    </row>
    <row r="23" spans="5:7" ht="15.5">
      <c r="F23" s="383" t="s">
        <v>489</v>
      </c>
    </row>
    <row r="24" spans="5:7" ht="16" thickBot="1">
      <c r="F24" s="368" t="s">
        <v>487</v>
      </c>
    </row>
    <row r="25" spans="5:7" ht="15.5">
      <c r="F25" s="366" t="s">
        <v>488</v>
      </c>
    </row>
    <row r="26" spans="5:7" ht="15.5">
      <c r="F26" s="366" t="s">
        <v>484</v>
      </c>
    </row>
  </sheetData>
  <mergeCells count="3">
    <mergeCell ref="B2:C2"/>
    <mergeCell ref="B3:C3"/>
    <mergeCell ref="D5:D6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68599-B10E-4E97-BC1A-7F5145687C04}">
  <sheetPr codeName="Sheet48">
    <tabColor theme="0"/>
  </sheetPr>
  <dimension ref="B1:P103"/>
  <sheetViews>
    <sheetView topLeftCell="A72" workbookViewId="0">
      <selection activeCell="I90" sqref="I90"/>
    </sheetView>
  </sheetViews>
  <sheetFormatPr defaultRowHeight="14.5"/>
  <cols>
    <col min="1" max="1" width="2.7265625" customWidth="1"/>
    <col min="2" max="13" width="12.7265625" customWidth="1"/>
    <col min="14" max="16" width="10.7265625" customWidth="1"/>
    <col min="17" max="17" width="12.7265625" customWidth="1"/>
    <col min="18" max="61" width="10.7265625" customWidth="1"/>
  </cols>
  <sheetData>
    <row r="1" spans="2:16" ht="15" thickBot="1"/>
    <row r="2" spans="2:16">
      <c r="B2" s="601" t="s">
        <v>331</v>
      </c>
      <c r="C2" s="605"/>
      <c r="D2" s="606"/>
    </row>
    <row r="3" spans="2:16" ht="15" thickBot="1">
      <c r="B3" s="602" t="s">
        <v>241</v>
      </c>
      <c r="C3" s="607"/>
      <c r="D3" s="608"/>
    </row>
    <row r="5" spans="2:16">
      <c r="C5" t="s">
        <v>6</v>
      </c>
      <c r="D5" s="8">
        <v>8500</v>
      </c>
      <c r="E5" t="s">
        <v>5</v>
      </c>
      <c r="G5" t="s">
        <v>0</v>
      </c>
      <c r="H5" s="1" cm="1">
        <f t="array" ref="H5">Linterp(D6,atmos_h,atmos_qms)</f>
        <v>1481.3539946857729</v>
      </c>
      <c r="I5" t="s">
        <v>19</v>
      </c>
    </row>
    <row r="6" spans="2:16">
      <c r="C6" t="s">
        <v>1</v>
      </c>
      <c r="D6" s="8">
        <v>1E-4</v>
      </c>
      <c r="E6" t="s">
        <v>2</v>
      </c>
      <c r="G6" t="s">
        <v>153</v>
      </c>
      <c r="H6" s="3">
        <f>Linterp(D6,atmos_h,atmos_aspeed)</f>
        <v>1116.4499996158745</v>
      </c>
      <c r="I6" t="s">
        <v>20</v>
      </c>
    </row>
    <row r="7" spans="2:16">
      <c r="D7" s="8"/>
      <c r="G7" t="s">
        <v>155</v>
      </c>
      <c r="H7" s="9">
        <f>Linterp(D6,atmos_h,atmos_rho)</f>
        <v>2.376879993083547E-3</v>
      </c>
      <c r="I7" t="s">
        <v>156</v>
      </c>
    </row>
    <row r="8" spans="2:16" ht="15" thickBot="1">
      <c r="H8" s="2"/>
      <c r="I8" s="1">
        <v>1</v>
      </c>
      <c r="L8" s="4"/>
      <c r="M8" s="4"/>
      <c r="N8" s="4"/>
      <c r="O8" s="4"/>
    </row>
    <row r="9" spans="2:16">
      <c r="B9" s="6" t="s">
        <v>1</v>
      </c>
      <c r="C9" s="6" t="s">
        <v>72</v>
      </c>
      <c r="D9" s="6" t="s">
        <v>185</v>
      </c>
      <c r="E9" s="6" t="s">
        <v>74</v>
      </c>
      <c r="F9" s="6" t="s">
        <v>75</v>
      </c>
      <c r="G9" s="6" t="s">
        <v>186</v>
      </c>
      <c r="H9" s="6" t="s">
        <v>294</v>
      </c>
      <c r="I9" s="6" t="s">
        <v>295</v>
      </c>
      <c r="J9" s="6" t="s">
        <v>233</v>
      </c>
      <c r="K9" s="6" t="s">
        <v>85</v>
      </c>
      <c r="L9" s="6" t="s">
        <v>234</v>
      </c>
      <c r="M9" s="312" t="s">
        <v>235</v>
      </c>
      <c r="N9" s="301" t="s">
        <v>236</v>
      </c>
      <c r="O9" s="310" t="s">
        <v>402</v>
      </c>
    </row>
    <row r="10" spans="2:16">
      <c r="B10" s="6" t="s">
        <v>30</v>
      </c>
      <c r="C10" s="6" t="s">
        <v>77</v>
      </c>
      <c r="D10" s="6" t="s">
        <v>69</v>
      </c>
      <c r="E10" s="6"/>
      <c r="F10" s="6"/>
      <c r="G10" s="6" t="s">
        <v>78</v>
      </c>
      <c r="H10" s="6" t="s">
        <v>78</v>
      </c>
      <c r="I10" s="6" t="s">
        <v>86</v>
      </c>
      <c r="J10" s="6" t="s">
        <v>87</v>
      </c>
      <c r="K10" s="6" t="s">
        <v>86</v>
      </c>
      <c r="L10" s="6" t="s">
        <v>414</v>
      </c>
      <c r="M10" s="317" t="s">
        <v>203</v>
      </c>
      <c r="N10" s="316" t="s">
        <v>415</v>
      </c>
      <c r="O10" s="318" t="s">
        <v>416</v>
      </c>
    </row>
    <row r="11" spans="2:16">
      <c r="B11" s="120">
        <v>0</v>
      </c>
      <c r="C11" s="7">
        <v>0.21</v>
      </c>
      <c r="D11" s="7">
        <f t="shared" ref="D11:D73" si="0">C11*H$6</f>
        <v>234.45449991933364</v>
      </c>
      <c r="E11" s="11">
        <f t="shared" ref="E11:E63" si="1">D$5/(H$5*C11*C11*_xlfn.SINGLE(S))</f>
        <v>0.76537198545379626</v>
      </c>
      <c r="F11" s="19">
        <f t="shared" ref="F11:F64" si="2">InterpolateXY(E11,C11,CD_CL,CD_M,CD_table)</f>
        <v>0.17155342216280078</v>
      </c>
      <c r="G11" s="16">
        <f t="shared" ref="G11:G64" si="3">F11*$H$5*C11*C11*_xlfn.SINGLE(S)</f>
        <v>1905.2227101299291</v>
      </c>
      <c r="H11" s="12">
        <f t="shared" ref="H11:H63" si="4">_xlfn.SINGLE(InterpolateXY(B11,C11,Tnorm_h,Tnorm_M,Tnorm_table))*_xlfn.SINGLE(numeng)</f>
        <v>3624</v>
      </c>
      <c r="I11" s="12">
        <f t="shared" ref="I11:I63" si="5">_xlfn.SINGLE(InterpolateXYZ($I$8,C11,B11,FFnorm_PS,FFnorm_M,FFnorm_h,FFnorm_table))*_xlfn.SINGLE(numeng)</f>
        <v>3950.1600000000003</v>
      </c>
      <c r="J11" s="141">
        <f t="shared" ref="J11:J64" si="6">G11/H11</f>
        <v>0.52572370588574202</v>
      </c>
      <c r="K11" s="267" cm="1">
        <f t="array" ref="K11">InterpolateXYZ(J11,C11,B11,FFnorm_PS,FFnorm_M,FFnorm_h,FFnorm_table)*numeng</f>
        <v>2076.6927540416227</v>
      </c>
      <c r="L11" s="11">
        <f t="shared" ref="L11:L64" si="7">K11/G11</f>
        <v>1.0900000000000001</v>
      </c>
      <c r="M11" s="277" cm="1">
        <f t="array" ref="M11">($D$5/G11)*(C11*Linterp($D$6,atmos_h,atmos_vela)/L11)</f>
        <v>568.20385026937481</v>
      </c>
      <c r="N11" s="7">
        <f t="shared" ref="N11:N64" si="8">($D$5/G11)*(1/L11)</f>
        <v>4.0930464959043409</v>
      </c>
      <c r="O11" s="324">
        <f t="shared" ref="O11:O64" si="9">M11/$D$5</f>
        <v>6.684751179639703E-2</v>
      </c>
      <c r="P11" s="12"/>
    </row>
    <row r="12" spans="2:16">
      <c r="B12" s="120">
        <f t="shared" ref="B12:B65" si="10">B11</f>
        <v>0</v>
      </c>
      <c r="C12" s="7">
        <v>0.22</v>
      </c>
      <c r="D12" s="7">
        <f t="shared" si="0"/>
        <v>245.6189999154924</v>
      </c>
      <c r="E12" s="11">
        <f t="shared" si="1"/>
        <v>0.69737406112628952</v>
      </c>
      <c r="F12" s="19">
        <f t="shared" si="2"/>
        <v>0.1322098387733148</v>
      </c>
      <c r="G12" s="16">
        <f t="shared" si="3"/>
        <v>1611.4502850281183</v>
      </c>
      <c r="H12" s="12">
        <f t="shared" si="4"/>
        <v>3628</v>
      </c>
      <c r="I12" s="12">
        <f t="shared" si="5"/>
        <v>3954.52</v>
      </c>
      <c r="J12" s="141">
        <f t="shared" si="6"/>
        <v>0.44417042034953647</v>
      </c>
      <c r="K12" s="267" cm="1">
        <f t="array" ref="K12">InterpolateXYZ(J12,C12,B12,FFnorm_PS,FFnorm_M,FFnorm_h,FFnorm_table)*numeng</f>
        <v>1756.480810680649</v>
      </c>
      <c r="L12" s="11">
        <f t="shared" si="7"/>
        <v>1.0900000000000001</v>
      </c>
      <c r="M12" s="277" cm="1">
        <f t="array" ref="M12">($D$5/G12)*(C12*Linterp($D$6,atmos_h,atmos_vela)/L12)</f>
        <v>703.7791500062425</v>
      </c>
      <c r="N12" s="7">
        <f t="shared" si="8"/>
        <v>4.8392216688699197</v>
      </c>
      <c r="O12" s="324">
        <f t="shared" si="9"/>
        <v>8.2797547059557941E-2</v>
      </c>
      <c r="P12" s="12"/>
    </row>
    <row r="13" spans="2:16">
      <c r="B13" s="120">
        <f>B12</f>
        <v>0</v>
      </c>
      <c r="C13" s="7">
        <v>0.23</v>
      </c>
      <c r="D13" s="7">
        <f t="shared" si="0"/>
        <v>256.78349991165112</v>
      </c>
      <c r="E13" s="11">
        <f t="shared" si="1"/>
        <v>0.63805112586979984</v>
      </c>
      <c r="F13" s="19">
        <f t="shared" si="2"/>
        <v>0.10620639313097233</v>
      </c>
      <c r="G13" s="16">
        <f t="shared" si="3"/>
        <v>1414.8620776785215</v>
      </c>
      <c r="H13" s="12">
        <f t="shared" si="4"/>
        <v>3632</v>
      </c>
      <c r="I13" s="12">
        <f t="shared" si="5"/>
        <v>3958.88</v>
      </c>
      <c r="J13" s="141">
        <f t="shared" si="6"/>
        <v>0.3895545368057603</v>
      </c>
      <c r="K13" s="267" cm="1">
        <f t="array" ref="K13">InterpolateXYZ(J13,C13,B13,FFnorm_PS,FFnorm_M,FFnorm_h,FFnorm_table)*numeng</f>
        <v>1542.1996646695884</v>
      </c>
      <c r="L13" s="11">
        <f t="shared" si="7"/>
        <v>1.0900000000000001</v>
      </c>
      <c r="M13" s="277" cm="1">
        <f t="array" ref="M13">($D$5/G13)*(C13*Linterp($D$6,atmos_h,atmos_vela)/L13)</f>
        <v>838.00065245775352</v>
      </c>
      <c r="N13" s="7">
        <f t="shared" si="8"/>
        <v>5.5116079939111504</v>
      </c>
      <c r="O13" s="324">
        <f t="shared" si="9"/>
        <v>9.858831205385335E-2</v>
      </c>
      <c r="P13" s="12"/>
    </row>
    <row r="14" spans="2:16">
      <c r="B14" s="120">
        <f t="shared" si="10"/>
        <v>0</v>
      </c>
      <c r="C14" s="7">
        <v>0.24</v>
      </c>
      <c r="D14" s="7">
        <f t="shared" si="0"/>
        <v>267.94799990780984</v>
      </c>
      <c r="E14" s="11">
        <f t="shared" si="1"/>
        <v>0.58598792636306274</v>
      </c>
      <c r="F14" s="19">
        <f t="shared" si="2"/>
        <v>8.5134220951638639E-2</v>
      </c>
      <c r="G14" s="16">
        <f t="shared" si="3"/>
        <v>1234.9074879071475</v>
      </c>
      <c r="H14" s="12">
        <f t="shared" si="4"/>
        <v>3636</v>
      </c>
      <c r="I14" s="12">
        <f t="shared" si="5"/>
        <v>3963.24</v>
      </c>
      <c r="J14" s="141">
        <f t="shared" si="6"/>
        <v>0.33963352252671825</v>
      </c>
      <c r="K14" s="267" cm="1">
        <f t="array" ref="K14">InterpolateXYZ(J14,C14,B14,FFnorm_PS,FFnorm_M,FFnorm_h,FFnorm_table)*numeng</f>
        <v>1346.0491618187909</v>
      </c>
      <c r="L14" s="11">
        <f t="shared" si="7"/>
        <v>1.0900000000000001</v>
      </c>
      <c r="M14" s="277" cm="1">
        <f t="array" ref="M14">($D$5/G14)*(C14*Linterp($D$6,atmos_h,atmos_vela)/L14)</f>
        <v>1001.860939953493</v>
      </c>
      <c r="N14" s="7">
        <f t="shared" si="8"/>
        <v>6.3147767860980215</v>
      </c>
      <c r="O14" s="324">
        <f t="shared" si="9"/>
        <v>0.11786599293570506</v>
      </c>
      <c r="P14" s="12"/>
    </row>
    <row r="15" spans="2:16">
      <c r="B15" s="120">
        <f t="shared" si="10"/>
        <v>0</v>
      </c>
      <c r="C15" s="7">
        <v>0.25</v>
      </c>
      <c r="D15" s="7">
        <f t="shared" si="0"/>
        <v>279.11249990396863</v>
      </c>
      <c r="E15" s="11">
        <f t="shared" si="1"/>
        <v>0.54004647293619867</v>
      </c>
      <c r="F15" s="19">
        <f t="shared" si="2"/>
        <v>7.0734546029030176E-2</v>
      </c>
      <c r="G15" s="16">
        <f t="shared" si="3"/>
        <v>1113.318337175378</v>
      </c>
      <c r="H15" s="12">
        <f t="shared" si="4"/>
        <v>3640</v>
      </c>
      <c r="I15" s="12">
        <f t="shared" si="5"/>
        <v>3967.6</v>
      </c>
      <c r="J15" s="141">
        <f t="shared" si="6"/>
        <v>0.30585668603719174</v>
      </c>
      <c r="K15" s="267" cm="1">
        <f t="array" ref="K15">InterpolateXYZ(J15,C15,B15,FFnorm_PS,FFnorm_M,FFnorm_h,FFnorm_table)*numeng</f>
        <v>1213.5169875211618</v>
      </c>
      <c r="L15" s="11">
        <f t="shared" si="7"/>
        <v>1.0899999999999999</v>
      </c>
      <c r="M15" s="277" cm="1">
        <f t="array" ref="M15">($D$5/G15)*(C15*Linterp($D$6,atmos_h,atmos_vela)/L15)</f>
        <v>1157.5806900099367</v>
      </c>
      <c r="N15" s="7">
        <f t="shared" si="8"/>
        <v>7.0044342909140971</v>
      </c>
      <c r="O15" s="324">
        <f t="shared" si="9"/>
        <v>0.13618596353058079</v>
      </c>
      <c r="P15" s="12"/>
    </row>
    <row r="16" spans="2:16">
      <c r="B16" s="120">
        <f t="shared" si="10"/>
        <v>0</v>
      </c>
      <c r="C16" s="7">
        <v>0.26</v>
      </c>
      <c r="D16" s="7">
        <f t="shared" si="0"/>
        <v>290.27699990012741</v>
      </c>
      <c r="E16" s="11">
        <f t="shared" si="1"/>
        <v>0.49930332187148535</v>
      </c>
      <c r="F16" s="19">
        <f t="shared" si="2"/>
        <v>5.8039967696168558E-2</v>
      </c>
      <c r="G16" s="16">
        <f t="shared" si="3"/>
        <v>988.05616507476873</v>
      </c>
      <c r="H16" s="12">
        <f t="shared" si="4"/>
        <v>3644</v>
      </c>
      <c r="I16" s="12">
        <f t="shared" si="5"/>
        <v>3971.96</v>
      </c>
      <c r="J16" s="141">
        <f t="shared" si="6"/>
        <v>0.27114603871426146</v>
      </c>
      <c r="K16" s="267" cm="1">
        <f t="array" ref="K16">InterpolateXYZ(J16,C16,B16,FFnorm_PS,FFnorm_M,FFnorm_h,FFnorm_table)*numeng</f>
        <v>1076.9812199314979</v>
      </c>
      <c r="L16" s="11">
        <f t="shared" si="7"/>
        <v>1.0900000000000001</v>
      </c>
      <c r="M16" s="277" cm="1">
        <f t="array" ref="M16">($D$5/G16)*(C16*Linterp($D$6,atmos_h,atmos_vela)/L16)</f>
        <v>1356.5079483155616</v>
      </c>
      <c r="N16" s="7">
        <f t="shared" si="8"/>
        <v>7.8924310310078081</v>
      </c>
      <c r="O16" s="324">
        <f t="shared" si="9"/>
        <v>0.15958917039006607</v>
      </c>
      <c r="P16" s="12"/>
    </row>
    <row r="17" spans="2:16">
      <c r="B17" s="120">
        <f t="shared" si="10"/>
        <v>0</v>
      </c>
      <c r="C17" s="7">
        <v>0.27</v>
      </c>
      <c r="D17" s="7">
        <f t="shared" si="0"/>
        <v>301.44149989628613</v>
      </c>
      <c r="E17" s="11">
        <f t="shared" si="1"/>
        <v>0.46300280601525945</v>
      </c>
      <c r="F17" s="19">
        <f t="shared" si="2"/>
        <v>5.0723564009067149E-2</v>
      </c>
      <c r="G17" s="16">
        <f t="shared" si="3"/>
        <v>931.20449482299932</v>
      </c>
      <c r="H17" s="12">
        <f t="shared" si="4"/>
        <v>3648</v>
      </c>
      <c r="I17" s="12">
        <f t="shared" si="5"/>
        <v>3976.3199999999997</v>
      </c>
      <c r="J17" s="141">
        <f t="shared" si="6"/>
        <v>0.25526439002823448</v>
      </c>
      <c r="K17" s="267" cm="1">
        <f t="array" ref="K17">InterpolateXYZ(J17,C17,B17,FFnorm_PS,FFnorm_M,FFnorm_h,FFnorm_table)*numeng</f>
        <v>1015.0128993570694</v>
      </c>
      <c r="L17" s="11">
        <f t="shared" si="7"/>
        <v>1.0900000000000001</v>
      </c>
      <c r="M17" s="277" cm="1">
        <f t="array" ref="M17">($D$5/G17)*(C17*Linterp($D$6,atmos_h,atmos_vela)/L17)</f>
        <v>1494.6838008214345</v>
      </c>
      <c r="N17" s="7">
        <f t="shared" si="8"/>
        <v>8.3742778100495876</v>
      </c>
      <c r="O17" s="324">
        <f t="shared" si="9"/>
        <v>0.17584515303781581</v>
      </c>
      <c r="P17" s="12"/>
    </row>
    <row r="18" spans="2:16">
      <c r="B18" s="120">
        <f t="shared" si="10"/>
        <v>0</v>
      </c>
      <c r="C18" s="7">
        <v>0.28000000000000003</v>
      </c>
      <c r="D18" s="7">
        <f t="shared" si="0"/>
        <v>312.60599989244491</v>
      </c>
      <c r="E18" s="11">
        <f t="shared" si="1"/>
        <v>0.43052174181776032</v>
      </c>
      <c r="F18" s="19">
        <f t="shared" si="2"/>
        <v>4.4174870105369822E-2</v>
      </c>
      <c r="G18" s="16">
        <f t="shared" si="3"/>
        <v>872.16593129595481</v>
      </c>
      <c r="H18" s="12">
        <f t="shared" si="4"/>
        <v>3652</v>
      </c>
      <c r="I18" s="12">
        <f t="shared" si="5"/>
        <v>3980.68</v>
      </c>
      <c r="J18" s="141">
        <f t="shared" si="6"/>
        <v>0.23881871065059004</v>
      </c>
      <c r="K18" s="267" cm="1">
        <f t="array" ref="K18">InterpolateXYZ(J18,C18,B18,FFnorm_PS,FFnorm_M,FFnorm_h,FFnorm_table)*numeng</f>
        <v>950.66086511259073</v>
      </c>
      <c r="L18" s="11">
        <f t="shared" si="7"/>
        <v>1.0900000000000001</v>
      </c>
      <c r="M18" s="277" cm="1">
        <f t="array" ref="M18">($D$5/G18)*(C18*Linterp($D$6,atmos_h,atmos_vela)/L18)</f>
        <v>1654.9677695816536</v>
      </c>
      <c r="N18" s="7">
        <f t="shared" si="8"/>
        <v>8.9411485335449346</v>
      </c>
      <c r="O18" s="324">
        <f t="shared" si="9"/>
        <v>0.19470209053901807</v>
      </c>
      <c r="P18" s="12"/>
    </row>
    <row r="19" spans="2:16">
      <c r="B19" s="120">
        <f t="shared" si="10"/>
        <v>0</v>
      </c>
      <c r="C19" s="7">
        <v>0.28999999999999998</v>
      </c>
      <c r="D19" s="7">
        <f t="shared" si="0"/>
        <v>323.77049988860358</v>
      </c>
      <c r="E19" s="11">
        <f t="shared" si="1"/>
        <v>0.4013425036683998</v>
      </c>
      <c r="F19" s="19">
        <f t="shared" si="2"/>
        <v>3.828984323734836E-2</v>
      </c>
      <c r="G19" s="16">
        <f t="shared" si="3"/>
        <v>810.937452531487</v>
      </c>
      <c r="H19" s="12">
        <f t="shared" si="4"/>
        <v>3656</v>
      </c>
      <c r="I19" s="12">
        <f t="shared" si="5"/>
        <v>3985.0399999999995</v>
      </c>
      <c r="J19" s="141">
        <f t="shared" si="6"/>
        <v>0.22181002530948768</v>
      </c>
      <c r="K19" s="267" cm="1">
        <f t="array" ref="K19">InterpolateXYZ(J19,C19,B19,FFnorm_PS,FFnorm_M,FFnorm_h,FFnorm_table)*numeng</f>
        <v>883.92182325932072</v>
      </c>
      <c r="L19" s="11">
        <f t="shared" si="7"/>
        <v>1.0899999999999999</v>
      </c>
      <c r="M19" s="277" cm="1">
        <f t="array" ref="M19">($D$5/G19)*(C19*Linterp($D$6,atmos_h,atmos_vela)/L19)</f>
        <v>1843.4920396303357</v>
      </c>
      <c r="N19" s="7">
        <f t="shared" si="8"/>
        <v>9.6162350293124419</v>
      </c>
      <c r="O19" s="324">
        <f t="shared" si="9"/>
        <v>0.21688141642709832</v>
      </c>
      <c r="P19" s="12"/>
    </row>
    <row r="20" spans="2:16">
      <c r="B20" s="120">
        <f t="shared" si="10"/>
        <v>0</v>
      </c>
      <c r="C20" s="7">
        <v>0.3</v>
      </c>
      <c r="D20" s="7">
        <f t="shared" si="0"/>
        <v>334.93499988476236</v>
      </c>
      <c r="E20" s="11">
        <f t="shared" si="1"/>
        <v>0.37503227287236024</v>
      </c>
      <c r="F20" s="19">
        <f t="shared" si="2"/>
        <v>3.4460824679657068E-2</v>
      </c>
      <c r="G20" s="16">
        <f t="shared" si="3"/>
        <v>781.04480858045372</v>
      </c>
      <c r="H20" s="12">
        <f t="shared" si="4"/>
        <v>3660</v>
      </c>
      <c r="I20" s="12">
        <f t="shared" si="5"/>
        <v>3989.3999999999996</v>
      </c>
      <c r="J20" s="141">
        <f t="shared" si="6"/>
        <v>0.21340022092362124</v>
      </c>
      <c r="K20" s="267" cm="1">
        <f t="array" ref="K20">InterpolateXYZ(J20,C20,B20,FFnorm_PS,FFnorm_M,FFnorm_h,FFnorm_table)*numeng</f>
        <v>851.33884135269454</v>
      </c>
      <c r="L20" s="11">
        <f t="shared" si="7"/>
        <v>1.0900000000000001</v>
      </c>
      <c r="M20" s="277" cm="1">
        <f t="array" ref="M20">($D$5/G20)*(C20*Linterp($D$6,atmos_h,atmos_vela)/L20)</f>
        <v>1980.04897254051</v>
      </c>
      <c r="N20" s="7">
        <f t="shared" si="8"/>
        <v>9.9842736958815674</v>
      </c>
      <c r="O20" s="324">
        <f t="shared" si="9"/>
        <v>0.23294693794594235</v>
      </c>
      <c r="P20" s="12"/>
    </row>
    <row r="21" spans="2:16">
      <c r="B21" s="120">
        <f t="shared" si="10"/>
        <v>0</v>
      </c>
      <c r="C21" s="7">
        <v>0.31</v>
      </c>
      <c r="D21" s="7">
        <f t="shared" si="0"/>
        <v>346.09949988092109</v>
      </c>
      <c r="E21" s="11">
        <f t="shared" si="1"/>
        <v>0.351226894469432</v>
      </c>
      <c r="F21" s="19">
        <f t="shared" si="2"/>
        <v>3.1066412291041987E-2</v>
      </c>
      <c r="G21" s="16">
        <f t="shared" si="3"/>
        <v>751.83452244668285</v>
      </c>
      <c r="H21" s="12">
        <f t="shared" si="4"/>
        <v>3664</v>
      </c>
      <c r="I21" s="12">
        <f t="shared" si="5"/>
        <v>3993.7599999999998</v>
      </c>
      <c r="J21" s="141">
        <f t="shared" si="6"/>
        <v>0.20519501158479336</v>
      </c>
      <c r="K21" s="267" cm="1">
        <f t="array" ref="K21">InterpolateXYZ(J21,C21,B21,FFnorm_PS,FFnorm_M,FFnorm_h,FFnorm_table)*numeng</f>
        <v>819.49962946688424</v>
      </c>
      <c r="L21" s="11">
        <f t="shared" si="7"/>
        <v>1.0899999999999999</v>
      </c>
      <c r="M21" s="277" cm="1">
        <f t="array" ref="M21">($D$5/G21)*(C21*Linterp($D$6,atmos_h,atmos_vela)/L21)</f>
        <v>2125.5437937263418</v>
      </c>
      <c r="N21" s="7">
        <f t="shared" si="8"/>
        <v>10.37218284714732</v>
      </c>
      <c r="O21" s="324">
        <f t="shared" si="9"/>
        <v>0.25006397573251082</v>
      </c>
      <c r="P21" s="12"/>
    </row>
    <row r="22" spans="2:16">
      <c r="B22" s="120">
        <f t="shared" si="10"/>
        <v>0</v>
      </c>
      <c r="C22" s="7">
        <v>0.32</v>
      </c>
      <c r="D22" s="7">
        <f t="shared" si="0"/>
        <v>357.26399987707987</v>
      </c>
      <c r="E22" s="11">
        <f t="shared" si="1"/>
        <v>0.32961820857922275</v>
      </c>
      <c r="F22" s="19">
        <f t="shared" si="2"/>
        <v>2.9216479447061849E-2</v>
      </c>
      <c r="G22" s="16">
        <f t="shared" si="3"/>
        <v>753.41734417665805</v>
      </c>
      <c r="H22" s="12">
        <f t="shared" si="4"/>
        <v>3668</v>
      </c>
      <c r="I22" s="12">
        <f t="shared" si="5"/>
        <v>3998.12</v>
      </c>
      <c r="J22" s="141">
        <f t="shared" si="6"/>
        <v>0.20540276558796566</v>
      </c>
      <c r="K22" s="267" cm="1">
        <f t="array" ref="K22">InterpolateXYZ(J22,C22,B22,FFnorm_PS,FFnorm_M,FFnorm_h,FFnorm_table)*numeng</f>
        <v>821.2249051525572</v>
      </c>
      <c r="L22" s="11">
        <f t="shared" si="7"/>
        <v>1.0899999999999999</v>
      </c>
      <c r="M22" s="277" cm="1">
        <f t="array" ref="M22">($D$5/G22)*(C22*Linterp($D$6,atmos_h,atmos_vela)/L22)</f>
        <v>2189.5002128685924</v>
      </c>
      <c r="N22" s="7">
        <f t="shared" si="8"/>
        <v>10.350392379321439</v>
      </c>
      <c r="O22" s="324">
        <f t="shared" si="9"/>
        <v>0.25758826033748145</v>
      </c>
      <c r="P22" s="12"/>
    </row>
    <row r="23" spans="2:16">
      <c r="B23" s="120">
        <f t="shared" si="10"/>
        <v>0</v>
      </c>
      <c r="C23" s="7">
        <v>0.33</v>
      </c>
      <c r="D23" s="7">
        <f t="shared" si="0"/>
        <v>368.42849987323859</v>
      </c>
      <c r="E23" s="11">
        <f t="shared" si="1"/>
        <v>0.30994402716723979</v>
      </c>
      <c r="F23" s="19">
        <f t="shared" si="2"/>
        <v>2.7597952207338232E-2</v>
      </c>
      <c r="G23" s="16">
        <f t="shared" si="3"/>
        <v>756.85470020623677</v>
      </c>
      <c r="H23" s="12">
        <f t="shared" si="4"/>
        <v>3672</v>
      </c>
      <c r="I23" s="12">
        <f t="shared" si="5"/>
        <v>4002.48</v>
      </c>
      <c r="J23" s="141">
        <f t="shared" si="6"/>
        <v>0.20611511443524966</v>
      </c>
      <c r="K23" s="267" cm="1">
        <f t="array" ref="K23">InterpolateXYZ(J23,C23,B23,FFnorm_PS,FFnorm_M,FFnorm_h,FFnorm_table)*numeng</f>
        <v>824.97162322479801</v>
      </c>
      <c r="L23" s="11">
        <f t="shared" si="7"/>
        <v>1.0899999999999999</v>
      </c>
      <c r="M23" s="277" cm="1">
        <f t="array" ref="M23">($D$5/G23)*(C23*Linterp($D$6,atmos_h,atmos_vela)/L23)</f>
        <v>2247.6674417798531</v>
      </c>
      <c r="N23" s="7">
        <f t="shared" si="8"/>
        <v>10.303384699189612</v>
      </c>
      <c r="O23" s="324">
        <f t="shared" si="9"/>
        <v>0.26443146373880627</v>
      </c>
      <c r="P23" s="12"/>
    </row>
    <row r="24" spans="2:16">
      <c r="B24" s="120">
        <f t="shared" si="10"/>
        <v>0</v>
      </c>
      <c r="C24" s="7">
        <v>0.34</v>
      </c>
      <c r="D24" s="7">
        <f t="shared" si="0"/>
        <v>379.59299986939737</v>
      </c>
      <c r="E24" s="11">
        <f t="shared" si="1"/>
        <v>0.29198014323972671</v>
      </c>
      <c r="F24" s="19">
        <f t="shared" si="2"/>
        <v>2.6268758952482919E-2</v>
      </c>
      <c r="G24" s="16">
        <f t="shared" si="3"/>
        <v>764.72478100258979</v>
      </c>
      <c r="H24" s="12">
        <f t="shared" si="4"/>
        <v>3676</v>
      </c>
      <c r="I24" s="12">
        <f t="shared" si="5"/>
        <v>4006.84</v>
      </c>
      <c r="J24" s="141">
        <f t="shared" si="6"/>
        <v>0.20803176849907232</v>
      </c>
      <c r="K24" s="267" cm="1">
        <f t="array" ref="K24">InterpolateXYZ(J24,C24,B24,FFnorm_PS,FFnorm_M,FFnorm_h,FFnorm_table)*numeng</f>
        <v>833.550011292823</v>
      </c>
      <c r="L24" s="11">
        <f t="shared" si="7"/>
        <v>1.0900000000000001</v>
      </c>
      <c r="M24" s="277" cm="1">
        <f t="array" ref="M24">($D$5/G24)*(C24*Linterp($D$6,atmos_h,atmos_vela)/L24)</f>
        <v>2291.9459964036414</v>
      </c>
      <c r="N24" s="7">
        <f t="shared" si="8"/>
        <v>10.197348551188469</v>
      </c>
      <c r="O24" s="324">
        <f t="shared" si="9"/>
        <v>0.26964070545925195</v>
      </c>
      <c r="P24" s="12"/>
    </row>
    <row r="25" spans="2:16">
      <c r="B25" s="120">
        <f t="shared" si="10"/>
        <v>0</v>
      </c>
      <c r="C25" s="7">
        <v>0.35</v>
      </c>
      <c r="D25" s="7">
        <f t="shared" si="0"/>
        <v>390.75749986555604</v>
      </c>
      <c r="E25" s="11">
        <f t="shared" si="1"/>
        <v>0.27553391476336664</v>
      </c>
      <c r="F25" s="19">
        <f t="shared" si="2"/>
        <v>2.5220869672710415E-2</v>
      </c>
      <c r="G25" s="16">
        <f t="shared" si="3"/>
        <v>778.04357551464966</v>
      </c>
      <c r="H25" s="12">
        <f t="shared" si="4"/>
        <v>3680</v>
      </c>
      <c r="I25" s="12">
        <f t="shared" si="5"/>
        <v>4011.2</v>
      </c>
      <c r="J25" s="141">
        <f t="shared" si="6"/>
        <v>0.21142488465072001</v>
      </c>
      <c r="K25" s="267" cm="1">
        <f t="array" ref="K25">InterpolateXYZ(J25,C25,B25,FFnorm_PS,FFnorm_M,FFnorm_h,FFnorm_table)*numeng</f>
        <v>848.06749731096806</v>
      </c>
      <c r="L25" s="11">
        <f t="shared" si="7"/>
        <v>1.0899999999999999</v>
      </c>
      <c r="M25" s="277" cm="1">
        <f t="array" ref="M25">($D$5/G25)*(C25*Linterp($D$6,atmos_h,atmos_vela)/L25)</f>
        <v>2318.9679721139123</v>
      </c>
      <c r="N25" s="7">
        <f t="shared" si="8"/>
        <v>10.02278713304259</v>
      </c>
      <c r="O25" s="324">
        <f t="shared" si="9"/>
        <v>0.27281976142516617</v>
      </c>
      <c r="P25" s="12"/>
    </row>
    <row r="26" spans="2:16">
      <c r="B26" s="120">
        <f t="shared" si="10"/>
        <v>0</v>
      </c>
      <c r="C26" s="7">
        <v>0.36</v>
      </c>
      <c r="D26" s="7">
        <f t="shared" si="0"/>
        <v>401.92199986171482</v>
      </c>
      <c r="E26" s="11">
        <f t="shared" si="1"/>
        <v>0.26043907838358349</v>
      </c>
      <c r="F26" s="19">
        <f t="shared" si="2"/>
        <v>2.4257442398973969E-2</v>
      </c>
      <c r="G26" s="16">
        <f t="shared" si="3"/>
        <v>791.69478586311732</v>
      </c>
      <c r="H26" s="12">
        <f t="shared" si="4"/>
        <v>3684</v>
      </c>
      <c r="I26" s="12">
        <f t="shared" si="5"/>
        <v>4015.56</v>
      </c>
      <c r="J26" s="141">
        <f t="shared" si="6"/>
        <v>0.21490086478369091</v>
      </c>
      <c r="K26" s="267" cm="1">
        <f t="array" ref="K26">InterpolateXYZ(J26,C26,B26,FFnorm_PS,FFnorm_M,FFnorm_h,FFnorm_table)*numeng</f>
        <v>862.94731659079798</v>
      </c>
      <c r="L26" s="11">
        <f t="shared" si="7"/>
        <v>1.0900000000000001</v>
      </c>
      <c r="M26" s="277" cm="1">
        <f t="array" ref="M26">($D$5/G26)*(C26*Linterp($D$6,atmos_h,atmos_vela)/L26)</f>
        <v>2344.0957273226986</v>
      </c>
      <c r="N26" s="7">
        <f t="shared" si="8"/>
        <v>9.8499639973162179</v>
      </c>
      <c r="O26" s="324">
        <f t="shared" si="9"/>
        <v>0.2757759679203175</v>
      </c>
      <c r="P26" s="12"/>
    </row>
    <row r="27" spans="2:16">
      <c r="B27" s="120">
        <f t="shared" si="10"/>
        <v>0</v>
      </c>
      <c r="C27" s="7">
        <v>0.37</v>
      </c>
      <c r="D27" s="7">
        <f t="shared" si="0"/>
        <v>413.08649985787355</v>
      </c>
      <c r="E27" s="11">
        <f t="shared" si="1"/>
        <v>0.24655153074150779</v>
      </c>
      <c r="F27" s="19">
        <f t="shared" si="2"/>
        <v>2.336947067134424E-2</v>
      </c>
      <c r="G27" s="16">
        <f t="shared" si="3"/>
        <v>805.67539008584311</v>
      </c>
      <c r="H27" s="12">
        <f t="shared" si="4"/>
        <v>3688</v>
      </c>
      <c r="I27" s="12">
        <f t="shared" si="5"/>
        <v>4019.92</v>
      </c>
      <c r="J27" s="141">
        <f t="shared" si="6"/>
        <v>0.2184586198714325</v>
      </c>
      <c r="K27" s="267" cm="1">
        <f t="array" ref="K27">InterpolateXYZ(J27,C27,B27,FFnorm_PS,FFnorm_M,FFnorm_h,FFnorm_table)*numeng</f>
        <v>878.18617519356894</v>
      </c>
      <c r="L27" s="11">
        <f t="shared" si="7"/>
        <v>1.0899999999999999</v>
      </c>
      <c r="M27" s="277" cm="1">
        <f t="array" ref="M27">($D$5/G27)*(C27*Linterp($D$6,atmos_h,atmos_vela)/L27)</f>
        <v>2367.4033248553055</v>
      </c>
      <c r="N27" s="7">
        <f t="shared" si="8"/>
        <v>9.6790410053158027</v>
      </c>
      <c r="O27" s="324">
        <f t="shared" si="9"/>
        <v>0.27851803821827126</v>
      </c>
      <c r="P27" s="12"/>
    </row>
    <row r="28" spans="2:16">
      <c r="B28" s="120">
        <f t="shared" si="10"/>
        <v>0</v>
      </c>
      <c r="C28" s="7">
        <v>0.38</v>
      </c>
      <c r="D28" s="7">
        <f t="shared" si="0"/>
        <v>424.25099985403233</v>
      </c>
      <c r="E28" s="11">
        <f t="shared" si="1"/>
        <v>0.23374587644399178</v>
      </c>
      <c r="F28" s="19">
        <f t="shared" si="2"/>
        <v>2.2549117277749484E-2</v>
      </c>
      <c r="G28" s="16">
        <f t="shared" si="3"/>
        <v>819.98236622067782</v>
      </c>
      <c r="H28" s="12">
        <f t="shared" si="4"/>
        <v>3692</v>
      </c>
      <c r="I28" s="12">
        <f t="shared" si="5"/>
        <v>4024.28</v>
      </c>
      <c r="J28" s="141">
        <f t="shared" si="6"/>
        <v>0.22209706560690082</v>
      </c>
      <c r="K28" s="267" cm="1">
        <f t="array" ref="K28">InterpolateXYZ(J28,C28,B28,FFnorm_PS,FFnorm_M,FFnorm_h,FFnorm_table)*numeng</f>
        <v>893.78077918053896</v>
      </c>
      <c r="L28" s="11">
        <f t="shared" si="7"/>
        <v>1.0900000000000001</v>
      </c>
      <c r="M28" s="277" cm="1">
        <f t="array" ref="M28">($D$5/G28)*(C28*Linterp($D$6,atmos_h,atmos_vela)/L28)</f>
        <v>2388.9645805798409</v>
      </c>
      <c r="N28" s="7">
        <f t="shared" si="8"/>
        <v>9.5101619972105542</v>
      </c>
      <c r="O28" s="324">
        <f t="shared" si="9"/>
        <v>0.28105465653880479</v>
      </c>
      <c r="P28" s="12"/>
    </row>
    <row r="29" spans="2:16">
      <c r="B29" s="120">
        <f t="shared" si="10"/>
        <v>0</v>
      </c>
      <c r="C29" s="7">
        <v>0.39</v>
      </c>
      <c r="D29" s="7">
        <f t="shared" si="0"/>
        <v>435.41549985019105</v>
      </c>
      <c r="E29" s="11">
        <f t="shared" si="1"/>
        <v>0.22191258749843795</v>
      </c>
      <c r="F29" s="19">
        <f t="shared" si="2"/>
        <v>2.1789536718652372E-2</v>
      </c>
      <c r="G29" s="16">
        <f t="shared" si="3"/>
        <v>834.61269230547305</v>
      </c>
      <c r="H29" s="12">
        <f t="shared" si="4"/>
        <v>3696</v>
      </c>
      <c r="I29" s="12">
        <f t="shared" si="5"/>
        <v>4028.6400000000003</v>
      </c>
      <c r="J29" s="141">
        <f t="shared" si="6"/>
        <v>0.22581512237702192</v>
      </c>
      <c r="K29" s="267" cm="1">
        <f t="array" ref="K29">InterpolateXYZ(J29,C29,B29,FFnorm_PS,FFnorm_M,FFnorm_h,FFnorm_table)*numeng</f>
        <v>909.72783461296569</v>
      </c>
      <c r="L29" s="11">
        <f t="shared" si="7"/>
        <v>1.0900000000000001</v>
      </c>
      <c r="M29" s="277" cm="1">
        <f t="array" ref="M29">($D$5/G29)*(C29*Linterp($D$6,atmos_h,atmos_vela)/L29)</f>
        <v>2408.8527295285071</v>
      </c>
      <c r="N29" s="7">
        <f t="shared" si="8"/>
        <v>9.3434538073865099</v>
      </c>
      <c r="O29" s="324">
        <f t="shared" si="9"/>
        <v>0.28339443876805964</v>
      </c>
      <c r="P29" s="12"/>
    </row>
    <row r="30" spans="2:16">
      <c r="B30" s="120">
        <f t="shared" si="10"/>
        <v>0</v>
      </c>
      <c r="C30" s="7">
        <v>0.4</v>
      </c>
      <c r="D30" s="7">
        <f t="shared" si="0"/>
        <v>446.57999984634984</v>
      </c>
      <c r="E30" s="11">
        <f t="shared" si="1"/>
        <v>0.21095565349070255</v>
      </c>
      <c r="F30" s="19">
        <f t="shared" si="2"/>
        <v>2.108472834316891E-2</v>
      </c>
      <c r="G30" s="16">
        <f t="shared" si="3"/>
        <v>849.56334637807902</v>
      </c>
      <c r="H30" s="12">
        <f t="shared" si="4"/>
        <v>3700</v>
      </c>
      <c r="I30" s="12">
        <f t="shared" si="5"/>
        <v>4033.0000000000005</v>
      </c>
      <c r="J30" s="141">
        <f t="shared" si="6"/>
        <v>0.22961171523731866</v>
      </c>
      <c r="K30" s="267" cm="1">
        <f t="array" ref="K30">InterpolateXYZ(J30,C30,B30,FFnorm_PS,FFnorm_M,FFnorm_h,FFnorm_table)*numeng</f>
        <v>926.02404755210625</v>
      </c>
      <c r="L30" s="11">
        <f t="shared" si="7"/>
        <v>1.0900000000000001</v>
      </c>
      <c r="M30" s="277" cm="1">
        <f t="array" ref="M30">($D$5/G30)*(C30*Linterp($D$6,atmos_h,atmos_vela)/L30)</f>
        <v>2427.140133938231</v>
      </c>
      <c r="N30" s="7">
        <f t="shared" si="8"/>
        <v>9.1790272860292177</v>
      </c>
      <c r="O30" s="324">
        <f t="shared" si="9"/>
        <v>0.28554589811038011</v>
      </c>
      <c r="P30" s="12"/>
    </row>
    <row r="31" spans="2:16">
      <c r="B31" s="120">
        <f t="shared" si="10"/>
        <v>0</v>
      </c>
      <c r="C31" s="7">
        <v>0.41</v>
      </c>
      <c r="D31" s="7">
        <f t="shared" si="0"/>
        <v>457.7444998425085</v>
      </c>
      <c r="E31" s="11">
        <f t="shared" si="1"/>
        <v>0.20079062795069849</v>
      </c>
      <c r="F31" s="19">
        <f t="shared" si="2"/>
        <v>2.0429414246918659E-2</v>
      </c>
      <c r="G31" s="16">
        <f t="shared" si="3"/>
        <v>864.83130647634653</v>
      </c>
      <c r="H31" s="12">
        <f t="shared" si="4"/>
        <v>3704</v>
      </c>
      <c r="I31" s="12">
        <f t="shared" si="5"/>
        <v>4037.3600000000006</v>
      </c>
      <c r="J31" s="141">
        <f t="shared" si="6"/>
        <v>0.23348577388670264</v>
      </c>
      <c r="K31" s="267" cm="1">
        <f t="array" ref="K31">InterpolateXYZ(J31,C31,B31,FFnorm_PS,FFnorm_M,FFnorm_h,FFnorm_table)*numeng</f>
        <v>942.66612405921785</v>
      </c>
      <c r="L31" s="11">
        <f t="shared" si="7"/>
        <v>1.0900000000000001</v>
      </c>
      <c r="M31" s="277" cm="1">
        <f t="array" ref="M31">($D$5/G31)*(C31*Linterp($D$6,atmos_h,atmos_vela)/L31)</f>
        <v>2443.8980305725518</v>
      </c>
      <c r="N31" s="7">
        <f t="shared" si="8"/>
        <v>9.0169783161381911</v>
      </c>
      <c r="O31" s="324">
        <f t="shared" si="9"/>
        <v>0.28751741536147668</v>
      </c>
      <c r="P31" s="12"/>
    </row>
    <row r="32" spans="2:16">
      <c r="B32" s="120">
        <f t="shared" si="10"/>
        <v>0</v>
      </c>
      <c r="C32" s="7">
        <v>0.42</v>
      </c>
      <c r="D32" s="7">
        <f t="shared" si="0"/>
        <v>468.90899983866728</v>
      </c>
      <c r="E32" s="11">
        <f t="shared" si="1"/>
        <v>0.19134299636344906</v>
      </c>
      <c r="F32" s="19">
        <f t="shared" si="2"/>
        <v>2.0035362363629343E-2</v>
      </c>
      <c r="G32" s="16">
        <f t="shared" si="3"/>
        <v>890.02776860131132</v>
      </c>
      <c r="H32" s="12">
        <f t="shared" si="4"/>
        <v>3708</v>
      </c>
      <c r="I32" s="12">
        <f t="shared" si="5"/>
        <v>4041.7200000000003</v>
      </c>
      <c r="J32" s="141">
        <f t="shared" si="6"/>
        <v>0.24002906380833638</v>
      </c>
      <c r="K32" s="267" cm="1">
        <f t="array" ref="K32">InterpolateXYZ(J32,C32,B32,FFnorm_PS,FFnorm_M,FFnorm_h,FFnorm_table)*numeng</f>
        <v>970.1302677754295</v>
      </c>
      <c r="L32" s="11">
        <f t="shared" si="7"/>
        <v>1.0900000000000001</v>
      </c>
      <c r="M32" s="277" cm="1">
        <f t="array" ref="M32">($D$5/G32)*(C32*Linterp($D$6,atmos_h,atmos_vela)/L32)</f>
        <v>2432.6316946666188</v>
      </c>
      <c r="N32" s="7">
        <f t="shared" si="8"/>
        <v>8.7617099294211709</v>
      </c>
      <c r="O32" s="324">
        <f t="shared" si="9"/>
        <v>0.28619196407842573</v>
      </c>
      <c r="P32" s="12"/>
    </row>
    <row r="33" spans="2:16">
      <c r="B33" s="120">
        <f t="shared" si="10"/>
        <v>0</v>
      </c>
      <c r="C33" s="7">
        <v>0.43</v>
      </c>
      <c r="D33" s="7">
        <f t="shared" si="0"/>
        <v>480.07349983482601</v>
      </c>
      <c r="E33" s="11">
        <f t="shared" si="1"/>
        <v>0.18254680669828241</v>
      </c>
      <c r="F33" s="19">
        <f t="shared" si="2"/>
        <v>1.9685505251185592E-2</v>
      </c>
      <c r="G33" s="16">
        <f t="shared" si="3"/>
        <v>916.62405747605953</v>
      </c>
      <c r="H33" s="12">
        <f t="shared" si="4"/>
        <v>3712</v>
      </c>
      <c r="I33" s="12">
        <f t="shared" si="5"/>
        <v>4046.0800000000004</v>
      </c>
      <c r="J33" s="141">
        <f t="shared" si="6"/>
        <v>0.24693536031143845</v>
      </c>
      <c r="K33" s="267" cm="1">
        <f t="array" ref="K33">InterpolateXYZ(J33,C33,B33,FFnorm_PS,FFnorm_M,FFnorm_h,FFnorm_table)*numeng</f>
        <v>999.12022264890504</v>
      </c>
      <c r="L33" s="11">
        <f t="shared" si="7"/>
        <v>1.0900000000000001</v>
      </c>
      <c r="M33" s="277" cm="1">
        <f t="array" ref="M33">($D$5/G33)*(C33*Linterp($D$6,atmos_h,atmos_vela)/L33)</f>
        <v>2418.2869446984596</v>
      </c>
      <c r="N33" s="7">
        <f t="shared" si="8"/>
        <v>8.5074846923471146</v>
      </c>
      <c r="O33" s="324">
        <f t="shared" si="9"/>
        <v>0.28450434643511291</v>
      </c>
      <c r="P33" s="12"/>
    </row>
    <row r="34" spans="2:16">
      <c r="B34" s="120">
        <f t="shared" si="10"/>
        <v>0</v>
      </c>
      <c r="C34" s="7">
        <v>0.44</v>
      </c>
      <c r="D34" s="7">
        <f t="shared" si="0"/>
        <v>491.23799983098479</v>
      </c>
      <c r="E34" s="11">
        <f t="shared" si="1"/>
        <v>0.17434351528157238</v>
      </c>
      <c r="F34" s="19">
        <f t="shared" si="2"/>
        <v>1.9357881823058965E-2</v>
      </c>
      <c r="G34" s="16">
        <f t="shared" si="3"/>
        <v>943.78041666911849</v>
      </c>
      <c r="H34" s="12">
        <f t="shared" si="4"/>
        <v>3716</v>
      </c>
      <c r="I34" s="12">
        <f t="shared" si="5"/>
        <v>4050.44</v>
      </c>
      <c r="J34" s="141">
        <f t="shared" si="6"/>
        <v>0.25397750717683493</v>
      </c>
      <c r="K34" s="267" cm="1">
        <f t="array" ref="K34">InterpolateXYZ(J34,C34,B34,FFnorm_PS,FFnorm_M,FFnorm_h,FFnorm_table)*numeng</f>
        <v>1028.7206541693392</v>
      </c>
      <c r="L34" s="11">
        <f t="shared" si="7"/>
        <v>1.0900000000000001</v>
      </c>
      <c r="M34" s="277" cm="1">
        <f t="array" ref="M34">($D$5/G34)*(C34*Linterp($D$6,atmos_h,atmos_vela)/L34)</f>
        <v>2403.3241034540647</v>
      </c>
      <c r="N34" s="7">
        <f t="shared" si="8"/>
        <v>8.2626901341487038</v>
      </c>
      <c r="O34" s="324">
        <f t="shared" si="9"/>
        <v>0.28274401217106643</v>
      </c>
      <c r="P34" s="12"/>
    </row>
    <row r="35" spans="2:16">
      <c r="B35" s="120">
        <f t="shared" si="10"/>
        <v>0</v>
      </c>
      <c r="C35" s="7">
        <v>0.45</v>
      </c>
      <c r="D35" s="7">
        <f t="shared" si="0"/>
        <v>502.40249982714352</v>
      </c>
      <c r="E35" s="11">
        <f t="shared" si="1"/>
        <v>0.16668101016549339</v>
      </c>
      <c r="F35" s="19">
        <f t="shared" si="2"/>
        <v>1.9050537881206003E-2</v>
      </c>
      <c r="G35" s="16">
        <f t="shared" si="3"/>
        <v>971.49382421833911</v>
      </c>
      <c r="H35" s="12">
        <f t="shared" si="4"/>
        <v>3720</v>
      </c>
      <c r="I35" s="12">
        <f t="shared" si="5"/>
        <v>4054.8</v>
      </c>
      <c r="J35" s="141">
        <f t="shared" si="6"/>
        <v>0.2611542538221342</v>
      </c>
      <c r="K35" s="267" cm="1">
        <f t="array" ref="K35">InterpolateXYZ(J35,C35,B35,FFnorm_PS,FFnorm_M,FFnorm_h,FFnorm_table)*numeng</f>
        <v>1058.9282683979898</v>
      </c>
      <c r="L35" s="11">
        <f t="shared" si="7"/>
        <v>1.0900000000000001</v>
      </c>
      <c r="M35" s="277" cm="1">
        <f t="array" ref="M35">($D$5/G35)*(C35*Linterp($D$6,atmos_h,atmos_vela)/L35)</f>
        <v>2387.8283096376986</v>
      </c>
      <c r="N35" s="7">
        <f t="shared" si="8"/>
        <v>8.0269837473120909</v>
      </c>
      <c r="O35" s="324">
        <f t="shared" si="9"/>
        <v>0.28092097760443513</v>
      </c>
      <c r="P35" s="12"/>
    </row>
    <row r="36" spans="2:16">
      <c r="B36" s="120">
        <f t="shared" si="10"/>
        <v>0</v>
      </c>
      <c r="C36" s="7">
        <v>0.46</v>
      </c>
      <c r="D36" s="7">
        <f t="shared" si="0"/>
        <v>513.56699982330224</v>
      </c>
      <c r="E36" s="11">
        <f t="shared" si="1"/>
        <v>0.15951278146744996</v>
      </c>
      <c r="F36" s="19">
        <f t="shared" si="2"/>
        <v>1.8761729305029375E-2</v>
      </c>
      <c r="G36" s="16">
        <f t="shared" si="3"/>
        <v>999.76125816157207</v>
      </c>
      <c r="H36" s="12">
        <f t="shared" si="4"/>
        <v>3724</v>
      </c>
      <c r="I36" s="12">
        <f t="shared" si="5"/>
        <v>4059.1600000000003</v>
      </c>
      <c r="J36" s="141">
        <f t="shared" si="6"/>
        <v>0.26846435503801613</v>
      </c>
      <c r="K36" s="267" cm="1">
        <f t="array" ref="K36">InterpolateXYZ(J36,C36,B36,FFnorm_PS,FFnorm_M,FFnorm_h,FFnorm_table)*numeng</f>
        <v>1089.7397713961136</v>
      </c>
      <c r="L36" s="11">
        <f t="shared" si="7"/>
        <v>1.0900000000000001</v>
      </c>
      <c r="M36" s="277" cm="1">
        <f t="array" ref="M36">($D$5/G36)*(C36*Linterp($D$6,atmos_h,atmos_vela)/L36)</f>
        <v>2371.8769547293646</v>
      </c>
      <c r="N36" s="7">
        <f t="shared" si="8"/>
        <v>7.8000273304793453</v>
      </c>
      <c r="O36" s="324">
        <f t="shared" si="9"/>
        <v>0.27904434761521935</v>
      </c>
      <c r="P36" s="12"/>
    </row>
    <row r="37" spans="2:16">
      <c r="B37" s="120">
        <f t="shared" si="10"/>
        <v>0</v>
      </c>
      <c r="C37" s="7">
        <v>0.47</v>
      </c>
      <c r="D37" s="7">
        <f t="shared" si="0"/>
        <v>524.73149981946096</v>
      </c>
      <c r="E37" s="11">
        <f t="shared" si="1"/>
        <v>0.15279721393622644</v>
      </c>
      <c r="F37" s="19">
        <f t="shared" si="2"/>
        <v>1.8489895522608494E-2</v>
      </c>
      <c r="G37" s="16">
        <f t="shared" si="3"/>
        <v>1028.5796965366685</v>
      </c>
      <c r="H37" s="12">
        <f t="shared" si="4"/>
        <v>3728</v>
      </c>
      <c r="I37" s="12">
        <f t="shared" si="5"/>
        <v>4063.52</v>
      </c>
      <c r="J37" s="141">
        <f t="shared" si="6"/>
        <v>0.27590657095940679</v>
      </c>
      <c r="K37" s="267" cm="1">
        <f t="array" ref="K37">InterpolateXYZ(J37,C37,B37,FFnorm_PS,FFnorm_M,FFnorm_h,FFnorm_table)*numeng</f>
        <v>1121.1518692249688</v>
      </c>
      <c r="L37" s="11">
        <f t="shared" si="7"/>
        <v>1.0900000000000001</v>
      </c>
      <c r="M37" s="277" cm="1">
        <f t="array" ref="M37">($D$5/G37)*(C37*Linterp($D$6,atmos_h,atmos_vela)/L37)</f>
        <v>2355.5402940390636</v>
      </c>
      <c r="N37" s="7">
        <f t="shared" si="8"/>
        <v>7.5814884970721144</v>
      </c>
      <c r="O37" s="324">
        <f t="shared" si="9"/>
        <v>0.27712238753400747</v>
      </c>
      <c r="P37" s="12"/>
    </row>
    <row r="38" spans="2:16">
      <c r="B38" s="120">
        <f t="shared" si="10"/>
        <v>0</v>
      </c>
      <c r="C38" s="7">
        <v>0.48</v>
      </c>
      <c r="D38" s="7">
        <f t="shared" si="0"/>
        <v>535.89599981561969</v>
      </c>
      <c r="E38" s="11">
        <f t="shared" si="1"/>
        <v>0.14649698159076568</v>
      </c>
      <c r="F38" s="19">
        <f t="shared" si="2"/>
        <v>1.8233636809653713E-2</v>
      </c>
      <c r="G38" s="16">
        <f t="shared" si="3"/>
        <v>1057.9461173814789</v>
      </c>
      <c r="H38" s="12">
        <f t="shared" si="4"/>
        <v>3732</v>
      </c>
      <c r="I38" s="12">
        <f t="shared" si="5"/>
        <v>4067.88</v>
      </c>
      <c r="J38" s="141">
        <f t="shared" si="6"/>
        <v>0.28347966703683786</v>
      </c>
      <c r="K38" s="267" cm="1">
        <f t="array" ref="K38">InterpolateXYZ(J38,C38,B38,FFnorm_PS,FFnorm_M,FFnorm_h,FFnorm_table)*numeng</f>
        <v>1153.1612679458121</v>
      </c>
      <c r="L38" s="11">
        <f t="shared" si="7"/>
        <v>1.0900000000000001</v>
      </c>
      <c r="M38" s="277" cm="1">
        <f t="array" ref="M38">($D$5/G38)*(C38*Linterp($D$6,atmos_h,atmos_vela)/L38)</f>
        <v>2338.8820210474755</v>
      </c>
      <c r="N38" s="7">
        <f t="shared" si="8"/>
        <v>7.3710418796336308</v>
      </c>
      <c r="O38" s="324">
        <f t="shared" si="9"/>
        <v>0.2751625907114677</v>
      </c>
      <c r="P38" s="12"/>
    </row>
    <row r="39" spans="2:16">
      <c r="B39" s="120">
        <f t="shared" si="10"/>
        <v>0</v>
      </c>
      <c r="C39" s="7">
        <v>0.49</v>
      </c>
      <c r="D39" s="7">
        <f t="shared" si="0"/>
        <v>547.06049981177853</v>
      </c>
      <c r="E39" s="11">
        <f t="shared" si="1"/>
        <v>0.14057852794049319</v>
      </c>
      <c r="F39" s="19">
        <f t="shared" si="2"/>
        <v>1.7991694797768493E-2</v>
      </c>
      <c r="G39" s="16">
        <f t="shared" si="3"/>
        <v>1087.8574987338545</v>
      </c>
      <c r="H39" s="12">
        <f t="shared" si="4"/>
        <v>3736</v>
      </c>
      <c r="I39" s="12">
        <f t="shared" si="5"/>
        <v>4072.24</v>
      </c>
      <c r="J39" s="141">
        <f t="shared" si="6"/>
        <v>0.29118241400799105</v>
      </c>
      <c r="K39" s="267" cm="1">
        <f t="array" ref="K39">InterpolateXYZ(J39,C39,B39,FFnorm_PS,FFnorm_M,FFnorm_h,FFnorm_table)*numeng</f>
        <v>1185.7646736199015</v>
      </c>
      <c r="L39" s="11">
        <f t="shared" si="7"/>
        <v>1.0900000000000001</v>
      </c>
      <c r="M39" s="277" cm="1">
        <f t="array" ref="M39">($D$5/G39)*(C39*Linterp($D$6,atmos_h,atmos_vela)/L39)</f>
        <v>2321.9598049178217</v>
      </c>
      <c r="N39" s="7">
        <f t="shared" si="8"/>
        <v>7.1683700730020963</v>
      </c>
      <c r="O39" s="324">
        <f t="shared" si="9"/>
        <v>0.27317174175503783</v>
      </c>
      <c r="P39" s="12"/>
    </row>
    <row r="40" spans="2:16">
      <c r="B40" s="120">
        <f t="shared" si="10"/>
        <v>0</v>
      </c>
      <c r="C40" s="7">
        <v>0.5</v>
      </c>
      <c r="D40" s="7">
        <f t="shared" si="0"/>
        <v>558.22499980793725</v>
      </c>
      <c r="E40" s="11">
        <f t="shared" si="1"/>
        <v>0.13501161823404967</v>
      </c>
      <c r="F40" s="19">
        <f t="shared" si="2"/>
        <v>1.7762935683776862E-2</v>
      </c>
      <c r="G40" s="16">
        <f t="shared" si="3"/>
        <v>1118.310818631646</v>
      </c>
      <c r="H40" s="12">
        <f t="shared" si="4"/>
        <v>3740</v>
      </c>
      <c r="I40" s="12">
        <f t="shared" si="5"/>
        <v>4076.6</v>
      </c>
      <c r="J40" s="141">
        <f t="shared" si="6"/>
        <v>0.29901358786942406</v>
      </c>
      <c r="K40" s="267" cm="1">
        <f t="array" ref="K40">InterpolateXYZ(J40,C40,B40,FFnorm_PS,FFnorm_M,FFnorm_h,FFnorm_table)*numeng</f>
        <v>1218.9587923084941</v>
      </c>
      <c r="L40" s="11">
        <f t="shared" si="7"/>
        <v>1.0899999999999999</v>
      </c>
      <c r="M40" s="277" cm="1">
        <f t="array" ref="M40">($D$5/G40)*(C40*Linterp($D$6,atmos_h,atmos_vela)/L40)</f>
        <v>2304.825791679451</v>
      </c>
      <c r="N40" s="7">
        <f t="shared" si="8"/>
        <v>6.9731643543933854</v>
      </c>
      <c r="O40" s="324">
        <f t="shared" si="9"/>
        <v>0.27115597549170012</v>
      </c>
      <c r="P40" s="12"/>
    </row>
    <row r="41" spans="2:16">
      <c r="B41" s="120">
        <f t="shared" si="10"/>
        <v>0</v>
      </c>
      <c r="C41" s="7">
        <v>0.51</v>
      </c>
      <c r="D41" s="7">
        <f t="shared" si="0"/>
        <v>569.38949980409598</v>
      </c>
      <c r="E41" s="11">
        <f t="shared" si="1"/>
        <v>0.12976895255098966</v>
      </c>
      <c r="F41" s="19">
        <f t="shared" si="2"/>
        <v>1.7546335720662113E-2</v>
      </c>
      <c r="G41" s="16">
        <f t="shared" si="3"/>
        <v>1149.3030551127042</v>
      </c>
      <c r="H41" s="12">
        <f t="shared" si="4"/>
        <v>3744</v>
      </c>
      <c r="I41" s="12">
        <f t="shared" si="5"/>
        <v>4080.96</v>
      </c>
      <c r="J41" s="141">
        <f t="shared" si="6"/>
        <v>0.30697196984847869</v>
      </c>
      <c r="K41" s="267" cm="1">
        <f t="array" ref="K41">InterpolateXYZ(J41,C41,B41,FFnorm_PS,FFnorm_M,FFnorm_h,FFnorm_table)*numeng</f>
        <v>1252.7403300728477</v>
      </c>
      <c r="L41" s="11">
        <f t="shared" si="7"/>
        <v>1.0900000000000001</v>
      </c>
      <c r="M41" s="277" cm="1">
        <f t="array" ref="M41">($D$5/G41)*(C41*Linterp($D$6,atmos_h,atmos_vela)/L41)</f>
        <v>2287.5270700437595</v>
      </c>
      <c r="N41" s="7">
        <f t="shared" si="8"/>
        <v>6.7851252138627318</v>
      </c>
      <c r="O41" s="324">
        <f t="shared" si="9"/>
        <v>0.26912083176985407</v>
      </c>
      <c r="P41" s="12"/>
    </row>
    <row r="42" spans="2:16">
      <c r="B42" s="120">
        <f t="shared" si="10"/>
        <v>0</v>
      </c>
      <c r="C42" s="7">
        <v>0.52</v>
      </c>
      <c r="D42" s="7">
        <f t="shared" si="0"/>
        <v>580.55399980025481</v>
      </c>
      <c r="E42" s="11">
        <f t="shared" si="1"/>
        <v>0.12482583046787134</v>
      </c>
      <c r="F42" s="19">
        <f t="shared" si="2"/>
        <v>1.7340968642545175E-2</v>
      </c>
      <c r="G42" s="16">
        <f t="shared" si="3"/>
        <v>1180.8311862148796</v>
      </c>
      <c r="H42" s="12">
        <f t="shared" si="4"/>
        <v>3748</v>
      </c>
      <c r="I42" s="12">
        <f t="shared" si="5"/>
        <v>4085.32</v>
      </c>
      <c r="J42" s="141">
        <f t="shared" si="6"/>
        <v>0.31505634637536811</v>
      </c>
      <c r="K42" s="267" cm="1">
        <f t="array" ref="K42">InterpolateXYZ(J42,C42,B42,FFnorm_PS,FFnorm_M,FFnorm_h,FFnorm_table)*numeng</f>
        <v>1287.1059929742189</v>
      </c>
      <c r="L42" s="11">
        <f t="shared" si="7"/>
        <v>1.0900000000000001</v>
      </c>
      <c r="M42" s="277" cm="1">
        <f t="array" ref="M42">($D$5/G42)*(C42*Linterp($D$6,atmos_h,atmos_vela)/L42)</f>
        <v>2270.1061031465961</v>
      </c>
      <c r="N42" s="7">
        <f t="shared" si="8"/>
        <v>6.6039627244360579</v>
      </c>
      <c r="O42" s="324">
        <f t="shared" si="9"/>
        <v>0.26707130625254072</v>
      </c>
      <c r="P42" s="12"/>
    </row>
    <row r="43" spans="2:16">
      <c r="B43" s="120">
        <f t="shared" si="10"/>
        <v>0</v>
      </c>
      <c r="C43" s="7">
        <v>0.53</v>
      </c>
      <c r="D43" s="7">
        <f t="shared" si="0"/>
        <v>591.71849979641354</v>
      </c>
      <c r="E43" s="11">
        <f t="shared" si="1"/>
        <v>0.12015985958886581</v>
      </c>
      <c r="F43" s="19">
        <f t="shared" si="2"/>
        <v>1.7145994734582466E-2</v>
      </c>
      <c r="G43" s="16">
        <f t="shared" si="3"/>
        <v>1212.8921899760235</v>
      </c>
      <c r="H43" s="12">
        <f t="shared" si="4"/>
        <v>3752</v>
      </c>
      <c r="I43" s="12">
        <f t="shared" si="5"/>
        <v>4089.6800000000003</v>
      </c>
      <c r="J43" s="141">
        <f t="shared" si="6"/>
        <v>0.32326550905544338</v>
      </c>
      <c r="K43" s="267" cm="1">
        <f t="array" ref="K43">InterpolateXYZ(J43,C43,B43,FFnorm_PS,FFnorm_M,FFnorm_h,FFnorm_table)*numeng</f>
        <v>1322.0524870738657</v>
      </c>
      <c r="L43" s="11">
        <f t="shared" si="7"/>
        <v>1.0900000000000001</v>
      </c>
      <c r="M43" s="277" cm="1">
        <f t="array" ref="M43">($D$5/G43)*(C43*Linterp($D$6,atmos_h,atmos_vela)/L43)</f>
        <v>2252.6011277425823</v>
      </c>
      <c r="N43" s="7">
        <f t="shared" si="8"/>
        <v>6.4293967774405676</v>
      </c>
      <c r="O43" s="324">
        <f t="shared" si="9"/>
        <v>0.26501189738148029</v>
      </c>
      <c r="P43" s="12"/>
    </row>
    <row r="44" spans="2:16">
      <c r="B44" s="120">
        <f t="shared" si="10"/>
        <v>0</v>
      </c>
      <c r="C44" s="7">
        <v>0.54</v>
      </c>
      <c r="D44" s="7">
        <f t="shared" si="0"/>
        <v>602.88299979257226</v>
      </c>
      <c r="E44" s="11">
        <f t="shared" si="1"/>
        <v>0.11575070150381486</v>
      </c>
      <c r="F44" s="19">
        <f t="shared" si="2"/>
        <v>1.6960651306393057E-2</v>
      </c>
      <c r="G44" s="16">
        <f t="shared" si="3"/>
        <v>1245.4830444339868</v>
      </c>
      <c r="H44" s="12">
        <f t="shared" si="4"/>
        <v>3756</v>
      </c>
      <c r="I44" s="12">
        <f t="shared" si="5"/>
        <v>4094.0400000000004</v>
      </c>
      <c r="J44" s="141">
        <f t="shared" si="6"/>
        <v>0.33159825464163656</v>
      </c>
      <c r="K44" s="267" cm="1">
        <f t="array" ref="K44">InterpolateXYZ(J44,C44,B44,FFnorm_PS,FFnorm_M,FFnorm_h,FFnorm_table)*numeng</f>
        <v>1357.576518433046</v>
      </c>
      <c r="L44" s="11">
        <f t="shared" si="7"/>
        <v>1.0900000000000003</v>
      </c>
      <c r="M44" s="277" cm="1">
        <f t="array" ref="M44">($D$5/G44)*(C44*Linterp($D$6,atmos_h,atmos_vela)/L44)</f>
        <v>2235.0465225266507</v>
      </c>
      <c r="N44" s="7">
        <f t="shared" si="8"/>
        <v>6.2611572052019175</v>
      </c>
      <c r="O44" s="324">
        <f t="shared" si="9"/>
        <v>0.26294664970901771</v>
      </c>
      <c r="P44" s="12"/>
    </row>
    <row r="45" spans="2:16">
      <c r="B45" s="120">
        <f t="shared" si="10"/>
        <v>0</v>
      </c>
      <c r="C45" s="7">
        <v>0.55000000000000004</v>
      </c>
      <c r="D45" s="7">
        <f t="shared" si="0"/>
        <v>614.04749978873099</v>
      </c>
      <c r="E45" s="11">
        <f t="shared" si="1"/>
        <v>0.11157984978020631</v>
      </c>
      <c r="F45" s="19">
        <f t="shared" si="2"/>
        <v>1.6784244366757736E-2</v>
      </c>
      <c r="G45" s="16">
        <f t="shared" si="3"/>
        <v>1278.60072762662</v>
      </c>
      <c r="H45" s="12">
        <f t="shared" si="4"/>
        <v>3760</v>
      </c>
      <c r="I45" s="12">
        <f t="shared" si="5"/>
        <v>4098.4000000000005</v>
      </c>
      <c r="J45" s="141">
        <f t="shared" si="6"/>
        <v>0.34005338500707977</v>
      </c>
      <c r="K45" s="267" cm="1">
        <f t="array" ref="K45">InterpolateXYZ(J45,C45,B45,FFnorm_PS,FFnorm_M,FFnorm_h,FFnorm_table)*numeng</f>
        <v>1393.674793113016</v>
      </c>
      <c r="L45" s="11">
        <f t="shared" si="7"/>
        <v>1.0900000000000001</v>
      </c>
      <c r="M45" s="277" cm="1">
        <f t="array" ref="M45">($D$5/G45)*(C45*Linterp($D$6,atmos_h,atmos_vela)/L45)</f>
        <v>2217.4731473435982</v>
      </c>
      <c r="N45" s="7">
        <f t="shared" si="8"/>
        <v>6.0989838102860183</v>
      </c>
      <c r="O45" s="324">
        <f t="shared" si="9"/>
        <v>0.26087919380512919</v>
      </c>
      <c r="P45" s="12"/>
    </row>
    <row r="46" spans="2:16">
      <c r="B46" s="120">
        <f t="shared" si="10"/>
        <v>0</v>
      </c>
      <c r="C46" s="7">
        <v>0.56000000000000005</v>
      </c>
      <c r="D46" s="7">
        <f t="shared" si="0"/>
        <v>625.21199978488983</v>
      </c>
      <c r="E46" s="11">
        <f t="shared" si="1"/>
        <v>0.10763043545444008</v>
      </c>
      <c r="F46" s="19">
        <f t="shared" si="2"/>
        <v>1.6616141329541503E-2</v>
      </c>
      <c r="G46" s="16">
        <f t="shared" si="3"/>
        <v>1312.2422175917743</v>
      </c>
      <c r="H46" s="12">
        <f t="shared" si="4"/>
        <v>3764</v>
      </c>
      <c r="I46" s="12">
        <f t="shared" si="5"/>
        <v>4102.76</v>
      </c>
      <c r="J46" s="141">
        <f t="shared" si="6"/>
        <v>0.34862970711789965</v>
      </c>
      <c r="K46" s="267" cm="1">
        <f t="array" ref="K46">InterpolateXYZ(J46,C46,B46,FFnorm_PS,FFnorm_M,FFnorm_h,FFnorm_table)*numeng</f>
        <v>1430.3440171750342</v>
      </c>
      <c r="L46" s="11">
        <f t="shared" si="7"/>
        <v>1.0900000000000001</v>
      </c>
      <c r="M46" s="277" cm="1">
        <f t="array" ref="M46">($D$5/G46)*(C46*Linterp($D$6,atmos_h,atmos_vela)/L46)</f>
        <v>2199.9086550818492</v>
      </c>
      <c r="N46" s="7">
        <f t="shared" si="8"/>
        <v>5.9426263178194825</v>
      </c>
      <c r="O46" s="324">
        <f t="shared" si="9"/>
        <v>0.25881278295080579</v>
      </c>
      <c r="P46" s="12"/>
    </row>
    <row r="47" spans="2:16">
      <c r="B47" s="120">
        <f t="shared" si="10"/>
        <v>0</v>
      </c>
      <c r="C47" s="7">
        <v>0.56999999999999995</v>
      </c>
      <c r="D47" s="7">
        <f t="shared" si="0"/>
        <v>636.37649978104844</v>
      </c>
      <c r="E47" s="11">
        <f t="shared" si="1"/>
        <v>0.1038870561973297</v>
      </c>
      <c r="F47" s="19">
        <f t="shared" si="2"/>
        <v>1.6455764607399864E-2</v>
      </c>
      <c r="G47" s="16">
        <f t="shared" si="3"/>
        <v>1346.4044923673</v>
      </c>
      <c r="H47" s="12">
        <f t="shared" si="4"/>
        <v>3768</v>
      </c>
      <c r="I47" s="12">
        <f t="shared" si="5"/>
        <v>4107.1200000000008</v>
      </c>
      <c r="J47" s="141">
        <f t="shared" si="6"/>
        <v>0.35732603300618365</v>
      </c>
      <c r="K47" s="267" cm="1">
        <f t="array" ref="K47">InterpolateXYZ(J47,C47,B47,FFnorm_PS,FFnorm_M,FFnorm_h,FFnorm_table)*numeng</f>
        <v>1467.5808966803572</v>
      </c>
      <c r="L47" s="11">
        <f t="shared" si="7"/>
        <v>1.0900000000000001</v>
      </c>
      <c r="M47" s="277" cm="1">
        <f t="array" ref="M47">($D$5/G47)*(C47*Linterp($D$6,atmos_h,atmos_vela)/L47)</f>
        <v>2182.3777780446408</v>
      </c>
      <c r="N47" s="7">
        <f t="shared" si="8"/>
        <v>5.7918442650942481</v>
      </c>
      <c r="O47" s="324">
        <f t="shared" si="9"/>
        <v>0.25675032682878124</v>
      </c>
      <c r="P47" s="12"/>
    </row>
    <row r="48" spans="2:16">
      <c r="B48" s="120">
        <f t="shared" si="10"/>
        <v>0</v>
      </c>
      <c r="C48" s="7">
        <v>0.57999999999999996</v>
      </c>
      <c r="D48" s="7">
        <f t="shared" si="0"/>
        <v>647.54099977720716</v>
      </c>
      <c r="E48" s="11">
        <f t="shared" si="1"/>
        <v>0.10033562591709995</v>
      </c>
      <c r="F48" s="19">
        <f t="shared" si="2"/>
        <v>1.6302585971891246E-2</v>
      </c>
      <c r="G48" s="16">
        <f t="shared" si="3"/>
        <v>1381.0845299910479</v>
      </c>
      <c r="H48" s="12">
        <f t="shared" si="4"/>
        <v>3772</v>
      </c>
      <c r="I48" s="12">
        <f t="shared" si="5"/>
        <v>4111.4800000000005</v>
      </c>
      <c r="J48" s="141">
        <f t="shared" si="6"/>
        <v>0.36614117974311983</v>
      </c>
      <c r="K48" s="267" cm="1">
        <f t="array" ref="K48">InterpolateXYZ(J48,C48,B48,FFnorm_PS,FFnorm_M,FFnorm_h,FFnorm_table)*numeng</f>
        <v>1505.3821376902426</v>
      </c>
      <c r="L48" s="11">
        <f t="shared" si="7"/>
        <v>1.0900000000000003</v>
      </c>
      <c r="M48" s="277" cm="1">
        <f t="array" ref="M48">($D$5/G48)*(C48*Linterp($D$6,atmos_h,atmos_vela)/L48)</f>
        <v>2164.9025905598828</v>
      </c>
      <c r="N48" s="7">
        <f t="shared" si="8"/>
        <v>5.6464068406191066</v>
      </c>
      <c r="O48" s="324">
        <f t="shared" si="9"/>
        <v>0.25469442241880974</v>
      </c>
      <c r="P48" s="12"/>
    </row>
    <row r="49" spans="2:16">
      <c r="B49" s="120">
        <f t="shared" si="10"/>
        <v>0</v>
      </c>
      <c r="C49" s="7">
        <v>0.59</v>
      </c>
      <c r="D49" s="7">
        <f t="shared" si="0"/>
        <v>658.70549977336589</v>
      </c>
      <c r="E49" s="11">
        <f t="shared" si="1"/>
        <v>9.6963242052606771E-2</v>
      </c>
      <c r="F49" s="19">
        <f t="shared" si="2"/>
        <v>1.6232040525657583E-2</v>
      </c>
      <c r="G49" s="16">
        <f t="shared" si="3"/>
        <v>1422.9345218596698</v>
      </c>
      <c r="H49" s="12">
        <f t="shared" si="4"/>
        <v>3776</v>
      </c>
      <c r="I49" s="12">
        <f t="shared" si="5"/>
        <v>4115.8400000000011</v>
      </c>
      <c r="J49" s="141">
        <f t="shared" si="6"/>
        <v>0.3768364729501244</v>
      </c>
      <c r="K49" s="267" cm="1">
        <f t="array" ref="K49">InterpolateXYZ(J49,C49,B49,FFnorm_PS,FFnorm_M,FFnorm_h,FFnorm_table)*numeng</f>
        <v>1550.9986288270402</v>
      </c>
      <c r="L49" s="11">
        <f t="shared" si="7"/>
        <v>1.0900000000000001</v>
      </c>
      <c r="M49" s="277" cm="1">
        <f t="array" ref="M49">($D$5/G49)*(C49*Linterp($D$6,atmos_h,atmos_vela)/L49)</f>
        <v>2137.4586549089822</v>
      </c>
      <c r="N49" s="7">
        <f t="shared" si="8"/>
        <v>5.4803401125043028</v>
      </c>
      <c r="O49" s="324">
        <f t="shared" si="9"/>
        <v>0.25146572410693907</v>
      </c>
      <c r="P49" s="12"/>
    </row>
    <row r="50" spans="2:16">
      <c r="B50" s="120">
        <f t="shared" si="10"/>
        <v>0</v>
      </c>
      <c r="C50" s="7">
        <v>0.6</v>
      </c>
      <c r="D50" s="7">
        <f t="shared" si="0"/>
        <v>669.86999976952472</v>
      </c>
      <c r="E50" s="11">
        <f t="shared" si="1"/>
        <v>9.375806821809006E-2</v>
      </c>
      <c r="F50" s="19">
        <f t="shared" si="2"/>
        <v>1.6171975852726127E-2</v>
      </c>
      <c r="G50" s="16">
        <f t="shared" si="3"/>
        <v>1466.1329671215397</v>
      </c>
      <c r="H50" s="12">
        <f t="shared" si="4"/>
        <v>3780</v>
      </c>
      <c r="I50" s="12">
        <f t="shared" si="5"/>
        <v>4120.2000000000007</v>
      </c>
      <c r="J50" s="141">
        <f t="shared" si="6"/>
        <v>0.38786586431786763</v>
      </c>
      <c r="K50" s="267" cm="1">
        <f t="array" ref="K50">InterpolateXYZ(J50,C50,B50,FFnorm_PS,FFnorm_M,FFnorm_h,FFnorm_table)*numeng</f>
        <v>1598.0849341624785</v>
      </c>
      <c r="L50" s="11">
        <f t="shared" si="7"/>
        <v>1.0900000000000001</v>
      </c>
      <c r="M50" s="277" cm="1">
        <f t="array" ref="M50">($D$5/G50)*(C50*Linterp($D$6,atmos_h,atmos_vela)/L50)</f>
        <v>2109.640810784148</v>
      </c>
      <c r="N50" s="7">
        <f t="shared" si="8"/>
        <v>5.3188662368903854</v>
      </c>
      <c r="O50" s="324">
        <f t="shared" si="9"/>
        <v>0.24819303656284095</v>
      </c>
      <c r="P50" s="12"/>
    </row>
    <row r="51" spans="2:16">
      <c r="B51" s="120">
        <f t="shared" si="10"/>
        <v>0</v>
      </c>
      <c r="C51" s="7">
        <v>0.61</v>
      </c>
      <c r="D51" s="7">
        <f t="shared" si="0"/>
        <v>681.03449976568345</v>
      </c>
      <c r="E51" s="11">
        <f t="shared" si="1"/>
        <v>9.0709230202935809E-2</v>
      </c>
      <c r="F51" s="19">
        <f t="shared" si="2"/>
        <v>1.6113865377536698E-2</v>
      </c>
      <c r="G51" s="16">
        <f t="shared" si="3"/>
        <v>1509.9660244347322</v>
      </c>
      <c r="H51" s="12">
        <f t="shared" si="4"/>
        <v>3784</v>
      </c>
      <c r="I51" s="12">
        <f t="shared" si="5"/>
        <v>4124.5600000000004</v>
      </c>
      <c r="J51" s="141">
        <f t="shared" si="6"/>
        <v>0.3990396470493478</v>
      </c>
      <c r="K51" s="267" cm="1">
        <f t="array" ref="K51">InterpolateXYZ(J51,C51,B51,FFnorm_PS,FFnorm_M,FFnorm_h,FFnorm_table)*numeng</f>
        <v>1645.8629666338582</v>
      </c>
      <c r="L51" s="11">
        <f t="shared" si="7"/>
        <v>1.0900000000000001</v>
      </c>
      <c r="M51" s="277" cm="1">
        <f t="array" ref="M51">($D$5/G51)*(C51*Linterp($D$6,atmos_h,atmos_vela)/L51)</f>
        <v>2082.5396882759492</v>
      </c>
      <c r="N51" s="7">
        <f t="shared" si="8"/>
        <v>5.1644639756275197</v>
      </c>
      <c r="O51" s="324">
        <f t="shared" si="9"/>
        <v>0.24500466920893521</v>
      </c>
      <c r="P51" s="12"/>
    </row>
    <row r="52" spans="2:16">
      <c r="B52" s="120">
        <f t="shared" si="10"/>
        <v>0</v>
      </c>
      <c r="C52" s="7">
        <v>0.62</v>
      </c>
      <c r="D52" s="7">
        <f t="shared" si="0"/>
        <v>692.19899976184217</v>
      </c>
      <c r="E52" s="11">
        <f t="shared" si="1"/>
        <v>8.7806723617358001E-2</v>
      </c>
      <c r="F52" s="19">
        <f t="shared" si="2"/>
        <v>1.6057584045216976E-2</v>
      </c>
      <c r="G52" s="16">
        <f t="shared" si="3"/>
        <v>1554.4306718370992</v>
      </c>
      <c r="H52" s="12">
        <f t="shared" si="4"/>
        <v>3788</v>
      </c>
      <c r="I52" s="12">
        <f t="shared" si="5"/>
        <v>4128.920000000001</v>
      </c>
      <c r="J52" s="141">
        <f t="shared" si="6"/>
        <v>0.41035656595488362</v>
      </c>
      <c r="K52" s="267" cm="1">
        <f t="array" ref="K52">InterpolateXYZ(J52,C52,B52,FFnorm_PS,FFnorm_M,FFnorm_h,FFnorm_table)*numeng</f>
        <v>1694.3294323024384</v>
      </c>
      <c r="L52" s="11">
        <f t="shared" si="7"/>
        <v>1.0900000000000001</v>
      </c>
      <c r="M52" s="277" cm="1">
        <f t="array" ref="M52">($D$5/G52)*(C52*Linterp($D$6,atmos_h,atmos_vela)/L52)</f>
        <v>2056.1318456320669</v>
      </c>
      <c r="N52" s="7">
        <f t="shared" si="8"/>
        <v>5.0167339585485928</v>
      </c>
      <c r="O52" s="324">
        <f t="shared" si="9"/>
        <v>0.24189786419200787</v>
      </c>
      <c r="P52" s="12"/>
    </row>
    <row r="53" spans="2:16">
      <c r="B53" s="120">
        <f t="shared" si="10"/>
        <v>0</v>
      </c>
      <c r="C53" s="7">
        <v>0.63</v>
      </c>
      <c r="D53" s="7">
        <f t="shared" si="0"/>
        <v>703.3634997580009</v>
      </c>
      <c r="E53" s="11">
        <f t="shared" si="1"/>
        <v>8.504133171708847E-2</v>
      </c>
      <c r="F53" s="19">
        <f t="shared" si="2"/>
        <v>1.6003016646463607E-2</v>
      </c>
      <c r="G53" s="16">
        <f t="shared" si="3"/>
        <v>1599.5238873664914</v>
      </c>
      <c r="H53" s="12">
        <f t="shared" si="4"/>
        <v>3792</v>
      </c>
      <c r="I53" s="12">
        <f t="shared" si="5"/>
        <v>4133.2800000000007</v>
      </c>
      <c r="J53" s="141">
        <f t="shared" si="6"/>
        <v>0.42181537114095236</v>
      </c>
      <c r="K53" s="267" cm="1">
        <f t="array" ref="K53">InterpolateXYZ(J53,C53,B53,FFnorm_PS,FFnorm_M,FFnorm_h,FFnorm_table)*numeng</f>
        <v>1743.481037229476</v>
      </c>
      <c r="L53" s="11">
        <f t="shared" si="7"/>
        <v>1.0900000000000003</v>
      </c>
      <c r="M53" s="277" cm="1">
        <f t="array" ref="M53">($D$5/G53)*(C53*Linterp($D$6,atmos_h,atmos_vela)/L53)</f>
        <v>2030.3945844138016</v>
      </c>
      <c r="N53" s="7">
        <f t="shared" si="8"/>
        <v>4.8753039571380405</v>
      </c>
      <c r="O53" s="324">
        <f t="shared" si="9"/>
        <v>0.23886995110750606</v>
      </c>
      <c r="P53" s="12"/>
    </row>
    <row r="54" spans="2:16">
      <c r="B54" s="120">
        <f t="shared" si="10"/>
        <v>0</v>
      </c>
      <c r="C54" s="7">
        <v>0.64</v>
      </c>
      <c r="D54" s="7">
        <f t="shared" si="0"/>
        <v>714.52799975415974</v>
      </c>
      <c r="E54" s="11">
        <f t="shared" si="1"/>
        <v>8.2404552144805687E-2</v>
      </c>
      <c r="F54" s="19">
        <f t="shared" si="2"/>
        <v>1.5950056901810072E-2</v>
      </c>
      <c r="G54" s="16">
        <f t="shared" si="3"/>
        <v>1645.2426490607597</v>
      </c>
      <c r="H54" s="12">
        <f t="shared" si="4"/>
        <v>3796</v>
      </c>
      <c r="I54" s="12">
        <f t="shared" si="5"/>
        <v>4137.6400000000003</v>
      </c>
      <c r="J54" s="141">
        <f t="shared" si="6"/>
        <v>0.43341481798228654</v>
      </c>
      <c r="K54" s="267" cm="1">
        <f t="array" ref="K54">InterpolateXYZ(J54,C54,B54,FFnorm_PS,FFnorm_M,FFnorm_h,FFnorm_table)*numeng</f>
        <v>1793.3144874762281</v>
      </c>
      <c r="L54" s="11">
        <f t="shared" si="7"/>
        <v>1.0900000000000001</v>
      </c>
      <c r="M54" s="277" cm="1">
        <f t="array" ref="M54">($D$5/G54)*(C54*Linterp($D$6,atmos_h,atmos_vela)/L54)</f>
        <v>2005.3059485121103</v>
      </c>
      <c r="N54" s="7">
        <f t="shared" si="8"/>
        <v>4.7398267617646033</v>
      </c>
      <c r="O54" s="324">
        <f t="shared" si="9"/>
        <v>0.23591834688377769</v>
      </c>
      <c r="P54" s="12"/>
    </row>
    <row r="55" spans="2:16">
      <c r="B55" s="120">
        <f t="shared" si="10"/>
        <v>0</v>
      </c>
      <c r="C55" s="7">
        <v>0.65</v>
      </c>
      <c r="D55" s="7">
        <f t="shared" si="0"/>
        <v>725.69249975031846</v>
      </c>
      <c r="E55" s="11">
        <f t="shared" si="1"/>
        <v>7.9888531499437671E-2</v>
      </c>
      <c r="F55" s="19">
        <f t="shared" si="2"/>
        <v>1.5898606643742971E-2</v>
      </c>
      <c r="G55" s="16">
        <f t="shared" si="3"/>
        <v>1691.5839349577543</v>
      </c>
      <c r="H55" s="12">
        <f t="shared" si="4"/>
        <v>3800</v>
      </c>
      <c r="I55" s="12">
        <f t="shared" si="5"/>
        <v>4142.0000000000009</v>
      </c>
      <c r="J55" s="141">
        <f t="shared" si="6"/>
        <v>0.44515366709414589</v>
      </c>
      <c r="K55" s="267" cm="1">
        <f t="array" ref="K55">InterpolateXYZ(J55,C55,B55,FFnorm_PS,FFnorm_M,FFnorm_h,FFnorm_table)*numeng</f>
        <v>1843.8264891039526</v>
      </c>
      <c r="L55" s="11">
        <f t="shared" si="7"/>
        <v>1.0900000000000003</v>
      </c>
      <c r="M55" s="277" cm="1">
        <f t="array" ref="M55">($D$5/G55)*(C55*Linterp($D$6,atmos_h,atmos_vela)/L55)</f>
        <v>1980.8447183845908</v>
      </c>
      <c r="N55" s="7">
        <f t="shared" si="8"/>
        <v>4.6099782437396035</v>
      </c>
      <c r="O55" s="324">
        <f t="shared" si="9"/>
        <v>0.23304055510406951</v>
      </c>
      <c r="P55" s="12"/>
    </row>
    <row r="56" spans="2:16">
      <c r="B56" s="120">
        <f t="shared" si="10"/>
        <v>0</v>
      </c>
      <c r="C56" s="7">
        <v>0.66</v>
      </c>
      <c r="D56" s="7">
        <f t="shared" si="0"/>
        <v>736.85699974647719</v>
      </c>
      <c r="E56" s="11">
        <f t="shared" si="1"/>
        <v>7.7486006791809947E-2</v>
      </c>
      <c r="F56" s="19">
        <f t="shared" si="2"/>
        <v>1.5848575084897627E-2</v>
      </c>
      <c r="G56" s="16">
        <f t="shared" si="3"/>
        <v>1738.5447230953268</v>
      </c>
      <c r="H56" s="12">
        <f t="shared" si="4"/>
        <v>3804</v>
      </c>
      <c r="I56" s="12">
        <f t="shared" si="5"/>
        <v>4146.3600000000006</v>
      </c>
      <c r="J56" s="141">
        <f t="shared" si="6"/>
        <v>0.45703068430476523</v>
      </c>
      <c r="K56" s="267" cm="1">
        <f t="array" ref="K56">InterpolateXYZ(J56,C56,B56,FFnorm_PS,FFnorm_M,FFnorm_h,FFnorm_table)*numeng</f>
        <v>1895.0137481739066</v>
      </c>
      <c r="L56" s="11">
        <f t="shared" si="7"/>
        <v>1.0900000000000003</v>
      </c>
      <c r="M56" s="277" cm="1">
        <f t="array" ref="M56">($D$5/G56)*(C56*Linterp($D$6,atmos_h,atmos_vela)/L56)</f>
        <v>1956.9904014696231</v>
      </c>
      <c r="N56" s="7">
        <f t="shared" si="8"/>
        <v>4.4854555847897464</v>
      </c>
      <c r="O56" s="324">
        <f t="shared" si="9"/>
        <v>0.23023416487877918</v>
      </c>
      <c r="P56" s="12"/>
    </row>
    <row r="57" spans="2:16">
      <c r="B57" s="120">
        <f t="shared" si="10"/>
        <v>0</v>
      </c>
      <c r="C57" s="7">
        <v>0.67</v>
      </c>
      <c r="D57" s="7">
        <f t="shared" si="0"/>
        <v>748.02149974263591</v>
      </c>
      <c r="E57" s="11">
        <f t="shared" si="1"/>
        <v>7.5190252970622429E-2</v>
      </c>
      <c r="F57" s="19">
        <f t="shared" si="2"/>
        <v>1.5799878162132783E-2</v>
      </c>
      <c r="G57" s="16">
        <f t="shared" si="3"/>
        <v>1786.1219915113279</v>
      </c>
      <c r="H57" s="12">
        <f t="shared" si="4"/>
        <v>3808</v>
      </c>
      <c r="I57" s="12">
        <f t="shared" si="5"/>
        <v>4150.72</v>
      </c>
      <c r="J57" s="141">
        <f t="shared" si="6"/>
        <v>0.46904464062797474</v>
      </c>
      <c r="K57" s="267" cm="1">
        <f t="array" ref="K57">InterpolateXYZ(J57,C57,B57,FFnorm_PS,FFnorm_M,FFnorm_h,FFnorm_table)*numeng</f>
        <v>1946.8729707473474</v>
      </c>
      <c r="L57" s="11">
        <f t="shared" si="7"/>
        <v>1.0900000000000001</v>
      </c>
      <c r="M57" s="277" cm="1">
        <f t="array" ref="M57">($D$5/G57)*(C57*Linterp($D$6,atmos_h,atmos_vela)/L57)</f>
        <v>1933.7232195762044</v>
      </c>
      <c r="N57" s="7">
        <f t="shared" si="8"/>
        <v>4.365975658256275</v>
      </c>
      <c r="O57" s="324">
        <f t="shared" si="9"/>
        <v>0.22749684936190639</v>
      </c>
      <c r="P57" s="12"/>
    </row>
    <row r="58" spans="2:16">
      <c r="B58" s="120">
        <f t="shared" si="10"/>
        <v>0</v>
      </c>
      <c r="C58" s="7">
        <v>0.68</v>
      </c>
      <c r="D58" s="7">
        <f t="shared" si="0"/>
        <v>759.18599973879475</v>
      </c>
      <c r="E58" s="11">
        <f t="shared" si="1"/>
        <v>7.2995035809931677E-2</v>
      </c>
      <c r="F58" s="19">
        <f t="shared" si="2"/>
        <v>1.5752437947624147E-2</v>
      </c>
      <c r="G58" s="16">
        <f t="shared" si="3"/>
        <v>1834.3127182436074</v>
      </c>
      <c r="H58" s="12">
        <f t="shared" si="4"/>
        <v>3812</v>
      </c>
      <c r="I58" s="12">
        <f t="shared" si="5"/>
        <v>4155.08</v>
      </c>
      <c r="J58" s="141">
        <f t="shared" si="6"/>
        <v>0.48119431223599352</v>
      </c>
      <c r="K58" s="267" cm="1">
        <f t="array" ref="K58">InterpolateXYZ(J58,C58,B58,FFnorm_PS,FFnorm_M,FFnorm_h,FFnorm_table)*numeng</f>
        <v>1999.4008628855322</v>
      </c>
      <c r="L58" s="11">
        <f t="shared" si="7"/>
        <v>1.0900000000000001</v>
      </c>
      <c r="M58" s="277" cm="1">
        <f t="array" ref="M58">($D$5/G58)*(C58*Linterp($D$6,atmos_h,atmos_vela)/L58)</f>
        <v>1911.0240939154489</v>
      </c>
      <c r="N58" s="7">
        <f t="shared" si="8"/>
        <v>4.2512735478831463</v>
      </c>
      <c r="O58" s="324">
        <f t="shared" si="9"/>
        <v>0.22482636399005282</v>
      </c>
      <c r="P58" s="12"/>
    </row>
    <row r="59" spans="2:16">
      <c r="B59" s="120">
        <f t="shared" si="10"/>
        <v>0</v>
      </c>
      <c r="C59" s="7">
        <v>0.69</v>
      </c>
      <c r="D59" s="7">
        <f t="shared" si="0"/>
        <v>770.35049973495336</v>
      </c>
      <c r="E59" s="11">
        <f t="shared" si="1"/>
        <v>7.0894569541088887E-2</v>
      </c>
      <c r="F59" s="19">
        <f t="shared" si="2"/>
        <v>1.5706182119263612E-2</v>
      </c>
      <c r="G59" s="16">
        <f t="shared" si="3"/>
        <v>1883.113881330017</v>
      </c>
      <c r="H59" s="12">
        <f t="shared" si="4"/>
        <v>3816</v>
      </c>
      <c r="I59" s="12">
        <f t="shared" si="5"/>
        <v>4159.4400000000005</v>
      </c>
      <c r="J59" s="141">
        <f t="shared" si="6"/>
        <v>0.4934784804323944</v>
      </c>
      <c r="K59" s="267" cm="1">
        <f t="array" ref="K59">InterpolateXYZ(J59,C59,B59,FFnorm_PS,FFnorm_M,FFnorm_h,FFnorm_table)*numeng</f>
        <v>2052.5941306497189</v>
      </c>
      <c r="L59" s="11">
        <f t="shared" si="7"/>
        <v>1.0900000000000003</v>
      </c>
      <c r="M59" s="277" cm="1">
        <f t="array" ref="M59">($D$5/G59)*(C59*Linterp($D$6,atmos_h,atmos_vela)/L59)</f>
        <v>1888.8746283282483</v>
      </c>
      <c r="N59" s="7">
        <f t="shared" si="8"/>
        <v>4.1411011914515452</v>
      </c>
      <c r="O59" s="324">
        <f t="shared" si="9"/>
        <v>0.22222054450920567</v>
      </c>
      <c r="P59" s="12"/>
    </row>
    <row r="60" spans="2:16">
      <c r="B60" s="120">
        <f t="shared" si="10"/>
        <v>0</v>
      </c>
      <c r="C60" s="7">
        <v>0.7</v>
      </c>
      <c r="D60" s="7">
        <f t="shared" si="0"/>
        <v>781.51499973111208</v>
      </c>
      <c r="E60" s="11">
        <f t="shared" si="1"/>
        <v>6.888347869084166E-2</v>
      </c>
      <c r="F60" s="19">
        <f t="shared" si="2"/>
        <v>1.5661043483635523E-2</v>
      </c>
      <c r="G60" s="16">
        <f t="shared" si="3"/>
        <v>1932.5224588084084</v>
      </c>
      <c r="H60" s="12">
        <f t="shared" si="4"/>
        <v>3820</v>
      </c>
      <c r="I60" s="12">
        <f t="shared" si="5"/>
        <v>4163.8</v>
      </c>
      <c r="J60" s="141">
        <f t="shared" si="6"/>
        <v>0.50589593162523783</v>
      </c>
      <c r="K60" s="267" cm="1">
        <f t="array" ref="K60">InterpolateXYZ(J60,C60,B60,FFnorm_PS,FFnorm_M,FFnorm_h,FFnorm_table)*numeng</f>
        <v>2106.4494801011656</v>
      </c>
      <c r="L60" s="11">
        <f t="shared" si="7"/>
        <v>1.0900000000000003</v>
      </c>
      <c r="M60" s="277" cm="1">
        <f t="array" ref="M60">($D$5/G60)*(C60*Linterp($D$6,atmos_h,atmos_vela)/L60)</f>
        <v>1867.2570911698156</v>
      </c>
      <c r="N60" s="7">
        <f t="shared" si="8"/>
        <v>4.0352261377717795</v>
      </c>
      <c r="O60" s="324">
        <f t="shared" si="9"/>
        <v>0.21967730484350773</v>
      </c>
      <c r="P60" s="12"/>
    </row>
    <row r="61" spans="2:16">
      <c r="B61" s="120">
        <f t="shared" si="10"/>
        <v>0</v>
      </c>
      <c r="C61" s="7">
        <v>0.71</v>
      </c>
      <c r="D61" s="7">
        <f t="shared" si="0"/>
        <v>792.67949972727081</v>
      </c>
      <c r="E61" s="11">
        <f t="shared" si="1"/>
        <v>6.6956763655053389E-2</v>
      </c>
      <c r="F61" s="19">
        <f t="shared" si="2"/>
        <v>1.5616959545688166E-2</v>
      </c>
      <c r="G61" s="16">
        <f t="shared" si="3"/>
        <v>1982.5354287166306</v>
      </c>
      <c r="H61" s="12">
        <f t="shared" si="4"/>
        <v>3824</v>
      </c>
      <c r="I61" s="12">
        <f t="shared" si="5"/>
        <v>4168.16</v>
      </c>
      <c r="J61" s="141">
        <f t="shared" si="6"/>
        <v>0.51844545730037406</v>
      </c>
      <c r="K61" s="267" cm="1">
        <f t="array" ref="K61">InterpolateXYZ(J61,C61,B61,FFnorm_PS,FFnorm_M,FFnorm_h,FFnorm_table)*numeng</f>
        <v>2160.9636173011272</v>
      </c>
      <c r="L61" s="11">
        <f t="shared" si="7"/>
        <v>1.0899999999999999</v>
      </c>
      <c r="M61" s="277" cm="1">
        <f t="array" ref="M61">($D$5/G61)*(C61*Linterp($D$6,atmos_h,atmos_vela)/L61)</f>
        <v>1846.154396232987</v>
      </c>
      <c r="N61" s="7">
        <f t="shared" si="8"/>
        <v>3.9334304066700714</v>
      </c>
      <c r="O61" s="324">
        <f t="shared" si="9"/>
        <v>0.21719463485093965</v>
      </c>
      <c r="P61" s="12"/>
    </row>
    <row r="62" spans="2:16">
      <c r="B62" s="120">
        <f t="shared" si="10"/>
        <v>0</v>
      </c>
      <c r="C62" s="7">
        <v>0.72</v>
      </c>
      <c r="D62" s="7">
        <f t="shared" si="0"/>
        <v>803.84399972342965</v>
      </c>
      <c r="E62" s="11">
        <f t="shared" si="1"/>
        <v>6.5109769595895872E-2</v>
      </c>
      <c r="F62" s="19">
        <f t="shared" si="2"/>
        <v>1.5573872119948699E-2</v>
      </c>
      <c r="G62" s="16">
        <f t="shared" si="3"/>
        <v>2033.1497690925362</v>
      </c>
      <c r="H62" s="12">
        <f t="shared" si="4"/>
        <v>3828</v>
      </c>
      <c r="I62" s="12">
        <f t="shared" si="5"/>
        <v>4172.5200000000004</v>
      </c>
      <c r="J62" s="141">
        <f t="shared" si="6"/>
        <v>0.53112585399491541</v>
      </c>
      <c r="K62" s="267" cm="1">
        <f t="array" ref="K62">InterpolateXYZ(J62,C62,B62,FFnorm_PS,FFnorm_M,FFnorm_h,FFnorm_table)*numeng</f>
        <v>2216.1332483108645</v>
      </c>
      <c r="L62" s="11">
        <f t="shared" si="7"/>
        <v>1.0900000000000001</v>
      </c>
      <c r="M62" s="277" cm="1">
        <f t="array" ref="M62">($D$5/G62)*(C62*Linterp($D$6,atmos_h,atmos_vela)/L62)</f>
        <v>1825.550083025809</v>
      </c>
      <c r="N62" s="7">
        <f t="shared" si="8"/>
        <v>3.8355094426197951</v>
      </c>
      <c r="O62" s="324">
        <f t="shared" si="9"/>
        <v>0.21477059800303636</v>
      </c>
      <c r="P62" s="12"/>
    </row>
    <row r="63" spans="2:16">
      <c r="B63" s="120">
        <f t="shared" si="10"/>
        <v>0</v>
      </c>
      <c r="C63" s="7">
        <v>0.73</v>
      </c>
      <c r="D63" s="7">
        <f t="shared" si="0"/>
        <v>815.00849971958837</v>
      </c>
      <c r="E63" s="11">
        <f t="shared" si="1"/>
        <v>6.33381583008302E-2</v>
      </c>
      <c r="F63" s="19">
        <f t="shared" si="2"/>
        <v>1.5531726978760379E-2</v>
      </c>
      <c r="G63" s="16">
        <f t="shared" si="3"/>
        <v>2084.3624579739758</v>
      </c>
      <c r="H63" s="12">
        <f t="shared" si="4"/>
        <v>3832</v>
      </c>
      <c r="I63" s="12">
        <f t="shared" si="5"/>
        <v>4176.88</v>
      </c>
      <c r="J63" s="141">
        <f t="shared" si="6"/>
        <v>0.54393592327087048</v>
      </c>
      <c r="K63" s="267" cm="1">
        <f t="array" ref="K63">InterpolateXYZ(J63,C63,B63,FFnorm_PS,FFnorm_M,FFnorm_h,FFnorm_table)*numeng</f>
        <v>2271.9550791916336</v>
      </c>
      <c r="L63" s="11">
        <f t="shared" si="7"/>
        <v>1.0900000000000001</v>
      </c>
      <c r="M63" s="277" cm="1">
        <f t="array" ref="M63">($D$5/G63)*(C63*Linterp($D$6,atmos_h,atmos_vela)/L63)</f>
        <v>1805.4282966632172</v>
      </c>
      <c r="N63" s="7">
        <f t="shared" si="8"/>
        <v>3.7412711535759402</v>
      </c>
      <c r="O63" s="324">
        <f t="shared" si="9"/>
        <v>0.21240332901920203</v>
      </c>
      <c r="P63" s="12"/>
    </row>
    <row r="64" spans="2:16">
      <c r="B64" s="120">
        <f t="shared" si="10"/>
        <v>0</v>
      </c>
      <c r="C64" s="7">
        <v>0.74</v>
      </c>
      <c r="D64" s="7">
        <f t="shared" si="0"/>
        <v>826.1729997157471</v>
      </c>
      <c r="E64" s="11">
        <f t="shared" ref="E64:E83" si="11">D$5/(H$5*C64*C64*_xlfn.SINGLE(S))</f>
        <v>6.1637882685376948E-2</v>
      </c>
      <c r="F64" s="19">
        <f t="shared" si="2"/>
        <v>1.5490473533567212E-2</v>
      </c>
      <c r="G64" s="16">
        <f t="shared" si="3"/>
        <v>2136.170473398799</v>
      </c>
      <c r="H64" s="12">
        <f t="shared" ref="H64:H83" si="12">_xlfn.SINGLE(InterpolateXY(B64,C64,Tnorm_h,Tnorm_M,Tnorm_table))*_xlfn.SINGLE(numeng)</f>
        <v>3836</v>
      </c>
      <c r="I64" s="12">
        <f t="shared" ref="I64:I83" si="13">_xlfn.SINGLE(InterpolateXYZ($I$8,C64,B64,FFnorm_PS,FFnorm_M,FFnorm_h,FFnorm_table))*_xlfn.SINGLE(numeng)</f>
        <v>4181.2400000000007</v>
      </c>
      <c r="J64" s="141">
        <f t="shared" si="6"/>
        <v>0.55687447168894655</v>
      </c>
      <c r="K64" s="267" cm="1">
        <f t="array" ref="K64">InterpolateXYZ(J64,C64,B64,FFnorm_PS,FFnorm_M,FFnorm_h,FFnorm_table)*numeng</f>
        <v>2328.4258160046911</v>
      </c>
      <c r="L64" s="11">
        <f t="shared" si="7"/>
        <v>1.0900000000000001</v>
      </c>
      <c r="M64" s="277" cm="1">
        <f t="array" ref="M64">($D$5/G64)*(C64*Linterp($D$6,atmos_h,atmos_vela)/L64)</f>
        <v>1785.7737675856711</v>
      </c>
      <c r="N64" s="7">
        <f t="shared" si="8"/>
        <v>3.6505350273881669</v>
      </c>
      <c r="O64" s="324">
        <f t="shared" si="9"/>
        <v>0.21009103148066718</v>
      </c>
      <c r="P64" s="12"/>
    </row>
    <row r="65" spans="2:16">
      <c r="B65" s="120">
        <f t="shared" si="10"/>
        <v>0</v>
      </c>
      <c r="C65" s="7">
        <v>0.75</v>
      </c>
      <c r="D65" s="7">
        <f t="shared" si="0"/>
        <v>837.33749971190582</v>
      </c>
      <c r="E65" s="11">
        <f t="shared" si="11"/>
        <v>6.0005163659577622E-2</v>
      </c>
      <c r="F65" s="19">
        <f t="shared" ref="F65:F83" si="14">InterpolateXY(E65,C65,CD_CL,CD_M,CD_table)</f>
        <v>1.545006454574472E-2</v>
      </c>
      <c r="G65" s="16">
        <f t="shared" ref="G65:G83" si="15">F65*$H$5*C65*C65*_xlfn.SINGLE(S)</f>
        <v>2188.5707934048573</v>
      </c>
      <c r="H65" s="12">
        <f t="shared" si="12"/>
        <v>3840</v>
      </c>
      <c r="I65" s="12">
        <f t="shared" si="13"/>
        <v>4185.6000000000004</v>
      </c>
      <c r="J65" s="141">
        <f t="shared" ref="J65:J83" si="16">G65/H65</f>
        <v>0.56994031078251495</v>
      </c>
      <c r="K65" s="267" cm="1">
        <f t="array" ref="K65">InterpolateXYZ(J65,C65,B65,FFnorm_PS,FFnorm_M,FFnorm_h,FFnorm_table)*numeng</f>
        <v>2385.5421648112952</v>
      </c>
      <c r="L65" s="11">
        <f t="shared" ref="L65:L83" si="17">K65/G65</f>
        <v>1.0900000000000003</v>
      </c>
      <c r="M65" s="277" cm="1">
        <f t="array" ref="M65">($D$5/G65)*(C65*Linterp($D$6,atmos_h,atmos_vela)/L65)</f>
        <v>1766.5717912782895</v>
      </c>
      <c r="N65" s="7">
        <f t="shared" ref="N65:N83" si="18">($D$5/G65)*(1/L65)</f>
        <v>3.5631313189018314</v>
      </c>
      <c r="O65" s="324">
        <f t="shared" ref="O65:O83" si="19">M65/$D$5</f>
        <v>0.20783197544450466</v>
      </c>
      <c r="P65" s="12"/>
    </row>
    <row r="66" spans="2:16">
      <c r="B66" s="120">
        <f t="shared" ref="B66:B83" si="20">B65</f>
        <v>0</v>
      </c>
      <c r="C66" s="7">
        <v>0.76</v>
      </c>
      <c r="D66" s="7">
        <f t="shared" si="0"/>
        <v>848.50199970806466</v>
      </c>
      <c r="E66" s="11">
        <f t="shared" si="11"/>
        <v>5.8436469110997945E-2</v>
      </c>
      <c r="F66" s="19">
        <f t="shared" si="14"/>
        <v>1.5410455863887474E-2</v>
      </c>
      <c r="G66" s="16">
        <f t="shared" si="15"/>
        <v>2241.5603960300023</v>
      </c>
      <c r="H66" s="12">
        <f t="shared" si="12"/>
        <v>3844</v>
      </c>
      <c r="I66" s="12">
        <f t="shared" si="13"/>
        <v>4189.96</v>
      </c>
      <c r="J66" s="141">
        <f t="shared" si="16"/>
        <v>0.58313225703173832</v>
      </c>
      <c r="K66" s="267" cm="1">
        <f t="array" ref="K66">InterpolateXYZ(J66,C66,B66,FFnorm_PS,FFnorm_M,FFnorm_h,FFnorm_table)*numeng</f>
        <v>2443.3008316727023</v>
      </c>
      <c r="L66" s="11">
        <f t="shared" si="17"/>
        <v>1.0899999999999999</v>
      </c>
      <c r="M66" s="277" cm="1">
        <f t="array" ref="M66">($D$5/G66)*(C66*Linterp($D$6,atmos_h,atmos_vela)/L66)</f>
        <v>1747.8082081309476</v>
      </c>
      <c r="N66" s="7">
        <f t="shared" si="18"/>
        <v>3.4789003015158131</v>
      </c>
      <c r="O66" s="324">
        <f t="shared" si="19"/>
        <v>0.20562449507422914</v>
      </c>
      <c r="P66" s="12"/>
    </row>
    <row r="67" spans="2:16">
      <c r="B67" s="120">
        <f t="shared" si="20"/>
        <v>0</v>
      </c>
      <c r="C67" s="7">
        <v>0.77</v>
      </c>
      <c r="D67" s="7">
        <f t="shared" si="0"/>
        <v>859.66649970422338</v>
      </c>
      <c r="E67" s="11">
        <f t="shared" si="11"/>
        <v>5.6928494785819544E-2</v>
      </c>
      <c r="F67" s="19">
        <f t="shared" si="14"/>
        <v>1.5371606184822745E-2</v>
      </c>
      <c r="G67" s="16">
        <f t="shared" si="15"/>
        <v>2295.1362593120834</v>
      </c>
      <c r="H67" s="12">
        <f t="shared" si="12"/>
        <v>3848</v>
      </c>
      <c r="I67" s="12">
        <f t="shared" si="13"/>
        <v>4194.3200000000006</v>
      </c>
      <c r="J67" s="141">
        <f t="shared" si="16"/>
        <v>0.59644913183785953</v>
      </c>
      <c r="K67" s="267" cm="1">
        <f t="array" ref="K67">InterpolateXYZ(J67,C67,B67,FFnorm_PS,FFnorm_M,FFnorm_h,FFnorm_table)*numeng</f>
        <v>2501.6985226501711</v>
      </c>
      <c r="L67" s="11">
        <f t="shared" si="17"/>
        <v>1.0900000000000001</v>
      </c>
      <c r="M67" s="277" cm="1">
        <f t="array" ref="M67">($D$5/G67)*(C67*Linterp($D$6,atmos_h,atmos_vela)/L67)</f>
        <v>1729.4693835520479</v>
      </c>
      <c r="N67" s="7">
        <f t="shared" si="18"/>
        <v>3.3976915775588883</v>
      </c>
      <c r="O67" s="324">
        <f t="shared" si="19"/>
        <v>0.20346698630024093</v>
      </c>
      <c r="P67" s="12"/>
    </row>
    <row r="68" spans="2:16">
      <c r="B68" s="120">
        <f t="shared" si="20"/>
        <v>0</v>
      </c>
      <c r="C68" s="7">
        <v>0.78</v>
      </c>
      <c r="D68" s="7">
        <f t="shared" si="0"/>
        <v>870.83099970038211</v>
      </c>
      <c r="E68" s="11">
        <f t="shared" si="11"/>
        <v>5.5478146874609488E-2</v>
      </c>
      <c r="F68" s="19">
        <f t="shared" si="14"/>
        <v>1.5333476835932619E-2</v>
      </c>
      <c r="G68" s="16">
        <f t="shared" si="15"/>
        <v>2349.2953612889523</v>
      </c>
      <c r="H68" s="12">
        <f t="shared" si="12"/>
        <v>3852</v>
      </c>
      <c r="I68" s="12">
        <f t="shared" si="13"/>
        <v>4198.68</v>
      </c>
      <c r="J68" s="141">
        <f t="shared" si="16"/>
        <v>0.60988976149765117</v>
      </c>
      <c r="K68" s="267" cm="1">
        <f t="array" ref="K68">InterpolateXYZ(J68,C68,B68,FFnorm_PS,FFnorm_M,FFnorm_h,FFnorm_table)*numeng</f>
        <v>2560.7319438049581</v>
      </c>
      <c r="L68" s="11">
        <f t="shared" si="17"/>
        <v>1.0900000000000001</v>
      </c>
      <c r="M68" s="277" cm="1">
        <f t="array" ref="M68">($D$5/G68)*(C68*Linterp($D$6,atmos_h,atmos_vela)/L68)</f>
        <v>1711.5421884254915</v>
      </c>
      <c r="N68" s="7">
        <f t="shared" si="18"/>
        <v>3.3193634423796659</v>
      </c>
      <c r="O68" s="324">
        <f t="shared" si="19"/>
        <v>0.20135790452064606</v>
      </c>
      <c r="P68" s="12"/>
    </row>
    <row r="69" spans="2:16">
      <c r="B69" s="120">
        <f t="shared" si="20"/>
        <v>0</v>
      </c>
      <c r="C69" s="7">
        <v>0.79</v>
      </c>
      <c r="D69" s="7">
        <f t="shared" si="0"/>
        <v>881.99549969654095</v>
      </c>
      <c r="E69" s="11">
        <f t="shared" si="11"/>
        <v>5.4082526131248865E-2</v>
      </c>
      <c r="F69" s="19">
        <f t="shared" si="14"/>
        <v>1.529603157664061E-2</v>
      </c>
      <c r="G69" s="16">
        <f t="shared" si="15"/>
        <v>2404.0346799984595</v>
      </c>
      <c r="H69" s="12">
        <f t="shared" si="12"/>
        <v>3856</v>
      </c>
      <c r="I69" s="12">
        <f t="shared" si="13"/>
        <v>4203.0400000000009</v>
      </c>
      <c r="J69" s="141">
        <f t="shared" si="16"/>
        <v>0.62345297717802373</v>
      </c>
      <c r="K69" s="267" cm="1">
        <f t="array" ref="K69">InterpolateXYZ(J69,C69,B69,FFnorm_PS,FFnorm_M,FFnorm_h,FFnorm_table)*numeng</f>
        <v>2620.3978011983213</v>
      </c>
      <c r="L69" s="11">
        <f t="shared" si="17"/>
        <v>1.0900000000000001</v>
      </c>
      <c r="M69" s="277" cm="1">
        <f t="array" ref="M69">($D$5/G69)*(C69*Linterp($D$6,atmos_h,atmos_vela)/L69)</f>
        <v>1694.013979980891</v>
      </c>
      <c r="N69" s="7">
        <f t="shared" si="18"/>
        <v>3.243782297524791</v>
      </c>
      <c r="O69" s="324">
        <f t="shared" si="19"/>
        <v>0.19929576235069307</v>
      </c>
      <c r="P69" s="12"/>
    </row>
    <row r="70" spans="2:16">
      <c r="B70" s="120">
        <f t="shared" si="20"/>
        <v>0</v>
      </c>
      <c r="C70" s="7">
        <v>0.8</v>
      </c>
      <c r="D70" s="7">
        <f t="shared" si="0"/>
        <v>893.15999969269967</v>
      </c>
      <c r="E70" s="11">
        <f t="shared" si="11"/>
        <v>5.2738913372675639E-2</v>
      </c>
      <c r="F70" s="19">
        <f t="shared" si="14"/>
        <v>1.5259236417158446E-2</v>
      </c>
      <c r="G70" s="16">
        <f t="shared" si="15"/>
        <v>2459.3511934784565</v>
      </c>
      <c r="H70" s="12">
        <f t="shared" si="12"/>
        <v>3860</v>
      </c>
      <c r="I70" s="12">
        <f t="shared" si="13"/>
        <v>4207.4000000000005</v>
      </c>
      <c r="J70" s="141">
        <f t="shared" si="16"/>
        <v>0.63713761489079179</v>
      </c>
      <c r="K70" s="267" cm="1">
        <f t="array" ref="K70">InterpolateXYZ(J70,C70,B70,FFnorm_PS,FFnorm_M,FFnorm_h,FFnorm_table)*numeng</f>
        <v>2680.6928008915174</v>
      </c>
      <c r="L70" s="11">
        <f t="shared" si="17"/>
        <v>1.0899999999999999</v>
      </c>
      <c r="M70" s="277" cm="1">
        <f t="array" ref="M70">($D$5/G70)*(C70*Linterp($D$6,atmos_h,atmos_vela)/L70)</f>
        <v>1676.8725831308695</v>
      </c>
      <c r="N70" s="7">
        <f t="shared" si="18"/>
        <v>3.170822108812005</v>
      </c>
      <c r="O70" s="324">
        <f t="shared" si="19"/>
        <v>0.19727912742716111</v>
      </c>
      <c r="P70" s="12"/>
    </row>
    <row r="71" spans="2:16">
      <c r="B71" s="120">
        <f t="shared" si="20"/>
        <v>0</v>
      </c>
      <c r="C71" s="7">
        <v>0.81</v>
      </c>
      <c r="D71" s="7">
        <f t="shared" si="0"/>
        <v>904.3244996888584</v>
      </c>
      <c r="E71" s="11">
        <f t="shared" si="11"/>
        <v>5.1444756223917719E-2</v>
      </c>
      <c r="F71" s="19">
        <f t="shared" si="14"/>
        <v>1.5323059452798972E-2</v>
      </c>
      <c r="G71" s="16">
        <f t="shared" si="15"/>
        <v>2531.7644578173208</v>
      </c>
      <c r="H71" s="12">
        <f t="shared" si="12"/>
        <v>3864</v>
      </c>
      <c r="I71" s="12">
        <f t="shared" si="13"/>
        <v>4211.76</v>
      </c>
      <c r="J71" s="141">
        <f t="shared" si="16"/>
        <v>0.65521854498377863</v>
      </c>
      <c r="K71" s="267" cm="1">
        <f t="array" ref="K71">InterpolateXYZ(J71,C71,B71,FFnorm_PS,FFnorm_M,FFnorm_h,FFnorm_table)*numeng</f>
        <v>2759.6232590208797</v>
      </c>
      <c r="L71" s="11">
        <f t="shared" si="17"/>
        <v>1.0900000000000001</v>
      </c>
      <c r="M71" s="277" cm="1">
        <f t="array" ref="M71">($D$5/G71)*(C71*Linterp($D$6,atmos_h,atmos_vela)/L71)</f>
        <v>1649.2722330859976</v>
      </c>
      <c r="N71" s="7">
        <f t="shared" si="18"/>
        <v>3.0801305838449187</v>
      </c>
      <c r="O71" s="324">
        <f t="shared" si="19"/>
        <v>0.19403202742188208</v>
      </c>
      <c r="P71" s="12"/>
    </row>
    <row r="72" spans="2:16">
      <c r="B72" s="120">
        <f t="shared" si="20"/>
        <v>0</v>
      </c>
      <c r="C72" s="7">
        <v>0.82</v>
      </c>
      <c r="D72" s="7">
        <f t="shared" si="0"/>
        <v>915.48899968501701</v>
      </c>
      <c r="E72" s="11">
        <f t="shared" si="11"/>
        <v>5.0197656987674623E-2</v>
      </c>
      <c r="F72" s="19">
        <f t="shared" si="14"/>
        <v>1.5387470712345933E-2</v>
      </c>
      <c r="G72" s="16">
        <f t="shared" si="15"/>
        <v>2605.5698393862294</v>
      </c>
      <c r="H72" s="12">
        <f t="shared" si="12"/>
        <v>3868</v>
      </c>
      <c r="I72" s="12">
        <f t="shared" si="13"/>
        <v>4216.1200000000008</v>
      </c>
      <c r="J72" s="141">
        <f t="shared" si="16"/>
        <v>0.67362198536355467</v>
      </c>
      <c r="K72" s="267" cm="1">
        <f t="array" ref="K72">InterpolateXYZ(J72,C72,B72,FFnorm_PS,FFnorm_M,FFnorm_h,FFnorm_table)*numeng</f>
        <v>2840.0711249309907</v>
      </c>
      <c r="L72" s="11">
        <f t="shared" si="17"/>
        <v>1.0900000000000003</v>
      </c>
      <c r="M72" s="277" cm="1">
        <f t="array" ref="M72">($D$5/G72)*(C72*Linterp($D$6,atmos_h,atmos_vela)/L72)</f>
        <v>1622.3395701977436</v>
      </c>
      <c r="N72" s="7">
        <f t="shared" si="18"/>
        <v>2.9928827927527824</v>
      </c>
      <c r="O72" s="324">
        <f t="shared" si="19"/>
        <v>0.19086347884679336</v>
      </c>
      <c r="P72" s="12"/>
    </row>
    <row r="73" spans="2:16">
      <c r="B73" s="120">
        <f t="shared" si="20"/>
        <v>0</v>
      </c>
      <c r="C73" s="7">
        <v>0.83</v>
      </c>
      <c r="D73" s="7">
        <f t="shared" si="0"/>
        <v>926.65349968117584</v>
      </c>
      <c r="E73" s="11">
        <f t="shared" si="11"/>
        <v>4.899536153071915E-2</v>
      </c>
      <c r="F73" s="19">
        <f t="shared" si="14"/>
        <v>1.545244201913399E-2</v>
      </c>
      <c r="G73" s="16">
        <f t="shared" si="15"/>
        <v>2680.7794260337819</v>
      </c>
      <c r="H73" s="12">
        <f t="shared" si="12"/>
        <v>3872</v>
      </c>
      <c r="I73" s="12">
        <f t="shared" si="13"/>
        <v>4220.4800000000005</v>
      </c>
      <c r="J73" s="141">
        <f t="shared" si="16"/>
        <v>0.69235005837649322</v>
      </c>
      <c r="K73" s="267" cm="1">
        <f t="array" ref="K73">InterpolateXYZ(J73,C73,B73,FFnorm_PS,FFnorm_M,FFnorm_h,FFnorm_table)*numeng</f>
        <v>2922.0495743768224</v>
      </c>
      <c r="L73" s="11">
        <f t="shared" si="17"/>
        <v>1.0900000000000001</v>
      </c>
      <c r="M73" s="277" cm="1">
        <f t="array" ref="M73">($D$5/G73)*(C73*Linterp($D$6,atmos_h,atmos_vela)/L73)</f>
        <v>1596.0542087710239</v>
      </c>
      <c r="N73" s="7">
        <f t="shared" si="18"/>
        <v>2.9089171089141335</v>
      </c>
      <c r="O73" s="324">
        <f t="shared" si="19"/>
        <v>0.18777108338482634</v>
      </c>
      <c r="P73" s="12"/>
    </row>
    <row r="74" spans="2:16">
      <c r="B74" s="120">
        <f t="shared" si="20"/>
        <v>0</v>
      </c>
      <c r="C74" s="7">
        <v>0.84</v>
      </c>
      <c r="D74" s="7">
        <f t="shared" ref="D74:D83" si="21">C74*H$6</f>
        <v>937.81799967733457</v>
      </c>
      <c r="E74" s="11">
        <f t="shared" si="11"/>
        <v>4.7835749090862266E-2</v>
      </c>
      <c r="F74" s="19">
        <f t="shared" si="14"/>
        <v>1.5517946863635779E-2</v>
      </c>
      <c r="G74" s="16">
        <f t="shared" si="15"/>
        <v>2757.4053056085741</v>
      </c>
      <c r="H74" s="12">
        <f t="shared" si="12"/>
        <v>3876</v>
      </c>
      <c r="I74" s="12">
        <f t="shared" si="13"/>
        <v>4224.84</v>
      </c>
      <c r="J74" s="141">
        <f t="shared" si="16"/>
        <v>0.7114048776079912</v>
      </c>
      <c r="K74" s="267" cm="1">
        <f t="array" ref="K74">InterpolateXYZ(J74,C74,B74,FFnorm_PS,FFnorm_M,FFnorm_h,FFnorm_table)*numeng</f>
        <v>3005.5717831133456</v>
      </c>
      <c r="L74" s="11">
        <f t="shared" si="17"/>
        <v>1.0900000000000001</v>
      </c>
      <c r="M74" s="277" cm="1">
        <f t="array" ref="M74">($D$5/G74)*(C74*Linterp($D$6,atmos_h,atmos_vela)/L74)</f>
        <v>1570.3964554134388</v>
      </c>
      <c r="N74" s="7">
        <f t="shared" si="18"/>
        <v>2.8280808489608611</v>
      </c>
      <c r="O74" s="324">
        <f t="shared" si="19"/>
        <v>0.18475252416628693</v>
      </c>
      <c r="P74" s="12"/>
    </row>
    <row r="75" spans="2:16">
      <c r="B75" s="120">
        <f t="shared" si="20"/>
        <v>0</v>
      </c>
      <c r="C75" s="7">
        <v>0.85</v>
      </c>
      <c r="D75" s="7">
        <f t="shared" si="21"/>
        <v>948.98249967349329</v>
      </c>
      <c r="E75" s="11">
        <f t="shared" si="11"/>
        <v>4.6716822918356292E-2</v>
      </c>
      <c r="F75" s="19">
        <f t="shared" si="14"/>
        <v>1.5583960286479454E-2</v>
      </c>
      <c r="G75" s="16">
        <f t="shared" si="15"/>
        <v>2835.4595659592014</v>
      </c>
      <c r="H75" s="12">
        <f t="shared" si="12"/>
        <v>3880</v>
      </c>
      <c r="I75" s="12">
        <f t="shared" si="13"/>
        <v>4229.2</v>
      </c>
      <c r="J75" s="141">
        <f t="shared" si="16"/>
        <v>0.73078854792762926</v>
      </c>
      <c r="K75" s="267" cm="1">
        <f t="array" ref="K75">InterpolateXYZ(J75,C75,B75,FFnorm_PS,FFnorm_M,FFnorm_h,FFnorm_table)*numeng</f>
        <v>3090.6509268955297</v>
      </c>
      <c r="L75" s="11">
        <f t="shared" si="17"/>
        <v>1.0900000000000001</v>
      </c>
      <c r="M75" s="277" cm="1">
        <f t="array" ref="M75">($D$5/G75)*(C75*Linterp($D$6,atmos_h,atmos_vela)/L75)</f>
        <v>1545.3472879771232</v>
      </c>
      <c r="N75" s="7">
        <f t="shared" si="18"/>
        <v>2.7502297092276304</v>
      </c>
      <c r="O75" s="324">
        <f t="shared" si="19"/>
        <v>0.18180556329142625</v>
      </c>
      <c r="P75" s="12"/>
    </row>
    <row r="76" spans="2:16">
      <c r="B76" s="120">
        <f t="shared" si="20"/>
        <v>0</v>
      </c>
      <c r="C76" s="7">
        <v>0.86</v>
      </c>
      <c r="D76" s="7">
        <f t="shared" si="21"/>
        <v>960.14699966965202</v>
      </c>
      <c r="E76" s="11">
        <f t="shared" si="11"/>
        <v>4.5636701674570603E-2</v>
      </c>
      <c r="F76" s="19">
        <f t="shared" si="14"/>
        <v>1.5771371504965624E-2</v>
      </c>
      <c r="G76" s="16">
        <f t="shared" si="15"/>
        <v>2937.4747269894406</v>
      </c>
      <c r="H76" s="12">
        <f t="shared" si="12"/>
        <v>3884</v>
      </c>
      <c r="I76" s="12">
        <f t="shared" si="13"/>
        <v>4233.5600000000004</v>
      </c>
      <c r="J76" s="141">
        <f t="shared" si="16"/>
        <v>0.75630142301478898</v>
      </c>
      <c r="K76" s="267" cm="1">
        <f t="array" ref="K76">InterpolateXYZ(J76,C76,B76,FFnorm_PS,FFnorm_M,FFnorm_h,FFnorm_table)*numeng</f>
        <v>3201.8474524184903</v>
      </c>
      <c r="L76" s="11">
        <f t="shared" si="17"/>
        <v>1.0900000000000001</v>
      </c>
      <c r="M76" s="277" cm="1">
        <f t="array" ref="M76">($D$5/G76)*(C76*Linterp($D$6,atmos_h,atmos_vela)/L76)</f>
        <v>1509.228298050888</v>
      </c>
      <c r="N76" s="7">
        <f t="shared" si="18"/>
        <v>2.6547173550006549</v>
      </c>
      <c r="O76" s="324">
        <f t="shared" si="19"/>
        <v>0.17755627035892801</v>
      </c>
      <c r="P76" s="12"/>
    </row>
    <row r="77" spans="2:16">
      <c r="B77" s="120">
        <f t="shared" si="20"/>
        <v>0</v>
      </c>
      <c r="C77" s="7">
        <v>0.87</v>
      </c>
      <c r="D77" s="7">
        <f t="shared" si="21"/>
        <v>971.31149966581086</v>
      </c>
      <c r="E77" s="11">
        <f t="shared" si="11"/>
        <v>4.4593611518711079E-2</v>
      </c>
      <c r="F77" s="19">
        <f t="shared" si="14"/>
        <v>1.5959203888444639E-2</v>
      </c>
      <c r="G77" s="16">
        <f t="shared" si="15"/>
        <v>3041.9880433963181</v>
      </c>
      <c r="H77" s="12">
        <f t="shared" si="12"/>
        <v>3888</v>
      </c>
      <c r="I77" s="12">
        <f t="shared" si="13"/>
        <v>4237.92</v>
      </c>
      <c r="J77" s="141">
        <f t="shared" si="16"/>
        <v>0.78240433214925875</v>
      </c>
      <c r="K77" s="267" cm="1">
        <f t="array" ref="K77">InterpolateXYZ(J77,C77,B77,FFnorm_PS,FFnorm_M,FFnorm_h,FFnorm_table)*numeng</f>
        <v>3315.7669673019868</v>
      </c>
      <c r="L77" s="11">
        <f t="shared" si="17"/>
        <v>1.0900000000000001</v>
      </c>
      <c r="M77" s="277" cm="1">
        <f t="array" ref="M77">($D$5/G77)*(C77*Linterp($D$6,atmos_h,atmos_vela)/L77)</f>
        <v>1474.3221048733744</v>
      </c>
      <c r="N77" s="7">
        <f t="shared" si="18"/>
        <v>2.5635094636690896</v>
      </c>
      <c r="O77" s="324">
        <f t="shared" si="19"/>
        <v>0.17344965939686757</v>
      </c>
      <c r="P77" s="12"/>
    </row>
    <row r="78" spans="2:16">
      <c r="B78" s="120">
        <f t="shared" si="20"/>
        <v>0</v>
      </c>
      <c r="C78" s="7">
        <v>0.88</v>
      </c>
      <c r="D78" s="7">
        <f t="shared" si="21"/>
        <v>982.47599966196958</v>
      </c>
      <c r="E78" s="11">
        <f t="shared" si="11"/>
        <v>4.3585878820393095E-2</v>
      </c>
      <c r="F78" s="19">
        <f t="shared" si="14"/>
        <v>1.6147438637984138E-2</v>
      </c>
      <c r="G78" s="16">
        <f t="shared" si="15"/>
        <v>3149.029734801325</v>
      </c>
      <c r="H78" s="12">
        <f t="shared" si="12"/>
        <v>3892</v>
      </c>
      <c r="I78" s="12">
        <f t="shared" si="13"/>
        <v>4242.28</v>
      </c>
      <c r="J78" s="141">
        <f t="shared" si="16"/>
        <v>0.80910322065809992</v>
      </c>
      <c r="K78" s="267" cm="1">
        <f t="array" ref="K78">InterpolateXYZ(J78,C78,B78,FFnorm_PS,FFnorm_M,FFnorm_h,FFnorm_table)*numeng</f>
        <v>3432.4424109334441</v>
      </c>
      <c r="L78" s="11">
        <f t="shared" si="17"/>
        <v>1.0899999999999999</v>
      </c>
      <c r="M78" s="277" cm="1">
        <f t="array" ref="M78">($D$5/G78)*(C78*Linterp($D$6,atmos_h,atmos_vela)/L78)</f>
        <v>1440.5772029916488</v>
      </c>
      <c r="N78" s="7">
        <f t="shared" si="18"/>
        <v>2.4763707536431609</v>
      </c>
      <c r="O78" s="324">
        <f t="shared" si="19"/>
        <v>0.16947967094019398</v>
      </c>
      <c r="P78" s="12"/>
    </row>
    <row r="79" spans="2:16">
      <c r="B79" s="120">
        <f t="shared" si="20"/>
        <v>0</v>
      </c>
      <c r="C79" s="7">
        <v>0.89</v>
      </c>
      <c r="D79" s="7">
        <f t="shared" si="21"/>
        <v>993.64049965812831</v>
      </c>
      <c r="E79" s="11">
        <f t="shared" si="11"/>
        <v>4.2611923442131563E-2</v>
      </c>
      <c r="F79" s="19">
        <f t="shared" si="14"/>
        <v>1.6336057996902013E-2</v>
      </c>
      <c r="G79" s="16">
        <f t="shared" si="15"/>
        <v>3258.6300208259536</v>
      </c>
      <c r="H79" s="12">
        <f t="shared" si="12"/>
        <v>3896</v>
      </c>
      <c r="I79" s="12">
        <f t="shared" si="13"/>
        <v>4246.6400000000003</v>
      </c>
      <c r="J79" s="141">
        <f t="shared" si="16"/>
        <v>0.8364040094522468</v>
      </c>
      <c r="K79" s="267" cm="1">
        <f t="array" ref="K79">InterpolateXYZ(J79,C79,B79,FFnorm_PS,FFnorm_M,FFnorm_h,FFnorm_table)*numeng</f>
        <v>3551.9067227002893</v>
      </c>
      <c r="L79" s="11">
        <f t="shared" si="17"/>
        <v>1.0899999999999999</v>
      </c>
      <c r="M79" s="277" cm="1">
        <f t="array" ref="M79">($D$5/G79)*(C79*Linterp($D$6,atmos_h,atmos_vela)/L79)</f>
        <v>1407.944642544187</v>
      </c>
      <c r="N79" s="7">
        <f t="shared" si="18"/>
        <v>2.3930808615204824</v>
      </c>
      <c r="O79" s="324">
        <f t="shared" si="19"/>
        <v>0.16564054618166907</v>
      </c>
      <c r="P79" s="12"/>
    </row>
    <row r="80" spans="2:16">
      <c r="B80" s="120">
        <f t="shared" si="20"/>
        <v>0</v>
      </c>
      <c r="C80" s="7">
        <v>0.9</v>
      </c>
      <c r="D80" s="7">
        <f t="shared" si="21"/>
        <v>1004.804999654287</v>
      </c>
      <c r="E80" s="11">
        <f t="shared" si="11"/>
        <v>4.1670252541373347E-2</v>
      </c>
      <c r="F80" s="19">
        <f t="shared" si="14"/>
        <v>1.6525045182021306E-2</v>
      </c>
      <c r="G80" s="16">
        <f t="shared" si="15"/>
        <v>3370.8191210916948</v>
      </c>
      <c r="H80" s="12">
        <f t="shared" si="12"/>
        <v>3900</v>
      </c>
      <c r="I80" s="12">
        <f t="shared" si="13"/>
        <v>4251</v>
      </c>
      <c r="J80" s="141">
        <f t="shared" si="16"/>
        <v>0.86431259515171666</v>
      </c>
      <c r="K80" s="267" cm="1">
        <f t="array" ref="K80">InterpolateXYZ(J80,C80,B80,FFnorm_PS,FFnorm_M,FFnorm_h,FFnorm_table)*numeng</f>
        <v>3674.1928419899473</v>
      </c>
      <c r="L80" s="11">
        <f t="shared" si="17"/>
        <v>1.0900000000000001</v>
      </c>
      <c r="M80" s="277" cm="1">
        <f t="array" ref="M80">($D$5/G80)*(C80*Linterp($D$6,atmos_h,atmos_vela)/L80)</f>
        <v>1376.3778908169049</v>
      </c>
      <c r="N80" s="7">
        <f t="shared" si="18"/>
        <v>2.3134332805994986</v>
      </c>
      <c r="O80" s="324">
        <f t="shared" si="19"/>
        <v>0.16192681068434175</v>
      </c>
      <c r="P80" s="12"/>
    </row>
    <row r="81" spans="2:16">
      <c r="B81" s="120">
        <f t="shared" si="20"/>
        <v>0</v>
      </c>
      <c r="C81" s="7">
        <v>0.91</v>
      </c>
      <c r="D81" s="7">
        <f t="shared" si="21"/>
        <v>1015.9694996504459</v>
      </c>
      <c r="E81" s="11">
        <f t="shared" si="11"/>
        <v>4.0759454846651874E-2</v>
      </c>
      <c r="F81" s="19">
        <f t="shared" si="14"/>
        <v>1.676560710381015E-2</v>
      </c>
      <c r="G81" s="16">
        <f t="shared" si="15"/>
        <v>3496.3092837855361</v>
      </c>
      <c r="H81" s="12">
        <f t="shared" si="12"/>
        <v>3904</v>
      </c>
      <c r="I81" s="12">
        <f t="shared" si="13"/>
        <v>4255.3599999999997</v>
      </c>
      <c r="J81" s="141">
        <f t="shared" si="16"/>
        <v>0.89557102555981971</v>
      </c>
      <c r="K81" s="267" cm="1">
        <f t="array" ref="K81">InterpolateXYZ(J81,C81,B81,FFnorm_PS,FFnorm_M,FFnorm_h,FFnorm_table)*numeng</f>
        <v>3810.9771193262345</v>
      </c>
      <c r="L81" s="11">
        <f t="shared" si="17"/>
        <v>1.0900000000000001</v>
      </c>
      <c r="M81" s="277" cm="1">
        <f t="array" ref="M81">($D$5/G81)*(C81*Linterp($D$6,atmos_h,atmos_vela)/L81)</f>
        <v>1341.7208730150658</v>
      </c>
      <c r="N81" s="7">
        <f t="shared" si="18"/>
        <v>2.230399116513921</v>
      </c>
      <c r="O81" s="324">
        <f t="shared" si="19"/>
        <v>0.15784951447236067</v>
      </c>
      <c r="P81" s="12"/>
    </row>
    <row r="82" spans="2:16">
      <c r="B82" s="120">
        <f t="shared" si="20"/>
        <v>0</v>
      </c>
      <c r="C82" s="7">
        <v>0.92</v>
      </c>
      <c r="D82" s="7">
        <f t="shared" si="21"/>
        <v>1027.1339996466045</v>
      </c>
      <c r="E82" s="11">
        <f t="shared" si="11"/>
        <v>3.987819536686249E-2</v>
      </c>
      <c r="F82" s="19">
        <f t="shared" si="14"/>
        <v>1.7006453081159154E-2</v>
      </c>
      <c r="G82" s="16">
        <f t="shared" si="15"/>
        <v>3624.9095491912171</v>
      </c>
      <c r="H82" s="12">
        <f t="shared" si="12"/>
        <v>3908</v>
      </c>
      <c r="I82" s="12">
        <f t="shared" si="13"/>
        <v>4259.72</v>
      </c>
      <c r="J82" s="141">
        <f t="shared" si="16"/>
        <v>0.92756129713183655</v>
      </c>
      <c r="K82" s="267" cm="1">
        <f t="array" ref="K82">InterpolateXYZ(J82,C82,B82,FFnorm_PS,FFnorm_M,FFnorm_h,FFnorm_table)*numeng</f>
        <v>3951.1514086184266</v>
      </c>
      <c r="L82" s="11">
        <f t="shared" si="17"/>
        <v>1.0899999999999999</v>
      </c>
      <c r="M82" s="277" cm="1">
        <f t="array" ref="M82">($D$5/G82)*(C82*Linterp($D$6,atmos_h,atmos_vela)/L82)</f>
        <v>1308.3419910401628</v>
      </c>
      <c r="N82" s="7">
        <f t="shared" si="18"/>
        <v>2.1512716474138207</v>
      </c>
      <c r="O82" s="324">
        <f t="shared" si="19"/>
        <v>0.15392258718119564</v>
      </c>
      <c r="P82" s="12"/>
    </row>
    <row r="83" spans="2:16">
      <c r="B83" s="120">
        <f t="shared" si="20"/>
        <v>0</v>
      </c>
      <c r="C83" s="7">
        <v>0.93</v>
      </c>
      <c r="D83" s="7">
        <f t="shared" si="21"/>
        <v>1038.2984996427633</v>
      </c>
      <c r="E83" s="11">
        <f t="shared" si="11"/>
        <v>3.9025210496603541E-2</v>
      </c>
      <c r="F83" s="19">
        <f t="shared" si="14"/>
        <v>1.74975714338317E-2</v>
      </c>
      <c r="G83" s="16">
        <f t="shared" si="15"/>
        <v>3811.1096723107667</v>
      </c>
      <c r="H83" s="12">
        <f t="shared" si="12"/>
        <v>3912</v>
      </c>
      <c r="I83" s="12">
        <f t="shared" si="13"/>
        <v>4264.08</v>
      </c>
      <c r="J83" s="141">
        <f t="shared" si="16"/>
        <v>0.97421003893424507</v>
      </c>
      <c r="K83" s="267" cm="1">
        <f t="array" ref="K83">InterpolateXYZ(J83,C83,B83,FFnorm_PS,FFnorm_M,FFnorm_h,FFnorm_table)*numeng</f>
        <v>4154.1095428187355</v>
      </c>
      <c r="L83" s="11">
        <f t="shared" si="17"/>
        <v>1.0899999999999999</v>
      </c>
      <c r="M83" s="277" cm="1">
        <f t="array" ref="M83">($D$5/G83)*(C83*Linterp($D$6,atmos_h,atmos_vela)/L83)</f>
        <v>1257.9463782212395</v>
      </c>
      <c r="N83" s="7">
        <f t="shared" si="18"/>
        <v>2.046166552033772</v>
      </c>
      <c r="O83" s="324">
        <f t="shared" si="19"/>
        <v>0.14799369155543993</v>
      </c>
      <c r="P83" s="12"/>
    </row>
    <row r="84" spans="2:16">
      <c r="B84" s="120"/>
      <c r="C84" s="7"/>
      <c r="D84" s="7"/>
      <c r="E84" s="11"/>
      <c r="F84" s="19"/>
      <c r="G84" s="16"/>
      <c r="H84" s="12"/>
      <c r="I84" s="12"/>
      <c r="J84" s="141"/>
      <c r="K84" s="267"/>
      <c r="L84" s="11"/>
      <c r="M84" s="121"/>
      <c r="N84" s="11"/>
      <c r="O84" s="11"/>
      <c r="P84" s="12"/>
    </row>
    <row r="85" spans="2:16" ht="15" thickBot="1">
      <c r="C85" s="7"/>
      <c r="D85" s="7"/>
      <c r="E85" s="11"/>
      <c r="F85" s="19"/>
      <c r="G85" s="16"/>
      <c r="H85" s="12"/>
      <c r="I85" s="12"/>
      <c r="J85" s="141"/>
      <c r="K85" s="11"/>
      <c r="L85" s="121"/>
      <c r="M85" s="12"/>
      <c r="N85" s="12"/>
      <c r="O85" s="12"/>
    </row>
    <row r="86" spans="2:16">
      <c r="C86" t="s">
        <v>237</v>
      </c>
      <c r="E86" s="7" t="s">
        <v>356</v>
      </c>
      <c r="F86" s="189" cm="1">
        <f t="array" ref="F86">x_at_ymax(C13:C83,M13:M83)</f>
        <v>0.41097978788901718</v>
      </c>
      <c r="G86" s="149" t="s">
        <v>72</v>
      </c>
      <c r="L86" s="55"/>
      <c r="M86" s="55"/>
      <c r="N86" s="12"/>
      <c r="O86" s="12"/>
    </row>
    <row r="87" spans="2:16" ht="15" thickBot="1">
      <c r="E87" s="7" t="s">
        <v>357</v>
      </c>
      <c r="F87" s="175" cm="1">
        <f t="array" ref="F87">y_max(C30:C40,M30:M40)</f>
        <v>2444.0325446898896</v>
      </c>
      <c r="G87" s="145" t="s">
        <v>235</v>
      </c>
      <c r="M87" s="12"/>
      <c r="N87" s="12"/>
      <c r="O87" s="12"/>
    </row>
    <row r="88" spans="2:16">
      <c r="C88" s="7"/>
      <c r="G88" s="149"/>
      <c r="M88" s="12"/>
      <c r="N88" s="12"/>
      <c r="O88" s="12"/>
    </row>
    <row r="89" spans="2:16">
      <c r="C89" s="7"/>
      <c r="D89" s="7"/>
      <c r="E89" s="4"/>
      <c r="F89" s="2"/>
      <c r="G89" s="149"/>
      <c r="M89" s="12"/>
      <c r="N89" s="12"/>
      <c r="O89" s="12"/>
    </row>
    <row r="90" spans="2:16">
      <c r="C90" s="7"/>
      <c r="D90" s="7"/>
      <c r="E90" s="4"/>
      <c r="F90" s="1"/>
      <c r="G90" s="149"/>
      <c r="L90" s="12"/>
      <c r="M90" s="12"/>
      <c r="N90" s="12"/>
      <c r="O90" s="12"/>
    </row>
    <row r="91" spans="2:16" ht="15" thickBot="1">
      <c r="C91" s="7"/>
      <c r="D91" s="7"/>
      <c r="E91" s="11"/>
      <c r="F91" s="19"/>
      <c r="G91" s="144"/>
      <c r="J91" s="12"/>
      <c r="K91" s="12"/>
      <c r="L91" s="12"/>
      <c r="M91" s="12"/>
      <c r="N91" s="12"/>
      <c r="O91" s="12"/>
    </row>
    <row r="92" spans="2:16">
      <c r="C92" t="s">
        <v>238</v>
      </c>
      <c r="D92" s="7"/>
      <c r="E92" s="7" t="s">
        <v>356</v>
      </c>
      <c r="F92" s="189" cm="1">
        <f t="array" ref="F92">x_at_ymax(C13:C83,N13:N83)</f>
        <v>0.31446813551171482</v>
      </c>
      <c r="G92" s="149" t="s">
        <v>72</v>
      </c>
      <c r="J92" s="12"/>
      <c r="K92" s="12"/>
      <c r="L92" s="12"/>
      <c r="M92" s="12"/>
      <c r="N92" s="12"/>
      <c r="O92" s="12"/>
    </row>
    <row r="93" spans="2:16" ht="15" thickBot="1">
      <c r="C93" s="7"/>
      <c r="D93" s="7"/>
      <c r="E93" s="7" t="s">
        <v>357</v>
      </c>
      <c r="F93" s="174" cm="1">
        <f t="array" ref="F93">y_max(C20:C30,N20:N30)</f>
        <v>10.413079544421777</v>
      </c>
      <c r="G93" s="145" t="s">
        <v>236</v>
      </c>
      <c r="J93" s="12"/>
      <c r="K93" s="12"/>
      <c r="L93" s="12"/>
      <c r="M93" s="12"/>
      <c r="N93" s="12"/>
      <c r="O93" s="12"/>
    </row>
    <row r="94" spans="2:16">
      <c r="C94" s="7"/>
      <c r="D94" s="7"/>
      <c r="E94" t="s">
        <v>356</v>
      </c>
      <c r="F94" s="525" cm="1">
        <f t="array" ref="F94">x_at_ymax(K11:K83,N11:N83)</f>
        <v>1246.0316879853865</v>
      </c>
      <c r="G94" t="s">
        <v>630</v>
      </c>
      <c r="J94" s="12"/>
      <c r="K94" s="12"/>
      <c r="L94" s="12"/>
      <c r="M94" s="12"/>
      <c r="N94" s="12"/>
      <c r="O94" s="12"/>
    </row>
    <row r="95" spans="2:16">
      <c r="C95" s="7"/>
      <c r="D95" s="7"/>
      <c r="E95" s="4"/>
      <c r="F95" s="2"/>
      <c r="J95" s="12"/>
      <c r="K95" s="12"/>
      <c r="L95" s="12"/>
      <c r="M95" s="12"/>
      <c r="N95" s="12"/>
      <c r="O95" s="12"/>
    </row>
    <row r="96" spans="2:16">
      <c r="C96" s="7"/>
      <c r="D96" s="7"/>
      <c r="E96" s="4"/>
      <c r="F96" s="2"/>
      <c r="J96" s="12"/>
      <c r="K96" s="12"/>
      <c r="L96" s="12"/>
      <c r="M96" s="12"/>
      <c r="N96" s="12"/>
      <c r="O96" s="12"/>
      <c r="P96" s="12"/>
    </row>
    <row r="97" spans="3:16" ht="15" thickBot="1">
      <c r="C97" s="7"/>
      <c r="D97" s="7" t="s">
        <v>549</v>
      </c>
      <c r="E97" s="12">
        <v>1000</v>
      </c>
      <c r="F97" s="19" t="s">
        <v>547</v>
      </c>
      <c r="G97" s="16"/>
      <c r="H97" s="16"/>
      <c r="I97" s="12"/>
      <c r="J97" s="12"/>
      <c r="K97" s="12"/>
      <c r="L97" s="12"/>
      <c r="M97" s="12"/>
      <c r="N97" s="12"/>
      <c r="O97" s="12"/>
      <c r="P97" s="12"/>
    </row>
    <row r="98" spans="3:16" ht="15" thickBot="1">
      <c r="C98" s="7"/>
      <c r="D98" s="7"/>
      <c r="E98" s="143" t="s">
        <v>239</v>
      </c>
      <c r="F98" s="269">
        <f>F87*LN($D$5/($D$5-E97))</f>
        <v>305.90279477526371</v>
      </c>
      <c r="G98" s="144" t="s">
        <v>183</v>
      </c>
      <c r="H98" s="272" t="s">
        <v>376</v>
      </c>
      <c r="I98" s="190" cm="1">
        <f t="array" ref="I98">(F98/(F86*Linterp(D6,atmos_h,atmos_vela)))*(60/1)</f>
        <v>67.557883013722659</v>
      </c>
      <c r="J98" s="145" t="s">
        <v>201</v>
      </c>
      <c r="K98" s="12"/>
      <c r="L98" s="12"/>
      <c r="M98" s="12"/>
      <c r="N98" s="12"/>
      <c r="O98" s="12"/>
      <c r="P98" s="12"/>
    </row>
    <row r="99" spans="3:16" ht="15" thickBot="1">
      <c r="C99" s="7"/>
      <c r="D99" s="7"/>
      <c r="E99" s="143"/>
      <c r="F99" s="270"/>
      <c r="G99" s="144"/>
      <c r="H99" s="144"/>
      <c r="I99" s="271"/>
      <c r="J99" s="145"/>
      <c r="K99" s="12"/>
      <c r="L99" s="12"/>
      <c r="M99" s="12"/>
      <c r="N99" s="12"/>
      <c r="O99" s="12"/>
      <c r="P99" s="12"/>
    </row>
    <row r="100" spans="3:16" ht="15" thickBot="1">
      <c r="C100" s="7"/>
      <c r="D100" s="7"/>
      <c r="E100" s="143" t="s">
        <v>240</v>
      </c>
      <c r="F100" s="268">
        <f>F93*60*LN($D$5/($D$5-E97))</f>
        <v>78.200025816593907</v>
      </c>
      <c r="G100" s="144" t="s">
        <v>201</v>
      </c>
      <c r="H100" s="272" t="s">
        <v>377</v>
      </c>
      <c r="I100" s="269" cm="1">
        <f t="array" ref="I100">F100*F92*Linterp(D6,atmos_h,atmos_vela)/60</f>
        <v>270.93835594744206</v>
      </c>
      <c r="J100" s="145" t="s">
        <v>183</v>
      </c>
      <c r="K100" s="12"/>
      <c r="L100" s="12"/>
      <c r="M100" s="12"/>
      <c r="N100" s="12"/>
      <c r="O100" s="12"/>
      <c r="P100" s="12"/>
    </row>
    <row r="101" spans="3:16">
      <c r="C101" s="7"/>
      <c r="D101" s="7"/>
      <c r="E101" s="11"/>
      <c r="F101" s="19"/>
      <c r="G101" s="16"/>
      <c r="H101" s="16"/>
      <c r="I101" s="12"/>
      <c r="J101" s="12"/>
      <c r="K101" s="12"/>
      <c r="L101" s="12"/>
      <c r="M101" s="12"/>
      <c r="N101" s="12"/>
      <c r="O101" s="12"/>
      <c r="P101" s="12"/>
    </row>
    <row r="102" spans="3:16">
      <c r="E102" t="s">
        <v>374</v>
      </c>
    </row>
    <row r="103" spans="3:16">
      <c r="E103" t="s">
        <v>375</v>
      </c>
    </row>
  </sheetData>
  <mergeCells count="2">
    <mergeCell ref="B2:D2"/>
    <mergeCell ref="B3:D3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763A1-2264-4EE2-BEB1-FF5E1FF53E50}">
  <sheetPr codeName="Sheet49">
    <tabColor theme="0"/>
  </sheetPr>
  <dimension ref="B1:P102"/>
  <sheetViews>
    <sheetView topLeftCell="A73" workbookViewId="0">
      <selection activeCell="F92" sqref="F92"/>
    </sheetView>
  </sheetViews>
  <sheetFormatPr defaultRowHeight="14.5"/>
  <cols>
    <col min="1" max="1" width="2.7265625" customWidth="1"/>
    <col min="2" max="13" width="12.7265625" customWidth="1"/>
    <col min="14" max="60" width="10.7265625" customWidth="1"/>
  </cols>
  <sheetData>
    <row r="1" spans="2:16" ht="15" thickBot="1"/>
    <row r="2" spans="2:16">
      <c r="B2" s="601" t="s">
        <v>331</v>
      </c>
      <c r="C2" s="605"/>
      <c r="D2" s="606"/>
    </row>
    <row r="3" spans="2:16" ht="15" thickBot="1">
      <c r="B3" s="602" t="s">
        <v>379</v>
      </c>
      <c r="C3" s="607"/>
      <c r="D3" s="608"/>
    </row>
    <row r="5" spans="2:16">
      <c r="C5" t="s">
        <v>6</v>
      </c>
      <c r="D5" s="8">
        <v>8500</v>
      </c>
      <c r="E5" t="s">
        <v>5</v>
      </c>
      <c r="G5" t="s">
        <v>0</v>
      </c>
      <c r="H5" s="1">
        <f>Linterp(D6,atmos_h,atmos_qms)</f>
        <v>1018.7315510840876</v>
      </c>
      <c r="I5" t="s">
        <v>19</v>
      </c>
    </row>
    <row r="6" spans="2:16">
      <c r="C6" t="s">
        <v>1</v>
      </c>
      <c r="D6" s="8">
        <v>10000</v>
      </c>
      <c r="E6" t="s">
        <v>2</v>
      </c>
      <c r="G6" t="s">
        <v>153</v>
      </c>
      <c r="H6" s="3">
        <f>Linterp(D6,atmos_h,atmos_aspeed)</f>
        <v>1077.3871084702648</v>
      </c>
      <c r="I6" t="s">
        <v>20</v>
      </c>
    </row>
    <row r="7" spans="2:16">
      <c r="D7" s="8"/>
      <c r="G7" t="s">
        <v>155</v>
      </c>
      <c r="H7" s="9">
        <f>Linterp(D6,atmos_h,atmos_rho)</f>
        <v>1.7552669091677436E-3</v>
      </c>
      <c r="I7" t="s">
        <v>156</v>
      </c>
    </row>
    <row r="8" spans="2:16" ht="15" thickBot="1">
      <c r="H8" s="2"/>
      <c r="I8" s="1">
        <v>1</v>
      </c>
      <c r="L8" s="4"/>
      <c r="M8" s="4"/>
      <c r="N8" s="4"/>
      <c r="O8" s="4"/>
    </row>
    <row r="9" spans="2:16">
      <c r="B9" s="6" t="s">
        <v>1</v>
      </c>
      <c r="C9" s="6" t="s">
        <v>72</v>
      </c>
      <c r="D9" s="6" t="s">
        <v>232</v>
      </c>
      <c r="E9" s="6" t="s">
        <v>74</v>
      </c>
      <c r="F9" s="6" t="s">
        <v>75</v>
      </c>
      <c r="G9" s="6" t="s">
        <v>186</v>
      </c>
      <c r="H9" s="6" t="s">
        <v>294</v>
      </c>
      <c r="I9" s="6" t="s">
        <v>295</v>
      </c>
      <c r="J9" s="6" t="s">
        <v>233</v>
      </c>
      <c r="K9" s="6" t="s">
        <v>85</v>
      </c>
      <c r="L9" s="6" t="s">
        <v>234</v>
      </c>
      <c r="M9" s="312" t="s">
        <v>235</v>
      </c>
      <c r="N9" s="301" t="s">
        <v>236</v>
      </c>
      <c r="O9" s="310" t="s">
        <v>402</v>
      </c>
      <c r="P9" s="6"/>
    </row>
    <row r="10" spans="2:16">
      <c r="B10" s="6" t="s">
        <v>30</v>
      </c>
      <c r="C10" s="6" t="s">
        <v>77</v>
      </c>
      <c r="D10" s="6" t="s">
        <v>69</v>
      </c>
      <c r="E10" s="6"/>
      <c r="F10" s="6"/>
      <c r="G10" s="6" t="s">
        <v>78</v>
      </c>
      <c r="H10" s="6" t="s">
        <v>78</v>
      </c>
      <c r="I10" s="6" t="s">
        <v>86</v>
      </c>
      <c r="J10" s="6" t="s">
        <v>87</v>
      </c>
      <c r="K10" s="6" t="s">
        <v>86</v>
      </c>
      <c r="L10" s="6" t="s">
        <v>414</v>
      </c>
      <c r="M10" s="317" t="s">
        <v>203</v>
      </c>
      <c r="N10" s="316" t="s">
        <v>415</v>
      </c>
      <c r="O10" s="318" t="s">
        <v>416</v>
      </c>
      <c r="P10" s="6"/>
    </row>
    <row r="11" spans="2:16">
      <c r="B11" s="120">
        <f>D6</f>
        <v>10000</v>
      </c>
      <c r="C11" s="7">
        <v>0.25</v>
      </c>
      <c r="D11" s="7">
        <f t="shared" ref="D11:D69" si="0">C11*H$6</f>
        <v>269.34677711756621</v>
      </c>
      <c r="E11" s="11">
        <f t="shared" ref="E11:E59" si="1">D$5/(H$5*C11*C11*_xlfn.SINGLE(S))</f>
        <v>0.78529029472845568</v>
      </c>
      <c r="F11" s="19">
        <f t="shared" ref="F11:F60" si="2">InterpolateXY(E11,C11,CD_CL,CD_M,CD_table)</f>
        <v>0.18310455166625156</v>
      </c>
      <c r="G11" s="16">
        <f t="shared" ref="G11:G59" si="3">F11*$H$5*C11*C11*_xlfn.SINGLE(S)</f>
        <v>1981.9278292511171</v>
      </c>
      <c r="H11" s="12">
        <f t="shared" ref="H11:H59" si="4">_xlfn.SINGLE(InterpolateXY(B11,C11,Tnorm_h,Tnorm_M,Tnorm_table))*_xlfn.SINGLE(numeng)</f>
        <v>2835.7447288900303</v>
      </c>
      <c r="I11" s="12">
        <f t="shared" ref="I11:I59" si="5">_xlfn.SINGLE(InterpolateXYZ($I$8,C11,B11,FFnorm_PS,FFnorm_M,FFnorm_h,FFnorm_table))*_xlfn.SINGLE(numeng)</f>
        <v>2982.8136925633044</v>
      </c>
      <c r="J11" s="141">
        <f t="shared" ref="J11:J60" si="6">G11/H11</f>
        <v>0.69890911162052483</v>
      </c>
      <c r="K11" s="267" cm="1">
        <f t="array" ref="K11">InterpolateXYZ(J11,C11,B11,FFnorm_PS,FFnorm_M,FFnorm_h,FFnorm_table)*numeng</f>
        <v>2084.7156679989566</v>
      </c>
      <c r="L11" s="11">
        <f t="shared" ref="L11:L60" si="7">K11/G11</f>
        <v>1.0518625538381376</v>
      </c>
      <c r="M11" s="521" cm="1">
        <f t="array" ref="M11">($D$5/G11)*(C11*Linterp($D$6,atmos_h,atmos_vela)/L11)</f>
        <v>650.25365221223115</v>
      </c>
      <c r="N11" s="83">
        <f t="shared" ref="N11:N60" si="8">($D$5/G11)*(1/L11)</f>
        <v>4.0772946308591056</v>
      </c>
      <c r="O11" s="522">
        <f t="shared" ref="O11:O60" si="9">M11/$D$5</f>
        <v>7.6500429672027193E-2</v>
      </c>
      <c r="P11" s="12"/>
    </row>
    <row r="12" spans="2:16">
      <c r="B12" s="120">
        <f t="shared" ref="B12:B61" si="10">B11</f>
        <v>10000</v>
      </c>
      <c r="C12" s="7">
        <v>0.26</v>
      </c>
      <c r="D12" s="7">
        <f t="shared" si="0"/>
        <v>280.12064820226885</v>
      </c>
      <c r="E12" s="11">
        <f t="shared" si="1"/>
        <v>0.72604502101373469</v>
      </c>
      <c r="F12" s="19">
        <f t="shared" si="2"/>
        <v>0.14848877139488159</v>
      </c>
      <c r="G12" s="16">
        <f t="shared" si="3"/>
        <v>1738.3970970480864</v>
      </c>
      <c r="H12" s="12">
        <f t="shared" si="4"/>
        <v>2844.6064311678119</v>
      </c>
      <c r="I12" s="12">
        <f t="shared" si="5"/>
        <v>2992.1349853525649</v>
      </c>
      <c r="J12" s="141">
        <f t="shared" si="6"/>
        <v>0.6111204270653402</v>
      </c>
      <c r="K12" s="267" cm="1">
        <f t="array" ref="K12">InterpolateXYZ(J12,C12,B12,FFnorm_PS,FFnorm_M,FFnorm_h,FFnorm_table)*numeng</f>
        <v>1828.5548100858048</v>
      </c>
      <c r="L12" s="11">
        <f t="shared" si="7"/>
        <v>1.0518625538381376</v>
      </c>
      <c r="M12" s="521" cm="1">
        <f t="array" ref="M12">($D$5/G12)*(C12*Linterp($D$6,atmos_h,atmos_vela)/L12)</f>
        <v>771.00108142333568</v>
      </c>
      <c r="N12" s="83">
        <f t="shared" si="8"/>
        <v>4.6484797464731926</v>
      </c>
      <c r="O12" s="522">
        <f t="shared" si="9"/>
        <v>9.0706009579215957E-2</v>
      </c>
      <c r="P12" s="12"/>
    </row>
    <row r="13" spans="2:16">
      <c r="B13" s="120">
        <f t="shared" si="10"/>
        <v>10000</v>
      </c>
      <c r="C13" s="7">
        <v>0.27</v>
      </c>
      <c r="D13" s="7">
        <f t="shared" si="0"/>
        <v>290.8945192869715</v>
      </c>
      <c r="E13" s="11">
        <f t="shared" si="1"/>
        <v>0.67325985487693385</v>
      </c>
      <c r="F13" s="19">
        <f t="shared" si="2"/>
        <v>0.12154781643609702</v>
      </c>
      <c r="G13" s="16">
        <f t="shared" si="3"/>
        <v>1534.558212884499</v>
      </c>
      <c r="H13" s="12">
        <f t="shared" si="4"/>
        <v>2853.4681334455931</v>
      </c>
      <c r="I13" s="12">
        <f t="shared" si="5"/>
        <v>3001.4562781418254</v>
      </c>
      <c r="J13" s="141">
        <f t="shared" si="6"/>
        <v>0.53778705109683622</v>
      </c>
      <c r="K13" s="267" cm="1">
        <f t="array" ref="K13">InterpolateXYZ(J13,C13,B13,FFnorm_PS,FFnorm_M,FFnorm_h,FFnorm_table)*numeng</f>
        <v>1614.1443208179776</v>
      </c>
      <c r="L13" s="11">
        <f t="shared" si="7"/>
        <v>1.0518625538381376</v>
      </c>
      <c r="M13" s="521" cm="1">
        <f t="array" ref="M13">($D$5/G13)*(C13*Linterp($D$6,atmos_h,atmos_vela)/L13)</f>
        <v>907.00780358580403</v>
      </c>
      <c r="N13" s="83">
        <f t="shared" si="8"/>
        <v>5.265947964115484</v>
      </c>
      <c r="O13" s="522">
        <f t="shared" si="9"/>
        <v>0.1067068004218593</v>
      </c>
      <c r="P13" s="12"/>
    </row>
    <row r="14" spans="2:16">
      <c r="B14" s="120">
        <f t="shared" si="10"/>
        <v>10000</v>
      </c>
      <c r="C14" s="7">
        <v>0.28000000000000003</v>
      </c>
      <c r="D14" s="7">
        <f t="shared" si="0"/>
        <v>301.66839037167421</v>
      </c>
      <c r="E14" s="11">
        <f t="shared" si="1"/>
        <v>0.62602861505776108</v>
      </c>
      <c r="F14" s="19">
        <f t="shared" si="2"/>
        <v>0.10084053339529936</v>
      </c>
      <c r="G14" s="16">
        <f t="shared" si="3"/>
        <v>1369.1778829965451</v>
      </c>
      <c r="H14" s="12">
        <f t="shared" si="4"/>
        <v>2862.3298357233743</v>
      </c>
      <c r="I14" s="12">
        <f t="shared" si="5"/>
        <v>3010.7775709310854</v>
      </c>
      <c r="J14" s="141">
        <f t="shared" si="6"/>
        <v>0.47834385328639928</v>
      </c>
      <c r="K14" s="267" cm="1">
        <f t="array" ref="K14">InterpolateXYZ(J14,C14,B14,FFnorm_PS,FFnorm_M,FFnorm_h,FFnorm_table)*numeng</f>
        <v>1440.1869446674407</v>
      </c>
      <c r="L14" s="11">
        <f t="shared" si="7"/>
        <v>1.0518625538381376</v>
      </c>
      <c r="M14" s="521" cm="1">
        <f t="array" ref="M14">($D$5/G14)*(C14*Linterp($D$6,atmos_h,atmos_vela)/L14)</f>
        <v>1054.2140100595184</v>
      </c>
      <c r="N14" s="83">
        <f t="shared" si="8"/>
        <v>5.9020115627855301</v>
      </c>
      <c r="O14" s="522">
        <f t="shared" si="9"/>
        <v>0.12402517765406099</v>
      </c>
      <c r="P14" s="12"/>
    </row>
    <row r="15" spans="2:16">
      <c r="B15" s="120">
        <f t="shared" si="10"/>
        <v>10000</v>
      </c>
      <c r="C15" s="7">
        <v>0.28999999999999998</v>
      </c>
      <c r="D15" s="7">
        <f t="shared" si="0"/>
        <v>312.4422614563768</v>
      </c>
      <c r="E15" s="11">
        <f t="shared" si="1"/>
        <v>0.58359861379938749</v>
      </c>
      <c r="F15" s="19">
        <f t="shared" si="2"/>
        <v>8.4286366119208297E-2</v>
      </c>
      <c r="G15" s="16">
        <f t="shared" si="3"/>
        <v>1227.6144854921561</v>
      </c>
      <c r="H15" s="12">
        <f t="shared" si="4"/>
        <v>2871.191538001156</v>
      </c>
      <c r="I15" s="12">
        <f t="shared" si="5"/>
        <v>3020.0988637203454</v>
      </c>
      <c r="J15" s="141">
        <f t="shared" si="6"/>
        <v>0.42756272761474745</v>
      </c>
      <c r="K15" s="267" cm="1">
        <f t="array" ref="K15">InterpolateXYZ(J15,C15,B15,FFnorm_PS,FFnorm_M,FFnorm_h,FFnorm_table)*numeng</f>
        <v>1291.2817078384705</v>
      </c>
      <c r="L15" s="11">
        <f t="shared" si="7"/>
        <v>1.0518625538381376</v>
      </c>
      <c r="M15" s="521" cm="1">
        <f t="array" ref="M15">($D$5/G15)*(C15*Linterp($D$6,atmos_h,atmos_vela)/L15)</f>
        <v>1217.7737853059944</v>
      </c>
      <c r="N15" s="83">
        <f t="shared" si="8"/>
        <v>6.5826069930383344</v>
      </c>
      <c r="O15" s="522">
        <f t="shared" si="9"/>
        <v>0.14326750415364639</v>
      </c>
      <c r="P15" s="12"/>
    </row>
    <row r="16" spans="2:16">
      <c r="B16" s="120">
        <f t="shared" si="10"/>
        <v>10000</v>
      </c>
      <c r="C16" s="7">
        <v>0.3</v>
      </c>
      <c r="D16" s="7">
        <f t="shared" si="0"/>
        <v>323.21613254107945</v>
      </c>
      <c r="E16" s="11">
        <f t="shared" si="1"/>
        <v>0.54534048245031652</v>
      </c>
      <c r="F16" s="19">
        <f t="shared" si="2"/>
        <v>7.2291571006949065E-2</v>
      </c>
      <c r="G16" s="16">
        <f t="shared" si="3"/>
        <v>1126.7792752118846</v>
      </c>
      <c r="H16" s="12">
        <f t="shared" si="4"/>
        <v>2880.0532402789372</v>
      </c>
      <c r="I16" s="12">
        <f t="shared" si="5"/>
        <v>3029.4201565096059</v>
      </c>
      <c r="J16" s="141">
        <f t="shared" si="6"/>
        <v>0.391235571430879</v>
      </c>
      <c r="K16" s="267" cm="1">
        <f t="array" ref="K16">InterpolateXYZ(J16,C16,B16,FFnorm_PS,FFnorm_M,FFnorm_h,FFnorm_table)*numeng</f>
        <v>1185.2169260362587</v>
      </c>
      <c r="L16" s="11">
        <f t="shared" si="7"/>
        <v>1.0518625538381376</v>
      </c>
      <c r="M16" s="521" cm="1">
        <f t="array" ref="M16">($D$5/G16)*(C16*Linterp($D$6,atmos_h,atmos_vela)/L16)</f>
        <v>1372.5021442013169</v>
      </c>
      <c r="N16" s="83">
        <f t="shared" si="8"/>
        <v>7.1716829326988227</v>
      </c>
      <c r="O16" s="522">
        <f t="shared" si="9"/>
        <v>0.16147084049427257</v>
      </c>
      <c r="P16" s="12"/>
    </row>
    <row r="17" spans="2:16">
      <c r="B17" s="120">
        <f t="shared" si="10"/>
        <v>10000</v>
      </c>
      <c r="C17" s="7">
        <v>0.31</v>
      </c>
      <c r="D17" s="7">
        <f t="shared" si="0"/>
        <v>333.99000362578209</v>
      </c>
      <c r="E17" s="11">
        <f t="shared" si="1"/>
        <v>0.51072469740404236</v>
      </c>
      <c r="F17" s="19">
        <f t="shared" si="2"/>
        <v>6.1436830287465258E-2</v>
      </c>
      <c r="G17" s="16">
        <f t="shared" si="3"/>
        <v>1022.4942324070215</v>
      </c>
      <c r="H17" s="12">
        <f t="shared" si="4"/>
        <v>2888.9149425567184</v>
      </c>
      <c r="I17" s="12">
        <f t="shared" si="5"/>
        <v>3038.7414492988664</v>
      </c>
      <c r="J17" s="141">
        <f t="shared" si="6"/>
        <v>0.35393711920853715</v>
      </c>
      <c r="K17" s="267" cm="1">
        <f t="array" ref="K17">InterpolateXYZ(J17,C17,B17,FFnorm_PS,FFnorm_M,FFnorm_h,FFnorm_table)*numeng</f>
        <v>1075.5233945844159</v>
      </c>
      <c r="L17" s="11">
        <f t="shared" si="7"/>
        <v>1.0518625538381376</v>
      </c>
      <c r="M17" s="521" cm="1">
        <f t="array" ref="M17">($D$5/G17)*(C17*Linterp($D$6,atmos_h,atmos_vela)/L17)</f>
        <v>1562.900946525288</v>
      </c>
      <c r="N17" s="83">
        <f t="shared" si="8"/>
        <v>7.903128879204357</v>
      </c>
      <c r="O17" s="522">
        <f t="shared" si="9"/>
        <v>0.18387069959121036</v>
      </c>
      <c r="P17" s="12"/>
    </row>
    <row r="18" spans="2:16">
      <c r="B18" s="120">
        <f t="shared" si="10"/>
        <v>10000</v>
      </c>
      <c r="C18" s="7">
        <v>0.32</v>
      </c>
      <c r="D18" s="7">
        <f t="shared" si="0"/>
        <v>344.76387471048474</v>
      </c>
      <c r="E18" s="11">
        <f t="shared" si="1"/>
        <v>0.47930315840359838</v>
      </c>
      <c r="F18" s="19">
        <f t="shared" si="2"/>
        <v>5.3899934839123274E-2</v>
      </c>
      <c r="G18" s="16">
        <f t="shared" si="3"/>
        <v>955.86569397642484</v>
      </c>
      <c r="H18" s="12">
        <f t="shared" si="4"/>
        <v>2897.7766448345001</v>
      </c>
      <c r="I18" s="12">
        <f t="shared" si="5"/>
        <v>3048.0627420881265</v>
      </c>
      <c r="J18" s="141">
        <f t="shared" si="6"/>
        <v>0.3298617564884877</v>
      </c>
      <c r="K18" s="267" cm="1">
        <f t="array" ref="K18">InterpolateXYZ(J18,C18,B18,FFnorm_PS,FFnorm_M,FFnorm_h,FFnorm_table)*numeng</f>
        <v>1005.4393299923058</v>
      </c>
      <c r="L18" s="11">
        <f t="shared" si="7"/>
        <v>1.0518625538381374</v>
      </c>
      <c r="M18" s="521" cm="1">
        <f t="array" ref="M18">($D$5/G18)*(C18*Linterp($D$6,atmos_h,atmos_vela)/L18)</f>
        <v>1725.7732403376026</v>
      </c>
      <c r="N18" s="83">
        <f t="shared" si="8"/>
        <v>8.4540158182046135</v>
      </c>
      <c r="O18" s="522">
        <f t="shared" si="9"/>
        <v>0.20303214592207089</v>
      </c>
      <c r="P18" s="12"/>
    </row>
    <row r="19" spans="2:16">
      <c r="B19" s="120">
        <f t="shared" si="10"/>
        <v>10000</v>
      </c>
      <c r="C19" s="7">
        <v>0.33</v>
      </c>
      <c r="D19" s="7">
        <f t="shared" si="0"/>
        <v>355.53774579518739</v>
      </c>
      <c r="E19" s="11">
        <f t="shared" si="1"/>
        <v>0.45069461359530288</v>
      </c>
      <c r="F19" s="19">
        <f t="shared" si="2"/>
        <v>4.8129617332655882E-2</v>
      </c>
      <c r="G19" s="16">
        <f t="shared" si="3"/>
        <v>907.71385986637119</v>
      </c>
      <c r="H19" s="12">
        <f t="shared" si="4"/>
        <v>2906.6383471122813</v>
      </c>
      <c r="I19" s="12">
        <f t="shared" si="5"/>
        <v>3057.384034877387</v>
      </c>
      <c r="J19" s="141">
        <f t="shared" si="6"/>
        <v>0.3122899210244634</v>
      </c>
      <c r="K19" s="267" cm="1">
        <f t="array" ref="K19">InterpolateXYZ(J19,C19,B19,FFnorm_PS,FFnorm_M,FFnorm_h,FFnorm_table)*numeng</f>
        <v>954.79021879331447</v>
      </c>
      <c r="L19" s="11">
        <f t="shared" si="7"/>
        <v>1.0518625538381374</v>
      </c>
      <c r="M19" s="521" cm="1">
        <f t="array" ref="M19">($D$5/G19)*(C19*Linterp($D$6,atmos_h,atmos_vela)/L19)</f>
        <v>1874.1122545461023</v>
      </c>
      <c r="N19" s="83">
        <f t="shared" si="8"/>
        <v>8.902479133837895</v>
      </c>
      <c r="O19" s="522">
        <f t="shared" si="9"/>
        <v>0.22048379465248263</v>
      </c>
      <c r="P19" s="12"/>
    </row>
    <row r="20" spans="2:16">
      <c r="B20" s="120">
        <f t="shared" si="10"/>
        <v>10000</v>
      </c>
      <c r="C20" s="7">
        <v>0.34</v>
      </c>
      <c r="D20" s="7">
        <f t="shared" si="0"/>
        <v>366.31161687989004</v>
      </c>
      <c r="E20" s="11">
        <f t="shared" si="1"/>
        <v>0.42457303996996948</v>
      </c>
      <c r="F20" s="19">
        <f t="shared" si="2"/>
        <v>4.2859181033963863E-2</v>
      </c>
      <c r="G20" s="16">
        <f t="shared" si="3"/>
        <v>858.04562346789692</v>
      </c>
      <c r="H20" s="12">
        <f t="shared" si="4"/>
        <v>2915.5000493900625</v>
      </c>
      <c r="I20" s="12">
        <f t="shared" si="5"/>
        <v>3066.7053276666475</v>
      </c>
      <c r="J20" s="141">
        <f t="shared" si="6"/>
        <v>0.29430478783473335</v>
      </c>
      <c r="K20" s="267" cm="1">
        <f t="array" ref="K20">InterpolateXYZ(J20,C20,B20,FFnorm_PS,FFnorm_M,FFnorm_h,FFnorm_table)*numeng</f>
        <v>902.54606081057909</v>
      </c>
      <c r="L20" s="11">
        <f t="shared" si="7"/>
        <v>1.0518625538381376</v>
      </c>
      <c r="M20" s="521" cm="1">
        <f t="array" ref="M20">($D$5/G20)*(C20*Linterp($D$6,atmos_h,atmos_vela)/L20)</f>
        <v>2042.6744835417833</v>
      </c>
      <c r="N20" s="83">
        <f t="shared" si="8"/>
        <v>9.4178018929761063</v>
      </c>
      <c r="O20" s="522">
        <f t="shared" si="9"/>
        <v>0.24031464512256273</v>
      </c>
      <c r="P20" s="12"/>
    </row>
    <row r="21" spans="2:16">
      <c r="B21" s="120">
        <f t="shared" si="10"/>
        <v>10000</v>
      </c>
      <c r="C21" s="7">
        <v>0.35</v>
      </c>
      <c r="D21" s="7">
        <f t="shared" si="0"/>
        <v>377.08548796459269</v>
      </c>
      <c r="E21" s="11">
        <f t="shared" si="1"/>
        <v>0.40065831363696724</v>
      </c>
      <c r="F21" s="19">
        <f t="shared" si="2"/>
        <v>3.8032321041030416E-2</v>
      </c>
      <c r="G21" s="16">
        <f t="shared" si="3"/>
        <v>806.85890656863978</v>
      </c>
      <c r="H21" s="12">
        <f t="shared" si="4"/>
        <v>2924.3617516678437</v>
      </c>
      <c r="I21" s="12">
        <f t="shared" si="5"/>
        <v>3076.0266204559075</v>
      </c>
      <c r="J21" s="141">
        <f t="shared" si="6"/>
        <v>0.27590940351632831</v>
      </c>
      <c r="K21" s="267" cm="1">
        <f t="array" ref="K21">InterpolateXYZ(J21,C21,B21,FFnorm_PS,FFnorm_M,FFnorm_h,FFnorm_table)*numeng</f>
        <v>848.70467005033674</v>
      </c>
      <c r="L21" s="11">
        <f t="shared" si="7"/>
        <v>1.0518625538381376</v>
      </c>
      <c r="M21" s="521" cm="1">
        <f t="array" ref="M21">($D$5/G21)*(C21*Linterp($D$6,atmos_h,atmos_vela)/L21)</f>
        <v>2236.1507302699006</v>
      </c>
      <c r="N21" s="83">
        <f t="shared" si="8"/>
        <v>10.015262434570866</v>
      </c>
      <c r="O21" s="522">
        <f t="shared" si="9"/>
        <v>0.26307655650234124</v>
      </c>
      <c r="P21" s="12"/>
    </row>
    <row r="22" spans="2:16">
      <c r="B22" s="120">
        <f t="shared" si="10"/>
        <v>10000</v>
      </c>
      <c r="C22" s="7">
        <v>0.36</v>
      </c>
      <c r="D22" s="7">
        <f t="shared" si="0"/>
        <v>387.85935904929534</v>
      </c>
      <c r="E22" s="11">
        <f t="shared" si="1"/>
        <v>0.37870866836827538</v>
      </c>
      <c r="F22" s="19">
        <f t="shared" si="2"/>
        <v>3.4861953741203031E-2</v>
      </c>
      <c r="G22" s="16">
        <f t="shared" si="3"/>
        <v>782.46586769981957</v>
      </c>
      <c r="H22" s="12">
        <f t="shared" si="4"/>
        <v>2933.2234539456254</v>
      </c>
      <c r="I22" s="12">
        <f t="shared" si="5"/>
        <v>3085.347913245168</v>
      </c>
      <c r="J22" s="141">
        <f t="shared" si="6"/>
        <v>0.26675972014586397</v>
      </c>
      <c r="K22" s="267" cm="1">
        <f t="array" ref="K22">InterpolateXYZ(J22,C22,B22,FFnorm_PS,FFnorm_M,FFnorm_h,FFnorm_table)*numeng</f>
        <v>823.04654588990638</v>
      </c>
      <c r="L22" s="11">
        <f t="shared" si="7"/>
        <v>1.0518625538381374</v>
      </c>
      <c r="M22" s="521" cm="1">
        <f t="array" ref="M22">($D$5/G22)*(C22*Linterp($D$6,atmos_h,atmos_vela)/L22)</f>
        <v>2371.7435381294513</v>
      </c>
      <c r="N22" s="83">
        <f t="shared" si="8"/>
        <v>10.327483958771136</v>
      </c>
      <c r="O22" s="522">
        <f t="shared" si="9"/>
        <v>0.27902865154464135</v>
      </c>
      <c r="P22" s="12"/>
    </row>
    <row r="23" spans="2:16">
      <c r="B23" s="120">
        <f t="shared" si="10"/>
        <v>10000</v>
      </c>
      <c r="C23" s="7">
        <v>0.37</v>
      </c>
      <c r="D23" s="7">
        <f t="shared" si="0"/>
        <v>398.63323013399798</v>
      </c>
      <c r="E23" s="11">
        <f t="shared" si="1"/>
        <v>0.35851456114337832</v>
      </c>
      <c r="F23" s="19">
        <f t="shared" si="2"/>
        <v>3.1979439042073877E-2</v>
      </c>
      <c r="G23" s="16">
        <f t="shared" si="3"/>
        <v>758.19858192292168</v>
      </c>
      <c r="H23" s="12">
        <f t="shared" si="4"/>
        <v>2942.0851562234066</v>
      </c>
      <c r="I23" s="12">
        <f t="shared" si="5"/>
        <v>3094.6692060344285</v>
      </c>
      <c r="J23" s="141">
        <f t="shared" si="6"/>
        <v>0.25770789819563877</v>
      </c>
      <c r="K23" s="267" cm="1">
        <f t="array" ref="K23">InterpolateXYZ(J23,C23,B23,FFnorm_PS,FFnorm_M,FFnorm_h,FFnorm_table)*numeng</f>
        <v>797.52069669789876</v>
      </c>
      <c r="L23" s="11">
        <f t="shared" si="7"/>
        <v>1.0518625538381376</v>
      </c>
      <c r="M23" s="521" cm="1">
        <f t="array" ref="M23">($D$5/G23)*(C23*Linterp($D$6,atmos_h,atmos_vela)/L23)</f>
        <v>2515.6451665501359</v>
      </c>
      <c r="N23" s="83">
        <f t="shared" si="8"/>
        <v>10.658030613116244</v>
      </c>
      <c r="O23" s="522">
        <f t="shared" si="9"/>
        <v>0.29595825488825128</v>
      </c>
      <c r="P23" s="12"/>
    </row>
    <row r="24" spans="2:16">
      <c r="B24" s="120">
        <f t="shared" si="10"/>
        <v>10000</v>
      </c>
      <c r="C24" s="7">
        <v>0.38</v>
      </c>
      <c r="D24" s="7">
        <f t="shared" si="0"/>
        <v>409.40710121870063</v>
      </c>
      <c r="E24" s="11">
        <f t="shared" si="1"/>
        <v>0.33989365249673464</v>
      </c>
      <c r="F24" s="19">
        <f t="shared" si="2"/>
        <v>2.9931359265359687E-2</v>
      </c>
      <c r="G24" s="16">
        <f t="shared" si="3"/>
        <v>748.51810819856814</v>
      </c>
      <c r="H24" s="12">
        <f t="shared" si="4"/>
        <v>2950.9468585011878</v>
      </c>
      <c r="I24" s="12">
        <f t="shared" si="5"/>
        <v>3103.990498823689</v>
      </c>
      <c r="J24" s="141">
        <f t="shared" si="6"/>
        <v>0.25365353701379334</v>
      </c>
      <c r="K24" s="267" cm="1">
        <f t="array" ref="K24">InterpolateXYZ(J24,C24,B24,FFnorm_PS,FFnorm_M,FFnorm_h,FFnorm_table)*numeng</f>
        <v>787.3381688838374</v>
      </c>
      <c r="L24" s="11">
        <f t="shared" si="7"/>
        <v>1.0518625538381376</v>
      </c>
      <c r="M24" s="521" cm="1">
        <f t="array" ref="M24">($D$5/G24)*(C24*Linterp($D$6,atmos_h,atmos_vela)/L24)</f>
        <v>2617.0493523392047</v>
      </c>
      <c r="N24" s="83">
        <f t="shared" si="8"/>
        <v>10.795869342965993</v>
      </c>
      <c r="O24" s="522">
        <f t="shared" si="9"/>
        <v>0.30788815909872996</v>
      </c>
      <c r="P24" s="12"/>
    </row>
    <row r="25" spans="2:16">
      <c r="B25" s="120">
        <f t="shared" si="10"/>
        <v>10000</v>
      </c>
      <c r="C25" s="7">
        <v>0.39</v>
      </c>
      <c r="D25" s="7">
        <f t="shared" si="0"/>
        <v>420.18097230340328</v>
      </c>
      <c r="E25" s="11">
        <f t="shared" si="1"/>
        <v>0.32268667600610434</v>
      </c>
      <c r="F25" s="19">
        <f t="shared" si="2"/>
        <v>2.8513292425495978E-2</v>
      </c>
      <c r="G25" s="16">
        <f t="shared" si="3"/>
        <v>751.07837923909483</v>
      </c>
      <c r="H25" s="12">
        <f t="shared" si="4"/>
        <v>2959.8085607789694</v>
      </c>
      <c r="I25" s="12">
        <f t="shared" si="5"/>
        <v>3113.311791612949</v>
      </c>
      <c r="J25" s="141">
        <f t="shared" si="6"/>
        <v>0.25375910766384979</v>
      </c>
      <c r="K25" s="267" cm="1">
        <f t="array" ref="K25">InterpolateXYZ(J25,C25,B25,FFnorm_PS,FFnorm_M,FFnorm_h,FFnorm_table)*numeng</f>
        <v>790.03122211904338</v>
      </c>
      <c r="L25" s="11">
        <f t="shared" si="7"/>
        <v>1.0518625538381374</v>
      </c>
      <c r="M25" s="521" cm="1">
        <f t="array" ref="M25">($D$5/G25)*(C25*Linterp($D$6,atmos_h,atmos_vela)/L25)</f>
        <v>2676.7633288654324</v>
      </c>
      <c r="N25" s="83">
        <f t="shared" si="8"/>
        <v>10.759068454536603</v>
      </c>
      <c r="O25" s="522">
        <f t="shared" si="9"/>
        <v>0.31491333280769795</v>
      </c>
      <c r="P25" s="12"/>
    </row>
    <row r="26" spans="2:16">
      <c r="B26" s="120">
        <f t="shared" si="10"/>
        <v>10000</v>
      </c>
      <c r="C26" s="7">
        <v>0.4</v>
      </c>
      <c r="D26" s="7">
        <f t="shared" si="0"/>
        <v>430.95484338810593</v>
      </c>
      <c r="E26" s="11">
        <f t="shared" si="1"/>
        <v>0.30675402137830299</v>
      </c>
      <c r="F26" s="19">
        <f t="shared" si="2"/>
        <v>2.7198764236987118E-2</v>
      </c>
      <c r="G26" s="16">
        <f t="shared" si="3"/>
        <v>753.66410838108334</v>
      </c>
      <c r="H26" s="12">
        <f t="shared" si="4"/>
        <v>2968.6702630567506</v>
      </c>
      <c r="I26" s="12">
        <f t="shared" si="5"/>
        <v>3122.6330844022095</v>
      </c>
      <c r="J26" s="141">
        <f t="shared" si="6"/>
        <v>0.25387262363219082</v>
      </c>
      <c r="K26" s="267" cm="1">
        <f t="array" ref="K26">InterpolateXYZ(J26,C26,B26,FFnorm_PS,FFnorm_M,FFnorm_h,FFnorm_table)*numeng</f>
        <v>792.75105377786929</v>
      </c>
      <c r="L26" s="11">
        <f t="shared" si="7"/>
        <v>1.0518625538381376</v>
      </c>
      <c r="M26" s="521" cm="1">
        <f t="array" ref="M26">($D$5/G26)*(C26*Linterp($D$6,atmos_h,atmos_vela)/L26)</f>
        <v>2735.9791611356936</v>
      </c>
      <c r="N26" s="83">
        <f t="shared" si="8"/>
        <v>10.72215540993998</v>
      </c>
      <c r="O26" s="522">
        <f t="shared" si="9"/>
        <v>0.3218799013100816</v>
      </c>
      <c r="P26" s="12"/>
    </row>
    <row r="27" spans="2:16">
      <c r="B27" s="120">
        <f t="shared" si="10"/>
        <v>10000</v>
      </c>
      <c r="C27" s="7">
        <v>0.41</v>
      </c>
      <c r="D27" s="7">
        <f t="shared" si="0"/>
        <v>441.72871447280858</v>
      </c>
      <c r="E27" s="11">
        <f t="shared" si="1"/>
        <v>0.29197289363788509</v>
      </c>
      <c r="F27" s="19">
        <f t="shared" si="2"/>
        <v>2.612830585236782E-2</v>
      </c>
      <c r="G27" s="16">
        <f t="shared" si="3"/>
        <v>760.6548572984002</v>
      </c>
      <c r="H27" s="12">
        <f t="shared" si="4"/>
        <v>2977.5319653345318</v>
      </c>
      <c r="I27" s="12">
        <f t="shared" si="5"/>
        <v>3131.95437719147</v>
      </c>
      <c r="J27" s="141">
        <f t="shared" si="6"/>
        <v>0.25546488372054776</v>
      </c>
      <c r="K27" s="267" cm="1">
        <f t="array" ref="K27">InterpolateXYZ(J27,C27,B27,FFnorm_PS,FFnorm_M,FFnorm_h,FFnorm_table)*numeng</f>
        <v>800.10436078727935</v>
      </c>
      <c r="L27" s="11">
        <f t="shared" si="7"/>
        <v>1.0518625538381376</v>
      </c>
      <c r="M27" s="521" cm="1">
        <f t="array" ref="M27">($D$5/G27)*(C27*Linterp($D$6,atmos_h,atmos_vela)/L27)</f>
        <v>2778.6051809475066</v>
      </c>
      <c r="N27" s="83">
        <f t="shared" si="8"/>
        <v>10.623614139080868</v>
      </c>
      <c r="O27" s="522">
        <f t="shared" si="9"/>
        <v>0.32689472717029489</v>
      </c>
      <c r="P27" s="12"/>
    </row>
    <row r="28" spans="2:16">
      <c r="B28" s="120">
        <f t="shared" si="10"/>
        <v>10000</v>
      </c>
      <c r="C28" s="7">
        <v>0.42</v>
      </c>
      <c r="D28" s="7">
        <f t="shared" si="0"/>
        <v>452.50258555751122</v>
      </c>
      <c r="E28" s="11">
        <f t="shared" si="1"/>
        <v>0.27823494002567167</v>
      </c>
      <c r="F28" s="19">
        <f t="shared" si="2"/>
        <v>2.5249683751604482E-2</v>
      </c>
      <c r="G28" s="16">
        <f t="shared" si="3"/>
        <v>771.37081298572957</v>
      </c>
      <c r="H28" s="12">
        <f t="shared" si="4"/>
        <v>2986.3936676123135</v>
      </c>
      <c r="I28" s="12">
        <f t="shared" si="5"/>
        <v>3141.2756699807301</v>
      </c>
      <c r="J28" s="141">
        <f t="shared" si="6"/>
        <v>0.25829508726572448</v>
      </c>
      <c r="K28" s="267" cm="1">
        <f t="array" ref="K28">InterpolateXYZ(J28,C28,B28,FFnorm_PS,FFnorm_M,FFnorm_h,FFnorm_table)*numeng</f>
        <v>811.37607330336982</v>
      </c>
      <c r="L28" s="11">
        <f t="shared" si="7"/>
        <v>1.0518625538381374</v>
      </c>
      <c r="M28" s="521" cm="1">
        <f t="array" ref="M28">($D$5/G28)*(C28*Linterp($D$6,atmos_h,atmos_vela)/L28)</f>
        <v>2806.8339160998821</v>
      </c>
      <c r="N28" s="83">
        <f t="shared" si="8"/>
        <v>10.476029894982975</v>
      </c>
      <c r="O28" s="522">
        <f t="shared" si="9"/>
        <v>0.33021575483528026</v>
      </c>
      <c r="P28" s="12"/>
    </row>
    <row r="29" spans="2:16">
      <c r="B29" s="120">
        <f t="shared" si="10"/>
        <v>10000</v>
      </c>
      <c r="C29" s="7">
        <v>0.43</v>
      </c>
      <c r="D29" s="7">
        <f t="shared" si="0"/>
        <v>463.27645664221387</v>
      </c>
      <c r="E29" s="11">
        <f t="shared" si="1"/>
        <v>0.26544425862914267</v>
      </c>
      <c r="F29" s="19">
        <f t="shared" si="2"/>
        <v>2.4430266164321417E-2</v>
      </c>
      <c r="G29" s="16">
        <f t="shared" si="3"/>
        <v>782.30082454657281</v>
      </c>
      <c r="H29" s="12">
        <f t="shared" si="4"/>
        <v>2995.2553698900947</v>
      </c>
      <c r="I29" s="12">
        <f t="shared" si="5"/>
        <v>3150.5969627699906</v>
      </c>
      <c r="J29" s="141">
        <f t="shared" si="6"/>
        <v>0.26118000902716948</v>
      </c>
      <c r="K29" s="267" cm="1">
        <f t="array" ref="K29">InterpolateXYZ(J29,C29,B29,FFnorm_PS,FFnorm_M,FFnorm_h,FFnorm_table)*numeng</f>
        <v>822.87294317723888</v>
      </c>
      <c r="L29" s="11">
        <f t="shared" si="7"/>
        <v>1.0518625538381376</v>
      </c>
      <c r="M29" s="521" cm="1">
        <f t="array" ref="M29">($D$5/G29)*(C29*Linterp($D$6,atmos_h,atmos_vela)/L29)</f>
        <v>2833.5135571898968</v>
      </c>
      <c r="N29" s="83">
        <f t="shared" si="8"/>
        <v>10.329662763221007</v>
      </c>
      <c r="O29" s="522">
        <f t="shared" si="9"/>
        <v>0.33335453613998783</v>
      </c>
      <c r="P29" s="12"/>
    </row>
    <row r="30" spans="2:16">
      <c r="B30" s="120">
        <f t="shared" si="10"/>
        <v>10000</v>
      </c>
      <c r="C30" s="7">
        <v>0.44</v>
      </c>
      <c r="D30" s="7">
        <f t="shared" si="0"/>
        <v>474.05032772691652</v>
      </c>
      <c r="E30" s="11">
        <f t="shared" si="1"/>
        <v>0.25351572014735785</v>
      </c>
      <c r="F30" s="19">
        <f t="shared" si="2"/>
        <v>2.3664732509209866E-2</v>
      </c>
      <c r="G30" s="16">
        <f t="shared" si="3"/>
        <v>793.44281376856577</v>
      </c>
      <c r="H30" s="12">
        <f t="shared" si="4"/>
        <v>3004.1170721678759</v>
      </c>
      <c r="I30" s="12">
        <f t="shared" si="5"/>
        <v>3159.9182555592506</v>
      </c>
      <c r="J30" s="141">
        <f t="shared" si="6"/>
        <v>0.26411847298480606</v>
      </c>
      <c r="K30" s="267" cm="1">
        <f t="array" ref="K30">InterpolateXYZ(J30,C30,B30,FFnorm_PS,FFnorm_M,FFnorm_h,FFnorm_table)*numeng</f>
        <v>834.5927844151214</v>
      </c>
      <c r="L30" s="11">
        <f t="shared" si="7"/>
        <v>1.0518625538381376</v>
      </c>
      <c r="M30" s="521" cm="1">
        <f t="array" ref="M30">($D$5/G30)*(C30*Linterp($D$6,atmos_h,atmos_vela)/L30)</f>
        <v>2858.6940169714771</v>
      </c>
      <c r="N30" s="83">
        <f t="shared" si="8"/>
        <v>10.184607581955982</v>
      </c>
      <c r="O30" s="522">
        <f t="shared" si="9"/>
        <v>0.33631694317311495</v>
      </c>
      <c r="P30" s="12"/>
    </row>
    <row r="31" spans="2:16">
      <c r="B31" s="120">
        <f t="shared" si="10"/>
        <v>10000</v>
      </c>
      <c r="C31" s="7">
        <v>0.45</v>
      </c>
      <c r="D31" s="7">
        <f t="shared" si="0"/>
        <v>484.82419881161917</v>
      </c>
      <c r="E31" s="11">
        <f t="shared" si="1"/>
        <v>0.24237354775569619</v>
      </c>
      <c r="F31" s="19">
        <f t="shared" si="2"/>
        <v>2.2948346734731014E-2</v>
      </c>
      <c r="G31" s="16">
        <f t="shared" si="3"/>
        <v>804.79470243934395</v>
      </c>
      <c r="H31" s="12">
        <f t="shared" si="4"/>
        <v>3012.9787744456571</v>
      </c>
      <c r="I31" s="12">
        <f t="shared" si="5"/>
        <v>3169.2395483485111</v>
      </c>
      <c r="J31" s="141">
        <f t="shared" si="6"/>
        <v>0.26710931695408779</v>
      </c>
      <c r="K31" s="267" cm="1">
        <f t="array" ref="K31">InterpolateXYZ(J31,C31,B31,FFnorm_PS,FFnorm_M,FFnorm_h,FFnorm_table)*numeng</f>
        <v>846.53341102325248</v>
      </c>
      <c r="L31" s="11">
        <f t="shared" si="7"/>
        <v>1.0518625538381376</v>
      </c>
      <c r="M31" s="521" cm="1">
        <f t="array" ref="M31">($D$5/G31)*(C31*Linterp($D$6,atmos_h,atmos_vela)/L31)</f>
        <v>2882.425107761831</v>
      </c>
      <c r="N31" s="83">
        <f t="shared" si="8"/>
        <v>10.04095040941807</v>
      </c>
      <c r="O31" s="522">
        <f t="shared" si="9"/>
        <v>0.33910883620727422</v>
      </c>
      <c r="P31" s="12"/>
    </row>
    <row r="32" spans="2:16">
      <c r="B32" s="120">
        <f t="shared" si="10"/>
        <v>10000</v>
      </c>
      <c r="C32" s="7">
        <v>0.46</v>
      </c>
      <c r="D32" s="7">
        <f t="shared" si="0"/>
        <v>495.59806989632182</v>
      </c>
      <c r="E32" s="11">
        <f t="shared" si="1"/>
        <v>0.23195011068302684</v>
      </c>
      <c r="F32" s="19">
        <f t="shared" si="2"/>
        <v>2.227688191768918E-2</v>
      </c>
      <c r="G32" s="16">
        <f t="shared" si="3"/>
        <v>816.3544123465432</v>
      </c>
      <c r="H32" s="12">
        <f t="shared" si="4"/>
        <v>3021.8404767234388</v>
      </c>
      <c r="I32" s="12">
        <f t="shared" si="5"/>
        <v>3178.5608411377716</v>
      </c>
      <c r="J32" s="141">
        <f t="shared" si="6"/>
        <v>0.27015139238313163</v>
      </c>
      <c r="K32" s="267" cm="1">
        <f t="array" ref="K32">InterpolateXYZ(J32,C32,B32,FFnorm_PS,FFnorm_M,FFnorm_h,FFnorm_table)*numeng</f>
        <v>858.69263700786701</v>
      </c>
      <c r="L32" s="11">
        <f t="shared" si="7"/>
        <v>1.0518625538381376</v>
      </c>
      <c r="M32" s="521" cm="1">
        <f t="array" ref="M32">($D$5/G32)*(C32*Linterp($D$6,atmos_h,atmos_vela)/L32)</f>
        <v>2904.7563820527462</v>
      </c>
      <c r="N32" s="83">
        <f t="shared" si="8"/>
        <v>9.8987689350853554</v>
      </c>
      <c r="O32" s="522">
        <f t="shared" si="9"/>
        <v>0.34173604494738191</v>
      </c>
      <c r="P32" s="12"/>
    </row>
    <row r="33" spans="2:16">
      <c r="B33" s="120">
        <f t="shared" si="10"/>
        <v>10000</v>
      </c>
      <c r="C33" s="7">
        <v>0.47</v>
      </c>
      <c r="D33" s="7">
        <f t="shared" si="0"/>
        <v>506.37194098102441</v>
      </c>
      <c r="E33" s="11">
        <f t="shared" si="1"/>
        <v>0.22218489552072651</v>
      </c>
      <c r="F33" s="19">
        <f t="shared" si="2"/>
        <v>2.164655597004541E-2</v>
      </c>
      <c r="G33" s="16">
        <f t="shared" si="3"/>
        <v>828.11986527779936</v>
      </c>
      <c r="H33" s="12">
        <f t="shared" si="4"/>
        <v>3030.70217900122</v>
      </c>
      <c r="I33" s="12">
        <f t="shared" si="5"/>
        <v>3187.8821339270316</v>
      </c>
      <c r="J33" s="141">
        <f t="shared" si="6"/>
        <v>0.27324356415341</v>
      </c>
      <c r="K33" s="267" cm="1">
        <f t="array" ref="K33">InterpolateXYZ(J33,C33,B33,FFnorm_PS,FFnorm_M,FFnorm_h,FFnorm_table)*numeng</f>
        <v>871.06827637520053</v>
      </c>
      <c r="L33" s="11">
        <f t="shared" si="7"/>
        <v>1.0518625538381376</v>
      </c>
      <c r="M33" s="521" cm="1">
        <f t="array" ref="M33">($D$5/G33)*(C33*Linterp($D$6,atmos_h,atmos_vela)/L33)</f>
        <v>2925.7369895883808</v>
      </c>
      <c r="N33" s="83">
        <f t="shared" si="8"/>
        <v>9.7581328932919877</v>
      </c>
      <c r="O33" s="522">
        <f t="shared" si="9"/>
        <v>0.34420435171628011</v>
      </c>
      <c r="P33" s="12"/>
    </row>
    <row r="34" spans="2:16">
      <c r="B34" s="120">
        <f t="shared" si="10"/>
        <v>10000</v>
      </c>
      <c r="C34" s="7">
        <v>0.48</v>
      </c>
      <c r="D34" s="7">
        <f t="shared" si="0"/>
        <v>517.14581206572711</v>
      </c>
      <c r="E34" s="11">
        <f t="shared" si="1"/>
        <v>0.21302362595715488</v>
      </c>
      <c r="F34" s="19">
        <f t="shared" si="2"/>
        <v>2.1053976622322178E-2</v>
      </c>
      <c r="G34" s="16">
        <f t="shared" si="3"/>
        <v>840.0889830207484</v>
      </c>
      <c r="H34" s="12">
        <f t="shared" si="4"/>
        <v>3039.5638812790012</v>
      </c>
      <c r="I34" s="12">
        <f t="shared" si="5"/>
        <v>3197.2034267162921</v>
      </c>
      <c r="J34" s="141">
        <f t="shared" si="6"/>
        <v>0.27638471038392914</v>
      </c>
      <c r="K34" s="267" cm="1">
        <f t="array" ref="K34">InterpolateXYZ(J34,C34,B34,FFnorm_PS,FFnorm_M,FFnorm_h,FFnorm_table)*numeng</f>
        <v>883.65814313148815</v>
      </c>
      <c r="L34" s="11">
        <f t="shared" si="7"/>
        <v>1.0518625538381374</v>
      </c>
      <c r="M34" s="521" cm="1">
        <f t="array" ref="M34">($D$5/G34)*(C34*Linterp($D$6,atmos_h,atmos_vela)/L34)</f>
        <v>2945.4155500700767</v>
      </c>
      <c r="N34" s="83">
        <f t="shared" si="8"/>
        <v>9.6191044761698112</v>
      </c>
      <c r="O34" s="522">
        <f t="shared" si="9"/>
        <v>0.34651947647883258</v>
      </c>
      <c r="P34" s="12"/>
    </row>
    <row r="35" spans="2:16">
      <c r="B35" s="120">
        <f t="shared" si="10"/>
        <v>10000</v>
      </c>
      <c r="C35" s="7">
        <v>0.49</v>
      </c>
      <c r="D35" s="7">
        <f t="shared" si="0"/>
        <v>527.91968315042971</v>
      </c>
      <c r="E35" s="11">
        <f t="shared" si="1"/>
        <v>0.20441750695763633</v>
      </c>
      <c r="F35" s="19">
        <f t="shared" si="2"/>
        <v>2.0496094184852272E-2</v>
      </c>
      <c r="G35" s="16">
        <f t="shared" si="3"/>
        <v>852.25968736302593</v>
      </c>
      <c r="H35" s="12">
        <f t="shared" si="4"/>
        <v>3048.4255835567828</v>
      </c>
      <c r="I35" s="12">
        <f t="shared" si="5"/>
        <v>3206.5247195055522</v>
      </c>
      <c r="J35" s="141">
        <f t="shared" si="6"/>
        <v>0.27957372223882299</v>
      </c>
      <c r="K35" s="267" cm="1">
        <f t="array" ref="K35">InterpolateXYZ(J35,C35,B35,FFnorm_PS,FFnorm_M,FFnorm_h,FFnorm_table)*numeng</f>
        <v>896.46005128296508</v>
      </c>
      <c r="L35" s="11">
        <f t="shared" si="7"/>
        <v>1.0518625538381374</v>
      </c>
      <c r="M35" s="521" cm="1">
        <f t="array" ref="M35">($D$5/G35)*(C35*Linterp($D$6,atmos_h,atmos_vela)/L35)</f>
        <v>2963.8400406137966</v>
      </c>
      <c r="N35" s="83">
        <f t="shared" si="8"/>
        <v>9.4817387432214755</v>
      </c>
      <c r="O35" s="522">
        <f t="shared" si="9"/>
        <v>0.34868706360162316</v>
      </c>
      <c r="P35" s="12"/>
    </row>
    <row r="36" spans="2:16">
      <c r="B36" s="120">
        <f t="shared" si="10"/>
        <v>10000</v>
      </c>
      <c r="C36" s="7">
        <v>0.5</v>
      </c>
      <c r="D36" s="7">
        <f t="shared" si="0"/>
        <v>538.69355423513241</v>
      </c>
      <c r="E36" s="11">
        <f t="shared" si="1"/>
        <v>0.19632257368211392</v>
      </c>
      <c r="F36" s="19">
        <f t="shared" si="2"/>
        <v>2.0062096513079275E-2</v>
      </c>
      <c r="G36" s="16">
        <f t="shared" si="3"/>
        <v>868.61035469763647</v>
      </c>
      <c r="H36" s="12">
        <f t="shared" si="4"/>
        <v>3057.287285834564</v>
      </c>
      <c r="I36" s="12">
        <f t="shared" si="5"/>
        <v>3215.8460122948127</v>
      </c>
      <c r="J36" s="141">
        <f t="shared" si="6"/>
        <v>0.28411146009149979</v>
      </c>
      <c r="K36" s="267" cm="1">
        <f t="array" ref="K36">InterpolateXYZ(J36,C36,B36,FFnorm_PS,FFnorm_M,FFnorm_h,FFnorm_table)*numeng</f>
        <v>913.65870598250638</v>
      </c>
      <c r="L36" s="11">
        <f t="shared" si="7"/>
        <v>1.0518625538381374</v>
      </c>
      <c r="M36" s="521" cm="1">
        <f t="array" ref="M36">($D$5/G36)*(C36*Linterp($D$6,atmos_h,atmos_vela)/L36)</f>
        <v>2967.3968366177601</v>
      </c>
      <c r="N36" s="83">
        <f t="shared" si="8"/>
        <v>9.3032550823882243</v>
      </c>
      <c r="O36" s="522">
        <f t="shared" si="9"/>
        <v>0.34910551019032471</v>
      </c>
      <c r="P36" s="12"/>
    </row>
    <row r="37" spans="2:16">
      <c r="B37" s="120">
        <f t="shared" si="10"/>
        <v>10000</v>
      </c>
      <c r="C37" s="7">
        <v>0.51</v>
      </c>
      <c r="D37" s="7">
        <f t="shared" si="0"/>
        <v>549.46742531983512</v>
      </c>
      <c r="E37" s="11">
        <f t="shared" si="1"/>
        <v>0.18869912887554199</v>
      </c>
      <c r="F37" s="19">
        <f t="shared" si="2"/>
        <v>1.9756217332832827E-2</v>
      </c>
      <c r="G37" s="16">
        <f t="shared" si="3"/>
        <v>889.92380796753525</v>
      </c>
      <c r="H37" s="12">
        <f t="shared" si="4"/>
        <v>3066.1489881123453</v>
      </c>
      <c r="I37" s="12">
        <f t="shared" si="5"/>
        <v>3225.1673050840732</v>
      </c>
      <c r="J37" s="141">
        <f t="shared" si="6"/>
        <v>0.29024154123554546</v>
      </c>
      <c r="K37" s="267" cm="1">
        <f t="array" ref="K37">InterpolateXYZ(J37,C37,B37,FFnorm_PS,FFnorm_M,FFnorm_h,FFnorm_table)*numeng</f>
        <v>936.07752937009207</v>
      </c>
      <c r="L37" s="11">
        <f t="shared" si="7"/>
        <v>1.0518625538381376</v>
      </c>
      <c r="M37" s="521" cm="1">
        <f t="array" ref="M37">($D$5/G37)*(C37*Linterp($D$6,atmos_h,atmos_vela)/L37)</f>
        <v>2954.2549908438564</v>
      </c>
      <c r="N37" s="83">
        <f t="shared" si="8"/>
        <v>9.0804444432288047</v>
      </c>
      <c r="O37" s="522">
        <f t="shared" si="9"/>
        <v>0.3475594106875125</v>
      </c>
      <c r="P37" s="12"/>
    </row>
    <row r="38" spans="2:16">
      <c r="B38" s="120">
        <f t="shared" si="10"/>
        <v>10000</v>
      </c>
      <c r="C38" s="7">
        <v>0.52</v>
      </c>
      <c r="D38" s="7">
        <f t="shared" si="0"/>
        <v>560.24129640453771</v>
      </c>
      <c r="E38" s="11">
        <f t="shared" si="1"/>
        <v>0.18151125525343367</v>
      </c>
      <c r="F38" s="19">
        <f t="shared" si="2"/>
        <v>1.9466672072003765E-2</v>
      </c>
      <c r="G38" s="16">
        <f t="shared" si="3"/>
        <v>911.60579756335426</v>
      </c>
      <c r="H38" s="12">
        <f t="shared" si="4"/>
        <v>3075.0106903901269</v>
      </c>
      <c r="I38" s="12">
        <f t="shared" si="5"/>
        <v>3234.4885978733332</v>
      </c>
      <c r="J38" s="141">
        <f t="shared" si="6"/>
        <v>0.2964561392948194</v>
      </c>
      <c r="K38" s="267" cm="1">
        <f t="array" ref="K38">InterpolateXYZ(J38,C38,B38,FFnorm_PS,FFnorm_M,FFnorm_h,FFnorm_table)*numeng</f>
        <v>958.88400231864193</v>
      </c>
      <c r="L38" s="11">
        <f t="shared" si="7"/>
        <v>1.0518625538381374</v>
      </c>
      <c r="M38" s="521" cm="1">
        <f t="array" ref="M38">($D$5/G38)*(C38*Linterp($D$6,atmos_h,atmos_vela)/L38)</f>
        <v>2940.5386524521628</v>
      </c>
      <c r="N38" s="83">
        <f t="shared" si="8"/>
        <v>8.8644715934841596</v>
      </c>
      <c r="O38" s="522">
        <f t="shared" si="9"/>
        <v>0.34594572381790151</v>
      </c>
      <c r="P38" s="12"/>
    </row>
    <row r="39" spans="2:16">
      <c r="B39" s="120">
        <f t="shared" si="10"/>
        <v>10000</v>
      </c>
      <c r="C39" s="7">
        <v>0.53</v>
      </c>
      <c r="D39" s="7">
        <f t="shared" si="0"/>
        <v>571.01516748924041</v>
      </c>
      <c r="E39" s="11">
        <f t="shared" si="1"/>
        <v>0.17472639167151463</v>
      </c>
      <c r="F39" s="19">
        <f t="shared" si="2"/>
        <v>1.91922396876818E-2</v>
      </c>
      <c r="G39" s="16">
        <f t="shared" si="3"/>
        <v>933.65424527272921</v>
      </c>
      <c r="H39" s="12">
        <f t="shared" si="4"/>
        <v>3083.8723926679081</v>
      </c>
      <c r="I39" s="12">
        <f t="shared" si="5"/>
        <v>3243.8098906625937</v>
      </c>
      <c r="J39" s="141">
        <f t="shared" si="6"/>
        <v>0.30275385177822151</v>
      </c>
      <c r="K39" s="267" cm="1">
        <f t="array" ref="K39">InterpolateXYZ(J39,C39,B39,FFnorm_PS,FFnorm_M,FFnorm_h,FFnorm_table)*numeng</f>
        <v>982.07593883439176</v>
      </c>
      <c r="L39" s="11">
        <f t="shared" si="7"/>
        <v>1.0518625538381374</v>
      </c>
      <c r="M39" s="521" cm="1">
        <f t="array" ref="M39">($D$5/G39)*(C39*Linterp($D$6,atmos_h,atmos_vela)/L39)</f>
        <v>2926.3106013212614</v>
      </c>
      <c r="N39" s="83">
        <f t="shared" si="8"/>
        <v>8.6551351722235434</v>
      </c>
      <c r="O39" s="522">
        <f t="shared" si="9"/>
        <v>0.34427183544956014</v>
      </c>
      <c r="P39" s="12"/>
    </row>
    <row r="40" spans="2:16">
      <c r="B40" s="120">
        <f t="shared" si="10"/>
        <v>10000</v>
      </c>
      <c r="C40" s="7">
        <v>0.54</v>
      </c>
      <c r="D40" s="7">
        <f t="shared" si="0"/>
        <v>581.789038573943</v>
      </c>
      <c r="E40" s="11">
        <f t="shared" si="1"/>
        <v>0.16831496371923346</v>
      </c>
      <c r="F40" s="19">
        <f t="shared" si="2"/>
        <v>1.8931811139471257E-2</v>
      </c>
      <c r="G40" s="16">
        <f t="shared" si="3"/>
        <v>956.06707288329596</v>
      </c>
      <c r="H40" s="12">
        <f t="shared" si="4"/>
        <v>3092.7340949456893</v>
      </c>
      <c r="I40" s="12">
        <f t="shared" si="5"/>
        <v>3253.1311834518538</v>
      </c>
      <c r="J40" s="141">
        <f t="shared" si="6"/>
        <v>0.30913329226904818</v>
      </c>
      <c r="K40" s="267" cm="1">
        <f t="array" ref="K40">InterpolateXYZ(J40,C40,B40,FFnorm_PS,FFnorm_M,FFnorm_h,FFnorm_table)*numeng</f>
        <v>1005.6511529235765</v>
      </c>
      <c r="L40" s="11">
        <f t="shared" si="7"/>
        <v>1.0518625538381376</v>
      </c>
      <c r="M40" s="521" cm="1">
        <f t="array" ref="M40">($D$5/G40)*(C40*Linterp($D$6,atmos_h,atmos_vela)/L40)</f>
        <v>2911.6289298519241</v>
      </c>
      <c r="N40" s="83">
        <f t="shared" si="8"/>
        <v>8.4522351267526954</v>
      </c>
      <c r="O40" s="522">
        <f t="shared" si="9"/>
        <v>0.34254457998257931</v>
      </c>
      <c r="P40" s="12"/>
    </row>
    <row r="41" spans="2:16">
      <c r="B41" s="120">
        <f t="shared" si="10"/>
        <v>10000</v>
      </c>
      <c r="C41" s="7">
        <v>0.55000000000000004</v>
      </c>
      <c r="D41" s="7">
        <f t="shared" si="0"/>
        <v>592.56290965864571</v>
      </c>
      <c r="E41" s="11">
        <f t="shared" si="1"/>
        <v>0.16225006089430899</v>
      </c>
      <c r="F41" s="19">
        <f t="shared" si="2"/>
        <v>1.8684377283536585E-2</v>
      </c>
      <c r="G41" s="16">
        <f t="shared" si="3"/>
        <v>978.84220218269002</v>
      </c>
      <c r="H41" s="12">
        <f t="shared" si="4"/>
        <v>3101.595797223471</v>
      </c>
      <c r="I41" s="12">
        <f t="shared" si="5"/>
        <v>3262.4524762411143</v>
      </c>
      <c r="J41" s="141">
        <f t="shared" si="6"/>
        <v>0.31559309019535797</v>
      </c>
      <c r="K41" s="267" cm="1">
        <f t="array" ref="K41">InterpolateXYZ(J41,C41,B41,FFnorm_PS,FFnorm_M,FFnorm_h,FFnorm_table)*numeng</f>
        <v>1029.6074585924309</v>
      </c>
      <c r="L41" s="11">
        <f t="shared" si="7"/>
        <v>1.0518625538381376</v>
      </c>
      <c r="M41" s="521" cm="1">
        <f t="array" ref="M41">($D$5/G41)*(C41*Linterp($D$6,atmos_h,atmos_vela)/L41)</f>
        <v>2896.5473437283877</v>
      </c>
      <c r="N41" s="83">
        <f t="shared" si="8"/>
        <v>8.2555734508958292</v>
      </c>
      <c r="O41" s="522">
        <f t="shared" si="9"/>
        <v>0.34077027573275148</v>
      </c>
      <c r="P41" s="12"/>
    </row>
    <row r="42" spans="2:16">
      <c r="B42" s="120">
        <f t="shared" si="10"/>
        <v>10000</v>
      </c>
      <c r="C42" s="7">
        <v>0.56000000000000005</v>
      </c>
      <c r="D42" s="7">
        <f t="shared" si="0"/>
        <v>603.33678074334841</v>
      </c>
      <c r="E42" s="11">
        <f t="shared" si="1"/>
        <v>0.15650715376444027</v>
      </c>
      <c r="F42" s="19">
        <f t="shared" si="2"/>
        <v>1.844901826616651E-2</v>
      </c>
      <c r="G42" s="16">
        <f t="shared" si="3"/>
        <v>1001.9775549585477</v>
      </c>
      <c r="H42" s="12">
        <f t="shared" si="4"/>
        <v>3110.4574995012522</v>
      </c>
      <c r="I42" s="12">
        <f t="shared" si="5"/>
        <v>3271.7737690303748</v>
      </c>
      <c r="J42" s="141">
        <f t="shared" si="6"/>
        <v>0.32213189060426328</v>
      </c>
      <c r="K42" s="267" cm="1">
        <f t="array" ref="K42">InterpolateXYZ(J42,C42,B42,FFnorm_PS,FFnorm_M,FFnorm_h,FFnorm_table)*numeng</f>
        <v>1053.9426698471907</v>
      </c>
      <c r="L42" s="11">
        <f t="shared" si="7"/>
        <v>1.0518625538381374</v>
      </c>
      <c r="M42" s="521" cm="1">
        <f t="array" ref="M42">($D$5/G42)*(C42*Linterp($D$6,atmos_h,atmos_vela)/L42)</f>
        <v>2881.1154488950697</v>
      </c>
      <c r="N42" s="83">
        <f t="shared" si="8"/>
        <v>8.0649548055895686</v>
      </c>
      <c r="O42" s="522">
        <f t="shared" si="9"/>
        <v>0.33895475869353758</v>
      </c>
      <c r="P42" s="12"/>
    </row>
    <row r="43" spans="2:16">
      <c r="B43" s="120">
        <f t="shared" si="10"/>
        <v>10000</v>
      </c>
      <c r="C43" s="7">
        <v>0.56999999999999995</v>
      </c>
      <c r="D43" s="7">
        <f t="shared" si="0"/>
        <v>614.11065182805089</v>
      </c>
      <c r="E43" s="11">
        <f t="shared" si="1"/>
        <v>0.15106384555410429</v>
      </c>
      <c r="F43" s="19">
        <f t="shared" si="2"/>
        <v>1.8224894208278913E-2</v>
      </c>
      <c r="G43" s="16">
        <f t="shared" si="3"/>
        <v>1025.4710529985043</v>
      </c>
      <c r="H43" s="12">
        <f t="shared" si="4"/>
        <v>3119.3192017790334</v>
      </c>
      <c r="I43" s="12">
        <f t="shared" si="5"/>
        <v>3281.0950618196348</v>
      </c>
      <c r="J43" s="141">
        <f t="shared" si="6"/>
        <v>0.32874835394006807</v>
      </c>
      <c r="K43" s="267" cm="1">
        <f t="array" ref="K43">InterpolateXYZ(J43,C43,B43,FFnorm_PS,FFnorm_M,FFnorm_h,FFnorm_table)*numeng</f>
        <v>1078.6546006940907</v>
      </c>
      <c r="L43" s="11">
        <f t="shared" si="7"/>
        <v>1.0518625538381374</v>
      </c>
      <c r="M43" s="521" cm="1">
        <f t="array" ref="M43">($D$5/G43)*(C43*Linterp($D$6,atmos_h,atmos_vela)/L43)</f>
        <v>2865.3790244210136</v>
      </c>
      <c r="N43" s="83">
        <f t="shared" si="8"/>
        <v>7.8801870353405405</v>
      </c>
      <c r="O43" s="522">
        <f t="shared" si="9"/>
        <v>0.33710341463776633</v>
      </c>
      <c r="P43" s="12"/>
    </row>
    <row r="44" spans="2:16">
      <c r="B44" s="120">
        <f t="shared" si="10"/>
        <v>10000</v>
      </c>
      <c r="C44" s="7">
        <v>0.57999999999999996</v>
      </c>
      <c r="D44" s="7">
        <f t="shared" si="0"/>
        <v>624.8845229127536</v>
      </c>
      <c r="E44" s="11">
        <f t="shared" si="1"/>
        <v>0.14589965344984687</v>
      </c>
      <c r="F44" s="19">
        <f t="shared" si="2"/>
        <v>1.8011237004369258E-2</v>
      </c>
      <c r="G44" s="16">
        <f t="shared" si="3"/>
        <v>1049.3206180901957</v>
      </c>
      <c r="H44" s="12">
        <f t="shared" si="4"/>
        <v>3128.1809040568146</v>
      </c>
      <c r="I44" s="12">
        <f t="shared" si="5"/>
        <v>3290.4163546088953</v>
      </c>
      <c r="J44" s="141">
        <f t="shared" si="6"/>
        <v>0.33544115582617778</v>
      </c>
      <c r="K44" s="267" cm="1">
        <f t="array" ref="K44">InterpolateXYZ(J44,C44,B44,FFnorm_PS,FFnorm_M,FFnorm_h,FFnorm_table)*numeng</f>
        <v>1103.7410651393664</v>
      </c>
      <c r="L44" s="11">
        <f t="shared" si="7"/>
        <v>1.0518625538381376</v>
      </c>
      <c r="M44" s="521" cm="1">
        <f t="array" ref="M44">($D$5/G44)*(C44*Linterp($D$6,atmos_h,atmos_vela)/L44)</f>
        <v>2849.3802811482597</v>
      </c>
      <c r="N44" s="83">
        <f t="shared" si="8"/>
        <v>7.7010815928342105</v>
      </c>
      <c r="O44" s="522">
        <f t="shared" si="9"/>
        <v>0.33522120954685408</v>
      </c>
      <c r="P44" s="12"/>
    </row>
    <row r="45" spans="2:16">
      <c r="B45" s="120">
        <f t="shared" si="10"/>
        <v>10000</v>
      </c>
      <c r="C45" s="7">
        <v>0.59</v>
      </c>
      <c r="D45" s="7">
        <f t="shared" si="0"/>
        <v>635.65839399745619</v>
      </c>
      <c r="E45" s="11">
        <f t="shared" si="1"/>
        <v>0.14099581562921137</v>
      </c>
      <c r="F45" s="19">
        <f t="shared" si="2"/>
        <v>1.7807343086095426E-2</v>
      </c>
      <c r="G45" s="16">
        <f t="shared" si="3"/>
        <v>1073.524172021258</v>
      </c>
      <c r="H45" s="12">
        <f t="shared" si="4"/>
        <v>3137.0426063345963</v>
      </c>
      <c r="I45" s="12">
        <f t="shared" si="5"/>
        <v>3299.7376473981553</v>
      </c>
      <c r="J45" s="141">
        <f t="shared" si="6"/>
        <v>0.34220898685070528</v>
      </c>
      <c r="K45" s="267" cm="1">
        <f t="array" ref="K45">InterpolateXYZ(J45,C45,B45,FFnorm_PS,FFnorm_M,FFnorm_h,FFnorm_table)*numeng</f>
        <v>1129.1998771892527</v>
      </c>
      <c r="L45" s="11">
        <f t="shared" si="7"/>
        <v>1.0518625538381376</v>
      </c>
      <c r="M45" s="521" cm="1">
        <f t="array" ref="M45">($D$5/G45)*(C45*Linterp($D$6,atmos_h,atmos_vela)/L45)</f>
        <v>2833.158106200467</v>
      </c>
      <c r="N45" s="83">
        <f t="shared" si="8"/>
        <v>7.5274538827951094</v>
      </c>
      <c r="O45" s="522">
        <f t="shared" si="9"/>
        <v>0.33331271837652554</v>
      </c>
      <c r="P45" s="12"/>
    </row>
    <row r="46" spans="2:16">
      <c r="B46" s="120">
        <f t="shared" si="10"/>
        <v>10000</v>
      </c>
      <c r="C46" s="7">
        <v>0.6</v>
      </c>
      <c r="D46" s="7">
        <f t="shared" si="0"/>
        <v>646.43226508215889</v>
      </c>
      <c r="E46" s="11">
        <f t="shared" si="1"/>
        <v>0.13633512061257913</v>
      </c>
      <c r="F46" s="19">
        <f t="shared" si="2"/>
        <v>1.7612567022971717E-2</v>
      </c>
      <c r="G46" s="16">
        <f t="shared" si="3"/>
        <v>1098.0796365793271</v>
      </c>
      <c r="H46" s="12">
        <f t="shared" si="4"/>
        <v>3145.9043086123775</v>
      </c>
      <c r="I46" s="12">
        <f t="shared" si="5"/>
        <v>3309.0589401874158</v>
      </c>
      <c r="J46" s="141">
        <f t="shared" si="6"/>
        <v>0.34905055235570009</v>
      </c>
      <c r="K46" s="267" cm="1">
        <f t="array" ref="K46">InterpolateXYZ(J46,C46,B46,FFnorm_PS,FFnorm_M,FFnorm_h,FFnorm_table)*numeng</f>
        <v>1155.028850849985</v>
      </c>
      <c r="L46" s="11">
        <f t="shared" si="7"/>
        <v>1.0518625538381376</v>
      </c>
      <c r="M46" s="521" cm="1">
        <f t="array" ref="M46">($D$5/G46)*(C46*Linterp($D$6,atmos_h,atmos_vela)/L46)</f>
        <v>2816.7482935709559</v>
      </c>
      <c r="N46" s="83">
        <f t="shared" si="8"/>
        <v>7.3591235350916593</v>
      </c>
      <c r="O46" s="522">
        <f t="shared" si="9"/>
        <v>0.33138215218481831</v>
      </c>
      <c r="P46" s="12"/>
    </row>
    <row r="47" spans="2:16">
      <c r="B47" s="120">
        <f t="shared" si="10"/>
        <v>10000</v>
      </c>
      <c r="C47" s="7">
        <v>0.61</v>
      </c>
      <c r="D47" s="7">
        <f t="shared" si="0"/>
        <v>657.20613616686148</v>
      </c>
      <c r="E47" s="11">
        <f t="shared" si="1"/>
        <v>0.13190175603474466</v>
      </c>
      <c r="F47" s="19">
        <f t="shared" si="2"/>
        <v>1.7426315851302925E-2</v>
      </c>
      <c r="G47" s="16">
        <f t="shared" si="3"/>
        <v>1122.9849335520382</v>
      </c>
      <c r="H47" s="12">
        <f t="shared" si="4"/>
        <v>3154.7660108901587</v>
      </c>
      <c r="I47" s="12">
        <f t="shared" si="5"/>
        <v>3318.3802329766763</v>
      </c>
      <c r="J47" s="141">
        <f t="shared" si="6"/>
        <v>0.35596457222993005</v>
      </c>
      <c r="K47" s="267" cm="1">
        <f t="array" ref="K47">InterpolateXYZ(J47,C47,B47,FFnorm_PS,FFnorm_M,FFnorm_h,FFnorm_table)*numeng</f>
        <v>1181.2258001277983</v>
      </c>
      <c r="L47" s="11">
        <f t="shared" si="7"/>
        <v>1.0518625538381376</v>
      </c>
      <c r="M47" s="521" cm="1">
        <f t="array" ref="M47">($D$5/G47)*(C47*Linterp($D$6,atmos_h,atmos_vela)/L47)</f>
        <v>2800.1837611205874</v>
      </c>
      <c r="N47" s="83">
        <f t="shared" si="8"/>
        <v>7.1959146160542504</v>
      </c>
      <c r="O47" s="522">
        <f t="shared" si="9"/>
        <v>0.32943338366124558</v>
      </c>
      <c r="P47" s="12"/>
    </row>
    <row r="48" spans="2:16">
      <c r="B48" s="120">
        <f t="shared" si="10"/>
        <v>10000</v>
      </c>
      <c r="C48" s="7">
        <v>0.62</v>
      </c>
      <c r="D48" s="7">
        <f t="shared" si="0"/>
        <v>667.98000725156419</v>
      </c>
      <c r="E48" s="11">
        <f t="shared" si="1"/>
        <v>0.12768117435101059</v>
      </c>
      <c r="F48" s="19">
        <f t="shared" si="2"/>
        <v>1.72480440381629E-2</v>
      </c>
      <c r="G48" s="16">
        <f t="shared" si="3"/>
        <v>1148.2379847270274</v>
      </c>
      <c r="H48" s="12">
        <f t="shared" si="4"/>
        <v>3163.6277131679403</v>
      </c>
      <c r="I48" s="12">
        <f t="shared" si="5"/>
        <v>3327.7015257659364</v>
      </c>
      <c r="J48" s="141">
        <f t="shared" si="6"/>
        <v>0.36294978070514627</v>
      </c>
      <c r="K48" s="267" cm="1">
        <f t="array" ref="K48">InterpolateXYZ(J48,C48,B48,FFnorm_PS,FFnorm_M,FFnorm_h,FFnorm_table)*numeng</f>
        <v>1207.7885390289273</v>
      </c>
      <c r="L48" s="11">
        <f t="shared" si="7"/>
        <v>1.0518625538381374</v>
      </c>
      <c r="M48" s="521" cm="1">
        <f t="array" ref="M48">($D$5/G48)*(C48*Linterp($D$6,atmos_h,atmos_vela)/L48)</f>
        <v>2783.4947544005709</v>
      </c>
      <c r="N48" s="83">
        <f t="shared" si="8"/>
        <v>7.0376557860319453</v>
      </c>
      <c r="O48" s="522">
        <f t="shared" si="9"/>
        <v>0.3274699711059495</v>
      </c>
      <c r="P48" s="12"/>
    </row>
    <row r="49" spans="2:16">
      <c r="B49" s="120">
        <f t="shared" si="10"/>
        <v>10000</v>
      </c>
      <c r="C49" s="7">
        <v>0.63</v>
      </c>
      <c r="D49" s="7">
        <f t="shared" si="0"/>
        <v>678.75387833626689</v>
      </c>
      <c r="E49" s="11">
        <f t="shared" si="1"/>
        <v>0.12365997334474295</v>
      </c>
      <c r="F49" s="19">
        <f t="shared" si="2"/>
        <v>1.7077249000427858E-2</v>
      </c>
      <c r="G49" s="16">
        <f t="shared" si="3"/>
        <v>1173.83671189193</v>
      </c>
      <c r="H49" s="12">
        <f t="shared" si="4"/>
        <v>3172.4894154457215</v>
      </c>
      <c r="I49" s="12">
        <f t="shared" si="5"/>
        <v>3337.0228185551969</v>
      </c>
      <c r="J49" s="141">
        <f t="shared" si="6"/>
        <v>0.37000492615576175</v>
      </c>
      <c r="K49" s="267" cm="1">
        <f t="array" ref="K49">InterpolateXYZ(J49,C49,B49,FFnorm_PS,FFnorm_M,FFnorm_h,FFnorm_table)*numeng</f>
        <v>1234.7148815596074</v>
      </c>
      <c r="L49" s="11">
        <f t="shared" si="7"/>
        <v>1.0518625538381374</v>
      </c>
      <c r="M49" s="521" cm="1">
        <f t="array" ref="M49">($D$5/G49)*(C49*Linterp($D$6,atmos_h,atmos_vela)/L49)</f>
        <v>2766.7090377778422</v>
      </c>
      <c r="N49" s="83">
        <f t="shared" si="8"/>
        <v>6.8841804103497815</v>
      </c>
      <c r="O49" s="522">
        <f t="shared" si="9"/>
        <v>0.32549518091504026</v>
      </c>
      <c r="P49" s="12"/>
    </row>
    <row r="50" spans="2:16">
      <c r="B50" s="120">
        <f t="shared" si="10"/>
        <v>10000</v>
      </c>
      <c r="C50" s="7">
        <v>0.64</v>
      </c>
      <c r="D50" s="7">
        <f t="shared" si="0"/>
        <v>689.52774942096949</v>
      </c>
      <c r="E50" s="11">
        <f t="shared" si="1"/>
        <v>0.1198257896008996</v>
      </c>
      <c r="F50" s="19">
        <f t="shared" si="2"/>
        <v>1.6913467110033734E-2</v>
      </c>
      <c r="G50" s="16">
        <f t="shared" si="3"/>
        <v>1199.7790368343829</v>
      </c>
      <c r="H50" s="12">
        <f t="shared" si="4"/>
        <v>3181.3511177235027</v>
      </c>
      <c r="I50" s="12">
        <f t="shared" si="5"/>
        <v>3346.3441113444569</v>
      </c>
      <c r="J50" s="141">
        <f t="shared" si="6"/>
        <v>0.3771287709018788</v>
      </c>
      <c r="K50" s="267" cm="1">
        <f t="array" ref="K50">InterpolateXYZ(J50,C50,B50,FFnorm_PS,FFnorm_M,FFnorm_h,FFnorm_table)*numeng</f>
        <v>1262.0026417260749</v>
      </c>
      <c r="L50" s="11">
        <f t="shared" si="7"/>
        <v>1.0518625538381376</v>
      </c>
      <c r="M50" s="521" cm="1">
        <f t="array" ref="M50">($D$5/G50)*(C50*Linterp($D$6,atmos_h,atmos_vela)/L50)</f>
        <v>2749.8520733846713</v>
      </c>
      <c r="N50" s="83">
        <f t="shared" si="8"/>
        <v>6.7353266300412189</v>
      </c>
      <c r="O50" s="522">
        <f t="shared" si="9"/>
        <v>0.32351200863349072</v>
      </c>
      <c r="P50" s="12"/>
    </row>
    <row r="51" spans="2:16">
      <c r="B51" s="120">
        <f t="shared" si="10"/>
        <v>10000</v>
      </c>
      <c r="C51" s="7">
        <v>0.65</v>
      </c>
      <c r="D51" s="7">
        <f t="shared" si="0"/>
        <v>700.30162050567219</v>
      </c>
      <c r="E51" s="11">
        <f t="shared" si="1"/>
        <v>0.11616720336219757</v>
      </c>
      <c r="F51" s="19">
        <f t="shared" si="2"/>
        <v>1.6756270126082409E-2</v>
      </c>
      <c r="G51" s="16">
        <f t="shared" si="3"/>
        <v>1226.062881342021</v>
      </c>
      <c r="H51" s="12">
        <f t="shared" si="4"/>
        <v>3190.2128200012844</v>
      </c>
      <c r="I51" s="12">
        <f t="shared" si="5"/>
        <v>3355.6654041337174</v>
      </c>
      <c r="J51" s="141">
        <f t="shared" si="6"/>
        <v>0.38432009101559794</v>
      </c>
      <c r="K51" s="267" cm="1">
        <f t="array" ref="K51">InterpolateXYZ(J51,C51,B51,FFnorm_PS,FFnorm_M,FFnorm_h,FFnorm_table)*numeng</f>
        <v>1289.6496335345637</v>
      </c>
      <c r="L51" s="11">
        <f t="shared" si="7"/>
        <v>1.0518625538381376</v>
      </c>
      <c r="M51" s="521" cm="1">
        <f t="array" ref="M51">($D$5/G51)*(C51*Linterp($D$6,atmos_h,atmos_vela)/L51)</f>
        <v>2732.9471884431268</v>
      </c>
      <c r="N51" s="83">
        <f t="shared" si="8"/>
        <v>6.5909373980155461</v>
      </c>
      <c r="O51" s="522">
        <f t="shared" si="9"/>
        <v>0.32152319864036788</v>
      </c>
      <c r="P51" s="12"/>
    </row>
    <row r="52" spans="2:16">
      <c r="B52" s="120">
        <f t="shared" si="10"/>
        <v>10000</v>
      </c>
      <c r="C52" s="7">
        <v>0.66</v>
      </c>
      <c r="D52" s="7">
        <f t="shared" si="0"/>
        <v>711.07549159037478</v>
      </c>
      <c r="E52" s="11">
        <f t="shared" si="1"/>
        <v>0.11267365339882572</v>
      </c>
      <c r="F52" s="19">
        <f t="shared" si="2"/>
        <v>1.6605262002455965E-2</v>
      </c>
      <c r="G52" s="16">
        <f t="shared" si="3"/>
        <v>1252.6861672024804</v>
      </c>
      <c r="H52" s="12">
        <f t="shared" si="4"/>
        <v>3199.0745222790656</v>
      </c>
      <c r="I52" s="12">
        <f t="shared" si="5"/>
        <v>3364.9866969229779</v>
      </c>
      <c r="J52" s="141">
        <f t="shared" si="6"/>
        <v>0.39157767613054828</v>
      </c>
      <c r="K52" s="267" cm="1">
        <f t="array" ref="K52">InterpolateXYZ(J52,C52,B52,FFnorm_PS,FFnorm_M,FFnorm_h,FFnorm_table)*numeng</f>
        <v>1317.6536709913094</v>
      </c>
      <c r="L52" s="11">
        <f t="shared" si="7"/>
        <v>1.0518625538381376</v>
      </c>
      <c r="M52" s="521" cm="1">
        <f t="array" ref="M52">($D$5/G52)*(C52*Linterp($D$6,atmos_h,atmos_vela)/L52)</f>
        <v>2716.0157315314864</v>
      </c>
      <c r="N52" s="83">
        <f t="shared" si="8"/>
        <v>6.4508604856731449</v>
      </c>
      <c r="O52" s="522">
        <f t="shared" si="9"/>
        <v>0.31953126253311603</v>
      </c>
      <c r="P52" s="12"/>
    </row>
    <row r="53" spans="2:16">
      <c r="B53" s="120">
        <f t="shared" si="10"/>
        <v>10000</v>
      </c>
      <c r="C53" s="7">
        <v>0.67</v>
      </c>
      <c r="D53" s="7">
        <f t="shared" si="0"/>
        <v>721.84936267507749</v>
      </c>
      <c r="E53" s="11">
        <f t="shared" si="1"/>
        <v>0.10933536070512025</v>
      </c>
      <c r="F53" s="19">
        <f t="shared" si="2"/>
        <v>1.6460076026442012E-2</v>
      </c>
      <c r="G53" s="16">
        <f t="shared" si="3"/>
        <v>1279.6468162033971</v>
      </c>
      <c r="H53" s="12">
        <f t="shared" si="4"/>
        <v>3207.9362245568468</v>
      </c>
      <c r="I53" s="12">
        <f t="shared" si="5"/>
        <v>3374.3079897122379</v>
      </c>
      <c r="J53" s="141">
        <f t="shared" si="6"/>
        <v>0.39890032925457269</v>
      </c>
      <c r="K53" s="267" cm="1">
        <f t="array" ref="K53">InterpolateXYZ(J53,C53,B53,FFnorm_PS,FFnorm_M,FFnorm_h,FFnorm_table)*numeng</f>
        <v>1346.0125681025472</v>
      </c>
      <c r="L53" s="11">
        <f t="shared" si="7"/>
        <v>1.0518625538381376</v>
      </c>
      <c r="M53" s="521" cm="1">
        <f t="array" ref="M53">($D$5/G53)*(C53*Linterp($D$6,atmos_h,atmos_vela)/L53)</f>
        <v>2699.0772183662425</v>
      </c>
      <c r="N53" s="83">
        <f t="shared" si="8"/>
        <v>6.3149484643983058</v>
      </c>
      <c r="O53" s="522">
        <f t="shared" si="9"/>
        <v>0.31753849627838149</v>
      </c>
      <c r="P53" s="12"/>
    </row>
    <row r="54" spans="2:16">
      <c r="B54" s="120">
        <f t="shared" si="10"/>
        <v>10000</v>
      </c>
      <c r="C54" s="7">
        <v>0.68</v>
      </c>
      <c r="D54" s="7">
        <f t="shared" si="0"/>
        <v>732.62323375978008</v>
      </c>
      <c r="E54" s="11">
        <f t="shared" si="1"/>
        <v>0.10614325999249237</v>
      </c>
      <c r="F54" s="19">
        <f t="shared" si="2"/>
        <v>1.6320372249718464E-2</v>
      </c>
      <c r="G54" s="16">
        <f t="shared" si="3"/>
        <v>1306.9427501324058</v>
      </c>
      <c r="H54" s="12">
        <f t="shared" si="4"/>
        <v>3216.7979268346285</v>
      </c>
      <c r="I54" s="12">
        <f t="shared" si="5"/>
        <v>3383.6292825014984</v>
      </c>
      <c r="J54" s="141">
        <f t="shared" si="6"/>
        <v>0.40628686658551</v>
      </c>
      <c r="K54" s="267" cm="1">
        <f t="array" ref="K54">InterpolateXYZ(J54,C54,B54,FFnorm_PS,FFnorm_M,FFnorm_h,FFnorm_table)*numeng</f>
        <v>1374.7241388745113</v>
      </c>
      <c r="L54" s="11">
        <f t="shared" si="7"/>
        <v>1.0518625538381376</v>
      </c>
      <c r="M54" s="521" cm="1">
        <f t="array" ref="M54">($D$5/G54)*(C54*Linterp($D$6,atmos_h,atmos_vela)/L54)</f>
        <v>2682.1494676717975</v>
      </c>
      <c r="N54" s="83">
        <f t="shared" si="8"/>
        <v>6.1830586658345599</v>
      </c>
      <c r="O54" s="522">
        <f t="shared" si="9"/>
        <v>0.31554699619668208</v>
      </c>
      <c r="P54" s="12"/>
    </row>
    <row r="55" spans="2:16">
      <c r="B55" s="120">
        <f t="shared" si="10"/>
        <v>10000</v>
      </c>
      <c r="C55" s="7">
        <v>0.69</v>
      </c>
      <c r="D55" s="7">
        <f t="shared" si="0"/>
        <v>743.39710484448267</v>
      </c>
      <c r="E55" s="11">
        <f t="shared" si="1"/>
        <v>0.10308893808134528</v>
      </c>
      <c r="F55" s="19">
        <f t="shared" si="2"/>
        <v>1.6185835178050448E-2</v>
      </c>
      <c r="G55" s="16">
        <f t="shared" si="3"/>
        <v>1334.5718907771434</v>
      </c>
      <c r="H55" s="12">
        <f t="shared" si="4"/>
        <v>3225.6596291124097</v>
      </c>
      <c r="I55" s="12">
        <f t="shared" si="5"/>
        <v>3392.9505752907585</v>
      </c>
      <c r="J55" s="141">
        <f t="shared" si="6"/>
        <v>0.41373611733001464</v>
      </c>
      <c r="K55" s="267" cm="1">
        <f t="array" ref="K55">InterpolateXYZ(J55,C55,B55,FFnorm_PS,FFnorm_M,FFnorm_h,FFnorm_table)*numeng</f>
        <v>1403.7861973134382</v>
      </c>
      <c r="L55" s="11">
        <f t="shared" si="7"/>
        <v>1.0518625538381376</v>
      </c>
      <c r="M55" s="521" cm="1">
        <f t="array" ref="M55">($D$5/G55)*(C55*Linterp($D$6,atmos_h,atmos_vela)/L55)</f>
        <v>2665.2487277021323</v>
      </c>
      <c r="N55" s="83">
        <f t="shared" si="8"/>
        <v>6.055053124376971</v>
      </c>
      <c r="O55" s="522">
        <f t="shared" si="9"/>
        <v>0.31355867384730968</v>
      </c>
      <c r="P55" s="12"/>
    </row>
    <row r="56" spans="2:16">
      <c r="B56" s="120">
        <f t="shared" si="10"/>
        <v>10000</v>
      </c>
      <c r="C56" s="7">
        <v>0.7</v>
      </c>
      <c r="D56" s="7">
        <f t="shared" si="0"/>
        <v>754.17097592918537</v>
      </c>
      <c r="E56" s="11">
        <f t="shared" si="1"/>
        <v>0.10016457840924181</v>
      </c>
      <c r="F56" s="19">
        <f t="shared" si="2"/>
        <v>1.6056171690346569E-2</v>
      </c>
      <c r="G56" s="16">
        <f t="shared" si="3"/>
        <v>1362.5321599252454</v>
      </c>
      <c r="H56" s="12">
        <f t="shared" si="4"/>
        <v>3234.5213313901909</v>
      </c>
      <c r="I56" s="12">
        <f t="shared" si="5"/>
        <v>3402.271868080019</v>
      </c>
      <c r="J56" s="141">
        <f t="shared" si="6"/>
        <v>0.42124692352535259</v>
      </c>
      <c r="K56" s="267" cm="1">
        <f t="array" ref="K56">InterpolateXYZ(J56,C56,B56,FFnorm_PS,FFnorm_M,FFnorm_h,FFnorm_table)*numeng</f>
        <v>1433.1965574255623</v>
      </c>
      <c r="L56" s="11">
        <f t="shared" si="7"/>
        <v>1.0518625538381376</v>
      </c>
      <c r="M56" s="521" cm="1">
        <f t="array" ref="M56">($D$5/G56)*(C56*Linterp($D$6,atmos_h,atmos_vela)/L56)</f>
        <v>2648.3897939660037</v>
      </c>
      <c r="N56" s="83">
        <f t="shared" si="8"/>
        <v>5.9307985048948701</v>
      </c>
      <c r="O56" s="522">
        <f t="shared" si="9"/>
        <v>0.31157526987835338</v>
      </c>
      <c r="P56" s="12"/>
    </row>
    <row r="57" spans="2:16">
      <c r="B57" s="120">
        <f t="shared" si="10"/>
        <v>10000</v>
      </c>
      <c r="C57" s="7">
        <v>0.71</v>
      </c>
      <c r="D57" s="7">
        <f t="shared" si="0"/>
        <v>764.94484701388797</v>
      </c>
      <c r="E57" s="11">
        <f t="shared" si="1"/>
        <v>9.7362910971093994E-2</v>
      </c>
      <c r="F57" s="19">
        <f t="shared" si="2"/>
        <v>1.5997036387138678E-2</v>
      </c>
      <c r="G57" s="16">
        <f t="shared" si="3"/>
        <v>1396.5770736974803</v>
      </c>
      <c r="H57" s="12">
        <f t="shared" si="4"/>
        <v>3243.3830336679721</v>
      </c>
      <c r="I57" s="12">
        <f t="shared" si="5"/>
        <v>3411.5931608692795</v>
      </c>
      <c r="J57" s="141">
        <f t="shared" si="6"/>
        <v>0.43059270496278024</v>
      </c>
      <c r="K57" s="267" cm="1">
        <f t="array" ref="K57">InterpolateXYZ(J57,C57,B57,FFnorm_PS,FFnorm_M,FFnorm_h,FFnorm_table)*numeng</f>
        <v>1469.0071273712244</v>
      </c>
      <c r="L57" s="11">
        <f t="shared" si="7"/>
        <v>1.0518625538381376</v>
      </c>
      <c r="M57" s="521" cm="1">
        <f t="array" ref="M57">($D$5/G57)*(C57*Linterp($D$6,atmos_h,atmos_vela)/L57)</f>
        <v>2620.7407866019171</v>
      </c>
      <c r="N57" s="83">
        <f t="shared" si="8"/>
        <v>5.7862210751902037</v>
      </c>
      <c r="O57" s="522">
        <f t="shared" si="9"/>
        <v>0.30832244548257848</v>
      </c>
      <c r="P57" s="12"/>
    </row>
    <row r="58" spans="2:16">
      <c r="B58" s="120">
        <f t="shared" si="10"/>
        <v>10000</v>
      </c>
      <c r="C58" s="7">
        <v>0.72</v>
      </c>
      <c r="D58" s="7">
        <f t="shared" si="0"/>
        <v>775.71871809859067</v>
      </c>
      <c r="E58" s="11">
        <f t="shared" si="1"/>
        <v>9.4677167092068845E-2</v>
      </c>
      <c r="F58" s="19">
        <f t="shared" si="2"/>
        <v>1.5943464588650862E-2</v>
      </c>
      <c r="G58" s="16">
        <f t="shared" si="3"/>
        <v>1431.384706216932</v>
      </c>
      <c r="H58" s="12">
        <f t="shared" si="4"/>
        <v>3252.2447359457537</v>
      </c>
      <c r="I58" s="12">
        <f t="shared" si="5"/>
        <v>3420.9144536585395</v>
      </c>
      <c r="J58" s="141">
        <f t="shared" si="6"/>
        <v>0.44012207642199008</v>
      </c>
      <c r="K58" s="267" cm="1">
        <f t="array" ref="K58">InterpolateXYZ(J58,C58,B58,FFnorm_PS,FFnorm_M,FFnorm_h,FFnorm_table)*numeng</f>
        <v>1505.6199726061943</v>
      </c>
      <c r="L58" s="11">
        <f t="shared" si="7"/>
        <v>1.0518625538381374</v>
      </c>
      <c r="M58" s="521" cm="1">
        <f t="array" ref="M58">($D$5/G58)*(C58*Linterp($D$6,atmos_h,atmos_vela)/L58)</f>
        <v>2593.0252816920151</v>
      </c>
      <c r="N58" s="83">
        <f t="shared" si="8"/>
        <v>5.6455149072489332</v>
      </c>
      <c r="O58" s="522">
        <f t="shared" si="9"/>
        <v>0.30506179784611942</v>
      </c>
      <c r="P58" s="12"/>
    </row>
    <row r="59" spans="2:16">
      <c r="B59" s="120">
        <f t="shared" si="10"/>
        <v>10000</v>
      </c>
      <c r="C59" s="7">
        <v>0.73</v>
      </c>
      <c r="D59" s="7">
        <f t="shared" si="0"/>
        <v>786.49258918329326</v>
      </c>
      <c r="E59" s="11">
        <f t="shared" si="1"/>
        <v>9.2101038507278077E-2</v>
      </c>
      <c r="F59" s="19">
        <f t="shared" si="2"/>
        <v>1.5891262981340977E-2</v>
      </c>
      <c r="G59" s="16">
        <f t="shared" si="3"/>
        <v>1466.6038247844974</v>
      </c>
      <c r="H59" s="12">
        <f t="shared" si="4"/>
        <v>3261.106438223535</v>
      </c>
      <c r="I59" s="12">
        <f t="shared" si="5"/>
        <v>3430.2357464478</v>
      </c>
      <c r="J59" s="141">
        <f t="shared" si="6"/>
        <v>0.44972583770783625</v>
      </c>
      <c r="K59" s="267" cm="1">
        <f t="array" ref="K59">InterpolateXYZ(J59,C59,B59,FFnorm_PS,FFnorm_M,FFnorm_h,FFnorm_table)*numeng</f>
        <v>1542.665644606602</v>
      </c>
      <c r="L59" s="11">
        <f t="shared" si="7"/>
        <v>1.0518625538381376</v>
      </c>
      <c r="M59" s="521" cm="1">
        <f t="array" ref="M59">($D$5/G59)*(C59*Linterp($D$6,atmos_h,atmos_vela)/L59)</f>
        <v>2565.905597564104</v>
      </c>
      <c r="N59" s="83">
        <f t="shared" si="8"/>
        <v>5.5099431491958848</v>
      </c>
      <c r="O59" s="522">
        <f t="shared" si="9"/>
        <v>0.30187124677224753</v>
      </c>
      <c r="P59" s="12"/>
    </row>
    <row r="60" spans="2:16">
      <c r="B60" s="120">
        <f t="shared" si="10"/>
        <v>10000</v>
      </c>
      <c r="C60" s="7">
        <v>0.74</v>
      </c>
      <c r="D60" s="7">
        <f t="shared" si="0"/>
        <v>797.26646026799597</v>
      </c>
      <c r="E60" s="11">
        <f t="shared" ref="E60:E82" si="11">D$5/(H$5*C60*C60*_xlfn.SINGLE(S))</f>
        <v>8.962864028584458E-2</v>
      </c>
      <c r="F60" s="19">
        <f t="shared" si="2"/>
        <v>1.5840358003573057E-2</v>
      </c>
      <c r="G60" s="16">
        <f t="shared" ref="G60:G82" si="12">F60*$H$5*C60*C60*_xlfn.SINGLE(S)</f>
        <v>1502.2323511878126</v>
      </c>
      <c r="H60" s="12">
        <f t="shared" ref="H60:H82" si="13">_xlfn.SINGLE(InterpolateXY(B60,C60,Tnorm_h,Tnorm_M,Tnorm_table))*_xlfn.SINGLE(numeng)</f>
        <v>3269.9681405013162</v>
      </c>
      <c r="I60" s="12">
        <f t="shared" ref="I60:I82" si="14">_xlfn.SINGLE(InterpolateXYZ($I$8,C60,B60,FFnorm_PS,FFnorm_M,FFnorm_h,FFnorm_table))*_xlfn.SINGLE(numeng)</f>
        <v>3439.5570392370605</v>
      </c>
      <c r="J60" s="141">
        <f t="shared" si="6"/>
        <v>0.45940274847983886</v>
      </c>
      <c r="K60" s="267" cm="1">
        <f t="array" ref="K60">InterpolateXYZ(J60,C60,B60,FFnorm_PS,FFnorm_M,FFnorm_h,FFnorm_table)*numeng</f>
        <v>1580.1419573786825</v>
      </c>
      <c r="L60" s="11">
        <f t="shared" si="7"/>
        <v>1.0518625538381376</v>
      </c>
      <c r="M60" s="521" cm="1">
        <f t="array" ref="M60">($D$5/G60)*(C60*Linterp($D$6,atmos_h,atmos_vela)/L60)</f>
        <v>2539.3656266175071</v>
      </c>
      <c r="N60" s="83">
        <f t="shared" si="8"/>
        <v>5.3792635277533911</v>
      </c>
      <c r="O60" s="522">
        <f t="shared" si="9"/>
        <v>0.29874889724911846</v>
      </c>
      <c r="P60" s="12"/>
    </row>
    <row r="61" spans="2:16">
      <c r="B61" s="120">
        <f t="shared" si="10"/>
        <v>10000</v>
      </c>
      <c r="C61" s="7">
        <v>0.75</v>
      </c>
      <c r="D61" s="7">
        <f t="shared" si="0"/>
        <v>808.04033135269856</v>
      </c>
      <c r="E61" s="11">
        <f t="shared" si="11"/>
        <v>8.7254477192050636E-2</v>
      </c>
      <c r="F61" s="19">
        <f t="shared" ref="F61:F82" si="15">InterpolateXY(E61,C61,CD_CL,CD_M,CD_table)</f>
        <v>1.5790680964900633E-2</v>
      </c>
      <c r="G61" s="16">
        <f t="shared" si="12"/>
        <v>1538.2682072145135</v>
      </c>
      <c r="H61" s="12">
        <f t="shared" si="13"/>
        <v>3278.8298427790978</v>
      </c>
      <c r="I61" s="12">
        <f t="shared" si="14"/>
        <v>3448.878332026321</v>
      </c>
      <c r="J61" s="141">
        <f t="shared" ref="J61:J82" si="16">G61/H61</f>
        <v>0.46915158180660432</v>
      </c>
      <c r="K61" s="267" cm="1">
        <f t="array" ref="K61">InterpolateXYZ(J61,C61,B61,FFnorm_PS,FFnorm_M,FFnorm_h,FFnorm_table)*numeng</f>
        <v>1618.0467249286714</v>
      </c>
      <c r="L61" s="11">
        <f t="shared" ref="L61:L82" si="17">K61/G61</f>
        <v>1.0518625538381374</v>
      </c>
      <c r="M61" s="521" cm="1">
        <f t="array" ref="M61">($D$5/G61)*(C61*Linterp($D$6,atmos_h,atmos_vela)/L61)</f>
        <v>2513.3896742075999</v>
      </c>
      <c r="N61" s="83">
        <f t="shared" ref="N61:N82" si="18">($D$5/G61)*(1/L61)</f>
        <v>5.2532475540066415</v>
      </c>
      <c r="O61" s="522">
        <f t="shared" ref="O61:O82" si="19">M61/$D$5</f>
        <v>0.29569290284795291</v>
      </c>
      <c r="P61" s="12"/>
    </row>
    <row r="62" spans="2:16">
      <c r="B62" s="120">
        <f t="shared" ref="B62:B82" si="20">B61</f>
        <v>10000</v>
      </c>
      <c r="C62" s="7">
        <v>0.76</v>
      </c>
      <c r="D62" s="7">
        <f t="shared" si="0"/>
        <v>818.81420243740126</v>
      </c>
      <c r="E62" s="11">
        <f t="shared" si="11"/>
        <v>8.4973413124183661E-2</v>
      </c>
      <c r="F62" s="19">
        <f t="shared" si="15"/>
        <v>1.5742167664052297E-2</v>
      </c>
      <c r="G62" s="16">
        <f t="shared" si="12"/>
        <v>1574.7093146522359</v>
      </c>
      <c r="H62" s="12">
        <f t="shared" si="13"/>
        <v>3287.691545056879</v>
      </c>
      <c r="I62" s="12">
        <f t="shared" si="14"/>
        <v>3458.199624815581</v>
      </c>
      <c r="J62" s="141">
        <f t="shared" si="16"/>
        <v>0.47897112398510988</v>
      </c>
      <c r="K62" s="267" cm="1">
        <f t="array" ref="K62">InterpolateXYZ(J62,C62,B62,FFnorm_PS,FFnorm_M,FFnorm_h,FFnorm_table)*numeng</f>
        <v>1656.3777612628041</v>
      </c>
      <c r="L62" s="11">
        <f t="shared" si="17"/>
        <v>1.0518625538381376</v>
      </c>
      <c r="M62" s="521" cm="1">
        <f t="array" ref="M62">($D$5/G62)*(C62*Linterp($D$6,atmos_h,atmos_vela)/L62)</f>
        <v>2487.9624601799492</v>
      </c>
      <c r="N62" s="83">
        <f t="shared" si="18"/>
        <v>5.1316796197020258</v>
      </c>
      <c r="O62" s="522">
        <f t="shared" si="19"/>
        <v>0.29270146590352342</v>
      </c>
      <c r="P62" s="12"/>
    </row>
    <row r="63" spans="2:16">
      <c r="B63" s="120">
        <f t="shared" si="20"/>
        <v>10000</v>
      </c>
      <c r="C63" s="7">
        <v>0.77</v>
      </c>
      <c r="D63" s="7">
        <f t="shared" si="0"/>
        <v>829.58807352210397</v>
      </c>
      <c r="E63" s="11">
        <f t="shared" si="11"/>
        <v>8.2780643313422955E-2</v>
      </c>
      <c r="F63" s="19">
        <f t="shared" si="15"/>
        <v>1.5694758041417789E-2</v>
      </c>
      <c r="G63" s="16">
        <f t="shared" si="12"/>
        <v>1611.5535952886146</v>
      </c>
      <c r="H63" s="12">
        <f t="shared" si="13"/>
        <v>3296.5532473346602</v>
      </c>
      <c r="I63" s="12">
        <f t="shared" si="14"/>
        <v>3467.5209176048415</v>
      </c>
      <c r="J63" s="141">
        <f t="shared" si="16"/>
        <v>0.48886017436290252</v>
      </c>
      <c r="K63" s="267" cm="1">
        <f t="array" ref="K63">InterpolateXYZ(J63,C63,B63,FFnorm_PS,FFnorm_M,FFnorm_h,FFnorm_table)*numeng</f>
        <v>1695.1328803873146</v>
      </c>
      <c r="L63" s="11">
        <f t="shared" si="17"/>
        <v>1.0518625538381376</v>
      </c>
      <c r="M63" s="521" cm="1">
        <f t="array" ref="M63">($D$5/G63)*(C63*Linterp($D$6,atmos_h,atmos_vela)/L63)</f>
        <v>2463.0691182288879</v>
      </c>
      <c r="N63" s="83">
        <f t="shared" si="18"/>
        <v>5.0143561595347412</v>
      </c>
      <c r="O63" s="522">
        <f t="shared" si="19"/>
        <v>0.2897728374386927</v>
      </c>
      <c r="P63" s="12"/>
    </row>
    <row r="64" spans="2:16">
      <c r="B64" s="120">
        <f t="shared" si="20"/>
        <v>10000</v>
      </c>
      <c r="C64" s="7">
        <v>0.78</v>
      </c>
      <c r="D64" s="7">
        <f t="shared" si="0"/>
        <v>840.36194460680656</v>
      </c>
      <c r="E64" s="11">
        <f t="shared" si="11"/>
        <v>8.0671669001526086E-2</v>
      </c>
      <c r="F64" s="19">
        <f t="shared" si="15"/>
        <v>1.5648395862519076E-2</v>
      </c>
      <c r="G64" s="16">
        <f t="shared" si="12"/>
        <v>1648.7989709112865</v>
      </c>
      <c r="H64" s="12">
        <f t="shared" si="13"/>
        <v>3305.4149496124414</v>
      </c>
      <c r="I64" s="12">
        <f t="shared" si="14"/>
        <v>3476.842210394102</v>
      </c>
      <c r="J64" s="141">
        <f t="shared" si="16"/>
        <v>0.49881754516315946</v>
      </c>
      <c r="K64" s="267" cm="1">
        <f t="array" ref="K64">InterpolateXYZ(J64,C64,B64,FFnorm_PS,FFnorm_M,FFnorm_h,FFnorm_table)*numeng</f>
        <v>1734.3098963084392</v>
      </c>
      <c r="L64" s="11">
        <f t="shared" si="17"/>
        <v>1.0518625538381379</v>
      </c>
      <c r="M64" s="521" cm="1">
        <f t="array" ref="M64">($D$5/G64)*(C64*Linterp($D$6,atmos_h,atmos_vela)/L64)</f>
        <v>2438.6951934349127</v>
      </c>
      <c r="N64" s="83">
        <f t="shared" si="18"/>
        <v>4.901084874215762</v>
      </c>
      <c r="O64" s="522">
        <f t="shared" si="19"/>
        <v>0.28690531687469562</v>
      </c>
      <c r="P64" s="12"/>
    </row>
    <row r="65" spans="2:16">
      <c r="B65" s="120">
        <f t="shared" si="20"/>
        <v>10000</v>
      </c>
      <c r="C65" s="7">
        <v>0.79</v>
      </c>
      <c r="D65" s="7">
        <f t="shared" si="0"/>
        <v>851.13581569150926</v>
      </c>
      <c r="E65" s="11">
        <f t="shared" si="11"/>
        <v>7.8642274347906549E-2</v>
      </c>
      <c r="F65" s="19">
        <f t="shared" si="15"/>
        <v>1.560302842934883E-2</v>
      </c>
      <c r="G65" s="16">
        <f t="shared" si="12"/>
        <v>1686.4433633078866</v>
      </c>
      <c r="H65" s="12">
        <f t="shared" si="13"/>
        <v>3314.2766518902231</v>
      </c>
      <c r="I65" s="12">
        <f t="shared" si="14"/>
        <v>3486.1635031833621</v>
      </c>
      <c r="J65" s="141">
        <f t="shared" si="16"/>
        <v>0.50884206131255261</v>
      </c>
      <c r="K65" s="267" cm="1">
        <f t="array" ref="K65">InterpolateXYZ(J65,C65,B65,FFnorm_PS,FFnorm_M,FFnorm_h,FFnorm_table)*numeng</f>
        <v>1773.9066230324115</v>
      </c>
      <c r="L65" s="11">
        <f t="shared" si="17"/>
        <v>1.0518625538381374</v>
      </c>
      <c r="M65" s="521" cm="1">
        <f t="array" ref="M65">($D$5/G65)*(C65*Linterp($D$6,atmos_h,atmos_vela)/L65)</f>
        <v>2414.8266382865522</v>
      </c>
      <c r="N65" s="83">
        <f t="shared" si="18"/>
        <v>4.7916840095391509</v>
      </c>
      <c r="O65" s="522">
        <f t="shared" si="19"/>
        <v>0.28409725156312376</v>
      </c>
      <c r="P65" s="12"/>
    </row>
    <row r="66" spans="2:16">
      <c r="B66" s="120">
        <f t="shared" si="20"/>
        <v>10000</v>
      </c>
      <c r="C66" s="7">
        <v>0.8</v>
      </c>
      <c r="D66" s="7">
        <f t="shared" si="0"/>
        <v>861.90968677621186</v>
      </c>
      <c r="E66" s="11">
        <f t="shared" si="11"/>
        <v>7.6688505344575747E-2</v>
      </c>
      <c r="F66" s="19">
        <f t="shared" si="15"/>
        <v>1.5558606316807196E-2</v>
      </c>
      <c r="G66" s="16">
        <f t="shared" si="12"/>
        <v>1724.4846942660515</v>
      </c>
      <c r="H66" s="12">
        <f t="shared" si="13"/>
        <v>3323.1383541680043</v>
      </c>
      <c r="I66" s="12">
        <f t="shared" si="14"/>
        <v>3495.4847959726226</v>
      </c>
      <c r="J66" s="141">
        <f t="shared" si="16"/>
        <v>0.51893256027187018</v>
      </c>
      <c r="K66" s="267" cm="1">
        <f t="array" ref="K66">InterpolateXYZ(J66,C66,B66,FFnorm_PS,FFnorm_M,FFnorm_h,FFnorm_table)*numeng</f>
        <v>1813.9208745654687</v>
      </c>
      <c r="L66" s="11">
        <f t="shared" si="17"/>
        <v>1.0518625538381374</v>
      </c>
      <c r="M66" s="521" cm="1">
        <f t="array" ref="M66">($D$5/G66)*(C66*Linterp($D$6,atmos_h,atmos_vela)/L66)</f>
        <v>2391.4498074500543</v>
      </c>
      <c r="N66" s="83">
        <f t="shared" si="18"/>
        <v>4.6859816870657092</v>
      </c>
      <c r="O66" s="522">
        <f t="shared" si="19"/>
        <v>0.28134703617059464</v>
      </c>
      <c r="P66" s="12"/>
    </row>
    <row r="67" spans="2:16">
      <c r="B67" s="120">
        <f t="shared" si="20"/>
        <v>10000</v>
      </c>
      <c r="C67" s="7">
        <v>0.81</v>
      </c>
      <c r="D67" s="7">
        <f t="shared" si="0"/>
        <v>872.68355786091456</v>
      </c>
      <c r="E67" s="11">
        <f t="shared" si="11"/>
        <v>7.4806650541881528E-2</v>
      </c>
      <c r="F67" s="19">
        <f t="shared" si="15"/>
        <v>1.5615083131773519E-2</v>
      </c>
      <c r="G67" s="16">
        <f t="shared" si="12"/>
        <v>1774.2835116747435</v>
      </c>
      <c r="H67" s="12">
        <f t="shared" si="13"/>
        <v>3332.0000564457855</v>
      </c>
      <c r="I67" s="12">
        <f t="shared" si="14"/>
        <v>3504.8060887618831</v>
      </c>
      <c r="J67" s="141">
        <f t="shared" si="16"/>
        <v>0.53249804370272302</v>
      </c>
      <c r="K67" s="267" cm="1">
        <f t="array" ref="K67">InterpolateXYZ(J67,C67,B67,FFnorm_PS,FFnorm_M,FFnorm_h,FFnorm_table)*numeng</f>
        <v>1866.3023858230949</v>
      </c>
      <c r="L67" s="11">
        <f t="shared" si="17"/>
        <v>1.0518625538381376</v>
      </c>
      <c r="M67" s="521" cm="1">
        <f t="array" ref="M67">($D$5/G67)*(C67*Linterp($D$6,atmos_h,atmos_vela)/L67)</f>
        <v>2353.3830951782134</v>
      </c>
      <c r="N67" s="83">
        <f t="shared" si="18"/>
        <v>4.5544602335442264</v>
      </c>
      <c r="O67" s="522">
        <f t="shared" si="19"/>
        <v>0.27686859943273096</v>
      </c>
      <c r="P67" s="12"/>
    </row>
    <row r="68" spans="2:16">
      <c r="B68" s="120">
        <f t="shared" si="20"/>
        <v>10000</v>
      </c>
      <c r="C68" s="7">
        <v>0.82</v>
      </c>
      <c r="D68" s="7">
        <f t="shared" si="0"/>
        <v>883.45742894561715</v>
      </c>
      <c r="E68" s="11">
        <f t="shared" si="11"/>
        <v>7.2993223409471272E-2</v>
      </c>
      <c r="F68" s="19">
        <f t="shared" si="15"/>
        <v>1.567241529261839E-2</v>
      </c>
      <c r="G68" s="16">
        <f t="shared" si="12"/>
        <v>1825.0396922458813</v>
      </c>
      <c r="H68" s="12">
        <f t="shared" si="13"/>
        <v>3340.8617587235667</v>
      </c>
      <c r="I68" s="12">
        <f t="shared" si="14"/>
        <v>3514.1273815511431</v>
      </c>
      <c r="J68" s="141">
        <f t="shared" si="16"/>
        <v>0.54627812344536186</v>
      </c>
      <c r="K68" s="267" cm="1">
        <f t="array" ref="K68">InterpolateXYZ(J68,C68,B68,FFnorm_PS,FFnorm_M,FFnorm_h,FFnorm_table)*numeng</f>
        <v>1919.6909115417216</v>
      </c>
      <c r="L68" s="11">
        <f t="shared" si="17"/>
        <v>1.0518625538381376</v>
      </c>
      <c r="M68" s="521" cm="1">
        <f t="array" ref="M68">($D$5/G68)*(C68*Linterp($D$6,atmos_h,atmos_vela)/L68)</f>
        <v>2316.1792440813047</v>
      </c>
      <c r="N68" s="83">
        <f t="shared" si="18"/>
        <v>4.4277961357714473</v>
      </c>
      <c r="O68" s="522">
        <f t="shared" si="19"/>
        <v>0.27249167577427114</v>
      </c>
      <c r="P68" s="12"/>
    </row>
    <row r="69" spans="2:16">
      <c r="B69" s="120">
        <f t="shared" si="20"/>
        <v>10000</v>
      </c>
      <c r="C69" s="7">
        <v>0.83</v>
      </c>
      <c r="D69" s="7">
        <f t="shared" si="0"/>
        <v>894.23130003031974</v>
      </c>
      <c r="E69" s="11">
        <f t="shared" si="11"/>
        <v>7.1244946175828827E-2</v>
      </c>
      <c r="F69" s="19">
        <f t="shared" si="15"/>
        <v>1.5730561827197859E-2</v>
      </c>
      <c r="G69" s="16">
        <f t="shared" si="12"/>
        <v>1876.7615488289232</v>
      </c>
      <c r="H69" s="12">
        <f t="shared" si="13"/>
        <v>3349.7234610013484</v>
      </c>
      <c r="I69" s="12">
        <f t="shared" si="14"/>
        <v>3523.4486743404036</v>
      </c>
      <c r="J69" s="141">
        <f t="shared" si="16"/>
        <v>0.56027357800691224</v>
      </c>
      <c r="K69" s="267" cm="1">
        <f t="array" ref="K69">InterpolateXYZ(J69,C69,B69,FFnorm_PS,FFnorm_M,FFnorm_h,FFnorm_table)*numeng</f>
        <v>1974.0951956964095</v>
      </c>
      <c r="L69" s="11">
        <f t="shared" si="17"/>
        <v>1.0518625538381374</v>
      </c>
      <c r="M69" s="521" cm="1">
        <f t="array" ref="M69">($D$5/G69)*(C69*Linterp($D$6,atmos_h,atmos_vela)/L69)</f>
        <v>2279.8150835144429</v>
      </c>
      <c r="N69" s="83">
        <f t="shared" si="18"/>
        <v>4.3057700654610134</v>
      </c>
      <c r="O69" s="522">
        <f t="shared" si="19"/>
        <v>0.26821353923699326</v>
      </c>
      <c r="P69" s="12"/>
    </row>
    <row r="70" spans="2:16">
      <c r="B70" s="120">
        <f t="shared" si="20"/>
        <v>10000</v>
      </c>
      <c r="C70" s="7">
        <v>0.84</v>
      </c>
      <c r="D70" s="7">
        <f t="shared" ref="D70:D82" si="21">C70*H$6</f>
        <v>905.00517111502245</v>
      </c>
      <c r="E70" s="11">
        <f t="shared" si="11"/>
        <v>6.9558735006417918E-2</v>
      </c>
      <c r="F70" s="19">
        <f t="shared" si="15"/>
        <v>1.5789484187580225E-2</v>
      </c>
      <c r="G70" s="16">
        <f t="shared" si="12"/>
        <v>1929.4573942733261</v>
      </c>
      <c r="H70" s="12">
        <f t="shared" si="13"/>
        <v>3358.5851632791296</v>
      </c>
      <c r="I70" s="12">
        <f t="shared" si="14"/>
        <v>3532.7699671296637</v>
      </c>
      <c r="J70" s="141">
        <f t="shared" si="16"/>
        <v>0.57448517767806573</v>
      </c>
      <c r="K70" s="267" cm="1">
        <f t="array" ref="K70">InterpolateXYZ(J70,C70,B70,FFnorm_PS,FFnorm_M,FFnorm_h,FFnorm_table)*numeng</f>
        <v>2029.5239822622193</v>
      </c>
      <c r="L70" s="11">
        <f t="shared" si="17"/>
        <v>1.0518625538381376</v>
      </c>
      <c r="M70" s="521" cm="1">
        <f t="array" ref="M70">($D$5/G70)*(C70*Linterp($D$6,atmos_h,atmos_vela)/L70)</f>
        <v>2244.2680167014623</v>
      </c>
      <c r="N70" s="83">
        <f t="shared" si="18"/>
        <v>4.1881742094643446</v>
      </c>
      <c r="O70" s="522">
        <f t="shared" si="19"/>
        <v>0.26403153137664265</v>
      </c>
      <c r="P70" s="12"/>
    </row>
    <row r="71" spans="2:16">
      <c r="B71" s="120">
        <f t="shared" si="20"/>
        <v>10000</v>
      </c>
      <c r="C71" s="7">
        <v>0.85</v>
      </c>
      <c r="D71" s="7">
        <f t="shared" si="21"/>
        <v>915.77904219972504</v>
      </c>
      <c r="E71" s="11">
        <f t="shared" si="11"/>
        <v>6.7931686395195132E-2</v>
      </c>
      <c r="F71" s="19">
        <f t="shared" si="15"/>
        <v>1.5849146079939938E-2</v>
      </c>
      <c r="G71" s="16">
        <f t="shared" si="12"/>
        <v>1983.1355414285458</v>
      </c>
      <c r="H71" s="12">
        <f t="shared" si="13"/>
        <v>3367.4468655569108</v>
      </c>
      <c r="I71" s="12">
        <f t="shared" si="14"/>
        <v>3542.0912599189242</v>
      </c>
      <c r="J71" s="141">
        <f t="shared" si="16"/>
        <v>0.58891368464118987</v>
      </c>
      <c r="K71" s="267" cm="1">
        <f t="array" ref="K71">InterpolateXYZ(J71,C71,B71,FFnorm_PS,FFnorm_M,FFnorm_h,FFnorm_table)*numeng</f>
        <v>2085.9860152142078</v>
      </c>
      <c r="L71" s="11">
        <f t="shared" si="17"/>
        <v>1.0518625538381374</v>
      </c>
      <c r="M71" s="521" cm="1">
        <f t="array" ref="M71">($D$5/G71)*(C71*Linterp($D$6,atmos_h,atmos_vela)/L71)</f>
        <v>2209.5160216709337</v>
      </c>
      <c r="N71" s="83">
        <f t="shared" si="18"/>
        <v>4.074811594135805</v>
      </c>
      <c r="O71" s="522">
        <f t="shared" si="19"/>
        <v>0.25994306137305101</v>
      </c>
      <c r="P71" s="12"/>
    </row>
    <row r="72" spans="2:16">
      <c r="B72" s="120">
        <f t="shared" si="20"/>
        <v>10000</v>
      </c>
      <c r="C72" s="7">
        <v>0.86</v>
      </c>
      <c r="D72" s="7">
        <f t="shared" si="21"/>
        <v>926.55291328442775</v>
      </c>
      <c r="E72" s="11">
        <f t="shared" si="11"/>
        <v>6.6361064657285668E-2</v>
      </c>
      <c r="F72" s="19">
        <f t="shared" si="15"/>
        <v>1.6030840529509215E-2</v>
      </c>
      <c r="G72" s="16">
        <f t="shared" si="12"/>
        <v>2053.3447617897482</v>
      </c>
      <c r="H72" s="12">
        <f t="shared" si="13"/>
        <v>3376.3085678346924</v>
      </c>
      <c r="I72" s="12">
        <f t="shared" si="14"/>
        <v>3551.4125527081846</v>
      </c>
      <c r="J72" s="141">
        <f t="shared" si="16"/>
        <v>0.60816264880274473</v>
      </c>
      <c r="K72" s="267" cm="1">
        <f t="array" ref="K72">InterpolateXYZ(J72,C72,B72,FFnorm_PS,FFnorm_M,FFnorm_h,FFnorm_table)*numeng</f>
        <v>2159.8364650463268</v>
      </c>
      <c r="L72" s="11">
        <f t="shared" si="17"/>
        <v>1.0518625538381376</v>
      </c>
      <c r="M72" s="521" cm="1">
        <f t="array" ref="M72">($D$5/G72)*(C72*Linterp($D$6,atmos_h,atmos_vela)/L72)</f>
        <v>2159.0723909621984</v>
      </c>
      <c r="N72" s="83">
        <f t="shared" si="18"/>
        <v>3.935483143080317</v>
      </c>
      <c r="O72" s="522">
        <f t="shared" si="19"/>
        <v>0.25400851658378804</v>
      </c>
      <c r="P72" s="12"/>
    </row>
    <row r="73" spans="2:16">
      <c r="B73" s="120">
        <f t="shared" si="20"/>
        <v>10000</v>
      </c>
      <c r="C73" s="7">
        <v>0.87</v>
      </c>
      <c r="D73" s="7">
        <f t="shared" si="21"/>
        <v>937.32678436913034</v>
      </c>
      <c r="E73" s="11">
        <f t="shared" si="11"/>
        <v>6.4844290422154144E-2</v>
      </c>
      <c r="F73" s="19">
        <f t="shared" si="15"/>
        <v>1.6213147401893814E-2</v>
      </c>
      <c r="G73" s="16">
        <f t="shared" si="12"/>
        <v>2125.2719710386991</v>
      </c>
      <c r="H73" s="12">
        <f t="shared" si="13"/>
        <v>3385.1702701124736</v>
      </c>
      <c r="I73" s="12">
        <f t="shared" si="14"/>
        <v>3560.7338454974447</v>
      </c>
      <c r="J73" s="141">
        <f t="shared" si="16"/>
        <v>0.62781833747112703</v>
      </c>
      <c r="K73" s="267" cm="1">
        <f t="array" ref="K73">InterpolateXYZ(J73,C73,B73,FFnorm_PS,FFnorm_M,FFnorm_h,FFnorm_table)*numeng</f>
        <v>2235.4940030573789</v>
      </c>
      <c r="L73" s="11">
        <f t="shared" si="17"/>
        <v>1.0518625538381379</v>
      </c>
      <c r="M73" s="521" cm="1">
        <f t="array" ref="M73">($D$5/G73)*(C73*Linterp($D$6,atmos_h,atmos_vela)/L73)</f>
        <v>2110.2570766464482</v>
      </c>
      <c r="N73" s="83">
        <f t="shared" si="18"/>
        <v>3.8022915688321923</v>
      </c>
      <c r="O73" s="522">
        <f t="shared" si="19"/>
        <v>0.2482655384289939</v>
      </c>
      <c r="P73" s="12"/>
    </row>
    <row r="74" spans="2:16">
      <c r="B74" s="120">
        <f t="shared" si="20"/>
        <v>10000</v>
      </c>
      <c r="C74" s="7">
        <v>0.88</v>
      </c>
      <c r="D74" s="7">
        <f t="shared" si="21"/>
        <v>948.10065545383304</v>
      </c>
      <c r="E74" s="11">
        <f t="shared" si="11"/>
        <v>6.3378930036839462E-2</v>
      </c>
      <c r="F74" s="19">
        <f t="shared" si="15"/>
        <v>1.6396039361262705E-2</v>
      </c>
      <c r="G74" s="16">
        <f t="shared" si="12"/>
        <v>2198.9379512990408</v>
      </c>
      <c r="H74" s="12">
        <f t="shared" si="13"/>
        <v>3394.0319723902549</v>
      </c>
      <c r="I74" s="12">
        <f t="shared" si="14"/>
        <v>3570.0551382867052</v>
      </c>
      <c r="J74" s="141">
        <f t="shared" si="16"/>
        <v>0.64788368795195339</v>
      </c>
      <c r="K74" s="267" cm="1">
        <f t="array" ref="K74">InterpolateXYZ(J74,C74,B74,FFnorm_PS,FFnorm_M,FFnorm_h,FFnorm_table)*numeng</f>
        <v>2312.9804891850113</v>
      </c>
      <c r="L74" s="11">
        <f t="shared" si="17"/>
        <v>1.0518625538381376</v>
      </c>
      <c r="M74" s="521" cm="1">
        <f t="array" ref="M74">($D$5/G74)*(C74*Linterp($D$6,atmos_h,atmos_vela)/L74)</f>
        <v>2063.0052095733295</v>
      </c>
      <c r="N74" s="83">
        <f t="shared" si="18"/>
        <v>3.6749121057199283</v>
      </c>
      <c r="O74" s="522">
        <f t="shared" si="19"/>
        <v>0.2427064952439211</v>
      </c>
      <c r="P74" s="12"/>
    </row>
    <row r="75" spans="2:16">
      <c r="B75" s="120">
        <f t="shared" si="20"/>
        <v>10000</v>
      </c>
      <c r="C75" s="7">
        <v>0.89</v>
      </c>
      <c r="D75" s="7">
        <f t="shared" si="21"/>
        <v>958.87452653853575</v>
      </c>
      <c r="E75" s="11">
        <f t="shared" si="11"/>
        <v>6.1962685797915001E-2</v>
      </c>
      <c r="F75" s="19">
        <f t="shared" si="15"/>
        <v>1.6579490587337771E-2</v>
      </c>
      <c r="G75" s="16">
        <f t="shared" si="12"/>
        <v>2274.3634846944142</v>
      </c>
      <c r="H75" s="12">
        <f t="shared" si="13"/>
        <v>3402.8936746680365</v>
      </c>
      <c r="I75" s="12">
        <f t="shared" si="14"/>
        <v>3579.3764310759652</v>
      </c>
      <c r="J75" s="141">
        <f t="shared" si="16"/>
        <v>0.66836160695390689</v>
      </c>
      <c r="K75" s="267" cm="1">
        <f t="array" ref="K75">InterpolateXYZ(J75,C75,B75,FFnorm_PS,FFnorm_M,FFnorm_h,FFnorm_table)*numeng</f>
        <v>2392.3177833668719</v>
      </c>
      <c r="L75" s="11">
        <f t="shared" si="17"/>
        <v>1.0518625538381374</v>
      </c>
      <c r="M75" s="521" cm="1">
        <f t="array" ref="M75">($D$5/G75)*(C75*Linterp($D$6,atmos_h,atmos_vela)/L75)</f>
        <v>2017.2548109874942</v>
      </c>
      <c r="N75" s="83">
        <f t="shared" si="18"/>
        <v>3.5530396752045919</v>
      </c>
      <c r="O75" s="522">
        <f t="shared" si="19"/>
        <v>0.23732409541029345</v>
      </c>
      <c r="P75" s="12"/>
    </row>
    <row r="76" spans="2:16">
      <c r="B76" s="120">
        <f t="shared" si="20"/>
        <v>10000</v>
      </c>
      <c r="C76" s="7">
        <v>0.9</v>
      </c>
      <c r="D76" s="7">
        <f t="shared" si="21"/>
        <v>969.64839762323834</v>
      </c>
      <c r="E76" s="11">
        <f t="shared" si="11"/>
        <v>6.0593386938924049E-2</v>
      </c>
      <c r="F76" s="19">
        <f t="shared" si="15"/>
        <v>1.6763476675430444E-2</v>
      </c>
      <c r="G76" s="16">
        <f t="shared" si="12"/>
        <v>2351.5693533484618</v>
      </c>
      <c r="H76" s="12">
        <f t="shared" si="13"/>
        <v>3411.7553769458177</v>
      </c>
      <c r="I76" s="12">
        <f t="shared" si="14"/>
        <v>3588.6977238652257</v>
      </c>
      <c r="J76" s="141">
        <f t="shared" si="16"/>
        <v>0.68925497098610045</v>
      </c>
      <c r="K76" s="267" cm="1">
        <f t="array" ref="K76">InterpolateXYZ(J76,C76,B76,FFnorm_PS,FFnorm_M,FFnorm_h,FFnorm_table)*numeng</f>
        <v>2473.5277455406108</v>
      </c>
      <c r="L76" s="11">
        <f t="shared" si="17"/>
        <v>1.0518625538381376</v>
      </c>
      <c r="M76" s="521" cm="1">
        <f t="array" ref="M76">($D$5/G76)*(C76*Linterp($D$6,atmos_h,atmos_vela)/L76)</f>
        <v>1972.9466652571468</v>
      </c>
      <c r="N76" s="83">
        <f t="shared" si="18"/>
        <v>3.4363875704746749</v>
      </c>
      <c r="O76" s="522">
        <f t="shared" si="19"/>
        <v>0.23211137238319374</v>
      </c>
      <c r="P76" s="12"/>
    </row>
    <row r="77" spans="2:16">
      <c r="B77" s="120">
        <f t="shared" si="20"/>
        <v>10000</v>
      </c>
      <c r="C77" s="7">
        <v>0.91</v>
      </c>
      <c r="D77" s="7">
        <f t="shared" si="21"/>
        <v>980.42226870794104</v>
      </c>
      <c r="E77" s="11">
        <f t="shared" si="11"/>
        <v>5.9268981307243666E-2</v>
      </c>
      <c r="F77" s="19">
        <f t="shared" si="15"/>
        <v>1.6999752613536631E-2</v>
      </c>
      <c r="G77" s="16">
        <f t="shared" si="12"/>
        <v>2438.0020379631751</v>
      </c>
      <c r="H77" s="12">
        <f t="shared" si="13"/>
        <v>3420.6170792235989</v>
      </c>
      <c r="I77" s="12">
        <f t="shared" si="14"/>
        <v>3598.0190166544862</v>
      </c>
      <c r="J77" s="141">
        <f t="shared" si="16"/>
        <v>0.7127374919488344</v>
      </c>
      <c r="K77" s="267" cm="1">
        <f t="array" ref="K77">InterpolateXYZ(J77,C77,B77,FFnorm_PS,FFnorm_M,FFnorm_h,FFnorm_table)*numeng</f>
        <v>2564.4430499145296</v>
      </c>
      <c r="L77" s="11">
        <f t="shared" si="17"/>
        <v>1.0518625538381376</v>
      </c>
      <c r="M77" s="521" cm="1">
        <f t="array" ref="M77">($D$5/G77)*(C77*Linterp($D$6,atmos_h,atmos_vela)/L77)</f>
        <v>1924.145703382826</v>
      </c>
      <c r="N77" s="83">
        <f t="shared" si="18"/>
        <v>3.314559861363775</v>
      </c>
      <c r="O77" s="522">
        <f t="shared" si="19"/>
        <v>0.22637008275092071</v>
      </c>
      <c r="P77" s="12"/>
    </row>
    <row r="78" spans="2:16">
      <c r="B78" s="120">
        <f t="shared" si="20"/>
        <v>10000</v>
      </c>
      <c r="C78" s="7">
        <v>0.92</v>
      </c>
      <c r="D78" s="7">
        <f t="shared" si="21"/>
        <v>991.19613979264363</v>
      </c>
      <c r="E78" s="11">
        <f t="shared" si="11"/>
        <v>5.7987527670756711E-2</v>
      </c>
      <c r="F78" s="19">
        <f t="shared" si="15"/>
        <v>1.7236441601418611E-2</v>
      </c>
      <c r="G78" s="16">
        <f t="shared" si="12"/>
        <v>2526.573549469389</v>
      </c>
      <c r="H78" s="12">
        <f t="shared" si="13"/>
        <v>3429.4787815013806</v>
      </c>
      <c r="I78" s="12">
        <f t="shared" si="14"/>
        <v>3607.3403094437463</v>
      </c>
      <c r="J78" s="141">
        <f t="shared" si="16"/>
        <v>0.73672231567599566</v>
      </c>
      <c r="K78" s="267" cm="1">
        <f t="array" ref="K78">InterpolateXYZ(J78,C78,B78,FFnorm_PS,FFnorm_M,FFnorm_h,FFnorm_table)*numeng</f>
        <v>2657.6081062047592</v>
      </c>
      <c r="L78" s="11">
        <f t="shared" si="17"/>
        <v>1.0518625538381374</v>
      </c>
      <c r="M78" s="521" cm="1">
        <f t="array" ref="M78">($D$5/G78)*(C78*Linterp($D$6,atmos_h,atmos_vela)/L78)</f>
        <v>1877.096108900962</v>
      </c>
      <c r="N78" s="83">
        <f t="shared" si="18"/>
        <v>3.1983647175649854</v>
      </c>
      <c r="O78" s="522">
        <f t="shared" si="19"/>
        <v>0.22083483634128964</v>
      </c>
      <c r="P78" s="12"/>
    </row>
    <row r="79" spans="2:16">
      <c r="B79" s="120">
        <f t="shared" si="20"/>
        <v>10000</v>
      </c>
      <c r="C79" s="7">
        <v>0.93</v>
      </c>
      <c r="D79" s="7">
        <f t="shared" si="21"/>
        <v>1001.9700108773463</v>
      </c>
      <c r="E79" s="11">
        <f t="shared" si="11"/>
        <v>5.6747188600449153E-2</v>
      </c>
      <c r="F79" s="19">
        <f t="shared" si="15"/>
        <v>1.7723526654655732E-2</v>
      </c>
      <c r="G79" s="16">
        <f t="shared" si="12"/>
        <v>2654.7566545592945</v>
      </c>
      <c r="H79" s="12">
        <f t="shared" si="13"/>
        <v>3438.3404837791618</v>
      </c>
      <c r="I79" s="12">
        <f t="shared" si="14"/>
        <v>3616.6616022330068</v>
      </c>
      <c r="J79" s="141">
        <f t="shared" si="16"/>
        <v>0.77210406214377825</v>
      </c>
      <c r="K79" s="267" cm="1">
        <f t="array" ref="K79">InterpolateXYZ(J79,C79,B79,FFnorm_PS,FFnorm_M,FFnorm_h,FFnorm_table)*numeng</f>
        <v>2792.4391144835299</v>
      </c>
      <c r="L79" s="11">
        <f t="shared" si="17"/>
        <v>1.0518625538381376</v>
      </c>
      <c r="M79" s="521" cm="1">
        <f t="array" ref="M79">($D$5/G79)*(C79*Linterp($D$6,atmos_h,atmos_vela)/L79)</f>
        <v>1805.8798732845089</v>
      </c>
      <c r="N79" s="83">
        <f t="shared" si="18"/>
        <v>3.0439338698248042</v>
      </c>
      <c r="O79" s="522">
        <f t="shared" si="19"/>
        <v>0.21245645568053045</v>
      </c>
      <c r="P79" s="12"/>
    </row>
    <row r="80" spans="2:16">
      <c r="B80" s="120">
        <f t="shared" si="20"/>
        <v>10000</v>
      </c>
      <c r="C80" s="7">
        <v>0.94</v>
      </c>
      <c r="D80" s="7">
        <f t="shared" si="21"/>
        <v>1012.7438819620488</v>
      </c>
      <c r="E80" s="11">
        <f t="shared" si="11"/>
        <v>5.5546223880181628E-2</v>
      </c>
      <c r="F80" s="19">
        <f t="shared" si="15"/>
        <v>1.8210991665666327E-2</v>
      </c>
      <c r="G80" s="16">
        <f t="shared" si="12"/>
        <v>2786.7498156502525</v>
      </c>
      <c r="H80" s="12">
        <f t="shared" si="13"/>
        <v>3447.202186056943</v>
      </c>
      <c r="I80" s="12">
        <f t="shared" si="14"/>
        <v>3625.9828950222668</v>
      </c>
      <c r="J80" s="141">
        <f t="shared" si="16"/>
        <v>0.80840915769952437</v>
      </c>
      <c r="K80" s="267" cm="1">
        <f t="array" ref="K80">InterpolateXYZ(J80,C80,B80,FFnorm_PS,FFnorm_M,FFnorm_h,FFnorm_table)*numeng</f>
        <v>2931.2777779978333</v>
      </c>
      <c r="L80" s="11">
        <f t="shared" si="17"/>
        <v>1.0518625538381374</v>
      </c>
      <c r="M80" s="521" cm="1">
        <f t="array" ref="M80">($D$5/G80)*(C80*Linterp($D$6,atmos_h,atmos_vela)/L80)</f>
        <v>1738.8435144407545</v>
      </c>
      <c r="N80" s="83">
        <f t="shared" si="18"/>
        <v>2.8997593008076508</v>
      </c>
      <c r="O80" s="522">
        <f t="shared" si="19"/>
        <v>0.20456982522832406</v>
      </c>
      <c r="P80" s="12"/>
    </row>
    <row r="81" spans="2:16">
      <c r="B81" s="120">
        <f t="shared" si="20"/>
        <v>10000</v>
      </c>
      <c r="C81" s="7">
        <v>0.95</v>
      </c>
      <c r="D81" s="7">
        <f t="shared" si="21"/>
        <v>1023.5177530467515</v>
      </c>
      <c r="E81" s="11">
        <f t="shared" si="11"/>
        <v>5.4382984399477544E-2</v>
      </c>
      <c r="F81" s="19">
        <f t="shared" si="15"/>
        <v>1.969882134953329E-2</v>
      </c>
      <c r="G81" s="16">
        <f t="shared" si="12"/>
        <v>3078.9038762764467</v>
      </c>
      <c r="H81" s="12">
        <f t="shared" si="13"/>
        <v>3456.0638883347242</v>
      </c>
      <c r="I81" s="12">
        <f t="shared" si="14"/>
        <v>3635.3041878115268</v>
      </c>
      <c r="J81" s="141">
        <f t="shared" si="16"/>
        <v>0.89087006946506164</v>
      </c>
      <c r="K81" s="267" cm="1">
        <f t="array" ref="K81">InterpolateXYZ(J81,C81,B81,FFnorm_PS,FFnorm_M,FFnorm_h,FFnorm_table)*numeng</f>
        <v>3238.5836943222844</v>
      </c>
      <c r="L81" s="11">
        <f t="shared" si="17"/>
        <v>1.0518625538381376</v>
      </c>
      <c r="M81" s="521" cm="1">
        <f t="array" ref="M81">($D$5/G81)*(C81*Linterp($D$6,atmos_h,atmos_vela)/L81)</f>
        <v>1590.5894670575806</v>
      </c>
      <c r="N81" s="83">
        <f t="shared" si="18"/>
        <v>2.6246040869352103</v>
      </c>
      <c r="O81" s="522">
        <f t="shared" si="19"/>
        <v>0.18712817259500947</v>
      </c>
      <c r="P81" s="12"/>
    </row>
    <row r="82" spans="2:16">
      <c r="B82" s="120">
        <f t="shared" si="20"/>
        <v>10000</v>
      </c>
      <c r="C82" s="7">
        <v>0.96</v>
      </c>
      <c r="D82" s="7">
        <f t="shared" si="21"/>
        <v>1034.2916241314542</v>
      </c>
      <c r="E82" s="11">
        <f t="shared" si="11"/>
        <v>5.3255906489288719E-2</v>
      </c>
      <c r="F82" s="19">
        <f t="shared" si="15"/>
        <v>2.1187001193711825E-2</v>
      </c>
      <c r="G82" s="16">
        <f t="shared" si="12"/>
        <v>3381.5875462146464</v>
      </c>
      <c r="H82" s="12">
        <f t="shared" si="13"/>
        <v>3464.9255906125059</v>
      </c>
      <c r="I82" s="12">
        <f t="shared" si="14"/>
        <v>3644.6254806007873</v>
      </c>
      <c r="J82" s="141">
        <f t="shared" si="16"/>
        <v>0.97594809983116337</v>
      </c>
      <c r="K82" s="267" cm="1">
        <f t="array" ref="K82">InterpolateXYZ(J82,C82,B82,FFnorm_PS,FFnorm_M,FFnorm_h,FFnorm_table)*numeng</f>
        <v>3556.9653123885792</v>
      </c>
      <c r="L82" s="11">
        <f t="shared" si="17"/>
        <v>1.0518625538381376</v>
      </c>
      <c r="M82" s="521" cm="1">
        <f t="array" ref="M82">($D$5/G82)*(C82*Linterp($D$6,atmos_h,atmos_vela)/L82)</f>
        <v>1463.4612413342529</v>
      </c>
      <c r="N82" s="83">
        <f t="shared" si="18"/>
        <v>2.3896775069453984</v>
      </c>
      <c r="O82" s="522">
        <f t="shared" si="19"/>
        <v>0.17217191074520621</v>
      </c>
      <c r="P82" s="12"/>
    </row>
    <row r="83" spans="2:16">
      <c r="B83" s="120"/>
      <c r="C83" s="7"/>
      <c r="D83" s="7"/>
      <c r="E83" s="11"/>
      <c r="F83" s="19"/>
      <c r="G83" s="16"/>
      <c r="H83" s="12"/>
      <c r="I83" s="12"/>
      <c r="J83" s="141"/>
      <c r="K83" s="267"/>
      <c r="L83" s="121"/>
      <c r="M83" s="12"/>
      <c r="N83" s="12"/>
      <c r="O83" s="12"/>
    </row>
    <row r="84" spans="2:16" ht="15" thickBot="1">
      <c r="C84" s="7"/>
      <c r="D84" s="7"/>
      <c r="E84" s="11"/>
      <c r="F84" s="19"/>
      <c r="G84" s="16"/>
      <c r="H84" s="12"/>
      <c r="I84" s="12"/>
      <c r="J84" s="141"/>
      <c r="K84" s="11"/>
      <c r="L84" s="121"/>
      <c r="M84" s="11"/>
      <c r="N84" s="12"/>
      <c r="O84" s="12"/>
    </row>
    <row r="85" spans="2:16">
      <c r="C85" t="s">
        <v>237</v>
      </c>
      <c r="E85" s="7" t="s">
        <v>356</v>
      </c>
      <c r="F85" s="189" cm="1">
        <f t="array" ref="F85">x_at_ymax(C13:C82,M13:M82)</f>
        <v>0.49712999120004936</v>
      </c>
      <c r="G85" s="149" t="s">
        <v>72</v>
      </c>
      <c r="L85" s="55"/>
      <c r="M85" s="55"/>
      <c r="N85" s="12"/>
      <c r="O85" s="12"/>
    </row>
    <row r="86" spans="2:16" ht="15" thickBot="1">
      <c r="E86" s="7" t="s">
        <v>357</v>
      </c>
      <c r="F86" s="175" cm="1">
        <f t="array" ref="F86">y_max(C36:C46,M36:M46)</f>
        <v>2968.0845660474479</v>
      </c>
      <c r="G86" s="145" t="s">
        <v>235</v>
      </c>
      <c r="M86" s="12"/>
      <c r="N86" s="12"/>
      <c r="O86" s="12"/>
    </row>
    <row r="87" spans="2:16">
      <c r="C87" s="7"/>
      <c r="G87" s="149"/>
      <c r="M87" s="12"/>
      <c r="N87" s="12"/>
      <c r="O87" s="12"/>
    </row>
    <row r="88" spans="2:16">
      <c r="C88" s="7"/>
      <c r="D88" s="7"/>
      <c r="E88" s="4"/>
      <c r="F88" s="2"/>
      <c r="G88" s="149"/>
      <c r="M88" s="12"/>
      <c r="N88" s="12"/>
      <c r="O88" s="12"/>
    </row>
    <row r="89" spans="2:16">
      <c r="C89" s="7"/>
      <c r="D89" s="7"/>
      <c r="E89" s="4"/>
      <c r="F89" s="1"/>
      <c r="G89" s="149"/>
      <c r="L89" s="12"/>
      <c r="M89" s="12"/>
      <c r="N89" s="12"/>
      <c r="O89" s="12"/>
    </row>
    <row r="90" spans="2:16" ht="15" thickBot="1">
      <c r="C90" s="7"/>
      <c r="D90" s="7"/>
      <c r="E90" s="11"/>
      <c r="F90" s="19"/>
      <c r="G90" s="144"/>
      <c r="J90" s="12"/>
      <c r="K90" s="12"/>
      <c r="L90" s="12"/>
      <c r="M90" s="12"/>
      <c r="N90" s="12"/>
      <c r="O90" s="12"/>
    </row>
    <row r="91" spans="2:16">
      <c r="C91" t="s">
        <v>238</v>
      </c>
      <c r="D91" s="7"/>
      <c r="E91" s="7" t="s">
        <v>356</v>
      </c>
      <c r="F91" s="189" cm="1">
        <f t="array" ref="F91">x_at_ymax(C13:C82,N13:N82)</f>
        <v>0.38289275258432087</v>
      </c>
      <c r="G91" s="149" t="s">
        <v>72</v>
      </c>
      <c r="J91" s="12"/>
      <c r="K91" s="12"/>
      <c r="L91" s="12"/>
      <c r="M91" s="12"/>
      <c r="N91" s="12"/>
      <c r="O91" s="12"/>
    </row>
    <row r="92" spans="2:16" ht="15" thickBot="1">
      <c r="C92" s="7"/>
      <c r="D92" s="7"/>
      <c r="E92" s="7" t="s">
        <v>357</v>
      </c>
      <c r="F92" s="174" cm="1">
        <f t="array" ref="F92">y_max(C13:C81,N13:N81)</f>
        <v>10.803176279888049</v>
      </c>
      <c r="G92" s="145" t="s">
        <v>236</v>
      </c>
      <c r="J92" s="12"/>
      <c r="K92" s="12"/>
      <c r="L92" s="12"/>
      <c r="M92" s="12"/>
      <c r="N92" s="12"/>
      <c r="O92" s="12"/>
    </row>
    <row r="93" spans="2:16">
      <c r="C93" s="7"/>
      <c r="D93" s="7"/>
      <c r="E93" t="s">
        <v>356</v>
      </c>
      <c r="F93" s="525" cm="1">
        <f t="array" ref="F93">x_at_ymax(K11:K82,N11:N82)</f>
        <v>1187.4450438482588</v>
      </c>
      <c r="G93" t="s">
        <v>631</v>
      </c>
      <c r="J93" s="12"/>
      <c r="K93" s="12"/>
      <c r="L93" s="12"/>
      <c r="M93" s="12"/>
      <c r="N93" s="12"/>
      <c r="O93" s="12"/>
    </row>
    <row r="94" spans="2:16">
      <c r="C94" s="7"/>
      <c r="D94" s="7"/>
      <c r="E94" s="4"/>
      <c r="F94" s="2"/>
      <c r="J94" s="12"/>
      <c r="K94" s="12"/>
      <c r="L94" s="12"/>
      <c r="M94" s="12"/>
      <c r="N94" s="12"/>
      <c r="O94" s="12"/>
    </row>
    <row r="95" spans="2:16">
      <c r="C95" s="7"/>
      <c r="D95" s="7"/>
      <c r="E95" s="4"/>
      <c r="F95" s="2"/>
      <c r="J95" s="12"/>
      <c r="K95" s="12"/>
      <c r="L95" s="12"/>
      <c r="M95" s="12"/>
      <c r="N95" s="12"/>
      <c r="O95" s="12"/>
      <c r="P95" s="12"/>
    </row>
    <row r="96" spans="2:16" ht="15" thickBot="1">
      <c r="C96" s="7"/>
      <c r="D96" s="7" t="s">
        <v>549</v>
      </c>
      <c r="E96" s="12">
        <v>1000</v>
      </c>
      <c r="F96" s="19" t="s">
        <v>547</v>
      </c>
      <c r="G96" s="16"/>
      <c r="H96" s="16"/>
      <c r="I96" s="12"/>
      <c r="J96" s="12"/>
      <c r="K96" s="12"/>
      <c r="L96" s="12"/>
      <c r="M96" s="12"/>
      <c r="N96" s="12"/>
      <c r="O96" s="12"/>
      <c r="P96" s="12"/>
    </row>
    <row r="97" spans="3:16" ht="15" thickBot="1">
      <c r="C97" s="7"/>
      <c r="D97" s="7"/>
      <c r="E97" s="143" t="s">
        <v>239</v>
      </c>
      <c r="F97" s="269">
        <f>F86*LN($D$5/($D$5-E96))</f>
        <v>371.49479283977553</v>
      </c>
      <c r="G97" s="144" t="s">
        <v>183</v>
      </c>
      <c r="H97" s="272" t="s">
        <v>376</v>
      </c>
      <c r="I97" s="190" cm="1">
        <f t="array" ref="I97">(F97/(F85*Linterp(D6,atmos_h,atmos_vela)))*(60/1)</f>
        <v>70.285108663374302</v>
      </c>
      <c r="J97" s="145" t="s">
        <v>201</v>
      </c>
      <c r="K97" s="12"/>
      <c r="L97" s="12"/>
      <c r="M97" s="12"/>
      <c r="N97" s="12"/>
      <c r="O97" s="12"/>
      <c r="P97" s="12"/>
    </row>
    <row r="98" spans="3:16" ht="15" thickBot="1">
      <c r="C98" s="7"/>
      <c r="D98" s="7"/>
      <c r="E98" s="143"/>
      <c r="F98" s="270"/>
      <c r="G98" s="144"/>
      <c r="H98" s="144"/>
      <c r="I98" s="271"/>
      <c r="J98" s="145"/>
      <c r="K98" s="12"/>
      <c r="L98" s="12"/>
      <c r="M98" s="12"/>
      <c r="N98" s="12"/>
      <c r="O98" s="12"/>
      <c r="P98" s="12"/>
    </row>
    <row r="99" spans="3:16" ht="15" thickBot="1">
      <c r="C99" s="7"/>
      <c r="D99" s="7"/>
      <c r="E99" s="143" t="s">
        <v>240</v>
      </c>
      <c r="F99" s="268">
        <f>F92*60*LN($D$5/($D$5-E96))</f>
        <v>81.129569824617278</v>
      </c>
      <c r="G99" s="144" t="s">
        <v>201</v>
      </c>
      <c r="H99" s="272" t="s">
        <v>377</v>
      </c>
      <c r="I99" s="269" cm="1">
        <f t="array" ref="I99">F99*F91*Linterp(D6,atmos_h,atmos_vela)/60</f>
        <v>330.27504854526427</v>
      </c>
      <c r="J99" s="145" t="s">
        <v>183</v>
      </c>
      <c r="K99" s="12"/>
      <c r="L99" s="12"/>
      <c r="M99" s="12"/>
      <c r="N99" s="12"/>
      <c r="O99" s="12"/>
      <c r="P99" s="12"/>
    </row>
    <row r="100" spans="3:16">
      <c r="C100" s="7"/>
      <c r="D100" s="7"/>
      <c r="E100" s="11"/>
      <c r="F100" s="19"/>
      <c r="G100" s="16"/>
      <c r="H100" s="16"/>
      <c r="I100" s="12"/>
      <c r="J100" s="12"/>
      <c r="K100" s="12"/>
    </row>
    <row r="101" spans="3:16">
      <c r="E101" t="s">
        <v>374</v>
      </c>
    </row>
    <row r="102" spans="3:16">
      <c r="E102" t="s">
        <v>375</v>
      </c>
    </row>
  </sheetData>
  <mergeCells count="2">
    <mergeCell ref="B2:D2"/>
    <mergeCell ref="B3:D3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4EF80-AE6A-46AA-AE30-06ADC61B97F4}">
  <sheetPr codeName="Sheet42"/>
  <dimension ref="A1:F76"/>
  <sheetViews>
    <sheetView topLeftCell="A40" workbookViewId="0">
      <selection activeCell="G47" sqref="G47"/>
    </sheetView>
  </sheetViews>
  <sheetFormatPr defaultRowHeight="14.5"/>
  <cols>
    <col min="2" max="2" width="11.08984375" bestFit="1" customWidth="1"/>
  </cols>
  <sheetData>
    <row r="1" spans="1:5">
      <c r="A1">
        <v>2</v>
      </c>
    </row>
    <row r="2" spans="1:5">
      <c r="A2" t="s">
        <v>282</v>
      </c>
      <c r="B2" t="s">
        <v>0</v>
      </c>
      <c r="C2" t="s">
        <v>634</v>
      </c>
      <c r="D2" t="s">
        <v>635</v>
      </c>
      <c r="E2" t="s">
        <v>636</v>
      </c>
    </row>
    <row r="3" spans="1:5">
      <c r="A3">
        <v>30000</v>
      </c>
      <c r="B3" cm="1">
        <f t="array" ref="B3">Linterp(A3,atmos_h,atmos_qms)</f>
        <v>439.90350606186917</v>
      </c>
      <c r="C3">
        <v>2.0499999999999998</v>
      </c>
      <c r="D3" s="18">
        <v>2130</v>
      </c>
      <c r="E3">
        <f>SQRT(D3/B3)</f>
        <v>2.200447899057818</v>
      </c>
    </row>
    <row r="7" spans="1:5">
      <c r="D7" t="s">
        <v>637</v>
      </c>
    </row>
    <row r="8" spans="1:5">
      <c r="D8" t="s">
        <v>638</v>
      </c>
    </row>
    <row r="10" spans="1:5">
      <c r="A10">
        <v>3</v>
      </c>
    </row>
    <row r="11" spans="1:5">
      <c r="A11" t="s">
        <v>639</v>
      </c>
      <c r="B11">
        <v>0.91</v>
      </c>
    </row>
    <row r="12" spans="1:5">
      <c r="A12" t="s">
        <v>538</v>
      </c>
      <c r="B12" s="18">
        <v>11250</v>
      </c>
      <c r="C12" t="s">
        <v>547</v>
      </c>
    </row>
    <row r="13" spans="1:5">
      <c r="A13" t="s">
        <v>35</v>
      </c>
      <c r="B13">
        <v>170</v>
      </c>
      <c r="C13" t="s">
        <v>640</v>
      </c>
    </row>
    <row r="14" spans="1:5">
      <c r="A14" t="s">
        <v>282</v>
      </c>
      <c r="B14">
        <v>2500</v>
      </c>
      <c r="C14" t="s">
        <v>132</v>
      </c>
    </row>
    <row r="15" spans="1:5">
      <c r="A15" t="s">
        <v>641</v>
      </c>
      <c r="B15" cm="1">
        <f t="array" ref="B15">Linterp(B14,atmos_h, atmos_rho)</f>
        <v>2.2078013089503377E-3</v>
      </c>
    </row>
    <row r="17" spans="1:6">
      <c r="A17" t="s">
        <v>642</v>
      </c>
      <c r="B17">
        <f>SQRT(2*B12/(B15*B13*B11))</f>
        <v>256.66468004343136</v>
      </c>
    </row>
    <row r="18" spans="1:6">
      <c r="A18" t="s">
        <v>643</v>
      </c>
      <c r="B18" s="1">
        <f>1.1*B17</f>
        <v>282.33114804777455</v>
      </c>
    </row>
    <row r="22" spans="1:6">
      <c r="A22">
        <v>4</v>
      </c>
    </row>
    <row r="23" spans="1:6">
      <c r="A23" t="s">
        <v>644</v>
      </c>
      <c r="B23">
        <v>0.8</v>
      </c>
    </row>
    <row r="24" spans="1:6">
      <c r="A24" t="s">
        <v>282</v>
      </c>
      <c r="B24">
        <v>0</v>
      </c>
      <c r="C24" t="s">
        <v>132</v>
      </c>
    </row>
    <row r="25" spans="1:6">
      <c r="A25" t="s">
        <v>645</v>
      </c>
      <c r="B25">
        <v>7</v>
      </c>
      <c r="C25" t="s">
        <v>646</v>
      </c>
    </row>
    <row r="26" spans="1:6">
      <c r="A26" t="s">
        <v>56</v>
      </c>
      <c r="B26">
        <v>3.54</v>
      </c>
      <c r="C26" t="s">
        <v>647</v>
      </c>
    </row>
    <row r="27" spans="1:6">
      <c r="A27" t="s">
        <v>648</v>
      </c>
      <c r="B27" s="1">
        <f>DEGREES(ACOS(1/B26))</f>
        <v>73.591374278991566</v>
      </c>
      <c r="C27" t="s">
        <v>124</v>
      </c>
    </row>
    <row r="30" spans="1:6">
      <c r="A30">
        <v>5</v>
      </c>
    </row>
    <row r="31" spans="1:6">
      <c r="A31" t="s">
        <v>267</v>
      </c>
      <c r="B31">
        <v>150</v>
      </c>
      <c r="C31" t="s">
        <v>649</v>
      </c>
      <c r="D31">
        <f>(B31/6076.12)*3600</f>
        <v>88.872504163841398</v>
      </c>
      <c r="E31" t="s">
        <v>670</v>
      </c>
      <c r="F31" t="s">
        <v>651</v>
      </c>
    </row>
    <row r="32" spans="1:6">
      <c r="A32" t="s">
        <v>644</v>
      </c>
      <c r="B32">
        <v>0.75</v>
      </c>
      <c r="D32" cm="1">
        <f t="array" ref="D32">B32*Linterp(B33,atmos_h,atmos_aspeed)</f>
        <v>808.04033135269856</v>
      </c>
      <c r="E32" t="s">
        <v>649</v>
      </c>
    </row>
    <row r="33" spans="1:5">
      <c r="A33" t="s">
        <v>282</v>
      </c>
      <c r="B33">
        <v>10000</v>
      </c>
    </row>
    <row r="35" spans="1:5">
      <c r="A35" t="s">
        <v>225</v>
      </c>
      <c r="B35" t="s">
        <v>650</v>
      </c>
      <c r="E35" t="s">
        <v>652</v>
      </c>
    </row>
    <row r="36" spans="1:5">
      <c r="B36" s="3">
        <f>(D31)*32.174/D32</f>
        <v>3.5386648883981899</v>
      </c>
    </row>
    <row r="39" spans="1:5">
      <c r="A39">
        <v>7</v>
      </c>
    </row>
    <row r="40" spans="1:5">
      <c r="A40" t="s">
        <v>653</v>
      </c>
      <c r="B40">
        <v>11250</v>
      </c>
      <c r="C40" t="s">
        <v>349</v>
      </c>
    </row>
    <row r="41" spans="1:5">
      <c r="A41" t="s">
        <v>654</v>
      </c>
      <c r="B41">
        <v>7200</v>
      </c>
      <c r="C41" t="s">
        <v>349</v>
      </c>
    </row>
    <row r="42" spans="1:5">
      <c r="A42" t="s">
        <v>655</v>
      </c>
      <c r="B42">
        <v>0</v>
      </c>
    </row>
    <row r="43" spans="1:5">
      <c r="A43" t="s">
        <v>656</v>
      </c>
      <c r="B43">
        <v>28000</v>
      </c>
    </row>
    <row r="44" spans="1:5">
      <c r="A44" t="s">
        <v>108</v>
      </c>
      <c r="B44" s="3">
        <f>B43/(AVERAGE(B40:B41))</f>
        <v>3.0352303523035231</v>
      </c>
    </row>
    <row r="47" spans="1:5">
      <c r="A47">
        <v>8</v>
      </c>
    </row>
    <row r="48" spans="1:5">
      <c r="A48" t="s">
        <v>657</v>
      </c>
      <c r="B48">
        <v>0.4</v>
      </c>
      <c r="C48" t="s">
        <v>662</v>
      </c>
      <c r="D48" cm="1">
        <f t="array" ref="D48">B48*Linterp(B52,atmos_h,atmos_aspeed)</f>
        <v>414.74143472690758</v>
      </c>
    </row>
    <row r="49" spans="1:5">
      <c r="A49" t="s">
        <v>658</v>
      </c>
      <c r="B49">
        <v>0.8</v>
      </c>
      <c r="C49" t="s">
        <v>663</v>
      </c>
      <c r="D49" cm="1">
        <f t="array" ref="D49">B49*Linterp(B52,atmos_h,atmos_aspeed)</f>
        <v>829.48286945381517</v>
      </c>
    </row>
    <row r="50" spans="1:5">
      <c r="A50" t="s">
        <v>659</v>
      </c>
      <c r="B50">
        <v>10.18</v>
      </c>
      <c r="C50" t="s">
        <v>661</v>
      </c>
    </row>
    <row r="51" spans="1:5">
      <c r="A51" t="s">
        <v>660</v>
      </c>
      <c r="B51">
        <v>12.77</v>
      </c>
      <c r="C51" t="s">
        <v>661</v>
      </c>
    </row>
    <row r="52" spans="1:5">
      <c r="A52" t="s">
        <v>282</v>
      </c>
      <c r="B52">
        <v>20000</v>
      </c>
    </row>
    <row r="53" spans="1:5">
      <c r="A53" t="s">
        <v>664</v>
      </c>
      <c r="B53">
        <f>(D49-D48)/AVERAGE(B50:B51)</f>
        <v>36.143044420645545</v>
      </c>
    </row>
    <row r="55" spans="1:5">
      <c r="A55">
        <v>9</v>
      </c>
    </row>
    <row r="56" spans="1:5">
      <c r="A56" t="s">
        <v>644</v>
      </c>
      <c r="B56">
        <v>0.75</v>
      </c>
      <c r="C56" t="s">
        <v>505</v>
      </c>
      <c r="D56" cm="1">
        <f t="array" ref="D56">B56*Linterp(B57,atmos_h,atmos_vela)</f>
        <v>441.71185714784372</v>
      </c>
      <c r="E56" t="s">
        <v>670</v>
      </c>
    </row>
    <row r="57" spans="1:5">
      <c r="A57" t="s">
        <v>282</v>
      </c>
      <c r="B57">
        <v>30000</v>
      </c>
      <c r="C57" t="s">
        <v>132</v>
      </c>
    </row>
    <row r="58" spans="1:5">
      <c r="A58" t="s">
        <v>665</v>
      </c>
      <c r="B58">
        <v>65000</v>
      </c>
      <c r="C58" t="s">
        <v>431</v>
      </c>
    </row>
    <row r="59" spans="1:5">
      <c r="A59" t="s">
        <v>186</v>
      </c>
      <c r="B59">
        <v>4960</v>
      </c>
      <c r="C59" t="s">
        <v>431</v>
      </c>
    </row>
    <row r="60" spans="1:5">
      <c r="A60" t="s">
        <v>666</v>
      </c>
      <c r="B60">
        <v>0.69099999999999995</v>
      </c>
      <c r="C60" t="s">
        <v>667</v>
      </c>
    </row>
    <row r="61" spans="1:5">
      <c r="A61" t="s">
        <v>668</v>
      </c>
      <c r="B61">
        <v>15350</v>
      </c>
      <c r="C61" t="s">
        <v>669</v>
      </c>
    </row>
    <row r="62" spans="1:5">
      <c r="A62" t="s">
        <v>110</v>
      </c>
      <c r="B62">
        <v>18000</v>
      </c>
      <c r="C62" t="s">
        <v>431</v>
      </c>
    </row>
    <row r="64" spans="1:5">
      <c r="A64" t="s">
        <v>167</v>
      </c>
      <c r="B64">
        <f>(D56/B60)*(B58/B59)*LN(B58/(B58-B62))</f>
        <v>2716.1818103996711</v>
      </c>
      <c r="C64" t="s">
        <v>395</v>
      </c>
    </row>
    <row r="67" spans="1:4">
      <c r="A67">
        <v>10</v>
      </c>
    </row>
    <row r="68" spans="1:4">
      <c r="A68" t="s">
        <v>644</v>
      </c>
      <c r="B68">
        <v>0.76910000000000001</v>
      </c>
    </row>
    <row r="69" spans="1:4">
      <c r="A69" t="s">
        <v>282</v>
      </c>
      <c r="B69">
        <v>30000</v>
      </c>
      <c r="C69" t="s">
        <v>132</v>
      </c>
    </row>
    <row r="70" spans="1:4">
      <c r="A70" t="s">
        <v>665</v>
      </c>
      <c r="B70">
        <v>60000</v>
      </c>
      <c r="C70" t="s">
        <v>431</v>
      </c>
    </row>
    <row r="71" spans="1:4">
      <c r="A71" t="s">
        <v>671</v>
      </c>
      <c r="B71">
        <v>0.1346</v>
      </c>
      <c r="C71" t="s">
        <v>673</v>
      </c>
      <c r="D71">
        <f>B71*B70</f>
        <v>8076</v>
      </c>
    </row>
    <row r="72" spans="1:4">
      <c r="A72" t="s">
        <v>672</v>
      </c>
      <c r="B72">
        <v>3500</v>
      </c>
      <c r="C72" t="s">
        <v>678</v>
      </c>
    </row>
    <row r="73" spans="1:4">
      <c r="A73" t="s">
        <v>235</v>
      </c>
      <c r="B73">
        <f>B71*B70</f>
        <v>8076</v>
      </c>
      <c r="C73" t="s">
        <v>395</v>
      </c>
      <c r="D73" t="s">
        <v>674</v>
      </c>
    </row>
    <row r="74" spans="1:4">
      <c r="D74" t="s">
        <v>675</v>
      </c>
    </row>
    <row r="75" spans="1:4">
      <c r="A75" t="s">
        <v>677</v>
      </c>
      <c r="B75">
        <f>B70/EXP(B72/B73)</f>
        <v>38898.733778708149</v>
      </c>
      <c r="D75" t="s">
        <v>676</v>
      </c>
    </row>
    <row r="76" spans="1:4">
      <c r="A76" t="s">
        <v>110</v>
      </c>
      <c r="B76" s="527">
        <f>B70-B75</f>
        <v>21101.266221291851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96A2B-B6B7-4D40-ABA2-EF1EAB00676B}">
  <sheetPr codeName="Sheet1"/>
  <dimension ref="A3:X204"/>
  <sheetViews>
    <sheetView workbookViewId="0">
      <selection activeCell="F34" sqref="F34"/>
    </sheetView>
  </sheetViews>
  <sheetFormatPr defaultRowHeight="14.5"/>
  <sheetData>
    <row r="3" spans="1:24">
      <c r="A3" s="4" t="s">
        <v>1</v>
      </c>
      <c r="B3" s="4" t="s">
        <v>17</v>
      </c>
      <c r="C3" s="14">
        <v>0</v>
      </c>
      <c r="D3" s="18">
        <v>5000</v>
      </c>
      <c r="E3" s="18">
        <v>10000</v>
      </c>
      <c r="F3" s="18">
        <v>15000</v>
      </c>
      <c r="G3" s="18">
        <v>20000</v>
      </c>
      <c r="H3" s="18">
        <v>25000</v>
      </c>
      <c r="I3" s="18">
        <v>30000</v>
      </c>
      <c r="J3" s="18">
        <v>35000</v>
      </c>
      <c r="K3" s="18">
        <v>40000</v>
      </c>
      <c r="L3" s="18">
        <v>45000</v>
      </c>
      <c r="M3" s="18">
        <v>50000</v>
      </c>
      <c r="N3" s="18">
        <v>55000</v>
      </c>
      <c r="O3" s="18">
        <v>60000</v>
      </c>
      <c r="P3" s="18">
        <v>65000</v>
      </c>
      <c r="Q3" s="18">
        <v>70000</v>
      </c>
      <c r="R3" s="18">
        <v>75000</v>
      </c>
      <c r="S3" s="18">
        <v>80000</v>
      </c>
      <c r="T3" s="18">
        <v>85000</v>
      </c>
      <c r="U3" s="18">
        <v>90000</v>
      </c>
      <c r="V3" s="18">
        <v>95000</v>
      </c>
      <c r="W3" s="18">
        <v>100000</v>
      </c>
      <c r="X3" s="4" t="s">
        <v>1</v>
      </c>
    </row>
    <row r="4" spans="1:24">
      <c r="A4" s="18">
        <v>0</v>
      </c>
      <c r="B4" s="25">
        <f t="shared" ref="B4:B35" si="0">Linterp(A4,atmos_h,atmos_aspeed)</f>
        <v>1116.45</v>
      </c>
      <c r="C4" s="17">
        <f>$A4+C$3*C$3*$B4*$B4/(2*32.174)</f>
        <v>0</v>
      </c>
      <c r="D4" s="26">
        <f>SQRT(IF((D$3-$A4)&gt;0,(D$3-$A4),0)*2*32.174)/$B4</f>
        <v>0.50805794903705803</v>
      </c>
      <c r="E4" s="26">
        <f t="shared" ref="E4:T19" si="1">SQRT(IF((E$3-$A4)&gt;0,(E$3-$A4),0)*2*32.174)/$B4</f>
        <v>0.71850244199966617</v>
      </c>
      <c r="F4" s="26">
        <f t="shared" si="1"/>
        <v>0.87998218092142388</v>
      </c>
      <c r="G4" s="26">
        <f t="shared" si="1"/>
        <v>1.0161158980741161</v>
      </c>
      <c r="H4" s="26">
        <f t="shared" si="1"/>
        <v>1.1360521105559855</v>
      </c>
      <c r="I4" s="26">
        <f t="shared" si="1"/>
        <v>1.2444827349057324</v>
      </c>
      <c r="J4" s="26">
        <f t="shared" si="1"/>
        <v>1.3441949847615833</v>
      </c>
      <c r="K4" s="26">
        <f t="shared" si="1"/>
        <v>1.4370048839993323</v>
      </c>
      <c r="L4" s="26">
        <f t="shared" si="1"/>
        <v>1.5241738471111741</v>
      </c>
      <c r="M4" s="26">
        <f t="shared" si="1"/>
        <v>1.6066203023108536</v>
      </c>
      <c r="N4" s="26">
        <f t="shared" si="1"/>
        <v>1.685037588713427</v>
      </c>
      <c r="O4" s="26">
        <f t="shared" si="1"/>
        <v>1.7599643618428478</v>
      </c>
      <c r="P4" s="26">
        <f t="shared" si="1"/>
        <v>1.8318289861601831</v>
      </c>
      <c r="Q4" s="26">
        <f t="shared" si="1"/>
        <v>1.9009787779237268</v>
      </c>
      <c r="R4" s="26">
        <f t="shared" si="1"/>
        <v>1.9676999755288223</v>
      </c>
      <c r="S4" s="26">
        <f t="shared" si="1"/>
        <v>2.0322317961482321</v>
      </c>
      <c r="T4" s="26">
        <f t="shared" si="1"/>
        <v>2.0947765878144646</v>
      </c>
      <c r="U4" s="26">
        <f t="shared" ref="U4:W19" si="2">SQRT(IF((U$3-$A4)&gt;0,(U$3-$A4),0)*2*32.174)/$B4</f>
        <v>2.1555073259989985</v>
      </c>
      <c r="V4" s="26">
        <f t="shared" si="2"/>
        <v>2.2145732573150734</v>
      </c>
      <c r="W4" s="26">
        <f t="shared" si="2"/>
        <v>2.2721042211119711</v>
      </c>
      <c r="X4" s="18">
        <f>A4</f>
        <v>0</v>
      </c>
    </row>
    <row r="5" spans="1:24">
      <c r="A5" s="18">
        <v>500</v>
      </c>
      <c r="B5" s="25">
        <f t="shared" si="0"/>
        <v>1114.5293721790808</v>
      </c>
      <c r="C5" s="17">
        <f t="shared" ref="C5:C68" si="3">$A5+C$3*C$3*$B5*$B5/(2*32.174)</f>
        <v>500</v>
      </c>
      <c r="D5" s="26">
        <f t="shared" ref="D5:M68" si="4">SQRT(IF((D$3-$A5)&gt;0,(D$3-$A5),0)*2*32.174)/$B5</f>
        <v>0.48281667974563036</v>
      </c>
      <c r="E5" s="26">
        <f t="shared" si="4"/>
        <v>0.70151637175568138</v>
      </c>
      <c r="F5" s="26">
        <f t="shared" si="1"/>
        <v>0.86668246402123306</v>
      </c>
      <c r="G5" s="26">
        <f t="shared" si="1"/>
        <v>1.0050630662016073</v>
      </c>
      <c r="H5" s="26">
        <f t="shared" si="1"/>
        <v>1.1265722527398041</v>
      </c>
      <c r="I5" s="26">
        <f t="shared" si="1"/>
        <v>1.2361950955427294</v>
      </c>
      <c r="J5" s="26">
        <f t="shared" si="1"/>
        <v>1.3368588511299757</v>
      </c>
      <c r="K5" s="26">
        <f t="shared" si="1"/>
        <v>1.4304561725006535</v>
      </c>
      <c r="L5" s="26">
        <f t="shared" si="1"/>
        <v>1.5182944823208309</v>
      </c>
      <c r="M5" s="26">
        <f t="shared" si="1"/>
        <v>1.6013217692414417</v>
      </c>
      <c r="N5" s="26">
        <f t="shared" si="1"/>
        <v>1.6802513747196284</v>
      </c>
      <c r="O5" s="26">
        <f t="shared" si="1"/>
        <v>1.75563605449645</v>
      </c>
      <c r="P5" s="26">
        <f t="shared" si="1"/>
        <v>1.8279144480660257</v>
      </c>
      <c r="Q5" s="26">
        <f t="shared" si="1"/>
        <v>1.8974415677562204</v>
      </c>
      <c r="R5" s="26">
        <f t="shared" si="1"/>
        <v>1.9645095511729751</v>
      </c>
      <c r="S5" s="26">
        <f t="shared" si="1"/>
        <v>2.02936222746224</v>
      </c>
      <c r="T5" s="26">
        <f t="shared" si="1"/>
        <v>2.0922056122310653</v>
      </c>
      <c r="U5" s="26">
        <f t="shared" si="2"/>
        <v>2.1532156411868799</v>
      </c>
      <c r="V5" s="26">
        <f t="shared" si="2"/>
        <v>2.2125439817216033</v>
      </c>
      <c r="W5" s="26">
        <f t="shared" si="2"/>
        <v>2.270322475916835</v>
      </c>
      <c r="X5" s="18">
        <f t="shared" ref="X5:X68" si="5">A5</f>
        <v>500</v>
      </c>
    </row>
    <row r="6" spans="1:24">
      <c r="A6" s="18">
        <v>1000</v>
      </c>
      <c r="B6" s="25">
        <f t="shared" si="0"/>
        <v>1112.6054288919283</v>
      </c>
      <c r="C6" s="17">
        <f t="shared" si="3"/>
        <v>1000</v>
      </c>
      <c r="D6" s="26">
        <f t="shared" si="4"/>
        <v>0.45599108035753777</v>
      </c>
      <c r="E6" s="26">
        <f t="shared" si="4"/>
        <v>0.68398662053630666</v>
      </c>
      <c r="F6" s="26">
        <f t="shared" si="1"/>
        <v>0.85308119706140551</v>
      </c>
      <c r="G6" s="26">
        <f t="shared" si="1"/>
        <v>0.99380951921722083</v>
      </c>
      <c r="H6" s="26">
        <f t="shared" si="1"/>
        <v>1.1169454741364087</v>
      </c>
      <c r="I6" s="26">
        <f t="shared" si="1"/>
        <v>1.227793559154327</v>
      </c>
      <c r="J6" s="26">
        <f t="shared" si="1"/>
        <v>1.3294310270216703</v>
      </c>
      <c r="K6" s="26">
        <f t="shared" si="1"/>
        <v>1.4238316920601732</v>
      </c>
      <c r="L6" s="26">
        <f t="shared" si="1"/>
        <v>1.512351321294751</v>
      </c>
      <c r="M6" s="26">
        <f t="shared" si="1"/>
        <v>1.5959687812513821</v>
      </c>
      <c r="N6" s="26">
        <f t="shared" si="1"/>
        <v>1.675418211204613</v>
      </c>
      <c r="O6" s="26">
        <f t="shared" si="1"/>
        <v>1.7512669739771571</v>
      </c>
      <c r="P6" s="26">
        <f t="shared" si="1"/>
        <v>1.8239643214301511</v>
      </c>
      <c r="Q6" s="26">
        <f t="shared" si="1"/>
        <v>1.8938731946878582</v>
      </c>
      <c r="R6" s="26">
        <f t="shared" si="1"/>
        <v>1.961291796052856</v>
      </c>
      <c r="S6" s="26">
        <f t="shared" si="1"/>
        <v>2.0264686873897859</v>
      </c>
      <c r="T6" s="26">
        <f t="shared" si="1"/>
        <v>2.0896136419631079</v>
      </c>
      <c r="U6" s="26">
        <f t="shared" si="2"/>
        <v>2.150905624239559</v>
      </c>
      <c r="V6" s="26">
        <f t="shared" si="2"/>
        <v>2.2104987754107466</v>
      </c>
      <c r="W6" s="26">
        <f t="shared" si="2"/>
        <v>2.2685269819421263</v>
      </c>
      <c r="X6" s="18">
        <f t="shared" si="5"/>
        <v>1000</v>
      </c>
    </row>
    <row r="7" spans="1:24">
      <c r="A7" s="18">
        <v>1500</v>
      </c>
      <c r="B7" s="25">
        <f t="shared" si="0"/>
        <v>1110.6781529091529</v>
      </c>
      <c r="C7" s="17">
        <f t="shared" si="3"/>
        <v>1500</v>
      </c>
      <c r="D7" s="26">
        <f t="shared" si="4"/>
        <v>0.42728074224296869</v>
      </c>
      <c r="E7" s="26">
        <f t="shared" si="4"/>
        <v>0.66586894417948761</v>
      </c>
      <c r="F7" s="26">
        <f t="shared" si="1"/>
        <v>0.83916271899656547</v>
      </c>
      <c r="G7" s="26">
        <f t="shared" si="1"/>
        <v>0.98234753885003046</v>
      </c>
      <c r="H7" s="26">
        <f t="shared" si="1"/>
        <v>1.1071672435615656</v>
      </c>
      <c r="I7" s="26">
        <f t="shared" si="1"/>
        <v>1.2192751630976162</v>
      </c>
      <c r="J7" s="26">
        <f t="shared" si="1"/>
        <v>1.3219094301341987</v>
      </c>
      <c r="K7" s="26">
        <f t="shared" si="1"/>
        <v>1.4171299021644856</v>
      </c>
      <c r="L7" s="26">
        <f t="shared" si="1"/>
        <v>1.5063431805998686</v>
      </c>
      <c r="M7" s="26">
        <f t="shared" si="1"/>
        <v>1.5905604030877707</v>
      </c>
      <c r="N7" s="26">
        <f t="shared" si="1"/>
        <v>1.6705373428935177</v>
      </c>
      <c r="O7" s="26">
        <f t="shared" si="1"/>
        <v>1.7468565001547032</v>
      </c>
      <c r="P7" s="26">
        <f t="shared" si="1"/>
        <v>1.8199780905999228</v>
      </c>
      <c r="Q7" s="26">
        <f t="shared" si="1"/>
        <v>1.8902732258577715</v>
      </c>
      <c r="R7" s="26">
        <f t="shared" si="1"/>
        <v>1.9580463443253195</v>
      </c>
      <c r="S7" s="26">
        <f t="shared" si="1"/>
        <v>2.02355086534951</v>
      </c>
      <c r="T7" s="26">
        <f t="shared" si="1"/>
        <v>2.0870004127425932</v>
      </c>
      <c r="U7" s="26">
        <f t="shared" si="2"/>
        <v>2.1485770502634431</v>
      </c>
      <c r="V7" s="26">
        <f t="shared" si="2"/>
        <v>2.208437447393464</v>
      </c>
      <c r="W7" s="26">
        <f t="shared" si="2"/>
        <v>2.266717577727928</v>
      </c>
      <c r="X7" s="18">
        <f t="shared" si="5"/>
        <v>1500</v>
      </c>
    </row>
    <row r="8" spans="1:24">
      <c r="A8" s="18">
        <v>2000</v>
      </c>
      <c r="B8" s="25">
        <f t="shared" si="0"/>
        <v>1108.7475268516198</v>
      </c>
      <c r="C8" s="17">
        <f t="shared" si="3"/>
        <v>2000</v>
      </c>
      <c r="D8" s="26">
        <f t="shared" si="4"/>
        <v>0.3962739188996901</v>
      </c>
      <c r="E8" s="26">
        <f t="shared" si="4"/>
        <v>0.64711259978485591</v>
      </c>
      <c r="F8" s="26">
        <f t="shared" si="1"/>
        <v>0.82490994344868451</v>
      </c>
      <c r="G8" s="26">
        <f t="shared" si="1"/>
        <v>0.97066889967728376</v>
      </c>
      <c r="H8" s="26">
        <f t="shared" si="1"/>
        <v>1.0972327969947426</v>
      </c>
      <c r="I8" s="26">
        <f t="shared" si="1"/>
        <v>1.2106368195297477</v>
      </c>
      <c r="J8" s="26">
        <f t="shared" si="1"/>
        <v>1.3142919031939972</v>
      </c>
      <c r="K8" s="26">
        <f t="shared" si="1"/>
        <v>1.4103492137770337</v>
      </c>
      <c r="L8" s="26">
        <f t="shared" si="1"/>
        <v>1.5002688435082872</v>
      </c>
      <c r="M8" s="26">
        <f t="shared" si="1"/>
        <v>1.5850956755987604</v>
      </c>
      <c r="N8" s="26">
        <f t="shared" si="1"/>
        <v>1.6656079967393551</v>
      </c>
      <c r="O8" s="26">
        <f t="shared" si="1"/>
        <v>1.7424039993073606</v>
      </c>
      <c r="P8" s="26">
        <f t="shared" si="1"/>
        <v>1.8159552292946215</v>
      </c>
      <c r="Q8" s="26">
        <f t="shared" si="1"/>
        <v>1.8866412199468872</v>
      </c>
      <c r="R8" s="26">
        <f t="shared" si="1"/>
        <v>1.9547728233231798</v>
      </c>
      <c r="S8" s="26">
        <f t="shared" si="1"/>
        <v>2.0206084451974045</v>
      </c>
      <c r="T8" s="26">
        <f t="shared" si="1"/>
        <v>2.0843656557339618</v>
      </c>
      <c r="U8" s="26">
        <f t="shared" si="2"/>
        <v>2.1462296905977851</v>
      </c>
      <c r="V8" s="26">
        <f t="shared" si="2"/>
        <v>2.2063598035686889</v>
      </c>
      <c r="W8" s="26">
        <f t="shared" si="2"/>
        <v>2.2648940992469955</v>
      </c>
      <c r="X8" s="18">
        <f t="shared" si="5"/>
        <v>2000</v>
      </c>
    </row>
    <row r="9" spans="1:24">
      <c r="A9" s="18">
        <v>2500</v>
      </c>
      <c r="B9" s="25">
        <f t="shared" si="0"/>
        <v>1106.8135331886215</v>
      </c>
      <c r="C9" s="17">
        <f t="shared" si="3"/>
        <v>2500</v>
      </c>
      <c r="D9" s="26">
        <f t="shared" si="4"/>
        <v>0.36237904006266897</v>
      </c>
      <c r="E9" s="26">
        <f t="shared" si="4"/>
        <v>0.62765890898658039</v>
      </c>
      <c r="F9" s="26">
        <f t="shared" si="1"/>
        <v>0.81030416720124754</v>
      </c>
      <c r="G9" s="26">
        <f t="shared" si="1"/>
        <v>0.95876482034813437</v>
      </c>
      <c r="H9" s="26">
        <f t="shared" si="1"/>
        <v>1.0871371201880071</v>
      </c>
      <c r="I9" s="26">
        <f t="shared" si="1"/>
        <v>1.2018753077770405</v>
      </c>
      <c r="J9" s="26">
        <f t="shared" si="1"/>
        <v>1.3065762100993723</v>
      </c>
      <c r="K9" s="26">
        <f t="shared" si="1"/>
        <v>1.4034879871773474</v>
      </c>
      <c r="L9" s="26">
        <f t="shared" si="1"/>
        <v>1.4941270586883182</v>
      </c>
      <c r="M9" s="26">
        <f t="shared" si="1"/>
        <v>1.5795736148904513</v>
      </c>
      <c r="N9" s="26">
        <f t="shared" si="1"/>
        <v>1.6606293813526154</v>
      </c>
      <c r="O9" s="26">
        <f t="shared" si="1"/>
        <v>1.737908823720351</v>
      </c>
      <c r="P9" s="26">
        <f t="shared" si="1"/>
        <v>1.8118952003133448</v>
      </c>
      <c r="Q9" s="26">
        <f t="shared" si="1"/>
        <v>1.8829767269597413</v>
      </c>
      <c r="R9" s="26">
        <f t="shared" si="1"/>
        <v>1.9514708533886698</v>
      </c>
      <c r="S9" s="26">
        <f t="shared" si="1"/>
        <v>2.0176411050974812</v>
      </c>
      <c r="T9" s="26">
        <f t="shared" si="1"/>
        <v>2.081709097432316</v>
      </c>
      <c r="U9" s="26">
        <f t="shared" si="2"/>
        <v>2.143863312733802</v>
      </c>
      <c r="V9" s="26">
        <f t="shared" si="2"/>
        <v>2.2042656466586403</v>
      </c>
      <c r="W9" s="26">
        <f t="shared" si="2"/>
        <v>2.2630563798529009</v>
      </c>
      <c r="X9" s="18">
        <f t="shared" si="5"/>
        <v>2500</v>
      </c>
    </row>
    <row r="10" spans="1:24">
      <c r="A10" s="18">
        <v>3000</v>
      </c>
      <c r="B10" s="25">
        <f t="shared" si="0"/>
        <v>1104.8761542360191</v>
      </c>
      <c r="C10" s="17">
        <f t="shared" si="3"/>
        <v>3000</v>
      </c>
      <c r="D10" s="26">
        <f t="shared" si="4"/>
        <v>0.32469000795030051</v>
      </c>
      <c r="E10" s="26">
        <f t="shared" si="4"/>
        <v>0.6074393833294659</v>
      </c>
      <c r="F10" s="26">
        <f t="shared" si="1"/>
        <v>0.79532484405844961</v>
      </c>
      <c r="G10" s="26">
        <f t="shared" si="1"/>
        <v>0.94662590854757034</v>
      </c>
      <c r="H10" s="26">
        <f t="shared" si="1"/>
        <v>1.0768749295486584</v>
      </c>
      <c r="I10" s="26">
        <f t="shared" si="1"/>
        <v>1.1929872660876746</v>
      </c>
      <c r="J10" s="26">
        <f t="shared" si="1"/>
        <v>1.298760031801202</v>
      </c>
      <c r="K10" s="26">
        <f t="shared" si="1"/>
        <v>1.3965445296735708</v>
      </c>
      <c r="L10" s="26">
        <f t="shared" si="1"/>
        <v>1.4879165388280655</v>
      </c>
      <c r="M10" s="26">
        <f t="shared" si="1"/>
        <v>1.5739932114450195</v>
      </c>
      <c r="N10" s="26">
        <f t="shared" si="1"/>
        <v>1.6556006864071786</v>
      </c>
      <c r="O10" s="26">
        <f t="shared" si="1"/>
        <v>1.7333703112690135</v>
      </c>
      <c r="P10" s="26">
        <f t="shared" si="1"/>
        <v>1.8077974552326797</v>
      </c>
      <c r="Q10" s="26">
        <f t="shared" si="1"/>
        <v>1.8792792879991702</v>
      </c>
      <c r="R10" s="26">
        <f t="shared" si="1"/>
        <v>1.9481400477018029</v>
      </c>
      <c r="S10" s="26">
        <f t="shared" si="1"/>
        <v>2.0146485173887032</v>
      </c>
      <c r="T10" s="26">
        <f t="shared" si="1"/>
        <v>2.0790304595588336</v>
      </c>
      <c r="U10" s="26">
        <f t="shared" si="2"/>
        <v>2.1414776802316502</v>
      </c>
      <c r="V10" s="26">
        <f t="shared" si="2"/>
        <v>2.2021547761425047</v>
      </c>
      <c r="W10" s="26">
        <f t="shared" si="2"/>
        <v>2.2612042502268923</v>
      </c>
      <c r="X10" s="18">
        <f t="shared" si="5"/>
        <v>3000</v>
      </c>
    </row>
    <row r="11" spans="1:24">
      <c r="A11" s="18">
        <v>3500</v>
      </c>
      <c r="B11" s="25">
        <f t="shared" si="0"/>
        <v>1102.9353721543578</v>
      </c>
      <c r="C11" s="17">
        <f t="shared" si="3"/>
        <v>3500</v>
      </c>
      <c r="D11" s="26">
        <f t="shared" si="4"/>
        <v>0.28168459133580953</v>
      </c>
      <c r="E11" s="26">
        <f t="shared" si="4"/>
        <v>0.58637323635726712</v>
      </c>
      <c r="F11" s="26">
        <f t="shared" si="1"/>
        <v>0.77994931606878726</v>
      </c>
      <c r="G11" s="26">
        <f t="shared" si="1"/>
        <v>0.93424209868547592</v>
      </c>
      <c r="H11" s="26">
        <f t="shared" si="1"/>
        <v>1.0664406510801789</v>
      </c>
      <c r="I11" s="26">
        <f t="shared" si="1"/>
        <v>1.1839691827055252</v>
      </c>
      <c r="J11" s="26">
        <f t="shared" si="1"/>
        <v>1.2908409618990493</v>
      </c>
      <c r="K11" s="26">
        <f t="shared" si="1"/>
        <v>1.3895170931789707</v>
      </c>
      <c r="L11" s="26">
        <f t="shared" si="1"/>
        <v>1.4816359591872119</v>
      </c>
      <c r="M11" s="26">
        <f t="shared" si="1"/>
        <v>1.5683534291978589</v>
      </c>
      <c r="N11" s="26">
        <f t="shared" si="1"/>
        <v>1.6505210820212981</v>
      </c>
      <c r="O11" s="26">
        <f t="shared" si="1"/>
        <v>1.7287877849860087</v>
      </c>
      <c r="P11" s="26">
        <f t="shared" si="1"/>
        <v>1.8036614340936894</v>
      </c>
      <c r="Q11" s="26">
        <f t="shared" si="1"/>
        <v>1.8755484350335978</v>
      </c>
      <c r="R11" s="26">
        <f t="shared" si="1"/>
        <v>1.9447800121034384</v>
      </c>
      <c r="S11" s="26">
        <f t="shared" si="1"/>
        <v>2.0116303484480254</v>
      </c>
      <c r="T11" s="26">
        <f t="shared" si="1"/>
        <v>2.0763294589532748</v>
      </c>
      <c r="U11" s="26">
        <f t="shared" si="2"/>
        <v>2.1390725526351999</v>
      </c>
      <c r="V11" s="26">
        <f t="shared" si="2"/>
        <v>2.2000269881884051</v>
      </c>
      <c r="W11" s="26">
        <f t="shared" si="2"/>
        <v>2.2593375383234395</v>
      </c>
      <c r="X11" s="18">
        <f t="shared" si="5"/>
        <v>3500</v>
      </c>
    </row>
    <row r="12" spans="1:24">
      <c r="A12" s="18">
        <v>4000</v>
      </c>
      <c r="B12" s="25">
        <f t="shared" si="0"/>
        <v>1100.9911689469482</v>
      </c>
      <c r="C12" s="17">
        <f t="shared" si="3"/>
        <v>4000</v>
      </c>
      <c r="D12" s="26">
        <f t="shared" si="4"/>
        <v>0.23040064527372173</v>
      </c>
      <c r="E12" s="26">
        <f t="shared" si="4"/>
        <v>0.56436401732860686</v>
      </c>
      <c r="F12" s="26">
        <f t="shared" si="1"/>
        <v>0.76415249182870626</v>
      </c>
      <c r="G12" s="26">
        <f t="shared" si="1"/>
        <v>0.92160258109488691</v>
      </c>
      <c r="H12" s="26">
        <f t="shared" si="1"/>
        <v>1.0558283971334994</v>
      </c>
      <c r="I12" s="26">
        <f t="shared" si="1"/>
        <v>1.1748173861950764</v>
      </c>
      <c r="J12" s="26">
        <f t="shared" si="1"/>
        <v>1.2828165019280691</v>
      </c>
      <c r="K12" s="26">
        <f t="shared" si="1"/>
        <v>1.3824038716423304</v>
      </c>
      <c r="L12" s="26">
        <f t="shared" si="1"/>
        <v>1.4752839560723356</v>
      </c>
      <c r="M12" s="26">
        <f t="shared" si="1"/>
        <v>1.5626532045713719</v>
      </c>
      <c r="N12" s="26">
        <f t="shared" si="1"/>
        <v>1.6453897181123731</v>
      </c>
      <c r="O12" s="26">
        <f t="shared" si="1"/>
        <v>1.7241605526118069</v>
      </c>
      <c r="P12" s="26">
        <f t="shared" si="1"/>
        <v>1.7994865650777692</v>
      </c>
      <c r="Q12" s="26">
        <f t="shared" si="1"/>
        <v>1.8717836906566223</v>
      </c>
      <c r="R12" s="26">
        <f t="shared" si="1"/>
        <v>1.9413903449128571</v>
      </c>
      <c r="S12" s="26">
        <f t="shared" si="1"/>
        <v>2.0085862585494301</v>
      </c>
      <c r="T12" s="26">
        <f t="shared" si="1"/>
        <v>2.0736058074634953</v>
      </c>
      <c r="U12" s="26">
        <f t="shared" si="2"/>
        <v>2.1366476853845304</v>
      </c>
      <c r="V12" s="26">
        <f t="shared" si="2"/>
        <v>2.1978820755836308</v>
      </c>
      <c r="W12" s="26">
        <f t="shared" si="2"/>
        <v>2.2574560693144274</v>
      </c>
      <c r="X12" s="18">
        <f t="shared" si="5"/>
        <v>4000</v>
      </c>
    </row>
    <row r="13" spans="1:24">
      <c r="A13" s="18">
        <v>4500</v>
      </c>
      <c r="B13" s="25">
        <f t="shared" si="0"/>
        <v>1099.0435264579212</v>
      </c>
      <c r="C13" s="17">
        <f t="shared" si="3"/>
        <v>4500</v>
      </c>
      <c r="D13" s="26">
        <f t="shared" si="4"/>
        <v>0.16320656947007894</v>
      </c>
      <c r="E13" s="26">
        <f t="shared" si="4"/>
        <v>0.54129495425332452</v>
      </c>
      <c r="F13" s="26">
        <f t="shared" si="1"/>
        <v>0.74790645851070559</v>
      </c>
      <c r="G13" s="26">
        <f t="shared" si="1"/>
        <v>0.90869572127524778</v>
      </c>
      <c r="H13" s="26">
        <f t="shared" si="1"/>
        <v>1.0450319406821305</v>
      </c>
      <c r="I13" s="26">
        <f t="shared" si="1"/>
        <v>1.1655280349385753</v>
      </c>
      <c r="J13" s="26">
        <f t="shared" si="1"/>
        <v>1.274684056309521</v>
      </c>
      <c r="K13" s="26">
        <f t="shared" si="1"/>
        <v>1.3752029983211973</v>
      </c>
      <c r="L13" s="26">
        <f t="shared" si="1"/>
        <v>1.4688591252307104</v>
      </c>
      <c r="M13" s="26">
        <f t="shared" si="1"/>
        <v>1.5568914454628635</v>
      </c>
      <c r="N13" s="26">
        <f t="shared" si="1"/>
        <v>1.6402057237241192</v>
      </c>
      <c r="O13" s="26">
        <f t="shared" si="1"/>
        <v>1.7194879061276584</v>
      </c>
      <c r="P13" s="26">
        <f t="shared" si="1"/>
        <v>1.7952722641708685</v>
      </c>
      <c r="Q13" s="26">
        <f t="shared" si="1"/>
        <v>1.8679845678385869</v>
      </c>
      <c r="R13" s="26">
        <f t="shared" si="1"/>
        <v>1.9379706367396361</v>
      </c>
      <c r="S13" s="26">
        <f t="shared" si="1"/>
        <v>2.0055159017187938</v>
      </c>
      <c r="T13" s="26">
        <f t="shared" si="1"/>
        <v>2.0708592118318578</v>
      </c>
      <c r="U13" s="26">
        <f t="shared" si="2"/>
        <v>2.1342028297260738</v>
      </c>
      <c r="V13" s="26">
        <f t="shared" si="2"/>
        <v>2.1957198276630603</v>
      </c>
      <c r="W13" s="26">
        <f t="shared" si="2"/>
        <v>2.2555596655319525</v>
      </c>
      <c r="X13" s="18">
        <f t="shared" si="5"/>
        <v>4500</v>
      </c>
    </row>
    <row r="14" spans="1:24">
      <c r="A14" s="18">
        <v>5000</v>
      </c>
      <c r="B14" s="25">
        <f t="shared" si="0"/>
        <v>1097.0924263702484</v>
      </c>
      <c r="C14" s="17">
        <f t="shared" si="3"/>
        <v>5000</v>
      </c>
      <c r="D14" s="26">
        <f t="shared" si="4"/>
        <v>0</v>
      </c>
      <c r="E14" s="26">
        <f t="shared" si="4"/>
        <v>0.51702234339460906</v>
      </c>
      <c r="F14" s="26">
        <f t="shared" si="1"/>
        <v>0.7311800100785758</v>
      </c>
      <c r="G14" s="26">
        <f t="shared" si="1"/>
        <v>0.89550896740778607</v>
      </c>
      <c r="H14" s="26">
        <f t="shared" si="1"/>
        <v>1.0340446867892181</v>
      </c>
      <c r="I14" s="26">
        <f t="shared" si="1"/>
        <v>1.1560971057165854</v>
      </c>
      <c r="J14" s="26">
        <f t="shared" si="1"/>
        <v>1.2664409269348169</v>
      </c>
      <c r="K14" s="26">
        <f t="shared" si="1"/>
        <v>1.367912542885974</v>
      </c>
      <c r="L14" s="26">
        <f t="shared" si="1"/>
        <v>1.4623600201571516</v>
      </c>
      <c r="M14" s="26">
        <f t="shared" si="1"/>
        <v>1.5510670301838274</v>
      </c>
      <c r="N14" s="26">
        <f t="shared" si="1"/>
        <v>1.6349682063246769</v>
      </c>
      <c r="O14" s="26">
        <f t="shared" si="1"/>
        <v>1.7147691212702028</v>
      </c>
      <c r="P14" s="26">
        <f t="shared" si="1"/>
        <v>1.7910179348155721</v>
      </c>
      <c r="Q14" s="26">
        <f t="shared" si="1"/>
        <v>1.8641505696698135</v>
      </c>
      <c r="R14" s="26">
        <f t="shared" si="1"/>
        <v>1.9345204702896124</v>
      </c>
      <c r="S14" s="26">
        <f t="shared" si="1"/>
        <v>2.0024189255844531</v>
      </c>
      <c r="T14" s="26">
        <f t="shared" si="1"/>
        <v>2.0680893735784363</v>
      </c>
      <c r="U14" s="26">
        <f t="shared" si="2"/>
        <v>2.1317377326203384</v>
      </c>
      <c r="V14" s="26">
        <f t="shared" si="2"/>
        <v>2.1935400302357273</v>
      </c>
      <c r="W14" s="26">
        <f t="shared" si="2"/>
        <v>2.2536481464096849</v>
      </c>
      <c r="X14" s="18">
        <f t="shared" si="5"/>
        <v>5000</v>
      </c>
    </row>
    <row r="15" spans="1:24">
      <c r="A15" s="18">
        <v>5500</v>
      </c>
      <c r="B15" s="25">
        <f t="shared" si="0"/>
        <v>1095.1378502037335</v>
      </c>
      <c r="C15" s="17">
        <f t="shared" si="3"/>
        <v>5500</v>
      </c>
      <c r="D15" s="26">
        <f t="shared" si="4"/>
        <v>0</v>
      </c>
      <c r="E15" s="26">
        <f t="shared" si="4"/>
        <v>0.49136587768779799</v>
      </c>
      <c r="F15" s="26">
        <f t="shared" si="1"/>
        <v>0.71393806838175955</v>
      </c>
      <c r="G15" s="26">
        <f t="shared" si="1"/>
        <v>0.88202874398369568</v>
      </c>
      <c r="H15" s="26">
        <f t="shared" si="1"/>
        <v>1.0228596408805235</v>
      </c>
      <c r="I15" s="26">
        <f t="shared" si="1"/>
        <v>1.1465203812715286</v>
      </c>
      <c r="J15" s="26">
        <f t="shared" si="1"/>
        <v>1.2580843073497854</v>
      </c>
      <c r="K15" s="26">
        <f t="shared" si="1"/>
        <v>1.3605305083417156</v>
      </c>
      <c r="L15" s="26">
        <f t="shared" si="1"/>
        <v>1.4557851503080201</v>
      </c>
      <c r="M15" s="26">
        <f t="shared" si="1"/>
        <v>1.5451788063477065</v>
      </c>
      <c r="N15" s="26">
        <f t="shared" si="1"/>
        <v>1.6296762510740901</v>
      </c>
      <c r="O15" s="26">
        <f t="shared" si="1"/>
        <v>1.710003457026821</v>
      </c>
      <c r="P15" s="26">
        <f t="shared" si="1"/>
        <v>1.7867229675504976</v>
      </c>
      <c r="Q15" s="26">
        <f t="shared" si="1"/>
        <v>1.8602811890951418</v>
      </c>
      <c r="R15" s="26">
        <f t="shared" si="1"/>
        <v>1.9310394201646979</v>
      </c>
      <c r="S15" s="26">
        <f t="shared" si="1"/>
        <v>1.9992949712233035</v>
      </c>
      <c r="T15" s="26">
        <f t="shared" si="1"/>
        <v>2.0652959888809082</v>
      </c>
      <c r="U15" s="26">
        <f t="shared" si="2"/>
        <v>2.1292521366471249</v>
      </c>
      <c r="V15" s="26">
        <f t="shared" si="2"/>
        <v>2.1913424655094702</v>
      </c>
      <c r="W15" s="26">
        <f t="shared" si="2"/>
        <v>2.2517213284227471</v>
      </c>
      <c r="X15" s="18">
        <f t="shared" si="5"/>
        <v>5500</v>
      </c>
    </row>
    <row r="16" spans="1:24">
      <c r="A16" s="18">
        <v>6000</v>
      </c>
      <c r="B16" s="25">
        <f t="shared" si="0"/>
        <v>1093.1797793129685</v>
      </c>
      <c r="C16" s="17">
        <f t="shared" si="3"/>
        <v>6000</v>
      </c>
      <c r="D16" s="26">
        <f t="shared" si="4"/>
        <v>0</v>
      </c>
      <c r="E16" s="26">
        <f t="shared" si="4"/>
        <v>0.46409397715985856</v>
      </c>
      <c r="F16" s="26">
        <f t="shared" si="1"/>
        <v>0.6961409657397879</v>
      </c>
      <c r="G16" s="26">
        <f t="shared" si="1"/>
        <v>0.86824032889874081</v>
      </c>
      <c r="H16" s="26">
        <f t="shared" si="1"/>
        <v>1.0114693733728484</v>
      </c>
      <c r="I16" s="26">
        <f t="shared" si="1"/>
        <v>1.1367934367405241</v>
      </c>
      <c r="J16" s="26">
        <f t="shared" si="1"/>
        <v>1.2496112765021772</v>
      </c>
      <c r="K16" s="26">
        <f t="shared" si="1"/>
        <v>1.3530548277532846</v>
      </c>
      <c r="L16" s="26">
        <f t="shared" si="1"/>
        <v>1.4491329792160343</v>
      </c>
      <c r="M16" s="26">
        <f t="shared" si="1"/>
        <v>1.5392255897030198</v>
      </c>
      <c r="N16" s="26">
        <f t="shared" si="1"/>
        <v>1.624328920059505</v>
      </c>
      <c r="O16" s="26">
        <f t="shared" si="1"/>
        <v>1.705190155110786</v>
      </c>
      <c r="P16" s="26">
        <f t="shared" si="1"/>
        <v>1.7823867396364395</v>
      </c>
      <c r="Q16" s="26">
        <f t="shared" si="1"/>
        <v>1.8563759086394342</v>
      </c>
      <c r="R16" s="26">
        <f t="shared" si="1"/>
        <v>1.9275270526563186</v>
      </c>
      <c r="S16" s="26">
        <f t="shared" si="1"/>
        <v>1.9961436730022777</v>
      </c>
      <c r="T16" s="26">
        <f t="shared" si="1"/>
        <v>2.0624787484510216</v>
      </c>
      <c r="U16" s="26">
        <f t="shared" si="2"/>
        <v>2.1267457799081586</v>
      </c>
      <c r="V16" s="26">
        <f t="shared" si="2"/>
        <v>2.1891269120136072</v>
      </c>
      <c r="W16" s="26">
        <f t="shared" si="2"/>
        <v>2.2497790250260801</v>
      </c>
      <c r="X16" s="18">
        <f t="shared" si="5"/>
        <v>6000</v>
      </c>
    </row>
    <row r="17" spans="1:24">
      <c r="A17" s="18">
        <v>6500</v>
      </c>
      <c r="B17" s="25">
        <f t="shared" si="0"/>
        <v>1091.2181948852606</v>
      </c>
      <c r="C17" s="17">
        <f t="shared" si="3"/>
        <v>6500</v>
      </c>
      <c r="D17" s="26">
        <f t="shared" si="4"/>
        <v>0</v>
      </c>
      <c r="E17" s="26">
        <f t="shared" si="4"/>
        <v>0.43490054307422227</v>
      </c>
      <c r="F17" s="26">
        <f t="shared" si="1"/>
        <v>0.67774354612791721</v>
      </c>
      <c r="G17" s="26">
        <f t="shared" si="1"/>
        <v>0.85412771074929705</v>
      </c>
      <c r="H17" s="26">
        <f t="shared" si="1"/>
        <v>0.99986598013015004</v>
      </c>
      <c r="I17" s="26">
        <f t="shared" si="1"/>
        <v>1.1269116248284141</v>
      </c>
      <c r="J17" s="26">
        <f t="shared" si="1"/>
        <v>1.2410187920113083</v>
      </c>
      <c r="K17" s="26">
        <f t="shared" si="1"/>
        <v>1.345483360758132</v>
      </c>
      <c r="L17" s="26">
        <f t="shared" si="1"/>
        <v>1.4424019224989919</v>
      </c>
      <c r="M17" s="26">
        <f t="shared" si="1"/>
        <v>1.5332061629084912</v>
      </c>
      <c r="N17" s="26">
        <f t="shared" si="1"/>
        <v>1.6189252514963035</v>
      </c>
      <c r="O17" s="26">
        <f t="shared" si="1"/>
        <v>1.7003284394152092</v>
      </c>
      <c r="P17" s="26">
        <f t="shared" si="1"/>
        <v>1.7780086146686553</v>
      </c>
      <c r="Q17" s="26">
        <f t="shared" si="1"/>
        <v>1.8524342001236485</v>
      </c>
      <c r="R17" s="26">
        <f t="shared" si="1"/>
        <v>1.9239829255322234</v>
      </c>
      <c r="S17" s="26">
        <f t="shared" si="1"/>
        <v>1.9929646584150265</v>
      </c>
      <c r="T17" s="26">
        <f t="shared" si="1"/>
        <v>2.0596373374075143</v>
      </c>
      <c r="U17" s="26">
        <f t="shared" si="2"/>
        <v>2.1242183959270537</v>
      </c>
      <c r="V17" s="26">
        <f t="shared" si="2"/>
        <v>2.1868931445195705</v>
      </c>
      <c r="W17" s="26">
        <f t="shared" si="2"/>
        <v>2.2478210465912283</v>
      </c>
      <c r="X17" s="18">
        <f t="shared" si="5"/>
        <v>6500</v>
      </c>
    </row>
    <row r="18" spans="1:24">
      <c r="A18" s="18">
        <v>7000</v>
      </c>
      <c r="B18" s="25">
        <f t="shared" si="0"/>
        <v>1089.2530779385215</v>
      </c>
      <c r="C18" s="17">
        <f t="shared" si="3"/>
        <v>7000</v>
      </c>
      <c r="D18" s="26">
        <f t="shared" si="4"/>
        <v>0</v>
      </c>
      <c r="E18" s="26">
        <f t="shared" si="4"/>
        <v>0.40336606472332509</v>
      </c>
      <c r="F18" s="26">
        <f t="shared" si="1"/>
        <v>0.65869402541773359</v>
      </c>
      <c r="G18" s="26">
        <f t="shared" si="1"/>
        <v>0.83967342227300124</v>
      </c>
      <c r="H18" s="26">
        <f t="shared" si="1"/>
        <v>0.98804103812660027</v>
      </c>
      <c r="I18" s="26">
        <f t="shared" si="1"/>
        <v>1.1168700595740431</v>
      </c>
      <c r="J18" s="26">
        <f t="shared" si="1"/>
        <v>1.2323036829140626</v>
      </c>
      <c r="K18" s="26">
        <f t="shared" si="1"/>
        <v>1.3378138898494807</v>
      </c>
      <c r="L18" s="26">
        <f t="shared" si="1"/>
        <v>1.4355903457549561</v>
      </c>
      <c r="M18" s="26">
        <f t="shared" si="1"/>
        <v>1.5271192742466027</v>
      </c>
      <c r="N18" s="26">
        <f t="shared" si="1"/>
        <v>1.6134642588933004</v>
      </c>
      <c r="O18" s="26">
        <f t="shared" si="1"/>
        <v>1.6954175154447189</v>
      </c>
      <c r="P18" s="26">
        <f t="shared" si="1"/>
        <v>1.7735879421746696</v>
      </c>
      <c r="Q18" s="26">
        <f t="shared" si="1"/>
        <v>1.8484555243710936</v>
      </c>
      <c r="R18" s="26">
        <f t="shared" si="1"/>
        <v>1.9204065878164063</v>
      </c>
      <c r="S18" s="26">
        <f t="shared" si="1"/>
        <v>1.9897575479136367</v>
      </c>
      <c r="T18" s="26">
        <f t="shared" si="1"/>
        <v>2.056771435145365</v>
      </c>
      <c r="U18" s="26">
        <f t="shared" si="2"/>
        <v>2.1216697135465168</v>
      </c>
      <c r="V18" s="26">
        <f t="shared" si="2"/>
        <v>2.1846409339594448</v>
      </c>
      <c r="W18" s="26">
        <f t="shared" si="2"/>
        <v>2.2458472003415175</v>
      </c>
      <c r="X18" s="18">
        <f t="shared" si="5"/>
        <v>7000</v>
      </c>
    </row>
    <row r="19" spans="1:24">
      <c r="A19" s="18">
        <v>7500</v>
      </c>
      <c r="B19" s="25">
        <f t="shared" si="0"/>
        <v>1087.284409319125</v>
      </c>
      <c r="C19" s="17">
        <f t="shared" si="3"/>
        <v>7500</v>
      </c>
      <c r="D19" s="26">
        <f t="shared" si="4"/>
        <v>0</v>
      </c>
      <c r="E19" s="26">
        <f t="shared" si="4"/>
        <v>0.36888786618068975</v>
      </c>
      <c r="F19" s="26">
        <f t="shared" si="1"/>
        <v>0.63893252652062371</v>
      </c>
      <c r="G19" s="26">
        <f t="shared" si="1"/>
        <v>0.82485834485486809</v>
      </c>
      <c r="H19" s="26">
        <f t="shared" si="1"/>
        <v>0.97598555558337918</v>
      </c>
      <c r="I19" s="26">
        <f t="shared" si="1"/>
        <v>1.1066635985420694</v>
      </c>
      <c r="J19" s="26">
        <f t="shared" si="1"/>
        <v>1.2234626418361809</v>
      </c>
      <c r="K19" s="26">
        <f t="shared" si="1"/>
        <v>1.3300441164109753</v>
      </c>
      <c r="L19" s="26">
        <f t="shared" si="1"/>
        <v>1.4286965623358017</v>
      </c>
      <c r="M19" s="26">
        <f t="shared" si="1"/>
        <v>1.5209636362716967</v>
      </c>
      <c r="N19" s="26">
        <f t="shared" si="1"/>
        <v>1.607944930179982</v>
      </c>
      <c r="O19" s="26">
        <f t="shared" si="1"/>
        <v>1.6904565697237512</v>
      </c>
      <c r="P19" s="26">
        <f t="shared" si="1"/>
        <v>1.769124057196916</v>
      </c>
      <c r="Q19" s="26">
        <f t="shared" si="1"/>
        <v>1.8444393309034488</v>
      </c>
      <c r="R19" s="26">
        <f t="shared" si="1"/>
        <v>1.916797579561871</v>
      </c>
      <c r="S19" s="26">
        <f t="shared" si="1"/>
        <v>1.9865219547351929</v>
      </c>
      <c r="T19" s="26">
        <f t="shared" si="1"/>
        <v>2.0538807152012546</v>
      </c>
      <c r="U19" s="26">
        <f t="shared" si="2"/>
        <v>2.1190994568227093</v>
      </c>
      <c r="V19" s="26">
        <f t="shared" si="2"/>
        <v>2.1823700473423355</v>
      </c>
      <c r="W19" s="26">
        <f t="shared" si="2"/>
        <v>2.2438572902855638</v>
      </c>
      <c r="X19" s="18">
        <f t="shared" si="5"/>
        <v>7500</v>
      </c>
    </row>
    <row r="20" spans="1:24">
      <c r="A20" s="18">
        <v>8000</v>
      </c>
      <c r="B20" s="25">
        <f t="shared" si="0"/>
        <v>1085.3121696997296</v>
      </c>
      <c r="C20" s="17">
        <f t="shared" si="3"/>
        <v>8000</v>
      </c>
      <c r="D20" s="26">
        <f t="shared" si="4"/>
        <v>0</v>
      </c>
      <c r="E20" s="26">
        <f t="shared" si="4"/>
        <v>0.33054291412049935</v>
      </c>
      <c r="F20" s="26">
        <f t="shared" si="4"/>
        <v>0.61838916813237543</v>
      </c>
      <c r="G20" s="26">
        <f t="shared" si="4"/>
        <v>0.80966147768782404</v>
      </c>
      <c r="H20" s="26">
        <f t="shared" si="4"/>
        <v>0.96368991570930662</v>
      </c>
      <c r="I20" s="26">
        <f t="shared" si="4"/>
        <v>1.096286823248364</v>
      </c>
      <c r="J20" s="26">
        <f t="shared" si="4"/>
        <v>1.214492216531736</v>
      </c>
      <c r="K20" s="26">
        <f t="shared" si="4"/>
        <v>1.3221716564819974</v>
      </c>
      <c r="L20" s="26">
        <f t="shared" si="4"/>
        <v>1.4217188309903364</v>
      </c>
      <c r="M20" s="26">
        <f t="shared" si="4"/>
        <v>1.5147379243884758</v>
      </c>
      <c r="N20" s="26">
        <f t="shared" ref="N20:W45" si="6">SQRT(IF((N$3-$A20)&gt;0,(N$3-$A20),0)*2*32.174)/$B20</f>
        <v>1.60236622679364</v>
      </c>
      <c r="O20" s="26">
        <f t="shared" si="6"/>
        <v>1.6854447691802501</v>
      </c>
      <c r="P20" s="26">
        <f t="shared" si="6"/>
        <v>1.7646162798595184</v>
      </c>
      <c r="Q20" s="26">
        <f t="shared" si="6"/>
        <v>1.8403850576261007</v>
      </c>
      <c r="R20" s="26">
        <f t="shared" si="6"/>
        <v>1.9131554316159483</v>
      </c>
      <c r="S20" s="26">
        <f t="shared" si="6"/>
        <v>1.9832574847229958</v>
      </c>
      <c r="T20" s="26">
        <f t="shared" si="6"/>
        <v>2.0509648451150899</v>
      </c>
      <c r="U20" s="26">
        <f t="shared" si="6"/>
        <v>2.1165073449166543</v>
      </c>
      <c r="V20" s="26">
        <f t="shared" si="6"/>
        <v>2.180080247668494</v>
      </c>
      <c r="W20" s="26">
        <f t="shared" si="6"/>
        <v>2.2418511171490634</v>
      </c>
      <c r="X20" s="18">
        <f t="shared" si="5"/>
        <v>8000</v>
      </c>
    </row>
    <row r="21" spans="1:24">
      <c r="A21" s="18">
        <v>8500</v>
      </c>
      <c r="B21" s="25">
        <f t="shared" si="0"/>
        <v>1083.3363395770634</v>
      </c>
      <c r="C21" s="17">
        <f t="shared" si="3"/>
        <v>8500</v>
      </c>
      <c r="D21" s="26">
        <f t="shared" si="4"/>
        <v>0</v>
      </c>
      <c r="E21" s="26">
        <f t="shared" si="4"/>
        <v>0.28678064994699554</v>
      </c>
      <c r="F21" s="26">
        <f t="shared" si="4"/>
        <v>0.59698152829945961</v>
      </c>
      <c r="G21" s="26">
        <f t="shared" si="4"/>
        <v>0.79405966342428935</v>
      </c>
      <c r="H21" s="26">
        <f t="shared" si="4"/>
        <v>0.95114381300843942</v>
      </c>
      <c r="I21" s="26">
        <f t="shared" si="4"/>
        <v>1.0857340175986798</v>
      </c>
      <c r="J21" s="26">
        <f t="shared" si="4"/>
        <v>1.2053888007268476</v>
      </c>
      <c r="K21" s="26">
        <f t="shared" si="4"/>
        <v>1.3141940362307405</v>
      </c>
      <c r="L21" s="26">
        <f t="shared" si="4"/>
        <v>1.4146553533674491</v>
      </c>
      <c r="M21" s="26">
        <f t="shared" si="4"/>
        <v>1.5084407753564339</v>
      </c>
      <c r="N21" s="26">
        <f t="shared" si="6"/>
        <v>1.5967270827241131</v>
      </c>
      <c r="O21" s="26">
        <f t="shared" si="6"/>
        <v>1.6803812605035187</v>
      </c>
      <c r="P21" s="26">
        <f t="shared" si="6"/>
        <v>1.76006391491847</v>
      </c>
      <c r="Q21" s="26">
        <f t="shared" si="6"/>
        <v>1.8362921305023525</v>
      </c>
      <c r="R21" s="26">
        <f t="shared" si="6"/>
        <v>1.9094796653778763</v>
      </c>
      <c r="S21" s="26">
        <f t="shared" si="6"/>
        <v>1.9799637361422411</v>
      </c>
      <c r="T21" s="26">
        <f t="shared" si="6"/>
        <v>2.0480234862874691</v>
      </c>
      <c r="U21" s="26">
        <f t="shared" si="6"/>
        <v>2.1138930919826144</v>
      </c>
      <c r="V21" s="26">
        <f t="shared" si="6"/>
        <v>2.1777712938411495</v>
      </c>
      <c r="W21" s="26">
        <f t="shared" si="6"/>
        <v>2.2398284783048217</v>
      </c>
      <c r="X21" s="18">
        <f t="shared" si="5"/>
        <v>8500</v>
      </c>
    </row>
    <row r="22" spans="1:24">
      <c r="A22" s="18">
        <v>9000</v>
      </c>
      <c r="B22" s="25">
        <f t="shared" si="0"/>
        <v>1081.3568992696751</v>
      </c>
      <c r="C22" s="17">
        <f t="shared" si="3"/>
        <v>9000</v>
      </c>
      <c r="D22" s="26">
        <f t="shared" si="4"/>
        <v>0</v>
      </c>
      <c r="E22" s="26">
        <f t="shared" si="4"/>
        <v>0.2345840452281468</v>
      </c>
      <c r="F22" s="26">
        <f t="shared" si="4"/>
        <v>0.57461121260693071</v>
      </c>
      <c r="G22" s="26">
        <f t="shared" si="4"/>
        <v>0.77802725982552401</v>
      </c>
      <c r="H22" s="26">
        <f t="shared" si="4"/>
        <v>0.93833618091258719</v>
      </c>
      <c r="I22" s="26">
        <f t="shared" si="4"/>
        <v>1.0749991440869271</v>
      </c>
      <c r="J22" s="26">
        <f t="shared" si="4"/>
        <v>1.1961486241958528</v>
      </c>
      <c r="K22" s="26">
        <f t="shared" si="4"/>
        <v>1.3061086871097818</v>
      </c>
      <c r="L22" s="26">
        <f t="shared" si="4"/>
        <v>1.4075042713688808</v>
      </c>
      <c r="M22" s="26">
        <f t="shared" si="4"/>
        <v>1.5020707857153903</v>
      </c>
      <c r="N22" s="26">
        <f t="shared" si="6"/>
        <v>1.5910264035136739</v>
      </c>
      <c r="O22" s="26">
        <f t="shared" si="6"/>
        <v>1.6752651694748693</v>
      </c>
      <c r="P22" s="26">
        <f t="shared" si="6"/>
        <v>1.7554662512944155</v>
      </c>
      <c r="Q22" s="26">
        <f t="shared" si="6"/>
        <v>1.8321599632160055</v>
      </c>
      <c r="R22" s="26">
        <f t="shared" si="6"/>
        <v>1.9057697925483239</v>
      </c>
      <c r="S22" s="26">
        <f t="shared" si="6"/>
        <v>1.9766402994899419</v>
      </c>
      <c r="T22" s="26">
        <f t="shared" si="6"/>
        <v>2.0450562938329333</v>
      </c>
      <c r="U22" s="26">
        <f t="shared" si="6"/>
        <v>2.1112564070533208</v>
      </c>
      <c r="V22" s="26">
        <f t="shared" si="6"/>
        <v>2.1754429405759428</v>
      </c>
      <c r="W22" s="26">
        <f t="shared" si="6"/>
        <v>2.2377891677009503</v>
      </c>
      <c r="X22" s="18">
        <f t="shared" si="5"/>
        <v>9000</v>
      </c>
    </row>
    <row r="23" spans="1:24">
      <c r="A23" s="18">
        <v>9500</v>
      </c>
      <c r="B23" s="25">
        <f t="shared" si="0"/>
        <v>1079.3738289156458</v>
      </c>
      <c r="C23" s="17">
        <f t="shared" si="3"/>
        <v>9500</v>
      </c>
      <c r="D23" s="26">
        <f t="shared" si="4"/>
        <v>0</v>
      </c>
      <c r="E23" s="26">
        <f t="shared" si="4"/>
        <v>0.16618072334743747</v>
      </c>
      <c r="F23" s="26">
        <f t="shared" si="4"/>
        <v>0.55115910673330348</v>
      </c>
      <c r="G23" s="26">
        <f t="shared" si="4"/>
        <v>0.7615357437821475</v>
      </c>
      <c r="H23" s="26">
        <f t="shared" si="4"/>
        <v>0.92525510924317733</v>
      </c>
      <c r="I23" s="26">
        <f t="shared" si="4"/>
        <v>1.0640758174600999</v>
      </c>
      <c r="J23" s="26">
        <f t="shared" si="4"/>
        <v>1.1867677419892044</v>
      </c>
      <c r="K23" s="26">
        <f t="shared" si="4"/>
        <v>1.2979129406662571</v>
      </c>
      <c r="L23" s="26">
        <f t="shared" si="4"/>
        <v>1.4002636643402935</v>
      </c>
      <c r="M23" s="26">
        <f t="shared" si="4"/>
        <v>1.4956265101269373</v>
      </c>
      <c r="N23" s="26">
        <f t="shared" si="6"/>
        <v>1.5852630652094488</v>
      </c>
      <c r="O23" s="26">
        <f t="shared" si="6"/>
        <v>1.670095600269647</v>
      </c>
      <c r="P23" s="26">
        <f t="shared" si="6"/>
        <v>1.7508225615872124</v>
      </c>
      <c r="Q23" s="26">
        <f t="shared" si="6"/>
        <v>1.8279879568218123</v>
      </c>
      <c r="R23" s="26">
        <f t="shared" si="6"/>
        <v>1.9020253148705353</v>
      </c>
      <c r="S23" s="26">
        <f t="shared" si="6"/>
        <v>1.9732867572988817</v>
      </c>
      <c r="T23" s="26">
        <f t="shared" si="6"/>
        <v>2.0420629164288524</v>
      </c>
      <c r="U23" s="26">
        <f t="shared" si="6"/>
        <v>2.1085969939219504</v>
      </c>
      <c r="V23" s="26">
        <f t="shared" si="6"/>
        <v>2.1730949383079103</v>
      </c>
      <c r="W23" s="26">
        <f t="shared" si="6"/>
        <v>2.2357329757871884</v>
      </c>
      <c r="X23" s="18">
        <f t="shared" si="5"/>
        <v>9500</v>
      </c>
    </row>
    <row r="24" spans="1:24">
      <c r="A24" s="18">
        <v>10000</v>
      </c>
      <c r="B24" s="25">
        <f t="shared" si="0"/>
        <v>1077.3871084702648</v>
      </c>
      <c r="C24" s="17">
        <f t="shared" si="3"/>
        <v>10000</v>
      </c>
      <c r="D24" s="26">
        <f t="shared" si="4"/>
        <v>0</v>
      </c>
      <c r="E24" s="26">
        <f t="shared" si="4"/>
        <v>0</v>
      </c>
      <c r="F24" s="26">
        <f t="shared" si="4"/>
        <v>0.52647863775518566</v>
      </c>
      <c r="G24" s="26">
        <f t="shared" si="4"/>
        <v>0.74455322981309535</v>
      </c>
      <c r="H24" s="26">
        <f t="shared" si="4"/>
        <v>0.91188774969163178</v>
      </c>
      <c r="I24" s="26">
        <f t="shared" si="4"/>
        <v>1.0529572755103713</v>
      </c>
      <c r="J24" s="26">
        <f t="shared" si="4"/>
        <v>1.1772420227220823</v>
      </c>
      <c r="K24" s="26">
        <f t="shared" si="4"/>
        <v>1.2896040229757877</v>
      </c>
      <c r="L24" s="26">
        <f t="shared" si="4"/>
        <v>1.3929315460882821</v>
      </c>
      <c r="M24" s="26">
        <f t="shared" si="4"/>
        <v>1.4891064596261907</v>
      </c>
      <c r="N24" s="26">
        <f t="shared" si="6"/>
        <v>1.5794359132655571</v>
      </c>
      <c r="O24" s="26">
        <f t="shared" si="6"/>
        <v>1.6648716347291044</v>
      </c>
      <c r="P24" s="26">
        <f t="shared" si="6"/>
        <v>1.7461321015713891</v>
      </c>
      <c r="Q24" s="26">
        <f t="shared" si="6"/>
        <v>1.8237754993832636</v>
      </c>
      <c r="R24" s="26">
        <f t="shared" si="6"/>
        <v>1.8982457238627533</v>
      </c>
      <c r="S24" s="26">
        <f t="shared" si="6"/>
        <v>1.9699026839353726</v>
      </c>
      <c r="T24" s="26">
        <f t="shared" si="6"/>
        <v>2.0390429961598011</v>
      </c>
      <c r="U24" s="26">
        <f t="shared" si="6"/>
        <v>2.1059145510207427</v>
      </c>
      <c r="V24" s="26">
        <f t="shared" si="6"/>
        <v>2.1707270330959285</v>
      </c>
      <c r="W24" s="26">
        <f t="shared" si="6"/>
        <v>2.2336596894392859</v>
      </c>
      <c r="X24" s="18">
        <f t="shared" si="5"/>
        <v>10000</v>
      </c>
    </row>
    <row r="25" spans="1:24">
      <c r="A25" s="18">
        <v>10500</v>
      </c>
      <c r="B25" s="25">
        <f t="shared" si="0"/>
        <v>1075.3967177036639</v>
      </c>
      <c r="C25" s="17">
        <f t="shared" si="3"/>
        <v>10500</v>
      </c>
      <c r="D25" s="26">
        <f t="shared" si="4"/>
        <v>0</v>
      </c>
      <c r="E25" s="26">
        <f t="shared" si="4"/>
        <v>0</v>
      </c>
      <c r="F25" s="26">
        <f t="shared" si="4"/>
        <v>0.50038591535181542</v>
      </c>
      <c r="G25" s="26">
        <f t="shared" si="4"/>
        <v>0.72704387926322056</v>
      </c>
      <c r="H25" s="26">
        <f t="shared" si="4"/>
        <v>0.89822020711279393</v>
      </c>
      <c r="I25" s="26">
        <f t="shared" si="4"/>
        <v>1.0416363465996128</v>
      </c>
      <c r="J25" s="26">
        <f t="shared" si="4"/>
        <v>1.1675671358209028</v>
      </c>
      <c r="K25" s="26">
        <f t="shared" si="4"/>
        <v>1.2811790486659795</v>
      </c>
      <c r="L25" s="26">
        <f t="shared" si="4"/>
        <v>1.3855058617098315</v>
      </c>
      <c r="M25" s="26">
        <f t="shared" si="4"/>
        <v>1.4825090997777857</v>
      </c>
      <c r="N25" s="26">
        <f t="shared" si="6"/>
        <v>1.5735437613919667</v>
      </c>
      <c r="O25" s="26">
        <f t="shared" si="6"/>
        <v>1.6595923316005099</v>
      </c>
      <c r="P25" s="26">
        <f t="shared" si="6"/>
        <v>1.7413941096715744</v>
      </c>
      <c r="Q25" s="26">
        <f t="shared" si="6"/>
        <v>1.8195219655971435</v>
      </c>
      <c r="R25" s="26">
        <f t="shared" si="6"/>
        <v>1.8944305005415563</v>
      </c>
      <c r="S25" s="26">
        <f t="shared" si="6"/>
        <v>1.9664876453905755</v>
      </c>
      <c r="T25" s="26">
        <f t="shared" si="6"/>
        <v>2.0359961683572507</v>
      </c>
      <c r="U25" s="26">
        <f t="shared" si="6"/>
        <v>2.1032087712961465</v>
      </c>
      <c r="V25" s="26">
        <f t="shared" si="6"/>
        <v>2.1683389665245341</v>
      </c>
      <c r="W25" s="26">
        <f t="shared" si="6"/>
        <v>2.2315690918813877</v>
      </c>
      <c r="X25" s="18">
        <f t="shared" si="5"/>
        <v>10500</v>
      </c>
    </row>
    <row r="26" spans="1:24">
      <c r="A26" s="18">
        <v>11000</v>
      </c>
      <c r="B26" s="25">
        <f t="shared" si="0"/>
        <v>1073.4026361984163</v>
      </c>
      <c r="C26" s="17">
        <f t="shared" si="3"/>
        <v>11000</v>
      </c>
      <c r="D26" s="26">
        <f t="shared" si="4"/>
        <v>0</v>
      </c>
      <c r="E26" s="26">
        <f t="shared" si="4"/>
        <v>0</v>
      </c>
      <c r="F26" s="26">
        <f t="shared" si="4"/>
        <v>0.47264477878393402</v>
      </c>
      <c r="G26" s="26">
        <f t="shared" si="4"/>
        <v>0.708967168175901</v>
      </c>
      <c r="H26" s="26">
        <f t="shared" si="4"/>
        <v>0.88423741392852107</v>
      </c>
      <c r="I26" s="26">
        <f t="shared" si="4"/>
        <v>1.0301054134556527</v>
      </c>
      <c r="J26" s="26">
        <f t="shared" si="4"/>
        <v>1.1577385376112705</v>
      </c>
      <c r="K26" s="26">
        <f t="shared" si="4"/>
        <v>1.272635014491557</v>
      </c>
      <c r="L26" s="26">
        <f t="shared" si="4"/>
        <v>1.3779844842194588</v>
      </c>
      <c r="M26" s="26">
        <f t="shared" si="4"/>
        <v>1.4758328487295609</v>
      </c>
      <c r="N26" s="26">
        <f t="shared" si="6"/>
        <v>1.5675853903468395</v>
      </c>
      <c r="O26" s="26">
        <f t="shared" si="6"/>
        <v>1.654256725743769</v>
      </c>
      <c r="P26" s="26">
        <f t="shared" si="6"/>
        <v>1.7366078064169059</v>
      </c>
      <c r="Q26" s="26">
        <f t="shared" si="6"/>
        <v>1.8152267164042568</v>
      </c>
      <c r="R26" s="26">
        <f t="shared" si="6"/>
        <v>1.8905791151357361</v>
      </c>
      <c r="S26" s="26">
        <f t="shared" si="6"/>
        <v>1.9630411990651304</v>
      </c>
      <c r="T26" s="26">
        <f t="shared" si="6"/>
        <v>2.0329220614344043</v>
      </c>
      <c r="U26" s="26">
        <f t="shared" si="6"/>
        <v>2.1004793420803618</v>
      </c>
      <c r="V26" s="26">
        <f t="shared" si="6"/>
        <v>2.1659304756030355</v>
      </c>
      <c r="W26" s="26">
        <f t="shared" si="6"/>
        <v>2.2294609626063506</v>
      </c>
      <c r="X26" s="18">
        <f t="shared" si="5"/>
        <v>11000</v>
      </c>
    </row>
    <row r="27" spans="1:24">
      <c r="A27" s="18">
        <v>11500</v>
      </c>
      <c r="B27" s="25">
        <f t="shared" si="0"/>
        <v>1071.4048433470914</v>
      </c>
      <c r="C27" s="17">
        <f t="shared" si="3"/>
        <v>11500</v>
      </c>
      <c r="D27" s="26">
        <f t="shared" si="4"/>
        <v>0</v>
      </c>
      <c r="E27" s="26">
        <f t="shared" si="4"/>
        <v>0</v>
      </c>
      <c r="F27" s="26">
        <f t="shared" si="4"/>
        <v>0.4429431027075641</v>
      </c>
      <c r="G27" s="26">
        <f t="shared" si="4"/>
        <v>0.69027697008576239</v>
      </c>
      <c r="H27" s="26">
        <f t="shared" si="4"/>
        <v>0.8699229843068621</v>
      </c>
      <c r="I27" s="26">
        <f t="shared" si="4"/>
        <v>1.0183563727006053</v>
      </c>
      <c r="J27" s="26">
        <f t="shared" si="4"/>
        <v>1.1477514561151776</v>
      </c>
      <c r="K27" s="26">
        <f t="shared" si="4"/>
        <v>1.2639687924189771</v>
      </c>
      <c r="L27" s="26">
        <f t="shared" si="4"/>
        <v>1.3703652109578905</v>
      </c>
      <c r="M27" s="26">
        <f t="shared" si="4"/>
        <v>1.4690760751568452</v>
      </c>
      <c r="N27" s="26">
        <f t="shared" si="6"/>
        <v>1.5615595466689118</v>
      </c>
      <c r="O27" s="26">
        <f t="shared" si="6"/>
        <v>1.6488638273027261</v>
      </c>
      <c r="P27" s="26">
        <f t="shared" si="6"/>
        <v>1.7317723938733898</v>
      </c>
      <c r="Q27" s="26">
        <f t="shared" si="6"/>
        <v>1.8108890985857051</v>
      </c>
      <c r="R27" s="26">
        <f t="shared" si="6"/>
        <v>1.8866910267903232</v>
      </c>
      <c r="S27" s="26">
        <f t="shared" si="6"/>
        <v>1.9595628935468496</v>
      </c>
      <c r="T27" s="26">
        <f t="shared" si="6"/>
        <v>2.0298202967160117</v>
      </c>
      <c r="U27" s="26">
        <f t="shared" si="6"/>
        <v>2.0977259449591728</v>
      </c>
      <c r="V27" s="26">
        <f t="shared" si="6"/>
        <v>2.1635012926618353</v>
      </c>
      <c r="W27" s="26">
        <f t="shared" si="6"/>
        <v>2.2273350772939415</v>
      </c>
      <c r="X27" s="18">
        <f t="shared" si="5"/>
        <v>11500</v>
      </c>
    </row>
    <row r="28" spans="1:24">
      <c r="A28" s="18">
        <v>12000</v>
      </c>
      <c r="B28" s="25">
        <f t="shared" si="0"/>
        <v>1069.4033183497709</v>
      </c>
      <c r="C28" s="17">
        <f t="shared" si="3"/>
        <v>12000</v>
      </c>
      <c r="D28" s="26">
        <f t="shared" si="4"/>
        <v>0</v>
      </c>
      <c r="E28" s="26">
        <f t="shared" si="4"/>
        <v>0</v>
      </c>
      <c r="F28" s="26">
        <f t="shared" si="4"/>
        <v>0.41085315520979737</v>
      </c>
      <c r="G28" s="26">
        <f t="shared" si="4"/>
        <v>0.67092039298433581</v>
      </c>
      <c r="H28" s="26">
        <f t="shared" si="4"/>
        <v>0.85525904397361696</v>
      </c>
      <c r="I28" s="26">
        <f t="shared" si="4"/>
        <v>1.0063805894765037</v>
      </c>
      <c r="J28" s="26">
        <f t="shared" si="4"/>
        <v>1.1376008744069621</v>
      </c>
      <c r="K28" s="26">
        <f t="shared" si="4"/>
        <v>1.2551771221735579</v>
      </c>
      <c r="L28" s="26">
        <f t="shared" si="4"/>
        <v>1.3626457597645487</v>
      </c>
      <c r="M28" s="26">
        <f t="shared" si="4"/>
        <v>1.4622370960896574</v>
      </c>
      <c r="N28" s="26">
        <f t="shared" si="6"/>
        <v>1.5554649413461954</v>
      </c>
      <c r="O28" s="26">
        <f t="shared" si="6"/>
        <v>1.6434126208391895</v>
      </c>
      <c r="P28" s="26">
        <f t="shared" si="6"/>
        <v>1.7268870550530926</v>
      </c>
      <c r="Q28" s="26">
        <f t="shared" si="6"/>
        <v>1.806508444344048</v>
      </c>
      <c r="R28" s="26">
        <f t="shared" si="6"/>
        <v>1.8827656832603366</v>
      </c>
      <c r="S28" s="26">
        <f t="shared" si="6"/>
        <v>1.9560522683811834</v>
      </c>
      <c r="T28" s="26">
        <f t="shared" si="6"/>
        <v>2.0266904882629668</v>
      </c>
      <c r="U28" s="26">
        <f t="shared" si="6"/>
        <v>2.0949482556359218</v>
      </c>
      <c r="V28" s="26">
        <f t="shared" si="6"/>
        <v>2.1610511452458501</v>
      </c>
      <c r="W28" s="26">
        <f t="shared" si="6"/>
        <v>2.225191207726835</v>
      </c>
      <c r="X28" s="18">
        <f t="shared" si="5"/>
        <v>12000</v>
      </c>
    </row>
    <row r="29" spans="1:24">
      <c r="A29" s="18">
        <v>12500</v>
      </c>
      <c r="B29" s="25">
        <f t="shared" si="0"/>
        <v>1067.3980402115217</v>
      </c>
      <c r="C29" s="17">
        <f t="shared" si="3"/>
        <v>12500</v>
      </c>
      <c r="D29" s="26">
        <f t="shared" si="4"/>
        <v>0</v>
      </c>
      <c r="E29" s="26">
        <f t="shared" si="4"/>
        <v>0</v>
      </c>
      <c r="F29" s="26">
        <f t="shared" si="4"/>
        <v>0.37576050411876549</v>
      </c>
      <c r="G29" s="26">
        <f t="shared" si="4"/>
        <v>0.6508362846113962</v>
      </c>
      <c r="H29" s="26">
        <f t="shared" si="4"/>
        <v>0.84022603046914934</v>
      </c>
      <c r="I29" s="26">
        <f t="shared" si="4"/>
        <v>0.99416884641851533</v>
      </c>
      <c r="J29" s="26">
        <f t="shared" si="4"/>
        <v>1.1272815123562965</v>
      </c>
      <c r="K29" s="26">
        <f t="shared" si="4"/>
        <v>1.2462566031967399</v>
      </c>
      <c r="L29" s="26">
        <f t="shared" si="4"/>
        <v>1.3548237648944064</v>
      </c>
      <c r="M29" s="26">
        <f t="shared" si="4"/>
        <v>1.4553141746144822</v>
      </c>
      <c r="N29" s="26">
        <f t="shared" si="6"/>
        <v>1.54930024841701</v>
      </c>
      <c r="O29" s="26">
        <f t="shared" si="6"/>
        <v>1.6379020644275977</v>
      </c>
      <c r="P29" s="26">
        <f t="shared" si="6"/>
        <v>1.7219509532990085</v>
      </c>
      <c r="Q29" s="26">
        <f t="shared" si="6"/>
        <v>1.8020840708686545</v>
      </c>
      <c r="R29" s="26">
        <f t="shared" si="6"/>
        <v>1.8788025205938272</v>
      </c>
      <c r="S29" s="26">
        <f t="shared" si="6"/>
        <v>1.9525088538341886</v>
      </c>
      <c r="T29" s="26">
        <f t="shared" si="6"/>
        <v>2.0235322426914957</v>
      </c>
      <c r="U29" s="26">
        <f t="shared" si="6"/>
        <v>2.0921459437915062</v>
      </c>
      <c r="V29" s="26">
        <f t="shared" si="6"/>
        <v>2.1585797560049591</v>
      </c>
      <c r="W29" s="26">
        <f t="shared" si="6"/>
        <v>2.2230291217043487</v>
      </c>
      <c r="X29" s="18">
        <f t="shared" si="5"/>
        <v>12500</v>
      </c>
    </row>
    <row r="30" spans="1:24">
      <c r="A30" s="18">
        <v>13000</v>
      </c>
      <c r="B30" s="25">
        <f t="shared" si="0"/>
        <v>1065.3889877398271</v>
      </c>
      <c r="C30" s="17">
        <f t="shared" si="3"/>
        <v>13000</v>
      </c>
      <c r="D30" s="26">
        <f t="shared" si="4"/>
        <v>0</v>
      </c>
      <c r="E30" s="26">
        <f t="shared" si="4"/>
        <v>0</v>
      </c>
      <c r="F30" s="26">
        <f t="shared" si="4"/>
        <v>0.33672419316445668</v>
      </c>
      <c r="G30" s="26">
        <f t="shared" si="4"/>
        <v>0.62995328232964243</v>
      </c>
      <c r="H30" s="26">
        <f t="shared" si="4"/>
        <v>0.82480245730327817</v>
      </c>
      <c r="I30" s="26">
        <f t="shared" si="4"/>
        <v>0.98171128608627189</v>
      </c>
      <c r="J30" s="26">
        <f t="shared" si="4"/>
        <v>1.1167878065616572</v>
      </c>
      <c r="K30" s="26">
        <f t="shared" si="4"/>
        <v>1.2372036859549171</v>
      </c>
      <c r="L30" s="26">
        <f t="shared" si="4"/>
        <v>1.3468967726578267</v>
      </c>
      <c r="M30" s="26">
        <f t="shared" si="4"/>
        <v>1.448305517441574</v>
      </c>
      <c r="N30" s="26">
        <f t="shared" si="6"/>
        <v>1.5430641034990544</v>
      </c>
      <c r="O30" s="26">
        <f t="shared" si="6"/>
        <v>1.6323310887081017</v>
      </c>
      <c r="P30" s="26">
        <f t="shared" si="6"/>
        <v>1.7169632316443506</v>
      </c>
      <c r="Q30" s="26">
        <f t="shared" si="6"/>
        <v>1.7976152798845053</v>
      </c>
      <c r="R30" s="26">
        <f t="shared" si="6"/>
        <v>1.8748009628037543</v>
      </c>
      <c r="S30" s="26">
        <f t="shared" si="6"/>
        <v>1.9489321706476908</v>
      </c>
      <c r="T30" s="26">
        <f t="shared" si="6"/>
        <v>2.0203451589867401</v>
      </c>
      <c r="U30" s="26">
        <f t="shared" si="6"/>
        <v>2.0893186729402462</v>
      </c>
      <c r="V30" s="26">
        <f t="shared" si="6"/>
        <v>2.1560868425813529</v>
      </c>
      <c r="W30" s="26">
        <f t="shared" si="6"/>
        <v>2.2208485829538365</v>
      </c>
      <c r="X30" s="18">
        <f t="shared" si="5"/>
        <v>13000</v>
      </c>
    </row>
    <row r="31" spans="1:24">
      <c r="A31" s="18">
        <v>13500</v>
      </c>
      <c r="B31" s="25">
        <f t="shared" si="0"/>
        <v>1063.3761395419726</v>
      </c>
      <c r="C31" s="17">
        <f t="shared" si="3"/>
        <v>13500</v>
      </c>
      <c r="D31" s="26">
        <f t="shared" si="4"/>
        <v>0</v>
      </c>
      <c r="E31" s="26">
        <f t="shared" si="4"/>
        <v>0</v>
      </c>
      <c r="F31" s="26">
        <f t="shared" si="4"/>
        <v>0.29216369262237563</v>
      </c>
      <c r="G31" s="26">
        <f t="shared" si="4"/>
        <v>0.60818722521047353</v>
      </c>
      <c r="H31" s="26">
        <f t="shared" si="4"/>
        <v>0.8089646336717623</v>
      </c>
      <c r="I31" s="26">
        <f t="shared" si="4"/>
        <v>0.96899734579314611</v>
      </c>
      <c r="J31" s="26">
        <f t="shared" si="4"/>
        <v>1.1061138882486898</v>
      </c>
      <c r="K31" s="26">
        <f t="shared" si="4"/>
        <v>1.2280146625342503</v>
      </c>
      <c r="L31" s="26">
        <f t="shared" si="4"/>
        <v>1.3388622367598473</v>
      </c>
      <c r="M31" s="26">
        <f t="shared" si="4"/>
        <v>1.4412092723279486</v>
      </c>
      <c r="N31" s="26">
        <f t="shared" si="6"/>
        <v>1.536755102241905</v>
      </c>
      <c r="O31" s="26">
        <f t="shared" si="6"/>
        <v>1.6266985958956877</v>
      </c>
      <c r="P31" s="26">
        <f t="shared" si="6"/>
        <v>1.7119230121449605</v>
      </c>
      <c r="Q31" s="26">
        <f t="shared" si="6"/>
        <v>1.793101357183678</v>
      </c>
      <c r="R31" s="26">
        <f t="shared" si="6"/>
        <v>1.8707604215282143</v>
      </c>
      <c r="S31" s="26">
        <f t="shared" si="6"/>
        <v>1.9453217297863341</v>
      </c>
      <c r="T31" s="26">
        <f t="shared" si="6"/>
        <v>2.0171288283105189</v>
      </c>
      <c r="U31" s="26">
        <f t="shared" si="6"/>
        <v>2.0864661002814882</v>
      </c>
      <c r="V31" s="26">
        <f t="shared" si="6"/>
        <v>2.1535721174937037</v>
      </c>
      <c r="W31" s="26">
        <f t="shared" si="6"/>
        <v>2.2186493510396788</v>
      </c>
      <c r="X31" s="18">
        <f t="shared" si="5"/>
        <v>13500</v>
      </c>
    </row>
    <row r="32" spans="1:24">
      <c r="A32" s="18">
        <v>14000</v>
      </c>
      <c r="B32" s="25">
        <f t="shared" si="0"/>
        <v>1061.3594740223903</v>
      </c>
      <c r="C32" s="17">
        <f t="shared" si="3"/>
        <v>14000</v>
      </c>
      <c r="D32" s="26">
        <f t="shared" si="4"/>
        <v>0</v>
      </c>
      <c r="E32" s="26">
        <f t="shared" si="4"/>
        <v>0</v>
      </c>
      <c r="F32" s="26">
        <f t="shared" si="4"/>
        <v>0.23900392089089192</v>
      </c>
      <c r="G32" s="26">
        <f t="shared" si="4"/>
        <v>0.58543765270720194</v>
      </c>
      <c r="H32" s="26">
        <f t="shared" si="4"/>
        <v>0.79268632901887304</v>
      </c>
      <c r="I32" s="26">
        <f t="shared" si="4"/>
        <v>0.9560156835635677</v>
      </c>
      <c r="J32" s="26">
        <f t="shared" si="4"/>
        <v>1.0952535588737498</v>
      </c>
      <c r="K32" s="26">
        <f t="shared" si="4"/>
        <v>1.2186856564478441</v>
      </c>
      <c r="L32" s="26">
        <f t="shared" si="4"/>
        <v>1.3307175133129538</v>
      </c>
      <c r="M32" s="26">
        <f t="shared" si="4"/>
        <v>1.4340235253453517</v>
      </c>
      <c r="N32" s="26">
        <f t="shared" si="6"/>
        <v>1.5303717986979533</v>
      </c>
      <c r="O32" s="26">
        <f t="shared" si="6"/>
        <v>1.6210034587427959</v>
      </c>
      <c r="P32" s="26">
        <f t="shared" si="6"/>
        <v>1.7068293951834219</v>
      </c>
      <c r="Q32" s="26">
        <f t="shared" si="6"/>
        <v>1.788541572138681</v>
      </c>
      <c r="R32" s="26">
        <f t="shared" si="6"/>
        <v>1.8666802956785085</v>
      </c>
      <c r="S32" s="26">
        <f t="shared" si="6"/>
        <v>1.9416770321761812</v>
      </c>
      <c r="T32" s="26">
        <f t="shared" si="6"/>
        <v>2.0138828338030494</v>
      </c>
      <c r="U32" s="26">
        <f t="shared" si="6"/>
        <v>2.0835878765467748</v>
      </c>
      <c r="V32" s="26">
        <f t="shared" si="6"/>
        <v>2.151035288018027</v>
      </c>
      <c r="W32" s="26">
        <f t="shared" si="6"/>
        <v>2.2164311812697672</v>
      </c>
      <c r="X32" s="18">
        <f t="shared" si="5"/>
        <v>14000</v>
      </c>
    </row>
    <row r="33" spans="1:24">
      <c r="A33" s="18">
        <v>14500</v>
      </c>
      <c r="B33" s="25">
        <f t="shared" si="0"/>
        <v>1059.3389693799529</v>
      </c>
      <c r="C33" s="17">
        <f t="shared" si="3"/>
        <v>14500</v>
      </c>
      <c r="D33" s="26">
        <f t="shared" si="4"/>
        <v>0</v>
      </c>
      <c r="E33" s="26">
        <f t="shared" si="4"/>
        <v>0</v>
      </c>
      <c r="F33" s="26">
        <f t="shared" si="4"/>
        <v>0.16932363373404821</v>
      </c>
      <c r="G33" s="26">
        <f t="shared" si="4"/>
        <v>0.56158296123540208</v>
      </c>
      <c r="H33" s="26">
        <f t="shared" si="4"/>
        <v>0.77593836853125397</v>
      </c>
      <c r="I33" s="26">
        <f t="shared" si="4"/>
        <v>0.94275409368931695</v>
      </c>
      <c r="J33" s="26">
        <f t="shared" si="4"/>
        <v>1.0842002631326866</v>
      </c>
      <c r="K33" s="26">
        <f t="shared" si="4"/>
        <v>1.2092126115725088</v>
      </c>
      <c r="L33" s="26">
        <f t="shared" si="4"/>
        <v>1.3224598554946871</v>
      </c>
      <c r="M33" s="26">
        <f t="shared" si="4"/>
        <v>1.4267462979815471</v>
      </c>
      <c r="N33" s="26">
        <f t="shared" si="6"/>
        <v>1.5239127036064339</v>
      </c>
      <c r="O33" s="26">
        <f t="shared" si="6"/>
        <v>1.6152445194527334</v>
      </c>
      <c r="P33" s="26">
        <f t="shared" si="6"/>
        <v>1.7016814587434137</v>
      </c>
      <c r="Q33" s="26">
        <f t="shared" si="6"/>
        <v>1.7839351771967877</v>
      </c>
      <c r="R33" s="26">
        <f t="shared" si="6"/>
        <v>1.8625599710745304</v>
      </c>
      <c r="S33" s="26">
        <f t="shared" si="6"/>
        <v>1.9379975684345363</v>
      </c>
      <c r="T33" s="26">
        <f t="shared" si="6"/>
        <v>2.0106067503784022</v>
      </c>
      <c r="U33" s="26">
        <f t="shared" si="6"/>
        <v>2.0806836458424471</v>
      </c>
      <c r="V33" s="26">
        <f t="shared" si="6"/>
        <v>2.1484760560651446</v>
      </c>
      <c r="W33" s="26">
        <f t="shared" si="6"/>
        <v>2.2141938245994321</v>
      </c>
      <c r="X33" s="18">
        <f t="shared" si="5"/>
        <v>14500</v>
      </c>
    </row>
    <row r="34" spans="1:24">
      <c r="A34" s="18">
        <v>15000</v>
      </c>
      <c r="B34" s="25">
        <f t="shared" si="0"/>
        <v>1057.3146036052262</v>
      </c>
      <c r="C34" s="17">
        <f t="shared" si="3"/>
        <v>15000</v>
      </c>
      <c r="D34" s="26">
        <f t="shared" si="4"/>
        <v>0</v>
      </c>
      <c r="E34" s="26">
        <f t="shared" si="4"/>
        <v>0</v>
      </c>
      <c r="F34" s="26">
        <f t="shared" si="4"/>
        <v>0</v>
      </c>
      <c r="G34" s="26">
        <f t="shared" si="4"/>
        <v>0.5364735295136519</v>
      </c>
      <c r="H34" s="26">
        <f t="shared" si="4"/>
        <v>0.75868814129236928</v>
      </c>
      <c r="I34" s="26">
        <f t="shared" si="4"/>
        <v>0.92919941003344664</v>
      </c>
      <c r="J34" s="26">
        <f t="shared" si="4"/>
        <v>1.0729470590273038</v>
      </c>
      <c r="K34" s="26">
        <f t="shared" si="4"/>
        <v>1.1995912801217652</v>
      </c>
      <c r="L34" s="26">
        <f t="shared" si="4"/>
        <v>1.3140864078183789</v>
      </c>
      <c r="M34" s="26">
        <f t="shared" si="4"/>
        <v>1.4193755440621929</v>
      </c>
      <c r="N34" s="26">
        <f t="shared" si="6"/>
        <v>1.5173762825847386</v>
      </c>
      <c r="O34" s="26">
        <f t="shared" si="6"/>
        <v>1.6094205885409556</v>
      </c>
      <c r="P34" s="26">
        <f t="shared" si="6"/>
        <v>1.6964782576527031</v>
      </c>
      <c r="Q34" s="26">
        <f t="shared" si="6"/>
        <v>1.779281407354437</v>
      </c>
      <c r="R34" s="26">
        <f t="shared" si="6"/>
        <v>1.8583988200668933</v>
      </c>
      <c r="S34" s="26">
        <f t="shared" si="6"/>
        <v>1.9342828185906156</v>
      </c>
      <c r="T34" s="26">
        <f t="shared" si="6"/>
        <v>2.0073001445134437</v>
      </c>
      <c r="U34" s="26">
        <f t="shared" si="6"/>
        <v>2.0777530454874866</v>
      </c>
      <c r="V34" s="26">
        <f t="shared" si="6"/>
        <v>2.1458941180546076</v>
      </c>
      <c r="W34" s="26">
        <f t="shared" si="6"/>
        <v>2.2119370275326999</v>
      </c>
      <c r="X34" s="18">
        <f t="shared" si="5"/>
        <v>15000</v>
      </c>
    </row>
    <row r="35" spans="1:24">
      <c r="A35" s="18">
        <v>15500</v>
      </c>
      <c r="B35" s="25">
        <f t="shared" si="0"/>
        <v>1055.286354477671</v>
      </c>
      <c r="C35" s="17">
        <f t="shared" si="3"/>
        <v>15500</v>
      </c>
      <c r="D35" s="26">
        <f t="shared" si="4"/>
        <v>0</v>
      </c>
      <c r="E35" s="26">
        <f t="shared" si="4"/>
        <v>0</v>
      </c>
      <c r="F35" s="26">
        <f t="shared" si="4"/>
        <v>0</v>
      </c>
      <c r="G35" s="26">
        <f t="shared" si="4"/>
        <v>0.50992166123557292</v>
      </c>
      <c r="H35" s="26">
        <f t="shared" si="4"/>
        <v>0.74089899681608151</v>
      </c>
      <c r="I35" s="26">
        <f t="shared" si="4"/>
        <v>0.9153373948271234</v>
      </c>
      <c r="J35" s="26">
        <f t="shared" si="4"/>
        <v>1.0614865845853798</v>
      </c>
      <c r="K35" s="26">
        <f t="shared" si="4"/>
        <v>1.1898172095496704</v>
      </c>
      <c r="L35" s="26">
        <f t="shared" si="4"/>
        <v>1.3055941999819061</v>
      </c>
      <c r="M35" s="26">
        <f t="shared" ref="F35:M67" si="7">SQRT(IF((M$3-$A35)&gt;0,(M$3-$A35),0)*2*32.174)/$B35</f>
        <v>1.4119091464794125</v>
      </c>
      <c r="N35" s="26">
        <f t="shared" si="6"/>
        <v>1.5107609542207703</v>
      </c>
      <c r="O35" s="26">
        <f t="shared" si="6"/>
        <v>1.6035304436411184</v>
      </c>
      <c r="P35" s="26">
        <f t="shared" si="6"/>
        <v>1.6912188227931095</v>
      </c>
      <c r="Q35" s="26">
        <f t="shared" si="6"/>
        <v>1.7745794796107444</v>
      </c>
      <c r="R35" s="26">
        <f t="shared" si="6"/>
        <v>1.8541962011452213</v>
      </c>
      <c r="S35" s="26">
        <f t="shared" si="6"/>
        <v>1.9305322517966903</v>
      </c>
      <c r="T35" s="26">
        <f t="shared" si="6"/>
        <v>2.0039625740300213</v>
      </c>
      <c r="U35" s="26">
        <f t="shared" si="6"/>
        <v>2.0747957058464475</v>
      </c>
      <c r="V35" s="26">
        <f t="shared" si="6"/>
        <v>2.1432891647849779</v>
      </c>
      <c r="W35" s="26">
        <f t="shared" si="6"/>
        <v>2.2096605320208162</v>
      </c>
      <c r="X35" s="18">
        <f t="shared" si="5"/>
        <v>15500</v>
      </c>
    </row>
    <row r="36" spans="1:24">
      <c r="A36" s="18">
        <v>16000</v>
      </c>
      <c r="B36" s="25">
        <f t="shared" ref="B36:B67" si="8">Linterp(A36,atmos_h,atmos_aspeed)</f>
        <v>1053.2541995627971</v>
      </c>
      <c r="C36" s="17">
        <f t="shared" si="3"/>
        <v>16000</v>
      </c>
      <c r="D36" s="26">
        <f t="shared" si="4"/>
        <v>0</v>
      </c>
      <c r="E36" s="26">
        <f t="shared" si="4"/>
        <v>0</v>
      </c>
      <c r="F36" s="26">
        <f t="shared" si="7"/>
        <v>0</v>
      </c>
      <c r="G36" s="26">
        <f t="shared" si="7"/>
        <v>0.48168633150732915</v>
      </c>
      <c r="H36" s="26">
        <f t="shared" si="7"/>
        <v>0.72252949726099369</v>
      </c>
      <c r="I36" s="26">
        <f t="shared" si="7"/>
        <v>0.90115261019621973</v>
      </c>
      <c r="J36" s="26">
        <f t="shared" si="7"/>
        <v>1.0498110207626397</v>
      </c>
      <c r="K36" s="26">
        <f t="shared" si="7"/>
        <v>1.1798857282660602</v>
      </c>
      <c r="L36" s="26">
        <f t="shared" si="7"/>
        <v>1.2969801402554963</v>
      </c>
      <c r="M36" s="26">
        <f t="shared" si="7"/>
        <v>1.4043449137118711</v>
      </c>
      <c r="N36" s="26">
        <f t="shared" si="6"/>
        <v>1.504065088059569</v>
      </c>
      <c r="O36" s="26">
        <f t="shared" si="6"/>
        <v>1.5975728282525572</v>
      </c>
      <c r="P36" s="26">
        <f t="shared" si="6"/>
        <v>1.6859021602756519</v>
      </c>
      <c r="Q36" s="26">
        <f t="shared" si="6"/>
        <v>1.7698285923990902</v>
      </c>
      <c r="R36" s="26">
        <f t="shared" si="6"/>
        <v>1.849951458531975</v>
      </c>
      <c r="S36" s="26">
        <f t="shared" si="6"/>
        <v>1.9267453260293166</v>
      </c>
      <c r="T36" s="26">
        <f t="shared" si="6"/>
        <v>2.0005935878701231</v>
      </c>
      <c r="U36" s="26">
        <f t="shared" si="6"/>
        <v>2.0718112501572841</v>
      </c>
      <c r="V36" s="26">
        <f t="shared" si="6"/>
        <v>2.1406608813003345</v>
      </c>
      <c r="W36" s="26">
        <f t="shared" si="6"/>
        <v>2.207364075357928</v>
      </c>
      <c r="X36" s="18">
        <f t="shared" si="5"/>
        <v>16000</v>
      </c>
    </row>
    <row r="37" spans="1:24">
      <c r="A37" s="18">
        <v>16500</v>
      </c>
      <c r="B37" s="25">
        <f t="shared" si="8"/>
        <v>1051.2181162092691</v>
      </c>
      <c r="C37" s="17">
        <f t="shared" si="3"/>
        <v>16500</v>
      </c>
      <c r="D37" s="26">
        <f t="shared" si="4"/>
        <v>0</v>
      </c>
      <c r="E37" s="26">
        <f t="shared" si="4"/>
        <v>0</v>
      </c>
      <c r="F37" s="26">
        <f t="shared" si="7"/>
        <v>0</v>
      </c>
      <c r="G37" s="26">
        <f t="shared" si="7"/>
        <v>0.45144901733561643</v>
      </c>
      <c r="H37" s="26">
        <f t="shared" si="7"/>
        <v>0.70353248064991825</v>
      </c>
      <c r="I37" s="26">
        <f t="shared" si="7"/>
        <v>0.88662826900881153</v>
      </c>
      <c r="J37" s="26">
        <f t="shared" si="7"/>
        <v>1.0379120499742236</v>
      </c>
      <c r="K37" s="26">
        <f t="shared" si="7"/>
        <v>1.1697919300276562</v>
      </c>
      <c r="L37" s="26">
        <f t="shared" si="7"/>
        <v>1.2882410083652682</v>
      </c>
      <c r="M37" s="26">
        <f t="shared" si="7"/>
        <v>1.3966805761197143</v>
      </c>
      <c r="N37" s="26">
        <f t="shared" si="6"/>
        <v>1.4972870024768901</v>
      </c>
      <c r="O37" s="26">
        <f t="shared" si="6"/>
        <v>1.591546450425612</v>
      </c>
      <c r="P37" s="26">
        <f t="shared" si="6"/>
        <v>1.6805272505789659</v>
      </c>
      <c r="Q37" s="26">
        <f t="shared" si="6"/>
        <v>1.7650279249957017</v>
      </c>
      <c r="R37" s="26">
        <f t="shared" si="6"/>
        <v>1.8456639217611548</v>
      </c>
      <c r="S37" s="26">
        <f t="shared" si="6"/>
        <v>1.9229214877802212</v>
      </c>
      <c r="T37" s="26">
        <f t="shared" si="6"/>
        <v>1.9971927258637396</v>
      </c>
      <c r="U37" s="26">
        <f t="shared" si="6"/>
        <v>2.0687992943538935</v>
      </c>
      <c r="V37" s="26">
        <f t="shared" si="6"/>
        <v>2.1380089467528665</v>
      </c>
      <c r="W37" s="26">
        <f t="shared" si="6"/>
        <v>2.2050473900738359</v>
      </c>
      <c r="X37" s="18">
        <f t="shared" si="5"/>
        <v>16500</v>
      </c>
    </row>
    <row r="38" spans="1:24">
      <c r="A38" s="18">
        <v>17000</v>
      </c>
      <c r="B38" s="25">
        <f t="shared" si="8"/>
        <v>1049.1780815459595</v>
      </c>
      <c r="C38" s="17">
        <f t="shared" si="3"/>
        <v>17000</v>
      </c>
      <c r="D38" s="26">
        <f t="shared" si="4"/>
        <v>0</v>
      </c>
      <c r="E38" s="26">
        <f t="shared" si="4"/>
        <v>0</v>
      </c>
      <c r="F38" s="26">
        <f t="shared" si="7"/>
        <v>0</v>
      </c>
      <c r="G38" s="26">
        <f t="shared" si="7"/>
        <v>0.41877326191224301</v>
      </c>
      <c r="H38" s="26">
        <f t="shared" si="7"/>
        <v>0.68385387307059509</v>
      </c>
      <c r="I38" s="26">
        <f t="shared" si="7"/>
        <v>0.87174606080824191</v>
      </c>
      <c r="J38" s="26">
        <f t="shared" si="7"/>
        <v>1.0257808096058925</v>
      </c>
      <c r="K38" s="26">
        <f t="shared" si="7"/>
        <v>1.1595306568507595</v>
      </c>
      <c r="L38" s="26">
        <f t="shared" si="7"/>
        <v>1.2793734478242809</v>
      </c>
      <c r="M38" s="26">
        <f t="shared" si="7"/>
        <v>1.3889137819961399</v>
      </c>
      <c r="N38" s="26">
        <f t="shared" si="6"/>
        <v>1.4904249624318073</v>
      </c>
      <c r="O38" s="26">
        <f t="shared" si="6"/>
        <v>1.5854499813809604</v>
      </c>
      <c r="P38" s="26">
        <f t="shared" si="6"/>
        <v>1.675093047648972</v>
      </c>
      <c r="Q38" s="26">
        <f t="shared" si="6"/>
        <v>1.7601766369040792</v>
      </c>
      <c r="R38" s="26">
        <f t="shared" si="6"/>
        <v>1.8413329052411973</v>
      </c>
      <c r="S38" s="26">
        <f t="shared" si="6"/>
        <v>1.9190601717364209</v>
      </c>
      <c r="T38" s="26">
        <f t="shared" si="6"/>
        <v>1.9937595184891421</v>
      </c>
      <c r="U38" s="26">
        <f t="shared" si="6"/>
        <v>2.065759446883177</v>
      </c>
      <c r="V38" s="26">
        <f t="shared" si="6"/>
        <v>2.1353330342614294</v>
      </c>
      <c r="W38" s="26">
        <f t="shared" si="6"/>
        <v>2.2027102038237247</v>
      </c>
      <c r="X38" s="18">
        <f t="shared" si="5"/>
        <v>17000</v>
      </c>
    </row>
    <row r="39" spans="1:24">
      <c r="A39" s="18">
        <v>17500</v>
      </c>
      <c r="B39" s="25">
        <f t="shared" si="8"/>
        <v>1047.1340724789525</v>
      </c>
      <c r="C39" s="17">
        <f t="shared" si="3"/>
        <v>17500</v>
      </c>
      <c r="D39" s="26">
        <f t="shared" si="4"/>
        <v>0</v>
      </c>
      <c r="E39" s="26">
        <f t="shared" si="4"/>
        <v>0</v>
      </c>
      <c r="F39" s="26">
        <f t="shared" si="7"/>
        <v>0</v>
      </c>
      <c r="G39" s="26">
        <f t="shared" si="7"/>
        <v>0.38303216008982038</v>
      </c>
      <c r="H39" s="26">
        <f t="shared" si="7"/>
        <v>0.66343116220842491</v>
      </c>
      <c r="I39" s="26">
        <f t="shared" si="7"/>
        <v>0.85648594752942031</v>
      </c>
      <c r="J39" s="26">
        <f t="shared" si="7"/>
        <v>1.0134078397375443</v>
      </c>
      <c r="K39" s="26">
        <f t="shared" si="7"/>
        <v>1.1490964802694612</v>
      </c>
      <c r="L39" s="26">
        <f t="shared" si="7"/>
        <v>1.2703739576572763</v>
      </c>
      <c r="M39" s="26">
        <f t="shared" si="7"/>
        <v>1.3810420933555787</v>
      </c>
      <c r="N39" s="26">
        <f t="shared" si="6"/>
        <v>1.4834771770897275</v>
      </c>
      <c r="O39" s="26">
        <f t="shared" si="6"/>
        <v>1.5792820540588226</v>
      </c>
      <c r="P39" s="26">
        <f t="shared" si="6"/>
        <v>1.6695984779576201</v>
      </c>
      <c r="Q39" s="26">
        <f t="shared" si="6"/>
        <v>1.7552738672140451</v>
      </c>
      <c r="R39" s="26">
        <f t="shared" si="6"/>
        <v>1.8369577078013248</v>
      </c>
      <c r="S39" s="26">
        <f t="shared" si="6"/>
        <v>1.9151608004491016</v>
      </c>
      <c r="T39" s="26">
        <f t="shared" si="6"/>
        <v>1.9902934866252746</v>
      </c>
      <c r="U39" s="26">
        <f t="shared" si="6"/>
        <v>2.0626913085164098</v>
      </c>
      <c r="V39" s="26">
        <f t="shared" si="6"/>
        <v>2.1326328107659056</v>
      </c>
      <c r="W39" s="26">
        <f t="shared" si="6"/>
        <v>2.2003522392747565</v>
      </c>
      <c r="X39" s="18">
        <f t="shared" si="5"/>
        <v>17500</v>
      </c>
    </row>
    <row r="40" spans="1:24">
      <c r="A40" s="18">
        <v>18000</v>
      </c>
      <c r="B40" s="25">
        <f t="shared" si="8"/>
        <v>1045.0860656884925</v>
      </c>
      <c r="C40" s="17">
        <f t="shared" si="3"/>
        <v>18000</v>
      </c>
      <c r="D40" s="26">
        <f t="shared" si="4"/>
        <v>0</v>
      </c>
      <c r="E40" s="26">
        <f t="shared" si="4"/>
        <v>0</v>
      </c>
      <c r="F40" s="26">
        <f t="shared" si="7"/>
        <v>0</v>
      </c>
      <c r="G40" s="26">
        <f t="shared" si="7"/>
        <v>0.34326574535911991</v>
      </c>
      <c r="H40" s="26">
        <f t="shared" si="7"/>
        <v>0.64219140587470691</v>
      </c>
      <c r="I40" s="26">
        <f t="shared" si="7"/>
        <v>0.84082592230598652</v>
      </c>
      <c r="J40" s="26">
        <f t="shared" si="7"/>
        <v>1.0007830241686224</v>
      </c>
      <c r="K40" s="26">
        <f t="shared" si="7"/>
        <v>1.1384836807378811</v>
      </c>
      <c r="L40" s="26">
        <f t="shared" si="7"/>
        <v>1.2612388834589798</v>
      </c>
      <c r="M40" s="26">
        <f t="shared" si="7"/>
        <v>1.3730629814364796</v>
      </c>
      <c r="N40" s="26">
        <f t="shared" si="6"/>
        <v>1.4764417973064887</v>
      </c>
      <c r="O40" s="26">
        <f t="shared" si="6"/>
        <v>1.5730412615936031</v>
      </c>
      <c r="P40" s="26">
        <f t="shared" si="6"/>
        <v>1.6640424395184084</v>
      </c>
      <c r="Q40" s="26">
        <f t="shared" si="6"/>
        <v>1.7503187339341242</v>
      </c>
      <c r="R40" s="26">
        <f t="shared" si="6"/>
        <v>1.8325376122205885</v>
      </c>
      <c r="S40" s="26">
        <f t="shared" si="6"/>
        <v>1.9112227839907927</v>
      </c>
      <c r="T40" s="26">
        <f t="shared" si="6"/>
        <v>1.9867941412959464</v>
      </c>
      <c r="U40" s="26">
        <f t="shared" si="6"/>
        <v>2.0595944721547195</v>
      </c>
      <c r="V40" s="26">
        <f t="shared" si="6"/>
        <v>2.1299079368772396</v>
      </c>
      <c r="W40" s="26">
        <f t="shared" si="6"/>
        <v>2.1979732139894335</v>
      </c>
      <c r="X40" s="18">
        <f t="shared" si="5"/>
        <v>18000</v>
      </c>
    </row>
    <row r="41" spans="1:24">
      <c r="A41" s="18">
        <v>18500</v>
      </c>
      <c r="B41" s="25">
        <f t="shared" si="8"/>
        <v>1043.0340376258812</v>
      </c>
      <c r="C41" s="17">
        <f t="shared" si="3"/>
        <v>18500</v>
      </c>
      <c r="D41" s="26">
        <f t="shared" si="4"/>
        <v>0</v>
      </c>
      <c r="E41" s="26">
        <f t="shared" si="4"/>
        <v>0</v>
      </c>
      <c r="F41" s="26">
        <f t="shared" si="7"/>
        <v>0</v>
      </c>
      <c r="G41" s="26">
        <f t="shared" si="7"/>
        <v>0.29786170764116998</v>
      </c>
      <c r="H41" s="26">
        <f t="shared" si="7"/>
        <v>0.6200485893395451</v>
      </c>
      <c r="I41" s="26">
        <f t="shared" si="7"/>
        <v>0.82474172284722314</v>
      </c>
      <c r="J41" s="26">
        <f t="shared" si="7"/>
        <v>0.98789552366029687</v>
      </c>
      <c r="K41" s="26">
        <f t="shared" si="7"/>
        <v>1.1276862249451742</v>
      </c>
      <c r="L41" s="26">
        <f t="shared" si="7"/>
        <v>1.2519644077185836</v>
      </c>
      <c r="M41" s="26">
        <f t="shared" si="7"/>
        <v>1.3649738218944676</v>
      </c>
      <c r="N41" s="26">
        <f t="shared" si="6"/>
        <v>1.4693169129633796</v>
      </c>
      <c r="O41" s="26">
        <f t="shared" si="6"/>
        <v>1.5667261557091852</v>
      </c>
      <c r="P41" s="26">
        <f t="shared" si="6"/>
        <v>1.6584238008562009</v>
      </c>
      <c r="Q41" s="26">
        <f t="shared" si="6"/>
        <v>1.7453103332958795</v>
      </c>
      <c r="R41" s="26">
        <f t="shared" si="6"/>
        <v>1.8280718847387869</v>
      </c>
      <c r="S41" s="26">
        <f t="shared" si="6"/>
        <v>1.9072455196003126</v>
      </c>
      <c r="T41" s="26">
        <f t="shared" si="6"/>
        <v>1.9832609834054904</v>
      </c>
      <c r="U41" s="26">
        <f t="shared" si="6"/>
        <v>2.0564685226284301</v>
      </c>
      <c r="V41" s="26">
        <f t="shared" si="6"/>
        <v>2.1271580667229704</v>
      </c>
      <c r="W41" s="26">
        <f t="shared" si="6"/>
        <v>2.1955728403056116</v>
      </c>
      <c r="X41" s="18">
        <f t="shared" si="5"/>
        <v>18500</v>
      </c>
    </row>
    <row r="42" spans="1:24">
      <c r="A42" s="18">
        <v>19000</v>
      </c>
      <c r="B42" s="25">
        <f t="shared" si="8"/>
        <v>1040.9779645103174</v>
      </c>
      <c r="C42" s="17">
        <f t="shared" si="3"/>
        <v>19000</v>
      </c>
      <c r="D42" s="26">
        <f t="shared" si="4"/>
        <v>0</v>
      </c>
      <c r="E42" s="26">
        <f t="shared" si="4"/>
        <v>0</v>
      </c>
      <c r="F42" s="26">
        <f t="shared" si="7"/>
        <v>0</v>
      </c>
      <c r="G42" s="26">
        <f t="shared" si="7"/>
        <v>0.24368342502367335</v>
      </c>
      <c r="H42" s="26">
        <f t="shared" si="7"/>
        <v>0.5969000500817615</v>
      </c>
      <c r="I42" s="26">
        <f t="shared" si="7"/>
        <v>0.80820648843222642</v>
      </c>
      <c r="J42" s="26">
        <f t="shared" si="7"/>
        <v>0.9747337000946934</v>
      </c>
      <c r="K42" s="26">
        <f t="shared" si="7"/>
        <v>1.1166977407770793</v>
      </c>
      <c r="L42" s="26">
        <f t="shared" si="7"/>
        <v>1.2425465393348347</v>
      </c>
      <c r="M42" s="26">
        <f t="shared" si="7"/>
        <v>1.3567718896591701</v>
      </c>
      <c r="N42" s="26">
        <f t="shared" si="6"/>
        <v>1.4621005501420401</v>
      </c>
      <c r="O42" s="26">
        <f t="shared" si="6"/>
        <v>1.5603352450297332</v>
      </c>
      <c r="P42" s="26">
        <f t="shared" si="6"/>
        <v>1.6527413999287179</v>
      </c>
      <c r="Q42" s="26">
        <f t="shared" si="6"/>
        <v>1.740247739028751</v>
      </c>
      <c r="R42" s="26">
        <f t="shared" si="6"/>
        <v>1.8235597745484025</v>
      </c>
      <c r="S42" s="26">
        <f t="shared" si="6"/>
        <v>1.9032283913149683</v>
      </c>
      <c r="T42" s="26">
        <f t="shared" si="6"/>
        <v>1.9796935034655501</v>
      </c>
      <c r="U42" s="26">
        <f t="shared" si="6"/>
        <v>2.0533130364900636</v>
      </c>
      <c r="V42" s="26">
        <f t="shared" si="6"/>
        <v>2.1243828477881253</v>
      </c>
      <c r="W42" s="26">
        <f t="shared" si="6"/>
        <v>2.1931508252130598</v>
      </c>
      <c r="X42" s="18">
        <f t="shared" si="5"/>
        <v>19000</v>
      </c>
    </row>
    <row r="43" spans="1:24">
      <c r="A43" s="18">
        <v>19500</v>
      </c>
      <c r="B43" s="25">
        <f t="shared" si="8"/>
        <v>1038.9178223256831</v>
      </c>
      <c r="C43" s="17">
        <f t="shared" si="3"/>
        <v>19500</v>
      </c>
      <c r="D43" s="26">
        <f t="shared" si="4"/>
        <v>0</v>
      </c>
      <c r="E43" s="26">
        <f t="shared" si="4"/>
        <v>0</v>
      </c>
      <c r="F43" s="26">
        <f t="shared" si="7"/>
        <v>0</v>
      </c>
      <c r="G43" s="26">
        <f t="shared" si="7"/>
        <v>0.17265188814449411</v>
      </c>
      <c r="H43" s="26">
        <f t="shared" si="7"/>
        <v>0.57262153232169666</v>
      </c>
      <c r="I43" s="26">
        <f t="shared" si="7"/>
        <v>0.79119034629919305</v>
      </c>
      <c r="J43" s="26">
        <f t="shared" si="7"/>
        <v>0.96128502998622944</v>
      </c>
      <c r="K43" s="26">
        <f t="shared" si="7"/>
        <v>1.1055114896165554</v>
      </c>
      <c r="L43" s="26">
        <f t="shared" si="7"/>
        <v>1.2329811022366906</v>
      </c>
      <c r="M43" s="26">
        <f t="shared" si="7"/>
        <v>1.3484543534252071</v>
      </c>
      <c r="N43" s="26">
        <f t="shared" si="6"/>
        <v>1.4547906681271991</v>
      </c>
      <c r="O43" s="26">
        <f t="shared" si="6"/>
        <v>1.553866993300447</v>
      </c>
      <c r="P43" s="26">
        <f t="shared" si="6"/>
        <v>1.6469940429968655</v>
      </c>
      <c r="Q43" s="26">
        <f t="shared" si="6"/>
        <v>1.7351300016038422</v>
      </c>
      <c r="R43" s="26">
        <f t="shared" si="6"/>
        <v>1.8190005132666507</v>
      </c>
      <c r="S43" s="26">
        <f t="shared" si="6"/>
        <v>1.8991707695894353</v>
      </c>
      <c r="T43" s="26">
        <f t="shared" si="6"/>
        <v>1.9760911813126225</v>
      </c>
      <c r="U43" s="26">
        <f t="shared" si="6"/>
        <v>2.0501275818007296</v>
      </c>
      <c r="V43" s="26">
        <f t="shared" si="6"/>
        <v>2.1215819207512809</v>
      </c>
      <c r="W43" s="26">
        <f t="shared" si="6"/>
        <v>2.190706870226431</v>
      </c>
      <c r="X43" s="18">
        <f t="shared" si="5"/>
        <v>19500</v>
      </c>
    </row>
    <row r="44" spans="1:24">
      <c r="A44" s="18">
        <v>20000</v>
      </c>
      <c r="B44" s="25">
        <f t="shared" si="8"/>
        <v>1036.8535868172689</v>
      </c>
      <c r="C44" s="17">
        <f t="shared" si="3"/>
        <v>20000</v>
      </c>
      <c r="D44" s="26">
        <f t="shared" si="4"/>
        <v>0</v>
      </c>
      <c r="E44" s="26">
        <f t="shared" si="4"/>
        <v>0</v>
      </c>
      <c r="F44" s="26">
        <f t="shared" si="7"/>
        <v>0</v>
      </c>
      <c r="G44" s="26">
        <f t="shared" si="7"/>
        <v>0</v>
      </c>
      <c r="H44" s="26">
        <f t="shared" si="7"/>
        <v>0.54706016781363398</v>
      </c>
      <c r="I44" s="26">
        <f t="shared" si="7"/>
        <v>0.77365990875614254</v>
      </c>
      <c r="J44" s="26">
        <f t="shared" si="7"/>
        <v>0.94753600545037031</v>
      </c>
      <c r="K44" s="26">
        <f t="shared" si="7"/>
        <v>1.094120335627268</v>
      </c>
      <c r="L44" s="26">
        <f t="shared" si="7"/>
        <v>1.2232637230137282</v>
      </c>
      <c r="M44" s="26">
        <f t="shared" si="7"/>
        <v>1.3400182697447405</v>
      </c>
      <c r="N44" s="26">
        <f t="shared" si="6"/>
        <v>1.4473851562241371</v>
      </c>
      <c r="O44" s="26">
        <f t="shared" si="6"/>
        <v>1.5473198175122851</v>
      </c>
      <c r="P44" s="26">
        <f t="shared" si="6"/>
        <v>1.6411805034409019</v>
      </c>
      <c r="Q44" s="26">
        <f t="shared" si="6"/>
        <v>1.7299561474450196</v>
      </c>
      <c r="R44" s="26">
        <f t="shared" si="6"/>
        <v>1.8143933143866835</v>
      </c>
      <c r="S44" s="26">
        <f t="shared" si="6"/>
        <v>1.8950720109007406</v>
      </c>
      <c r="T44" s="26">
        <f t="shared" si="6"/>
        <v>1.9724534858159921</v>
      </c>
      <c r="U44" s="26">
        <f t="shared" si="6"/>
        <v>2.0469117179096759</v>
      </c>
      <c r="V44" s="26">
        <f t="shared" si="6"/>
        <v>2.1187549193156392</v>
      </c>
      <c r="W44" s="26">
        <f t="shared" si="6"/>
        <v>2.1882406712545359</v>
      </c>
      <c r="X44" s="18">
        <f t="shared" si="5"/>
        <v>20000</v>
      </c>
    </row>
    <row r="45" spans="1:24">
      <c r="A45" s="18">
        <v>20500</v>
      </c>
      <c r="B45" s="25">
        <f t="shared" si="8"/>
        <v>1034.7852334884428</v>
      </c>
      <c r="C45" s="17">
        <f t="shared" si="3"/>
        <v>20500</v>
      </c>
      <c r="D45" s="26">
        <f t="shared" si="4"/>
        <v>0</v>
      </c>
      <c r="E45" s="26">
        <f t="shared" si="4"/>
        <v>0</v>
      </c>
      <c r="F45" s="26">
        <f t="shared" si="7"/>
        <v>0</v>
      </c>
      <c r="G45" s="26">
        <f t="shared" si="7"/>
        <v>0</v>
      </c>
      <c r="H45" s="26">
        <f t="shared" si="7"/>
        <v>0.52002420747773048</v>
      </c>
      <c r="I45" s="26">
        <f t="shared" si="7"/>
        <v>0.75557765619675177</v>
      </c>
      <c r="J45" s="26">
        <f t="shared" si="7"/>
        <v>0.93347202032236187</v>
      </c>
      <c r="K45" s="26">
        <f t="shared" si="7"/>
        <v>1.0825167116057135</v>
      </c>
      <c r="L45" s="26">
        <f t="shared" si="7"/>
        <v>1.2133898174480378</v>
      </c>
      <c r="M45" s="26">
        <f t="shared" si="7"/>
        <v>1.3314605766854375</v>
      </c>
      <c r="N45" s="26">
        <f t="shared" si="6"/>
        <v>1.4398818303765253</v>
      </c>
      <c r="O45" s="26">
        <f t="shared" si="6"/>
        <v>1.5406920859241757</v>
      </c>
      <c r="P45" s="26">
        <f t="shared" si="6"/>
        <v>1.6352995205191994</v>
      </c>
      <c r="Q45" s="26">
        <f t="shared" si="6"/>
        <v>1.7247251781055608</v>
      </c>
      <c r="R45" s="26">
        <f t="shared" si="6"/>
        <v>1.8097373727069332</v>
      </c>
      <c r="S45" s="26">
        <f t="shared" ref="N45:W70" si="9">SQRT(IF((S$3-$A45)&gt;0,(S$3-$A45),0)*2*32.174)/$B45</f>
        <v>1.8909314573387181</v>
      </c>
      <c r="T45" s="26">
        <f t="shared" si="9"/>
        <v>1.9687798745756377</v>
      </c>
      <c r="U45" s="26">
        <f t="shared" si="9"/>
        <v>2.0436649952267127</v>
      </c>
      <c r="V45" s="26">
        <f t="shared" si="9"/>
        <v>2.1159014700349195</v>
      </c>
      <c r="W45" s="26">
        <f t="shared" si="9"/>
        <v>2.1857519184657872</v>
      </c>
      <c r="X45" s="18">
        <f t="shared" si="5"/>
        <v>20500</v>
      </c>
    </row>
    <row r="46" spans="1:24">
      <c r="A46" s="18">
        <v>21000</v>
      </c>
      <c r="B46" s="25">
        <f t="shared" si="8"/>
        <v>1032.7127375972602</v>
      </c>
      <c r="C46" s="17">
        <f t="shared" si="3"/>
        <v>21000</v>
      </c>
      <c r="D46" s="26">
        <f t="shared" si="4"/>
        <v>0</v>
      </c>
      <c r="E46" s="26">
        <f t="shared" si="4"/>
        <v>0</v>
      </c>
      <c r="F46" s="26">
        <f t="shared" si="7"/>
        <v>0</v>
      </c>
      <c r="G46" s="26">
        <f t="shared" si="7"/>
        <v>0</v>
      </c>
      <c r="H46" s="26">
        <f t="shared" si="7"/>
        <v>0.49126744840242786</v>
      </c>
      <c r="I46" s="26">
        <f t="shared" si="7"/>
        <v>0.73690117260364185</v>
      </c>
      <c r="J46" s="26">
        <f t="shared" si="7"/>
        <v>0.91907723859826507</v>
      </c>
      <c r="K46" s="26">
        <f t="shared" si="7"/>
        <v>1.0706925809186325</v>
      </c>
      <c r="L46" s="26">
        <f t="shared" si="7"/>
        <v>1.2033545758250113</v>
      </c>
      <c r="M46" s="26">
        <f t="shared" si="7"/>
        <v>1.32277808701376</v>
      </c>
      <c r="N46" s="26">
        <f t="shared" si="9"/>
        <v>1.4322784295689763</v>
      </c>
      <c r="O46" s="26">
        <f t="shared" si="9"/>
        <v>1.5339821159757252</v>
      </c>
      <c r="P46" s="26">
        <f t="shared" si="9"/>
        <v>1.6293497980661347</v>
      </c>
      <c r="Q46" s="26">
        <f t="shared" si="9"/>
        <v>1.7194360694084976</v>
      </c>
      <c r="R46" s="26">
        <f t="shared" si="9"/>
        <v>1.8050318637375167</v>
      </c>
      <c r="S46" s="26">
        <f t="shared" si="9"/>
        <v>1.886748436181285</v>
      </c>
      <c r="T46" s="26">
        <f t="shared" si="9"/>
        <v>1.9650697936097115</v>
      </c>
      <c r="U46" s="26">
        <f t="shared" si="9"/>
        <v>2.0403869549872407</v>
      </c>
      <c r="V46" s="26">
        <f t="shared" si="9"/>
        <v>2.1130211921338828</v>
      </c>
      <c r="W46" s="26">
        <f t="shared" si="9"/>
        <v>2.1832402961496666</v>
      </c>
      <c r="X46" s="18">
        <f t="shared" si="5"/>
        <v>21000</v>
      </c>
    </row>
    <row r="47" spans="1:24">
      <c r="A47" s="18">
        <v>21500</v>
      </c>
      <c r="B47" s="25">
        <f t="shared" si="8"/>
        <v>1030.6360741530073</v>
      </c>
      <c r="C47" s="17">
        <f t="shared" si="3"/>
        <v>21500</v>
      </c>
      <c r="D47" s="26">
        <f t="shared" si="4"/>
        <v>0</v>
      </c>
      <c r="E47" s="26">
        <f t="shared" si="4"/>
        <v>0</v>
      </c>
      <c r="F47" s="26">
        <f t="shared" si="7"/>
        <v>0</v>
      </c>
      <c r="G47" s="26">
        <f t="shared" si="7"/>
        <v>0</v>
      </c>
      <c r="H47" s="26">
        <f t="shared" si="7"/>
        <v>0.46046455918795826</v>
      </c>
      <c r="I47" s="26">
        <f t="shared" si="7"/>
        <v>0.71758218788201067</v>
      </c>
      <c r="J47" s="26">
        <f t="shared" si="7"/>
        <v>0.90433444170998245</v>
      </c>
      <c r="K47" s="26">
        <f t="shared" si="7"/>
        <v>1.0586393949595292</v>
      </c>
      <c r="L47" s="26">
        <f t="shared" si="7"/>
        <v>1.1931529468838646</v>
      </c>
      <c r="M47" s="26">
        <f t="shared" si="7"/>
        <v>1.3139674808590291</v>
      </c>
      <c r="N47" s="26">
        <f t="shared" si="9"/>
        <v>1.4245726119971545</v>
      </c>
      <c r="O47" s="26">
        <f t="shared" si="9"/>
        <v>1.5271881720828537</v>
      </c>
      <c r="P47" s="26">
        <f t="shared" si="9"/>
        <v>1.623330003125409</v>
      </c>
      <c r="Q47" s="26">
        <f t="shared" si="9"/>
        <v>1.7140877705486708</v>
      </c>
      <c r="R47" s="26">
        <f t="shared" si="9"/>
        <v>1.8002759430825834</v>
      </c>
      <c r="S47" s="26">
        <f t="shared" si="9"/>
        <v>1.8825222594538578</v>
      </c>
      <c r="T47" s="26">
        <f t="shared" si="9"/>
        <v>1.9613226770311483</v>
      </c>
      <c r="U47" s="26">
        <f t="shared" si="9"/>
        <v>2.0370771290096021</v>
      </c>
      <c r="V47" s="26">
        <f t="shared" si="9"/>
        <v>2.1101136973232926</v>
      </c>
      <c r="W47" s="26">
        <f t="shared" si="9"/>
        <v>2.1807054825741021</v>
      </c>
      <c r="X47" s="18">
        <f t="shared" si="5"/>
        <v>21500</v>
      </c>
    </row>
    <row r="48" spans="1:24">
      <c r="A48" s="18">
        <v>22000</v>
      </c>
      <c r="B48" s="25">
        <f t="shared" si="8"/>
        <v>1028.5552179126889</v>
      </c>
      <c r="C48" s="17">
        <f t="shared" si="3"/>
        <v>22000</v>
      </c>
      <c r="D48" s="26">
        <f t="shared" si="4"/>
        <v>0</v>
      </c>
      <c r="E48" s="26">
        <f t="shared" si="4"/>
        <v>0</v>
      </c>
      <c r="F48" s="26">
        <f t="shared" si="7"/>
        <v>0</v>
      </c>
      <c r="G48" s="26">
        <f t="shared" si="7"/>
        <v>0</v>
      </c>
      <c r="H48" s="26">
        <f t="shared" si="7"/>
        <v>0.42716980078859257</v>
      </c>
      <c r="I48" s="26">
        <f t="shared" si="7"/>
        <v>0.69756536363892729</v>
      </c>
      <c r="J48" s="26">
        <f t="shared" si="7"/>
        <v>0.88922485030033427</v>
      </c>
      <c r="K48" s="26">
        <f t="shared" si="7"/>
        <v>1.0463480454583909</v>
      </c>
      <c r="L48" s="26">
        <f t="shared" si="7"/>
        <v>1.1827796202494945</v>
      </c>
      <c r="M48" s="26">
        <f t="shared" si="7"/>
        <v>1.3050252978086216</v>
      </c>
      <c r="N48" s="26">
        <f t="shared" si="9"/>
        <v>1.4167619509866236</v>
      </c>
      <c r="O48" s="26">
        <f t="shared" si="9"/>
        <v>1.5203084633081432</v>
      </c>
      <c r="P48" s="26">
        <f t="shared" si="9"/>
        <v>1.6172387645147857</v>
      </c>
      <c r="Q48" s="26">
        <f t="shared" si="9"/>
        <v>1.7086792031543703</v>
      </c>
      <c r="R48" s="26">
        <f t="shared" si="9"/>
        <v>1.7954687457973744</v>
      </c>
      <c r="S48" s="26">
        <f t="shared" si="9"/>
        <v>1.878252223472167</v>
      </c>
      <c r="T48" s="26">
        <f t="shared" si="9"/>
        <v>1.9575379467129321</v>
      </c>
      <c r="U48" s="26">
        <f t="shared" si="9"/>
        <v>2.0337350394444274</v>
      </c>
      <c r="V48" s="26">
        <f t="shared" si="9"/>
        <v>2.1071785896090938</v>
      </c>
      <c r="W48" s="26">
        <f t="shared" si="9"/>
        <v>2.1781471498385763</v>
      </c>
      <c r="X48" s="18">
        <f t="shared" si="5"/>
        <v>22000</v>
      </c>
    </row>
    <row r="49" spans="1:24">
      <c r="A49" s="18">
        <v>22500</v>
      </c>
      <c r="B49" s="25">
        <f t="shared" si="8"/>
        <v>1026.4701433774462</v>
      </c>
      <c r="C49" s="17">
        <f t="shared" si="3"/>
        <v>22500</v>
      </c>
      <c r="D49" s="26">
        <f t="shared" si="4"/>
        <v>0</v>
      </c>
      <c r="E49" s="26">
        <f t="shared" si="4"/>
        <v>0</v>
      </c>
      <c r="F49" s="26">
        <f t="shared" si="7"/>
        <v>0</v>
      </c>
      <c r="G49" s="26">
        <f t="shared" si="7"/>
        <v>0</v>
      </c>
      <c r="H49" s="26">
        <f t="shared" si="7"/>
        <v>0.39074300238831128</v>
      </c>
      <c r="I49" s="26">
        <f t="shared" si="7"/>
        <v>0.67678673283856228</v>
      </c>
      <c r="J49" s="26">
        <f t="shared" si="7"/>
        <v>0.8737279150726267</v>
      </c>
      <c r="K49" s="26">
        <f t="shared" si="7"/>
        <v>1.0338088108581891</v>
      </c>
      <c r="L49" s="26">
        <f t="shared" si="7"/>
        <v>1.1722290071649339</v>
      </c>
      <c r="M49" s="26">
        <f t="shared" si="7"/>
        <v>1.2959479283789723</v>
      </c>
      <c r="N49" s="26">
        <f t="shared" si="9"/>
        <v>1.4088439306398042</v>
      </c>
      <c r="O49" s="26">
        <f t="shared" si="9"/>
        <v>1.5133411408970145</v>
      </c>
      <c r="P49" s="26">
        <f t="shared" si="9"/>
        <v>1.6110746713179811</v>
      </c>
      <c r="Q49" s="26">
        <f t="shared" si="9"/>
        <v>1.7032092603063209</v>
      </c>
      <c r="R49" s="26">
        <f t="shared" si="9"/>
        <v>1.7906093857187468</v>
      </c>
      <c r="S49" s="26">
        <f t="shared" si="9"/>
        <v>1.8739376083677206</v>
      </c>
      <c r="T49" s="26">
        <f t="shared" si="9"/>
        <v>1.9537150119415563</v>
      </c>
      <c r="U49" s="26">
        <f t="shared" si="9"/>
        <v>2.0303601985156869</v>
      </c>
      <c r="V49" s="26">
        <f t="shared" si="9"/>
        <v>2.1042154650956073</v>
      </c>
      <c r="W49" s="26">
        <f t="shared" si="9"/>
        <v>2.1755649637228456</v>
      </c>
      <c r="X49" s="18">
        <f t="shared" si="5"/>
        <v>22500</v>
      </c>
    </row>
    <row r="50" spans="1:24">
      <c r="A50" s="18">
        <v>23000</v>
      </c>
      <c r="B50" s="25">
        <f t="shared" si="8"/>
        <v>1024.3808247889115</v>
      </c>
      <c r="C50" s="17">
        <f t="shared" si="3"/>
        <v>23000</v>
      </c>
      <c r="D50" s="26">
        <f t="shared" si="4"/>
        <v>0</v>
      </c>
      <c r="E50" s="26">
        <f t="shared" si="4"/>
        <v>0</v>
      </c>
      <c r="F50" s="26">
        <f t="shared" si="7"/>
        <v>0</v>
      </c>
      <c r="G50" s="26">
        <f t="shared" si="7"/>
        <v>0</v>
      </c>
      <c r="H50" s="26">
        <f t="shared" si="7"/>
        <v>0.3502039852970838</v>
      </c>
      <c r="I50" s="26">
        <f t="shared" si="7"/>
        <v>0.65517166423225315</v>
      </c>
      <c r="J50" s="26">
        <f t="shared" si="7"/>
        <v>0.85782106986699758</v>
      </c>
      <c r="K50" s="26">
        <f t="shared" si="7"/>
        <v>1.0210112958252033</v>
      </c>
      <c r="L50" s="26">
        <f t="shared" si="7"/>
        <v>1.1614952193175658</v>
      </c>
      <c r="M50" s="26">
        <f t="shared" si="7"/>
        <v>1.2867316048004964</v>
      </c>
      <c r="N50" s="26">
        <f t="shared" si="9"/>
        <v>1.4008159411883352</v>
      </c>
      <c r="O50" s="26">
        <f t="shared" si="9"/>
        <v>1.5062842956700642</v>
      </c>
      <c r="P50" s="26">
        <f t="shared" si="9"/>
        <v>1.6048362712990885</v>
      </c>
      <c r="Q50" s="26">
        <f t="shared" si="9"/>
        <v>1.6976768055115974</v>
      </c>
      <c r="R50" s="26">
        <f t="shared" si="9"/>
        <v>1.7856969547677908</v>
      </c>
      <c r="S50" s="26">
        <f t="shared" si="9"/>
        <v>1.8695776775950932</v>
      </c>
      <c r="T50" s="26">
        <f t="shared" si="9"/>
        <v>1.949853269058152</v>
      </c>
      <c r="U50" s="26">
        <f t="shared" si="9"/>
        <v>2.0269521082530941</v>
      </c>
      <c r="V50" s="26">
        <f t="shared" si="9"/>
        <v>2.1012239117825025</v>
      </c>
      <c r="W50" s="26">
        <f t="shared" si="9"/>
        <v>2.1729585835310954</v>
      </c>
      <c r="X50" s="18">
        <f t="shared" si="5"/>
        <v>23000</v>
      </c>
    </row>
    <row r="51" spans="1:24">
      <c r="A51" s="18">
        <v>23500</v>
      </c>
      <c r="B51" s="25">
        <f t="shared" si="8"/>
        <v>1022.2872361254966</v>
      </c>
      <c r="C51" s="17">
        <f t="shared" si="3"/>
        <v>23500</v>
      </c>
      <c r="D51" s="26">
        <f t="shared" si="4"/>
        <v>0</v>
      </c>
      <c r="E51" s="26">
        <f t="shared" si="4"/>
        <v>0</v>
      </c>
      <c r="F51" s="26">
        <f t="shared" si="7"/>
        <v>0</v>
      </c>
      <c r="G51" s="26">
        <f t="shared" si="7"/>
        <v>0</v>
      </c>
      <c r="H51" s="26">
        <f t="shared" si="7"/>
        <v>0.30390666008175615</v>
      </c>
      <c r="I51" s="26">
        <f t="shared" si="7"/>
        <v>0.63263216130350319</v>
      </c>
      <c r="J51" s="26">
        <f t="shared" si="7"/>
        <v>0.8414794382449492</v>
      </c>
      <c r="K51" s="26">
        <f t="shared" si="7"/>
        <v>1.0079443627812643</v>
      </c>
      <c r="L51" s="26">
        <f t="shared" si="7"/>
        <v>1.1505720455217145</v>
      </c>
      <c r="M51" s="26">
        <f t="shared" si="7"/>
        <v>1.2773723910471513</v>
      </c>
      <c r="N51" s="26">
        <f t="shared" si="9"/>
        <v>1.3926752740258619</v>
      </c>
      <c r="O51" s="26">
        <f t="shared" si="9"/>
        <v>1.4991359552610641</v>
      </c>
      <c r="P51" s="26">
        <f t="shared" si="9"/>
        <v>1.5985220692345781</v>
      </c>
      <c r="Q51" s="26">
        <f t="shared" si="9"/>
        <v>1.6920806716298991</v>
      </c>
      <c r="R51" s="26">
        <f t="shared" si="9"/>
        <v>1.7807305222231082</v>
      </c>
      <c r="S51" s="26">
        <f t="shared" si="9"/>
        <v>1.8651716774201987</v>
      </c>
      <c r="T51" s="26">
        <f t="shared" si="9"/>
        <v>1.9459521010867589</v>
      </c>
      <c r="U51" s="26">
        <f t="shared" si="9"/>
        <v>2.0235102602155162</v>
      </c>
      <c r="V51" s="26">
        <f t="shared" si="9"/>
        <v>2.0982035093553146</v>
      </c>
      <c r="W51" s="26">
        <f t="shared" si="9"/>
        <v>2.1703276619313621</v>
      </c>
      <c r="X51" s="18">
        <f t="shared" si="5"/>
        <v>23500</v>
      </c>
    </row>
    <row r="52" spans="1:24">
      <c r="A52" s="18">
        <v>24000</v>
      </c>
      <c r="B52" s="25">
        <f t="shared" si="8"/>
        <v>1020.1893510986098</v>
      </c>
      <c r="C52" s="17">
        <f t="shared" si="3"/>
        <v>24000</v>
      </c>
      <c r="D52" s="26">
        <f t="shared" si="4"/>
        <v>0</v>
      </c>
      <c r="E52" s="26">
        <f t="shared" si="4"/>
        <v>0</v>
      </c>
      <c r="F52" s="26">
        <f t="shared" si="7"/>
        <v>0</v>
      </c>
      <c r="G52" s="26">
        <f t="shared" si="7"/>
        <v>0</v>
      </c>
      <c r="H52" s="26">
        <f t="shared" si="7"/>
        <v>0.2486490135315349</v>
      </c>
      <c r="I52" s="26">
        <f t="shared" si="7"/>
        <v>0.60906320819865034</v>
      </c>
      <c r="J52" s="26">
        <f t="shared" si="7"/>
        <v>0.824675482376104</v>
      </c>
      <c r="K52" s="26">
        <f t="shared" si="7"/>
        <v>0.99459605412613961</v>
      </c>
      <c r="L52" s="26">
        <f t="shared" si="7"/>
        <v>1.1394529259843575</v>
      </c>
      <c r="M52" s="26">
        <f t="shared" si="7"/>
        <v>1.2678661720328928</v>
      </c>
      <c r="N52" s="26">
        <f t="shared" si="9"/>
        <v>1.3844191163937198</v>
      </c>
      <c r="O52" s="26">
        <f t="shared" si="9"/>
        <v>1.4918940811892094</v>
      </c>
      <c r="P52" s="26">
        <f t="shared" si="9"/>
        <v>1.5921305251575395</v>
      </c>
      <c r="Q52" s="26">
        <f t="shared" si="9"/>
        <v>1.6864196597494496</v>
      </c>
      <c r="R52" s="26">
        <f t="shared" si="9"/>
        <v>1.7757091339632392</v>
      </c>
      <c r="S52" s="26">
        <f t="shared" si="9"/>
        <v>1.8607188363886424</v>
      </c>
      <c r="T52" s="26">
        <f t="shared" si="9"/>
        <v>1.9420108773491798</v>
      </c>
      <c r="U52" s="26">
        <f t="shared" si="9"/>
        <v>2.0200341352050364</v>
      </c>
      <c r="V52" s="26">
        <f t="shared" si="9"/>
        <v>2.0951538289692682</v>
      </c>
      <c r="W52" s="26">
        <f t="shared" si="9"/>
        <v>2.167671844790076</v>
      </c>
      <c r="X52" s="18">
        <f t="shared" si="5"/>
        <v>24000</v>
      </c>
    </row>
    <row r="53" spans="1:24">
      <c r="A53" s="18">
        <v>24500</v>
      </c>
      <c r="B53" s="25">
        <f t="shared" si="8"/>
        <v>1018.0871431488066</v>
      </c>
      <c r="C53" s="17">
        <f t="shared" si="3"/>
        <v>24500</v>
      </c>
      <c r="D53" s="26">
        <f t="shared" si="4"/>
        <v>0</v>
      </c>
      <c r="E53" s="26">
        <f t="shared" si="4"/>
        <v>0</v>
      </c>
      <c r="F53" s="26">
        <f t="shared" si="7"/>
        <v>0</v>
      </c>
      <c r="G53" s="26">
        <f t="shared" si="7"/>
        <v>0</v>
      </c>
      <c r="H53" s="26">
        <f t="shared" si="7"/>
        <v>0.17618445027871041</v>
      </c>
      <c r="I53" s="26">
        <f t="shared" si="7"/>
        <v>0.5843377154695093</v>
      </c>
      <c r="J53" s="26">
        <f t="shared" si="7"/>
        <v>0.80737857967637394</v>
      </c>
      <c r="K53" s="26">
        <f t="shared" si="7"/>
        <v>0.98095350354660182</v>
      </c>
      <c r="L53" s="26">
        <f t="shared" si="7"/>
        <v>1.1281309238383934</v>
      </c>
      <c r="M53" s="26">
        <f t="shared" si="7"/>
        <v>1.2582086418875766</v>
      </c>
      <c r="N53" s="26">
        <f t="shared" si="9"/>
        <v>1.3760445456890902</v>
      </c>
      <c r="O53" s="26">
        <f t="shared" si="9"/>
        <v>1.4845565657531572</v>
      </c>
      <c r="P53" s="26">
        <f t="shared" si="9"/>
        <v>1.5856600525083937</v>
      </c>
      <c r="Q53" s="26">
        <f t="shared" si="9"/>
        <v>1.6806925380095659</v>
      </c>
      <c r="R53" s="26">
        <f t="shared" si="9"/>
        <v>1.7706318116765973</v>
      </c>
      <c r="S53" s="26">
        <f t="shared" si="9"/>
        <v>1.8562183647731922</v>
      </c>
      <c r="T53" s="26">
        <f t="shared" si="9"/>
        <v>1.9380289530658146</v>
      </c>
      <c r="U53" s="26">
        <f t="shared" si="9"/>
        <v>2.0165232029712654</v>
      </c>
      <c r="V53" s="26">
        <f t="shared" si="9"/>
        <v>2.0920744330261307</v>
      </c>
      <c r="W53" s="26">
        <f t="shared" si="9"/>
        <v>2.164990771001511</v>
      </c>
      <c r="X53" s="18">
        <f t="shared" si="5"/>
        <v>24500</v>
      </c>
    </row>
    <row r="54" spans="1:24">
      <c r="A54" s="18">
        <v>25000</v>
      </c>
      <c r="B54" s="25">
        <f t="shared" si="8"/>
        <v>1015.9805854418648</v>
      </c>
      <c r="C54" s="17">
        <f t="shared" si="3"/>
        <v>25000</v>
      </c>
      <c r="D54" s="26">
        <f t="shared" si="4"/>
        <v>0</v>
      </c>
      <c r="E54" s="26">
        <f t="shared" si="4"/>
        <v>0</v>
      </c>
      <c r="F54" s="26">
        <f t="shared" si="7"/>
        <v>0</v>
      </c>
      <c r="G54" s="26">
        <f t="shared" si="7"/>
        <v>0</v>
      </c>
      <c r="H54" s="26">
        <f t="shared" si="7"/>
        <v>0</v>
      </c>
      <c r="I54" s="26">
        <f t="shared" si="7"/>
        <v>0.55829934678892568</v>
      </c>
      <c r="J54" s="26">
        <f t="shared" si="7"/>
        <v>0.78955450809293859</v>
      </c>
      <c r="K54" s="26">
        <f t="shared" si="7"/>
        <v>0.96700283447093549</v>
      </c>
      <c r="L54" s="26">
        <f t="shared" si="7"/>
        <v>1.1165986935778514</v>
      </c>
      <c r="M54" s="26">
        <f t="shared" si="7"/>
        <v>1.2483952912137668</v>
      </c>
      <c r="N54" s="26">
        <f t="shared" si="9"/>
        <v>1.3675485233620219</v>
      </c>
      <c r="O54" s="26">
        <f t="shared" si="9"/>
        <v>1.4771212287333049</v>
      </c>
      <c r="P54" s="26">
        <f t="shared" si="9"/>
        <v>1.5791090161858772</v>
      </c>
      <c r="Q54" s="26">
        <f t="shared" si="9"/>
        <v>1.6748980403667773</v>
      </c>
      <c r="R54" s="26">
        <f t="shared" si="9"/>
        <v>1.7654975520372187</v>
      </c>
      <c r="S54" s="26">
        <f t="shared" si="9"/>
        <v>1.8516694539993774</v>
      </c>
      <c r="T54" s="26">
        <f t="shared" si="9"/>
        <v>1.934005668941871</v>
      </c>
      <c r="U54" s="26">
        <f t="shared" si="9"/>
        <v>2.0129769219055231</v>
      </c>
      <c r="V54" s="26">
        <f t="shared" si="9"/>
        <v>2.0889648749438501</v>
      </c>
      <c r="W54" s="26">
        <f t="shared" si="9"/>
        <v>2.1622840723119885</v>
      </c>
      <c r="X54" s="18">
        <f t="shared" si="5"/>
        <v>25000</v>
      </c>
    </row>
    <row r="55" spans="1:24">
      <c r="A55" s="18">
        <v>25500</v>
      </c>
      <c r="B55" s="25">
        <f t="shared" si="8"/>
        <v>1013.8696508647896</v>
      </c>
      <c r="C55" s="17">
        <f t="shared" si="3"/>
        <v>25500</v>
      </c>
      <c r="D55" s="26">
        <f t="shared" si="4"/>
        <v>0</v>
      </c>
      <c r="E55" s="26">
        <f t="shared" si="4"/>
        <v>0</v>
      </c>
      <c r="F55" s="26">
        <f t="shared" si="7"/>
        <v>0</v>
      </c>
      <c r="G55" s="26">
        <f t="shared" si="7"/>
        <v>0</v>
      </c>
      <c r="H55" s="26">
        <f t="shared" si="7"/>
        <v>0</v>
      </c>
      <c r="I55" s="26">
        <f t="shared" si="7"/>
        <v>0.53075202566276336</v>
      </c>
      <c r="J55" s="26">
        <f t="shared" si="7"/>
        <v>0.7711648146478306</v>
      </c>
      <c r="K55" s="26">
        <f t="shared" si="7"/>
        <v>0.95272904330482078</v>
      </c>
      <c r="L55" s="26">
        <f t="shared" si="7"/>
        <v>1.1048484459699508</v>
      </c>
      <c r="M55" s="26">
        <f t="shared" si="7"/>
        <v>1.2384213932131145</v>
      </c>
      <c r="N55" s="26">
        <f t="shared" si="9"/>
        <v>1.3589278883640616</v>
      </c>
      <c r="O55" s="26">
        <f t="shared" si="9"/>
        <v>1.4695858138874722</v>
      </c>
      <c r="P55" s="26">
        <f t="shared" si="9"/>
        <v>1.5724757304915711</v>
      </c>
      <c r="Q55" s="26">
        <f t="shared" si="9"/>
        <v>1.6690348653011107</v>
      </c>
      <c r="R55" s="26">
        <f t="shared" si="9"/>
        <v>1.7603053258444665</v>
      </c>
      <c r="S55" s="26">
        <f t="shared" si="9"/>
        <v>1.847071276048136</v>
      </c>
      <c r="T55" s="26">
        <f t="shared" si="9"/>
        <v>1.9299403507382775</v>
      </c>
      <c r="U55" s="26">
        <f t="shared" si="9"/>
        <v>2.0093947387244455</v>
      </c>
      <c r="V55" s="26">
        <f t="shared" si="9"/>
        <v>2.0858246989186746</v>
      </c>
      <c r="W55" s="26">
        <f t="shared" si="9"/>
        <v>2.1595513731386142</v>
      </c>
      <c r="X55" s="18">
        <f t="shared" si="5"/>
        <v>25500</v>
      </c>
    </row>
    <row r="56" spans="1:24">
      <c r="A56" s="18">
        <v>26000</v>
      </c>
      <c r="B56" s="25">
        <f t="shared" si="8"/>
        <v>1011.7543120217408</v>
      </c>
      <c r="C56" s="17">
        <f t="shared" si="3"/>
        <v>26000</v>
      </c>
      <c r="D56" s="26">
        <f t="shared" si="4"/>
        <v>0</v>
      </c>
      <c r="E56" s="26">
        <f t="shared" si="4"/>
        <v>0</v>
      </c>
      <c r="F56" s="26">
        <f t="shared" si="7"/>
        <v>0</v>
      </c>
      <c r="G56" s="26">
        <f t="shared" si="7"/>
        <v>0</v>
      </c>
      <c r="H56" s="26">
        <f t="shared" si="7"/>
        <v>0</v>
      </c>
      <c r="I56" s="26">
        <f t="shared" si="7"/>
        <v>0.50144402203564842</v>
      </c>
      <c r="J56" s="26">
        <f t="shared" si="7"/>
        <v>0.75216603305347263</v>
      </c>
      <c r="K56" s="26">
        <f t="shared" si="7"/>
        <v>0.9381158645516593</v>
      </c>
      <c r="L56" s="26">
        <f t="shared" si="7"/>
        <v>1.0928719089479868</v>
      </c>
      <c r="M56" s="26">
        <f t="shared" si="7"/>
        <v>1.2282819885562626</v>
      </c>
      <c r="N56" s="26">
        <f t="shared" si="9"/>
        <v>1.3501793501071762</v>
      </c>
      <c r="O56" s="26">
        <f t="shared" si="9"/>
        <v>1.4619479852238062</v>
      </c>
      <c r="P56" s="26">
        <f t="shared" si="9"/>
        <v>1.5657584569607332</v>
      </c>
      <c r="Q56" s="26">
        <f t="shared" si="9"/>
        <v>1.6631016744589509</v>
      </c>
      <c r="R56" s="26">
        <f t="shared" si="9"/>
        <v>1.7550540771247694</v>
      </c>
      <c r="S56" s="26">
        <f t="shared" si="9"/>
        <v>1.8424229828343939</v>
      </c>
      <c r="T56" s="26">
        <f t="shared" si="9"/>
        <v>1.9258323088266267</v>
      </c>
      <c r="U56" s="26">
        <f t="shared" si="9"/>
        <v>2.0057760881425937</v>
      </c>
      <c r="V56" s="26">
        <f t="shared" si="9"/>
        <v>2.0826534396794667</v>
      </c>
      <c r="W56" s="26">
        <f t="shared" si="9"/>
        <v>2.1567922903823691</v>
      </c>
      <c r="X56" s="18">
        <f t="shared" si="5"/>
        <v>26000</v>
      </c>
    </row>
    <row r="57" spans="1:24">
      <c r="A57" s="18">
        <v>26500</v>
      </c>
      <c r="B57" s="25">
        <f t="shared" si="8"/>
        <v>1009.6345412298858</v>
      </c>
      <c r="C57" s="17">
        <f t="shared" si="3"/>
        <v>26500</v>
      </c>
      <c r="D57" s="26">
        <f t="shared" si="4"/>
        <v>0</v>
      </c>
      <c r="E57" s="26">
        <f t="shared" si="4"/>
        <v>0</v>
      </c>
      <c r="F57" s="26">
        <f t="shared" si="7"/>
        <v>0</v>
      </c>
      <c r="G57" s="26">
        <f t="shared" si="7"/>
        <v>0</v>
      </c>
      <c r="H57" s="26">
        <f t="shared" si="7"/>
        <v>0</v>
      </c>
      <c r="I57" s="26">
        <f t="shared" si="7"/>
        <v>0.47004273941536651</v>
      </c>
      <c r="J57" s="26">
        <f t="shared" si="7"/>
        <v>0.73250870369385246</v>
      </c>
      <c r="K57" s="26">
        <f t="shared" si="7"/>
        <v>0.92314561424370856</v>
      </c>
      <c r="L57" s="26">
        <f t="shared" si="7"/>
        <v>1.0806602839040307</v>
      </c>
      <c r="M57" s="26">
        <f t="shared" si="7"/>
        <v>1.2179718688531709</v>
      </c>
      <c r="N57" s="26">
        <f t="shared" si="9"/>
        <v>1.341299480887036</v>
      </c>
      <c r="O57" s="26">
        <f t="shared" si="9"/>
        <v>1.4542053230331602</v>
      </c>
      <c r="P57" s="26">
        <f t="shared" si="9"/>
        <v>1.5589554020715679</v>
      </c>
      <c r="Q57" s="26">
        <f t="shared" si="9"/>
        <v>1.6570970912285949</v>
      </c>
      <c r="R57" s="26">
        <f t="shared" si="9"/>
        <v>1.7497427221932988</v>
      </c>
      <c r="S57" s="26">
        <f t="shared" si="9"/>
        <v>1.8377237055603766</v>
      </c>
      <c r="T57" s="26">
        <f t="shared" si="9"/>
        <v>1.9216808377274068</v>
      </c>
      <c r="U57" s="26">
        <f t="shared" si="9"/>
        <v>2.0021203925335893</v>
      </c>
      <c r="V57" s="26">
        <f t="shared" si="9"/>
        <v>2.0794506222339111</v>
      </c>
      <c r="W57" s="26">
        <f t="shared" si="9"/>
        <v>2.1540064332353199</v>
      </c>
      <c r="X57" s="18">
        <f t="shared" si="5"/>
        <v>26500</v>
      </c>
    </row>
    <row r="58" spans="1:24">
      <c r="A58" s="18">
        <v>27000</v>
      </c>
      <c r="B58" s="25">
        <f t="shared" si="8"/>
        <v>1007.5103105151719</v>
      </c>
      <c r="C58" s="17">
        <f t="shared" si="3"/>
        <v>27000</v>
      </c>
      <c r="D58" s="26">
        <f t="shared" si="4"/>
        <v>0</v>
      </c>
      <c r="E58" s="26">
        <f t="shared" si="4"/>
        <v>0</v>
      </c>
      <c r="F58" s="26">
        <f t="shared" si="7"/>
        <v>0</v>
      </c>
      <c r="G58" s="26">
        <f t="shared" si="7"/>
        <v>0</v>
      </c>
      <c r="H58" s="26">
        <f t="shared" si="7"/>
        <v>0</v>
      </c>
      <c r="I58" s="26">
        <f t="shared" si="7"/>
        <v>0.43609253716834728</v>
      </c>
      <c r="J58" s="26">
        <f t="shared" si="7"/>
        <v>0.71213613113210572</v>
      </c>
      <c r="K58" s="26">
        <f t="shared" si="7"/>
        <v>0.90779900724426932</v>
      </c>
      <c r="L58" s="26">
        <f t="shared" si="7"/>
        <v>1.0682041966981586</v>
      </c>
      <c r="M58" s="26">
        <f t="shared" si="7"/>
        <v>1.2074855585610271</v>
      </c>
      <c r="N58" s="26">
        <f t="shared" si="9"/>
        <v>1.3322847077195299</v>
      </c>
      <c r="O58" s="26">
        <f t="shared" si="9"/>
        <v>1.4463553196615242</v>
      </c>
      <c r="P58" s="26">
        <f t="shared" si="9"/>
        <v>1.5520647148244391</v>
      </c>
      <c r="Q58" s="26">
        <f t="shared" si="9"/>
        <v>1.6510196992443622</v>
      </c>
      <c r="R58" s="26">
        <f t="shared" si="9"/>
        <v>1.7443701486733891</v>
      </c>
      <c r="S58" s="26">
        <f t="shared" si="9"/>
        <v>1.8329725540423947</v>
      </c>
      <c r="T58" s="26">
        <f t="shared" si="9"/>
        <v>1.9174852156307689</v>
      </c>
      <c r="U58" s="26">
        <f t="shared" si="9"/>
        <v>1.9984270615792945</v>
      </c>
      <c r="V58" s="26">
        <f t="shared" si="9"/>
        <v>2.0762157616062766</v>
      </c>
      <c r="W58" s="26">
        <f t="shared" si="9"/>
        <v>2.1511934029817517</v>
      </c>
      <c r="X58" s="18">
        <f t="shared" si="5"/>
        <v>27000</v>
      </c>
    </row>
    <row r="59" spans="1:24">
      <c r="A59" s="18">
        <v>27500</v>
      </c>
      <c r="B59" s="25">
        <f t="shared" si="8"/>
        <v>1005.3815916080192</v>
      </c>
      <c r="C59" s="17">
        <f t="shared" si="3"/>
        <v>27500</v>
      </c>
      <c r="D59" s="26">
        <f t="shared" si="4"/>
        <v>0</v>
      </c>
      <c r="E59" s="26">
        <f t="shared" si="4"/>
        <v>0</v>
      </c>
      <c r="F59" s="26">
        <f t="shared" si="7"/>
        <v>0</v>
      </c>
      <c r="G59" s="26">
        <f t="shared" si="7"/>
        <v>0</v>
      </c>
      <c r="H59" s="26">
        <f t="shared" si="7"/>
        <v>0</v>
      </c>
      <c r="I59" s="26">
        <f t="shared" si="7"/>
        <v>0.39893909838130409</v>
      </c>
      <c r="J59" s="26">
        <f t="shared" si="7"/>
        <v>0.6909827875221376</v>
      </c>
      <c r="K59" s="26">
        <f t="shared" si="7"/>
        <v>0.8920549428630723</v>
      </c>
      <c r="L59" s="26">
        <f t="shared" si="7"/>
        <v>1.055493642577261</v>
      </c>
      <c r="M59" s="26">
        <f t="shared" si="7"/>
        <v>1.1968172951439124</v>
      </c>
      <c r="N59" s="26">
        <f t="shared" si="9"/>
        <v>1.3231313035334649</v>
      </c>
      <c r="O59" s="26">
        <f t="shared" si="9"/>
        <v>1.4383953750011649</v>
      </c>
      <c r="P59" s="26">
        <f t="shared" si="9"/>
        <v>1.545084484181793</v>
      </c>
      <c r="Q59" s="26">
        <f t="shared" si="9"/>
        <v>1.6448680408147922</v>
      </c>
      <c r="R59" s="26">
        <f t="shared" si="9"/>
        <v>1.7389352144713353</v>
      </c>
      <c r="S59" s="26">
        <f t="shared" si="9"/>
        <v>1.8281686160097608</v>
      </c>
      <c r="T59" s="26">
        <f t="shared" si="9"/>
        <v>1.9132447038990126</v>
      </c>
      <c r="U59" s="26">
        <f t="shared" si="9"/>
        <v>1.9946954919065205</v>
      </c>
      <c r="V59" s="26">
        <f t="shared" si="9"/>
        <v>2.0729483625664127</v>
      </c>
      <c r="W59" s="26">
        <f t="shared" si="9"/>
        <v>2.1483527927929686</v>
      </c>
      <c r="X59" s="18">
        <f t="shared" si="5"/>
        <v>27500</v>
      </c>
    </row>
    <row r="60" spans="1:24">
      <c r="A60" s="18">
        <v>28000</v>
      </c>
      <c r="B60" s="25">
        <f t="shared" si="8"/>
        <v>1003.2483559389319</v>
      </c>
      <c r="C60" s="17">
        <f t="shared" si="3"/>
        <v>28000</v>
      </c>
      <c r="D60" s="26">
        <f t="shared" si="4"/>
        <v>0</v>
      </c>
      <c r="E60" s="26">
        <f t="shared" si="4"/>
        <v>0</v>
      </c>
      <c r="F60" s="26">
        <f t="shared" si="7"/>
        <v>0</v>
      </c>
      <c r="G60" s="26">
        <f t="shared" si="7"/>
        <v>0</v>
      </c>
      <c r="H60" s="26">
        <f t="shared" si="7"/>
        <v>0</v>
      </c>
      <c r="I60" s="26">
        <f t="shared" si="7"/>
        <v>0.35758069791925706</v>
      </c>
      <c r="J60" s="26">
        <f t="shared" si="7"/>
        <v>0.66897222986868476</v>
      </c>
      <c r="K60" s="26">
        <f t="shared" si="7"/>
        <v>0.87589025177047031</v>
      </c>
      <c r="L60" s="26">
        <f t="shared" si="7"/>
        <v>1.0425179240461986</v>
      </c>
      <c r="M60" s="26">
        <f t="shared" si="7"/>
        <v>1.1859610072715934</v>
      </c>
      <c r="N60" s="26">
        <f t="shared" si="9"/>
        <v>1.3138353776557055</v>
      </c>
      <c r="O60" s="26">
        <f t="shared" si="9"/>
        <v>1.4303227916770282</v>
      </c>
      <c r="P60" s="26">
        <f t="shared" si="9"/>
        <v>1.538012736358781</v>
      </c>
      <c r="Q60" s="26">
        <f t="shared" si="9"/>
        <v>1.6386406152701336</v>
      </c>
      <c r="R60" s="26">
        <f t="shared" si="9"/>
        <v>1.7334367467040555</v>
      </c>
      <c r="S60" s="26">
        <f t="shared" si="9"/>
        <v>1.8233109563744185</v>
      </c>
      <c r="T60" s="26">
        <f t="shared" si="9"/>
        <v>1.9089585465499388</v>
      </c>
      <c r="U60" s="26">
        <f t="shared" si="9"/>
        <v>1.9909250667107268</v>
      </c>
      <c r="V60" s="26">
        <f t="shared" si="9"/>
        <v>2.06964791934961</v>
      </c>
      <c r="W60" s="26">
        <f t="shared" si="9"/>
        <v>2.1454841875155424</v>
      </c>
      <c r="X60" s="18">
        <f t="shared" si="5"/>
        <v>28000</v>
      </c>
    </row>
    <row r="61" spans="1:24">
      <c r="A61" s="18">
        <v>28500</v>
      </c>
      <c r="B61" s="25">
        <f t="shared" si="8"/>
        <v>1001.110574634024</v>
      </c>
      <c r="C61" s="17">
        <f t="shared" si="3"/>
        <v>28500</v>
      </c>
      <c r="D61" s="26">
        <f t="shared" si="4"/>
        <v>0</v>
      </c>
      <c r="E61" s="26">
        <f t="shared" si="4"/>
        <v>0</v>
      </c>
      <c r="F61" s="26">
        <f t="shared" si="7"/>
        <v>0</v>
      </c>
      <c r="G61" s="26">
        <f t="shared" si="7"/>
        <v>0</v>
      </c>
      <c r="H61" s="26">
        <f t="shared" si="7"/>
        <v>0</v>
      </c>
      <c r="I61" s="26">
        <f t="shared" si="7"/>
        <v>0.31033524911939375</v>
      </c>
      <c r="J61" s="26">
        <f t="shared" si="7"/>
        <v>0.64601433652769413</v>
      </c>
      <c r="K61" s="26">
        <f t="shared" si="7"/>
        <v>0.85927939527992725</v>
      </c>
      <c r="L61" s="26">
        <f t="shared" si="7"/>
        <v>1.0292655805505002</v>
      </c>
      <c r="M61" s="26">
        <f t="shared" si="7"/>
        <v>1.1749102908134215</v>
      </c>
      <c r="N61" s="26">
        <f t="shared" si="9"/>
        <v>1.3043928655173638</v>
      </c>
      <c r="O61" s="26">
        <f t="shared" si="9"/>
        <v>1.4221347699025995</v>
      </c>
      <c r="P61" s="26">
        <f t="shared" si="9"/>
        <v>1.5308474319537009</v>
      </c>
      <c r="Q61" s="26">
        <f t="shared" si="9"/>
        <v>1.6323358772239742</v>
      </c>
      <c r="R61" s="26">
        <f t="shared" si="9"/>
        <v>1.7278735405769376</v>
      </c>
      <c r="S61" s="26">
        <f t="shared" si="9"/>
        <v>1.8183986164697779</v>
      </c>
      <c r="T61" s="26">
        <f t="shared" si="9"/>
        <v>1.9046259697201766</v>
      </c>
      <c r="U61" s="26">
        <f t="shared" si="9"/>
        <v>1.9871151553661515</v>
      </c>
      <c r="V61" s="26">
        <f t="shared" si="9"/>
        <v>2.0663139153669667</v>
      </c>
      <c r="W61" s="26">
        <f t="shared" si="9"/>
        <v>2.1425871634527462</v>
      </c>
      <c r="X61" s="18">
        <f t="shared" si="5"/>
        <v>28500</v>
      </c>
    </row>
    <row r="62" spans="1:24">
      <c r="A62" s="18">
        <v>29000</v>
      </c>
      <c r="B62" s="25">
        <f t="shared" si="8"/>
        <v>998.96821851045968</v>
      </c>
      <c r="C62" s="17">
        <f t="shared" si="3"/>
        <v>29000</v>
      </c>
      <c r="D62" s="26">
        <f t="shared" si="4"/>
        <v>0</v>
      </c>
      <c r="E62" s="26">
        <f t="shared" si="4"/>
        <v>0</v>
      </c>
      <c r="F62" s="26">
        <f t="shared" si="7"/>
        <v>0</v>
      </c>
      <c r="G62" s="26">
        <f t="shared" si="7"/>
        <v>0</v>
      </c>
      <c r="H62" s="26">
        <f t="shared" si="7"/>
        <v>0</v>
      </c>
      <c r="I62" s="26">
        <f t="shared" si="7"/>
        <v>0.25393107715106955</v>
      </c>
      <c r="J62" s="26">
        <f t="shared" si="7"/>
        <v>0.62200156885542868</v>
      </c>
      <c r="K62" s="26">
        <f t="shared" si="7"/>
        <v>0.84219410552088692</v>
      </c>
      <c r="L62" s="26">
        <f t="shared" si="7"/>
        <v>1.0157243086042782</v>
      </c>
      <c r="M62" s="26">
        <f t="shared" si="7"/>
        <v>1.1636583823464475</v>
      </c>
      <c r="N62" s="26">
        <f t="shared" si="9"/>
        <v>1.2947995175009384</v>
      </c>
      <c r="O62" s="26">
        <f t="shared" si="9"/>
        <v>1.4138284019767657</v>
      </c>
      <c r="P62" s="26">
        <f t="shared" si="9"/>
        <v>1.5235864629064173</v>
      </c>
      <c r="Q62" s="26">
        <f t="shared" si="9"/>
        <v>1.6259522347434441</v>
      </c>
      <c r="R62" s="26">
        <f t="shared" si="9"/>
        <v>1.7222443582089946</v>
      </c>
      <c r="S62" s="26">
        <f t="shared" si="9"/>
        <v>1.8134306132571558</v>
      </c>
      <c r="T62" s="26">
        <f t="shared" si="9"/>
        <v>1.9002461811075257</v>
      </c>
      <c r="U62" s="26">
        <f t="shared" si="9"/>
        <v>1.9832651130217687</v>
      </c>
      <c r="V62" s="26">
        <f t="shared" si="9"/>
        <v>2.0629458229058661</v>
      </c>
      <c r="W62" s="26">
        <f t="shared" si="9"/>
        <v>2.139661288138913</v>
      </c>
      <c r="X62" s="18">
        <f t="shared" si="5"/>
        <v>29000</v>
      </c>
    </row>
    <row r="63" spans="1:24">
      <c r="A63" s="18">
        <v>29500</v>
      </c>
      <c r="B63" s="25">
        <f t="shared" si="8"/>
        <v>996.82125807180569</v>
      </c>
      <c r="C63" s="17">
        <f t="shared" si="3"/>
        <v>29500</v>
      </c>
      <c r="D63" s="26">
        <f t="shared" si="4"/>
        <v>0</v>
      </c>
      <c r="E63" s="26">
        <f t="shared" si="4"/>
        <v>0</v>
      </c>
      <c r="F63" s="26">
        <f t="shared" si="7"/>
        <v>0</v>
      </c>
      <c r="G63" s="26">
        <f t="shared" si="7"/>
        <v>0</v>
      </c>
      <c r="H63" s="26">
        <f t="shared" si="7"/>
        <v>0</v>
      </c>
      <c r="I63" s="26">
        <f t="shared" si="7"/>
        <v>0.17994311638022301</v>
      </c>
      <c r="J63" s="26">
        <f t="shared" si="7"/>
        <v>0.59680380064045446</v>
      </c>
      <c r="K63" s="26">
        <f t="shared" si="7"/>
        <v>0.82460295159862007</v>
      </c>
      <c r="L63" s="26">
        <f t="shared" si="7"/>
        <v>1.0018808707183808</v>
      </c>
      <c r="M63" s="26">
        <f t="shared" si="7"/>
        <v>1.1521981298534059</v>
      </c>
      <c r="N63" s="26">
        <f t="shared" si="9"/>
        <v>1.2850508868383193</v>
      </c>
      <c r="O63" s="26">
        <f t="shared" si="9"/>
        <v>1.4054006663902703</v>
      </c>
      <c r="P63" s="26">
        <f t="shared" si="9"/>
        <v>1.5162276492718634</v>
      </c>
      <c r="Q63" s="26">
        <f t="shared" si="9"/>
        <v>1.6194880474220072</v>
      </c>
      <c r="R63" s="26">
        <f t="shared" si="9"/>
        <v>1.7165479274022646</v>
      </c>
      <c r="S63" s="26">
        <f t="shared" si="9"/>
        <v>1.8084059384981224</v>
      </c>
      <c r="T63" s="26">
        <f t="shared" si="9"/>
        <v>1.8958183693913138</v>
      </c>
      <c r="U63" s="26">
        <f t="shared" si="9"/>
        <v>1.9793742801824532</v>
      </c>
      <c r="V63" s="26">
        <f t="shared" si="9"/>
        <v>2.0595431028201543</v>
      </c>
      <c r="W63" s="26">
        <f t="shared" si="9"/>
        <v>2.1367061201064446</v>
      </c>
      <c r="X63" s="18">
        <f t="shared" si="5"/>
        <v>29500</v>
      </c>
    </row>
    <row r="64" spans="1:24">
      <c r="A64" s="18">
        <v>30000</v>
      </c>
      <c r="B64" s="25">
        <f t="shared" si="8"/>
        <v>994.66966350329255</v>
      </c>
      <c r="C64" s="17">
        <f t="shared" si="3"/>
        <v>30000</v>
      </c>
      <c r="D64" s="26">
        <f t="shared" si="4"/>
        <v>0</v>
      </c>
      <c r="E64" s="26">
        <f t="shared" si="4"/>
        <v>0</v>
      </c>
      <c r="F64" s="26">
        <f t="shared" si="7"/>
        <v>0</v>
      </c>
      <c r="G64" s="26">
        <f t="shared" si="7"/>
        <v>0</v>
      </c>
      <c r="H64" s="26">
        <f t="shared" si="7"/>
        <v>0</v>
      </c>
      <c r="I64" s="26">
        <f t="shared" si="7"/>
        <v>0</v>
      </c>
      <c r="J64" s="26">
        <f t="shared" si="7"/>
        <v>0.57026098011739135</v>
      </c>
      <c r="K64" s="26">
        <f t="shared" si="7"/>
        <v>0.8064708121741887</v>
      </c>
      <c r="L64" s="26">
        <f t="shared" si="7"/>
        <v>0.98772099113734724</v>
      </c>
      <c r="M64" s="26">
        <f t="shared" si="7"/>
        <v>1.1405219602347827</v>
      </c>
      <c r="N64" s="26">
        <f t="shared" si="9"/>
        <v>1.275142316458143</v>
      </c>
      <c r="O64" s="26">
        <f t="shared" si="9"/>
        <v>1.396848421507032</v>
      </c>
      <c r="P64" s="26">
        <f t="shared" si="9"/>
        <v>1.5087687357945667</v>
      </c>
      <c r="Q64" s="26">
        <f t="shared" si="9"/>
        <v>1.6129416243483774</v>
      </c>
      <c r="R64" s="26">
        <f t="shared" si="9"/>
        <v>1.7107829403521742</v>
      </c>
      <c r="S64" s="26">
        <f t="shared" si="9"/>
        <v>1.803323557890951</v>
      </c>
      <c r="T64" s="26">
        <f t="shared" si="9"/>
        <v>1.8913417036297078</v>
      </c>
      <c r="U64" s="26">
        <f t="shared" si="9"/>
        <v>1.9754419822746945</v>
      </c>
      <c r="V64" s="26">
        <f t="shared" si="9"/>
        <v>2.0561052042096049</v>
      </c>
      <c r="W64" s="26">
        <f t="shared" si="9"/>
        <v>2.1337212086451851</v>
      </c>
      <c r="X64" s="18">
        <f t="shared" si="5"/>
        <v>30000</v>
      </c>
    </row>
    <row r="65" spans="1:24">
      <c r="A65" s="18">
        <v>30500</v>
      </c>
      <c r="B65" s="25">
        <f t="shared" si="8"/>
        <v>992.51340466698446</v>
      </c>
      <c r="C65" s="17">
        <f t="shared" si="3"/>
        <v>30500</v>
      </c>
      <c r="D65" s="26">
        <f t="shared" si="4"/>
        <v>0</v>
      </c>
      <c r="E65" s="26">
        <f t="shared" si="4"/>
        <v>0</v>
      </c>
      <c r="F65" s="26">
        <f t="shared" si="7"/>
        <v>0</v>
      </c>
      <c r="G65" s="26">
        <f t="shared" si="7"/>
        <v>0</v>
      </c>
      <c r="H65" s="26">
        <f t="shared" si="7"/>
        <v>0</v>
      </c>
      <c r="I65" s="26">
        <f t="shared" si="7"/>
        <v>0</v>
      </c>
      <c r="J65" s="26">
        <f t="shared" si="7"/>
        <v>0.54217239628621194</v>
      </c>
      <c r="K65" s="26">
        <f t="shared" si="7"/>
        <v>0.78775822846296162</v>
      </c>
      <c r="L65" s="26">
        <f t="shared" si="7"/>
        <v>0.97322923596009681</v>
      </c>
      <c r="M65" s="26">
        <f t="shared" si="7"/>
        <v>1.1286218431980857</v>
      </c>
      <c r="N65" s="26">
        <f t="shared" si="9"/>
        <v>1.2650689246678279</v>
      </c>
      <c r="O65" s="26">
        <f t="shared" si="9"/>
        <v>1.3881683987818569</v>
      </c>
      <c r="P65" s="26">
        <f t="shared" si="9"/>
        <v>1.501207388268841</v>
      </c>
      <c r="Q65" s="26">
        <f t="shared" si="9"/>
        <v>1.6063112219645748</v>
      </c>
      <c r="R65" s="26">
        <f t="shared" si="9"/>
        <v>1.7049480522953466</v>
      </c>
      <c r="S65" s="26">
        <f t="shared" si="9"/>
        <v>1.7981824101692425</v>
      </c>
      <c r="T65" s="26">
        <f t="shared" si="9"/>
        <v>1.8868153326328563</v>
      </c>
      <c r="U65" s="26">
        <f t="shared" si="9"/>
        <v>1.9714675291961585</v>
      </c>
      <c r="V65" s="26">
        <f t="shared" si="9"/>
        <v>2.0526315640882018</v>
      </c>
      <c r="W65" s="26">
        <f t="shared" si="9"/>
        <v>2.1307060935538593</v>
      </c>
      <c r="X65" s="18">
        <f t="shared" si="5"/>
        <v>30500</v>
      </c>
    </row>
    <row r="66" spans="1:24">
      <c r="A66" s="18">
        <v>31000</v>
      </c>
      <c r="B66" s="25">
        <f t="shared" si="8"/>
        <v>990.35245109685331</v>
      </c>
      <c r="C66" s="17">
        <f t="shared" si="3"/>
        <v>31000</v>
      </c>
      <c r="D66" s="26">
        <f t="shared" si="4"/>
        <v>0</v>
      </c>
      <c r="E66" s="26">
        <f t="shared" si="4"/>
        <v>0</v>
      </c>
      <c r="F66" s="26">
        <f t="shared" si="7"/>
        <v>0</v>
      </c>
      <c r="G66" s="26">
        <f t="shared" si="7"/>
        <v>0</v>
      </c>
      <c r="H66" s="26">
        <f t="shared" si="7"/>
        <v>0</v>
      </c>
      <c r="I66" s="26">
        <f t="shared" si="7"/>
        <v>0</v>
      </c>
      <c r="J66" s="26">
        <f t="shared" si="7"/>
        <v>0.51228040176019718</v>
      </c>
      <c r="K66" s="26">
        <f t="shared" si="7"/>
        <v>0.76842060264029577</v>
      </c>
      <c r="L66" s="26">
        <f t="shared" si="7"/>
        <v>0.95838887467278211</v>
      </c>
      <c r="M66" s="26">
        <f t="shared" si="7"/>
        <v>1.1164892510145576</v>
      </c>
      <c r="N66" s="26">
        <f t="shared" si="9"/>
        <v>1.2548255895404485</v>
      </c>
      <c r="O66" s="26">
        <f t="shared" si="9"/>
        <v>1.3793571954718691</v>
      </c>
      <c r="P66" s="26">
        <f t="shared" si="9"/>
        <v>1.4935411896678668</v>
      </c>
      <c r="Q66" s="26">
        <f t="shared" si="9"/>
        <v>1.5995950418055795</v>
      </c>
      <c r="R66" s="26">
        <f t="shared" si="9"/>
        <v>1.699041880091094</v>
      </c>
      <c r="S66" s="26">
        <f t="shared" si="9"/>
        <v>1.7929814061606901</v>
      </c>
      <c r="T66" s="26">
        <f t="shared" si="9"/>
        <v>1.8822383843106727</v>
      </c>
      <c r="U66" s="26">
        <f t="shared" si="9"/>
        <v>1.9674502148483806</v>
      </c>
      <c r="V66" s="26">
        <f t="shared" si="9"/>
        <v>2.0491216070407887</v>
      </c>
      <c r="W66" s="26">
        <f t="shared" si="9"/>
        <v>2.1276603048832561</v>
      </c>
      <c r="X66" s="18">
        <f t="shared" si="5"/>
        <v>31000</v>
      </c>
    </row>
    <row r="67" spans="1:24">
      <c r="A67" s="18">
        <v>31500</v>
      </c>
      <c r="B67" s="25">
        <f t="shared" si="8"/>
        <v>988.18677199375679</v>
      </c>
      <c r="C67" s="17">
        <f t="shared" si="3"/>
        <v>31500</v>
      </c>
      <c r="D67" s="26">
        <f t="shared" si="4"/>
        <v>0</v>
      </c>
      <c r="E67" s="26">
        <f t="shared" si="4"/>
        <v>0</v>
      </c>
      <c r="F67" s="26">
        <f t="shared" si="7"/>
        <v>0</v>
      </c>
      <c r="G67" s="26">
        <f t="shared" si="7"/>
        <v>0</v>
      </c>
      <c r="H67" s="26">
        <f t="shared" si="7"/>
        <v>0</v>
      </c>
      <c r="I67" s="26">
        <f t="shared" si="7"/>
        <v>0</v>
      </c>
      <c r="J67" s="26">
        <f t="shared" si="7"/>
        <v>0.48024462481984187</v>
      </c>
      <c r="K67" s="26">
        <f t="shared" si="7"/>
        <v>0.74840719382298471</v>
      </c>
      <c r="L67" s="26">
        <f t="shared" ref="F67:M99" si="10">SQRT(IF((L$3-$A67)&gt;0,(L$3-$A67),0)*2*32.174)/$B67</f>
        <v>0.94318171942825435</v>
      </c>
      <c r="M67" s="26">
        <f t="shared" si="10"/>
        <v>1.1041151135462652</v>
      </c>
      <c r="N67" s="26">
        <f t="shared" si="9"/>
        <v>1.2444069318590787</v>
      </c>
      <c r="O67" s="26">
        <f t="shared" si="9"/>
        <v>1.3704112667942314</v>
      </c>
      <c r="P67" s="26">
        <f t="shared" si="9"/>
        <v>1.4857676360232825</v>
      </c>
      <c r="Q67" s="26">
        <f t="shared" si="9"/>
        <v>1.5927912281124157</v>
      </c>
      <c r="R67" s="26">
        <f t="shared" si="9"/>
        <v>1.6930630007325485</v>
      </c>
      <c r="S67" s="26">
        <f t="shared" si="9"/>
        <v>1.7877194278037998</v>
      </c>
      <c r="T67" s="26">
        <f t="shared" si="9"/>
        <v>1.877609964994005</v>
      </c>
      <c r="U67" s="26">
        <f t="shared" si="9"/>
        <v>1.9633893166518028</v>
      </c>
      <c r="V67" s="26">
        <f t="shared" si="9"/>
        <v>2.045574744867583</v>
      </c>
      <c r="W67" s="26">
        <f t="shared" si="9"/>
        <v>2.1245833626708368</v>
      </c>
      <c r="X67" s="18">
        <f t="shared" si="5"/>
        <v>31500</v>
      </c>
    </row>
    <row r="68" spans="1:24">
      <c r="A68" s="18">
        <v>32000</v>
      </c>
      <c r="B68" s="25">
        <f t="shared" ref="B68:B99" si="11">Linterp(A68,atmos_h,atmos_aspeed)</f>
        <v>986.01633622031693</v>
      </c>
      <c r="C68" s="17">
        <f t="shared" si="3"/>
        <v>32000</v>
      </c>
      <c r="D68" s="26">
        <f t="shared" si="4"/>
        <v>0</v>
      </c>
      <c r="E68" s="26">
        <f t="shared" si="4"/>
        <v>0</v>
      </c>
      <c r="F68" s="26">
        <f t="shared" si="10"/>
        <v>0</v>
      </c>
      <c r="G68" s="26">
        <f t="shared" si="10"/>
        <v>0</v>
      </c>
      <c r="H68" s="26">
        <f t="shared" si="10"/>
        <v>0</v>
      </c>
      <c r="I68" s="26">
        <f t="shared" si="10"/>
        <v>0</v>
      </c>
      <c r="J68" s="26">
        <f t="shared" si="10"/>
        <v>0.44559883178006271</v>
      </c>
      <c r="K68" s="26">
        <f t="shared" si="10"/>
        <v>0.72765984522762028</v>
      </c>
      <c r="L68" s="26">
        <f t="shared" si="10"/>
        <v>0.92758793751838531</v>
      </c>
      <c r="M68" s="26">
        <f t="shared" si="10"/>
        <v>1.0914897678414304</v>
      </c>
      <c r="N68" s="26">
        <f t="shared" si="9"/>
        <v>1.2338072964508953</v>
      </c>
      <c r="O68" s="26">
        <f t="shared" si="9"/>
        <v>1.3613269174773543</v>
      </c>
      <c r="P68" s="26">
        <f t="shared" si="9"/>
        <v>1.4778841320351614</v>
      </c>
      <c r="Q68" s="26">
        <f t="shared" si="9"/>
        <v>1.5858978653098221</v>
      </c>
      <c r="R68" s="26">
        <f t="shared" si="9"/>
        <v>1.6870099497831001</v>
      </c>
      <c r="S68" s="26">
        <f t="shared" si="9"/>
        <v>1.7823953271202508</v>
      </c>
      <c r="T68" s="26">
        <f t="shared" si="9"/>
        <v>1.8729291587278558</v>
      </c>
      <c r="U68" s="26">
        <f t="shared" si="9"/>
        <v>1.9592840950423602</v>
      </c>
      <c r="V68" s="26">
        <f t="shared" si="9"/>
        <v>2.041990376216031</v>
      </c>
      <c r="W68" s="26">
        <f t="shared" si="9"/>
        <v>2.1214747766664153</v>
      </c>
      <c r="X68" s="18">
        <f t="shared" si="5"/>
        <v>32000</v>
      </c>
    </row>
    <row r="69" spans="1:24">
      <c r="A69" s="18">
        <v>32500</v>
      </c>
      <c r="B69" s="25">
        <f t="shared" si="11"/>
        <v>983.84111229569623</v>
      </c>
      <c r="C69" s="17">
        <f t="shared" ref="C69:C132" si="12">$A69+C$3*C$3*$B69*$B69/(2*32.174)</f>
        <v>32500</v>
      </c>
      <c r="D69" s="26">
        <f t="shared" ref="D69:E85" si="13">SQRT(IF((D$3-$A69)&gt;0,(D$3-$A69),0)*2*32.174)/$B69</f>
        <v>0</v>
      </c>
      <c r="E69" s="26">
        <f t="shared" si="13"/>
        <v>0</v>
      </c>
      <c r="F69" s="26">
        <f t="shared" si="10"/>
        <v>0</v>
      </c>
      <c r="G69" s="26">
        <f t="shared" si="10"/>
        <v>0</v>
      </c>
      <c r="H69" s="26">
        <f t="shared" si="10"/>
        <v>0</v>
      </c>
      <c r="I69" s="26">
        <f t="shared" si="10"/>
        <v>0</v>
      </c>
      <c r="J69" s="26">
        <f t="shared" si="10"/>
        <v>0.40767357723989495</v>
      </c>
      <c r="K69" s="26">
        <f t="shared" si="10"/>
        <v>0.70611134868285319</v>
      </c>
      <c r="L69" s="26">
        <f t="shared" si="10"/>
        <v>0.91158583133891624</v>
      </c>
      <c r="M69" s="26">
        <f t="shared" si="10"/>
        <v>1.0786029014688439</v>
      </c>
      <c r="N69" s="26">
        <f t="shared" si="9"/>
        <v>1.2230207317196848</v>
      </c>
      <c r="O69" s="26">
        <f t="shared" si="9"/>
        <v>1.3521002926467025</v>
      </c>
      <c r="P69" s="26">
        <f t="shared" si="9"/>
        <v>1.4698879863902703</v>
      </c>
      <c r="Q69" s="26">
        <f t="shared" si="9"/>
        <v>1.5789129753389162</v>
      </c>
      <c r="R69" s="26">
        <f t="shared" si="9"/>
        <v>1.6808812197334868</v>
      </c>
      <c r="S69" s="26">
        <f t="shared" si="9"/>
        <v>1.7770079251404254</v>
      </c>
      <c r="T69" s="26">
        <f t="shared" si="9"/>
        <v>1.8681950265352449</v>
      </c>
      <c r="U69" s="26">
        <f t="shared" si="9"/>
        <v>1.9551337929487511</v>
      </c>
      <c r="V69" s="26">
        <f t="shared" si="9"/>
        <v>2.0383678861994747</v>
      </c>
      <c r="W69" s="26">
        <f t="shared" si="9"/>
        <v>2.1183340460485596</v>
      </c>
      <c r="X69" s="18">
        <f t="shared" ref="X69:X132" si="14">A69</f>
        <v>32500</v>
      </c>
    </row>
    <row r="70" spans="1:24">
      <c r="A70" s="18">
        <v>33000</v>
      </c>
      <c r="B70" s="25">
        <f t="shared" si="11"/>
        <v>981.66106839027111</v>
      </c>
      <c r="C70" s="17">
        <f t="shared" si="12"/>
        <v>33000</v>
      </c>
      <c r="D70" s="26">
        <f t="shared" si="13"/>
        <v>0</v>
      </c>
      <c r="E70" s="26">
        <f t="shared" si="13"/>
        <v>0</v>
      </c>
      <c r="F70" s="26">
        <f t="shared" si="10"/>
        <v>0</v>
      </c>
      <c r="G70" s="26">
        <f t="shared" si="10"/>
        <v>0</v>
      </c>
      <c r="H70" s="26">
        <f t="shared" si="10"/>
        <v>0</v>
      </c>
      <c r="I70" s="26">
        <f t="shared" si="10"/>
        <v>0</v>
      </c>
      <c r="J70" s="26">
        <f t="shared" si="10"/>
        <v>0.36544410169108205</v>
      </c>
      <c r="K70" s="26">
        <f t="shared" si="10"/>
        <v>0.68368331127270232</v>
      </c>
      <c r="L70" s="26">
        <f t="shared" si="10"/>
        <v>0.89515157865291817</v>
      </c>
      <c r="M70" s="26">
        <f t="shared" si="10"/>
        <v>1.065443488607827</v>
      </c>
      <c r="N70" s="26">
        <f t="shared" si="9"/>
        <v>1.2120409671578023</v>
      </c>
      <c r="O70" s="26">
        <f t="shared" si="9"/>
        <v>1.3427273679793774</v>
      </c>
      <c r="P70" s="26">
        <f t="shared" si="9"/>
        <v>1.4617764067643282</v>
      </c>
      <c r="Q70" s="26">
        <f t="shared" si="9"/>
        <v>1.5718345148344453</v>
      </c>
      <c r="R70" s="26">
        <f t="shared" si="9"/>
        <v>1.674675258274523</v>
      </c>
      <c r="S70" s="26">
        <f t="shared" si="9"/>
        <v>1.7715560107794632</v>
      </c>
      <c r="T70" s="26">
        <f t="shared" si="9"/>
        <v>1.8634066056502134</v>
      </c>
      <c r="U70" s="26">
        <f t="shared" si="9"/>
        <v>1.9509376352494856</v>
      </c>
      <c r="V70" s="26">
        <f t="shared" si="9"/>
        <v>2.0347066460020371</v>
      </c>
      <c r="W70" s="26">
        <f t="shared" si="9"/>
        <v>2.1151606591313259</v>
      </c>
      <c r="X70" s="18">
        <f t="shared" si="14"/>
        <v>33000</v>
      </c>
    </row>
    <row r="71" spans="1:24">
      <c r="A71" s="18">
        <v>33500</v>
      </c>
      <c r="B71" s="25">
        <f t="shared" si="11"/>
        <v>979.47617232019718</v>
      </c>
      <c r="C71" s="17">
        <f t="shared" si="12"/>
        <v>33500</v>
      </c>
      <c r="D71" s="26">
        <f t="shared" si="13"/>
        <v>0</v>
      </c>
      <c r="E71" s="26">
        <f t="shared" si="13"/>
        <v>0</v>
      </c>
      <c r="F71" s="26">
        <f t="shared" si="10"/>
        <v>0</v>
      </c>
      <c r="G71" s="26">
        <f t="shared" si="10"/>
        <v>0</v>
      </c>
      <c r="H71" s="26">
        <f t="shared" si="10"/>
        <v>0</v>
      </c>
      <c r="I71" s="26">
        <f t="shared" si="10"/>
        <v>0</v>
      </c>
      <c r="J71" s="26">
        <f t="shared" si="10"/>
        <v>0.31718984938568368</v>
      </c>
      <c r="K71" s="26">
        <f t="shared" si="10"/>
        <v>0.66028332484196128</v>
      </c>
      <c r="L71" s="26">
        <f t="shared" si="10"/>
        <v>0.87825892399417005</v>
      </c>
      <c r="M71" s="26">
        <f t="shared" si="10"/>
        <v>1.051999717721654</v>
      </c>
      <c r="N71" s="26">
        <f t="shared" ref="N71:W96" si="15">SQRT(IF((N$3-$A71)&gt;0,(N$3-$A71),0)*2*32.174)/$B71</f>
        <v>1.2008613885863273</v>
      </c>
      <c r="O71" s="26">
        <f t="shared" si="15"/>
        <v>1.3332039390537835</v>
      </c>
      <c r="P71" s="26">
        <f t="shared" si="15"/>
        <v>1.4535464944815375</v>
      </c>
      <c r="Q71" s="26">
        <f t="shared" si="15"/>
        <v>1.5646603721353107</v>
      </c>
      <c r="R71" s="26">
        <f t="shared" si="15"/>
        <v>1.6683904664800897</v>
      </c>
      <c r="S71" s="26">
        <f t="shared" si="15"/>
        <v>1.7660383396610317</v>
      </c>
      <c r="T71" s="26">
        <f t="shared" si="15"/>
        <v>1.8585629087183828</v>
      </c>
      <c r="U71" s="26">
        <f t="shared" si="15"/>
        <v>1.9466948282087715</v>
      </c>
      <c r="V71" s="26">
        <f t="shared" si="15"/>
        <v>2.0310060124691462</v>
      </c>
      <c r="W71" s="26">
        <f t="shared" si="15"/>
        <v>2.1119540930609415</v>
      </c>
      <c r="X71" s="18">
        <f t="shared" si="14"/>
        <v>33500</v>
      </c>
    </row>
    <row r="72" spans="1:24">
      <c r="A72" s="18">
        <v>34000</v>
      </c>
      <c r="B72" s="25">
        <f t="shared" si="11"/>
        <v>977.28639154186544</v>
      </c>
      <c r="C72" s="17">
        <f t="shared" si="12"/>
        <v>34000</v>
      </c>
      <c r="D72" s="26">
        <f t="shared" si="13"/>
        <v>0</v>
      </c>
      <c r="E72" s="26">
        <f t="shared" si="13"/>
        <v>0</v>
      </c>
      <c r="F72" s="26">
        <f t="shared" si="10"/>
        <v>0</v>
      </c>
      <c r="G72" s="26">
        <f t="shared" si="10"/>
        <v>0</v>
      </c>
      <c r="H72" s="26">
        <f t="shared" si="10"/>
        <v>0</v>
      </c>
      <c r="I72" s="26">
        <f t="shared" si="10"/>
        <v>0</v>
      </c>
      <c r="J72" s="26">
        <f t="shared" si="10"/>
        <v>0.25956472735267722</v>
      </c>
      <c r="K72" s="26">
        <f t="shared" si="10"/>
        <v>0.63580113723869502</v>
      </c>
      <c r="L72" s="26">
        <f t="shared" si="10"/>
        <v>0.8608788094397295</v>
      </c>
      <c r="M72" s="26">
        <f t="shared" si="10"/>
        <v>1.0382589094107089</v>
      </c>
      <c r="N72" s="26">
        <f t="shared" si="15"/>
        <v>1.1894750108342178</v>
      </c>
      <c r="O72" s="26">
        <f t="shared" si="15"/>
        <v>1.3235256098116919</v>
      </c>
      <c r="P72" s="26">
        <f t="shared" si="15"/>
        <v>1.4451952388019269</v>
      </c>
      <c r="Q72" s="26">
        <f t="shared" si="15"/>
        <v>1.5573883641160631</v>
      </c>
      <c r="R72" s="26">
        <f t="shared" si="15"/>
        <v>1.6620251968945765</v>
      </c>
      <c r="S72" s="26">
        <f t="shared" si="15"/>
        <v>1.7604536328857978</v>
      </c>
      <c r="T72" s="26">
        <f t="shared" si="15"/>
        <v>1.8536629229633828</v>
      </c>
      <c r="U72" s="26">
        <f t="shared" si="15"/>
        <v>1.9424045588902172</v>
      </c>
      <c r="V72" s="26">
        <f t="shared" si="15"/>
        <v>2.0272653276830463</v>
      </c>
      <c r="W72" s="26">
        <f t="shared" si="15"/>
        <v>2.1087138135020118</v>
      </c>
      <c r="X72" s="18">
        <f t="shared" si="14"/>
        <v>34000</v>
      </c>
    </row>
    <row r="73" spans="1:24">
      <c r="A73" s="18">
        <v>34500</v>
      </c>
      <c r="B73" s="25">
        <f t="shared" si="11"/>
        <v>975.09169314624774</v>
      </c>
      <c r="C73" s="17">
        <f t="shared" si="12"/>
        <v>34500</v>
      </c>
      <c r="D73" s="26">
        <f t="shared" si="13"/>
        <v>0</v>
      </c>
      <c r="E73" s="26">
        <f t="shared" si="13"/>
        <v>0</v>
      </c>
      <c r="F73" s="26">
        <f t="shared" si="10"/>
        <v>0</v>
      </c>
      <c r="G73" s="26">
        <f t="shared" si="10"/>
        <v>0</v>
      </c>
      <c r="H73" s="26">
        <f t="shared" si="10"/>
        <v>0</v>
      </c>
      <c r="I73" s="26">
        <f t="shared" si="10"/>
        <v>0</v>
      </c>
      <c r="J73" s="26">
        <f t="shared" si="10"/>
        <v>0.18395308350205844</v>
      </c>
      <c r="K73" s="26">
        <f t="shared" si="10"/>
        <v>0.61010335700524387</v>
      </c>
      <c r="L73" s="26">
        <f t="shared" si="10"/>
        <v>0.84297892946871511</v>
      </c>
      <c r="M73" s="26">
        <f t="shared" si="10"/>
        <v>1.0242074227554563</v>
      </c>
      <c r="N73" s="26">
        <f t="shared" si="15"/>
        <v>1.1778744475225391</v>
      </c>
      <c r="O73" s="26">
        <f t="shared" si="15"/>
        <v>1.3136877800397169</v>
      </c>
      <c r="P73" s="26">
        <f t="shared" si="15"/>
        <v>1.4367195108039816</v>
      </c>
      <c r="Q73" s="26">
        <f t="shared" si="15"/>
        <v>1.5500162328259615</v>
      </c>
      <c r="R73" s="26">
        <f t="shared" si="15"/>
        <v>1.6555777515185259</v>
      </c>
      <c r="S73" s="26">
        <f t="shared" si="15"/>
        <v>1.7548005757413834</v>
      </c>
      <c r="T73" s="26">
        <f t="shared" si="15"/>
        <v>1.8487056093173524</v>
      </c>
      <c r="U73" s="26">
        <f t="shared" si="15"/>
        <v>1.9380659945472953</v>
      </c>
      <c r="V73" s="26">
        <f t="shared" si="15"/>
        <v>2.023483918522643</v>
      </c>
      <c r="W73" s="26">
        <f t="shared" si="15"/>
        <v>2.1054392743128219</v>
      </c>
      <c r="X73" s="18">
        <f t="shared" si="14"/>
        <v>34500</v>
      </c>
    </row>
    <row r="74" spans="1:24">
      <c r="A74" s="18">
        <v>35000</v>
      </c>
      <c r="B74" s="25">
        <f t="shared" si="11"/>
        <v>972.89204385312564</v>
      </c>
      <c r="C74" s="17">
        <f t="shared" si="12"/>
        <v>35000</v>
      </c>
      <c r="D74" s="26">
        <f t="shared" si="13"/>
        <v>0</v>
      </c>
      <c r="E74" s="26">
        <f t="shared" si="13"/>
        <v>0</v>
      </c>
      <c r="F74" s="26">
        <f t="shared" si="10"/>
        <v>0</v>
      </c>
      <c r="G74" s="26">
        <f t="shared" si="10"/>
        <v>0</v>
      </c>
      <c r="H74" s="26">
        <f t="shared" si="10"/>
        <v>0</v>
      </c>
      <c r="I74" s="26">
        <f t="shared" si="10"/>
        <v>0</v>
      </c>
      <c r="J74" s="26">
        <f t="shared" si="10"/>
        <v>0</v>
      </c>
      <c r="K74" s="26">
        <f t="shared" si="10"/>
        <v>0.58302593878345566</v>
      </c>
      <c r="L74" s="26">
        <f t="shared" si="10"/>
        <v>0.82452318984286876</v>
      </c>
      <c r="M74" s="26">
        <f t="shared" si="10"/>
        <v>1.0098305481034873</v>
      </c>
      <c r="N74" s="26">
        <f t="shared" si="15"/>
        <v>1.1660518775669113</v>
      </c>
      <c r="O74" s="26">
        <f t="shared" si="15"/>
        <v>1.3036856317654379</v>
      </c>
      <c r="P74" s="26">
        <f t="shared" si="15"/>
        <v>1.4281160568266076</v>
      </c>
      <c r="Q74" s="26">
        <f t="shared" si="15"/>
        <v>1.5425416419209916</v>
      </c>
      <c r="R74" s="26">
        <f t="shared" si="15"/>
        <v>1.6490463796857375</v>
      </c>
      <c r="S74" s="26">
        <f t="shared" si="15"/>
        <v>1.7490778163503669</v>
      </c>
      <c r="T74" s="26">
        <f t="shared" si="15"/>
        <v>1.8436899015136188</v>
      </c>
      <c r="U74" s="26">
        <f t="shared" si="15"/>
        <v>1.9336782819894387</v>
      </c>
      <c r="V74" s="26">
        <f t="shared" si="15"/>
        <v>2.0196610962069745</v>
      </c>
      <c r="W74" s="26">
        <f t="shared" si="15"/>
        <v>2.102129917209278</v>
      </c>
      <c r="X74" s="18">
        <f t="shared" si="14"/>
        <v>35000</v>
      </c>
    </row>
    <row r="75" spans="1:24">
      <c r="A75" s="18">
        <v>35500</v>
      </c>
      <c r="B75" s="25">
        <f t="shared" si="11"/>
        <v>970.68741000520242</v>
      </c>
      <c r="C75" s="17">
        <f t="shared" si="12"/>
        <v>35500</v>
      </c>
      <c r="D75" s="26">
        <f t="shared" si="13"/>
        <v>0</v>
      </c>
      <c r="E75" s="26">
        <f t="shared" si="13"/>
        <v>0</v>
      </c>
      <c r="F75" s="26">
        <f t="shared" si="10"/>
        <v>0</v>
      </c>
      <c r="G75" s="26">
        <f t="shared" si="10"/>
        <v>0</v>
      </c>
      <c r="H75" s="26">
        <f t="shared" si="10"/>
        <v>0</v>
      </c>
      <c r="I75" s="26">
        <f t="shared" si="10"/>
        <v>0</v>
      </c>
      <c r="J75" s="26">
        <f t="shared" si="10"/>
        <v>0</v>
      </c>
      <c r="K75" s="26">
        <f t="shared" si="10"/>
        <v>0.55436319190706485</v>
      </c>
      <c r="L75" s="26">
        <f t="shared" si="10"/>
        <v>0.80547104384718027</v>
      </c>
      <c r="M75" s="26">
        <f t="shared" si="10"/>
        <v>0.99511238380955891</v>
      </c>
      <c r="N75" s="26">
        <f t="shared" si="15"/>
        <v>1.1539990079484557</v>
      </c>
      <c r="O75" s="26">
        <f t="shared" si="15"/>
        <v>1.2935141144498179</v>
      </c>
      <c r="P75" s="26">
        <f t="shared" si="15"/>
        <v>1.4193814914306067</v>
      </c>
      <c r="Q75" s="26">
        <f t="shared" si="15"/>
        <v>1.5349621728728857</v>
      </c>
      <c r="R75" s="26">
        <f t="shared" si="15"/>
        <v>1.6424292758245413</v>
      </c>
      <c r="S75" s="26">
        <f t="shared" si="15"/>
        <v>1.7432839642526414</v>
      </c>
      <c r="T75" s="26">
        <f t="shared" si="15"/>
        <v>1.8386147051395192</v>
      </c>
      <c r="U75" s="26">
        <f t="shared" si="15"/>
        <v>1.9292405469225857</v>
      </c>
      <c r="V75" s="26">
        <f t="shared" si="15"/>
        <v>2.0157961558215738</v>
      </c>
      <c r="W75" s="26">
        <f t="shared" si="15"/>
        <v>2.0987851714170063</v>
      </c>
      <c r="X75" s="18">
        <f t="shared" si="14"/>
        <v>35500</v>
      </c>
    </row>
    <row r="76" spans="1:24">
      <c r="A76" s="18">
        <v>36000</v>
      </c>
      <c r="B76" s="25">
        <f t="shared" si="11"/>
        <v>968.47775756209501</v>
      </c>
      <c r="C76" s="17">
        <f t="shared" si="12"/>
        <v>36000</v>
      </c>
      <c r="D76" s="26">
        <f t="shared" si="13"/>
        <v>0</v>
      </c>
      <c r="E76" s="26">
        <f t="shared" si="13"/>
        <v>0</v>
      </c>
      <c r="F76" s="26">
        <f t="shared" si="10"/>
        <v>0</v>
      </c>
      <c r="G76" s="26">
        <f t="shared" si="10"/>
        <v>0</v>
      </c>
      <c r="H76" s="26">
        <f t="shared" si="10"/>
        <v>0</v>
      </c>
      <c r="I76" s="26">
        <f t="shared" si="10"/>
        <v>0</v>
      </c>
      <c r="J76" s="26">
        <f t="shared" si="10"/>
        <v>0</v>
      </c>
      <c r="K76" s="26">
        <f t="shared" si="10"/>
        <v>0.52385111332777667</v>
      </c>
      <c r="L76" s="26">
        <f t="shared" si="10"/>
        <v>0.78577666999166507</v>
      </c>
      <c r="M76" s="26">
        <f t="shared" si="10"/>
        <v>0.98003569387631428</v>
      </c>
      <c r="N76" s="26">
        <f t="shared" si="15"/>
        <v>1.1417070322285257</v>
      </c>
      <c r="O76" s="26">
        <f t="shared" si="15"/>
        <v>1.2831679288419371</v>
      </c>
      <c r="P76" s="26">
        <f t="shared" si="15"/>
        <v>1.4105122898354858</v>
      </c>
      <c r="Q76" s="26">
        <f t="shared" si="15"/>
        <v>1.5272753209377099</v>
      </c>
      <c r="R76" s="26">
        <f t="shared" si="15"/>
        <v>1.635724577095369</v>
      </c>
      <c r="S76" s="26">
        <f t="shared" si="15"/>
        <v>1.7374175889181802</v>
      </c>
      <c r="T76" s="26">
        <f t="shared" si="15"/>
        <v>1.8334788966472184</v>
      </c>
      <c r="U76" s="26">
        <f t="shared" si="15"/>
        <v>1.9247518932629057</v>
      </c>
      <c r="V76" s="26">
        <f t="shared" si="15"/>
        <v>2.0118883758269441</v>
      </c>
      <c r="W76" s="26">
        <f t="shared" si="15"/>
        <v>2.0954044533111067</v>
      </c>
      <c r="X76" s="18">
        <f t="shared" si="14"/>
        <v>36000</v>
      </c>
    </row>
    <row r="77" spans="1:24">
      <c r="A77" s="18">
        <v>36500</v>
      </c>
      <c r="B77" s="25">
        <f t="shared" si="11"/>
        <v>968.1005104214338</v>
      </c>
      <c r="C77" s="17">
        <f t="shared" si="12"/>
        <v>36500</v>
      </c>
      <c r="D77" s="26">
        <f t="shared" si="13"/>
        <v>0</v>
      </c>
      <c r="E77" s="26">
        <f t="shared" si="13"/>
        <v>0</v>
      </c>
      <c r="F77" s="26">
        <f t="shared" si="10"/>
        <v>0</v>
      </c>
      <c r="G77" s="26">
        <f t="shared" si="10"/>
        <v>0</v>
      </c>
      <c r="H77" s="26">
        <f t="shared" si="10"/>
        <v>0</v>
      </c>
      <c r="I77" s="26">
        <f t="shared" si="10"/>
        <v>0</v>
      </c>
      <c r="J77" s="26">
        <f t="shared" si="10"/>
        <v>0</v>
      </c>
      <c r="K77" s="26">
        <f t="shared" si="10"/>
        <v>0.49020879594566247</v>
      </c>
      <c r="L77" s="26">
        <f t="shared" si="10"/>
        <v>0.7639352330047765</v>
      </c>
      <c r="M77" s="26">
        <f t="shared" si="10"/>
        <v>0.96275096303749708</v>
      </c>
      <c r="N77" s="26">
        <f t="shared" si="15"/>
        <v>1.1270234218653994</v>
      </c>
      <c r="O77" s="26">
        <f t="shared" si="15"/>
        <v>1.270226031081382</v>
      </c>
      <c r="P77" s="26">
        <f t="shared" si="15"/>
        <v>1.3988447185589707</v>
      </c>
      <c r="Q77" s="26">
        <f t="shared" si="15"/>
        <v>1.5165945151041171</v>
      </c>
      <c r="R77" s="26">
        <f t="shared" si="15"/>
        <v>1.6258386450836559</v>
      </c>
      <c r="S77" s="26">
        <f t="shared" si="15"/>
        <v>1.7281908680614604</v>
      </c>
      <c r="T77" s="26">
        <f t="shared" si="15"/>
        <v>1.824811237650237</v>
      </c>
      <c r="U77" s="26">
        <f t="shared" si="15"/>
        <v>1.9165668341224513</v>
      </c>
      <c r="V77" s="26">
        <f t="shared" si="15"/>
        <v>2.0041259457084335</v>
      </c>
      <c r="W77" s="26">
        <f t="shared" si="15"/>
        <v>2.0880165667123638</v>
      </c>
      <c r="X77" s="18">
        <f t="shared" si="14"/>
        <v>36500</v>
      </c>
    </row>
    <row r="78" spans="1:24">
      <c r="A78" s="18">
        <v>37000</v>
      </c>
      <c r="B78" s="25">
        <f t="shared" si="11"/>
        <v>968.1005104214338</v>
      </c>
      <c r="C78" s="17">
        <f t="shared" si="12"/>
        <v>37000</v>
      </c>
      <c r="D78" s="26">
        <f t="shared" si="13"/>
        <v>0</v>
      </c>
      <c r="E78" s="26">
        <f t="shared" si="13"/>
        <v>0</v>
      </c>
      <c r="F78" s="26">
        <f t="shared" si="10"/>
        <v>0</v>
      </c>
      <c r="G78" s="26">
        <f t="shared" si="10"/>
        <v>0</v>
      </c>
      <c r="H78" s="26">
        <f t="shared" si="10"/>
        <v>0</v>
      </c>
      <c r="I78" s="26">
        <f t="shared" si="10"/>
        <v>0</v>
      </c>
      <c r="J78" s="26">
        <f t="shared" si="10"/>
        <v>0</v>
      </c>
      <c r="K78" s="26">
        <f t="shared" si="10"/>
        <v>0.45384515637179557</v>
      </c>
      <c r="L78" s="26">
        <f t="shared" si="10"/>
        <v>0.74112603689636058</v>
      </c>
      <c r="M78" s="26">
        <f t="shared" si="10"/>
        <v>0.94475403104155709</v>
      </c>
      <c r="N78" s="26">
        <f t="shared" si="15"/>
        <v>1.1116890553445407</v>
      </c>
      <c r="O78" s="26">
        <f t="shared" si="15"/>
        <v>1.2566403353292475</v>
      </c>
      <c r="P78" s="26">
        <f t="shared" si="15"/>
        <v>1.386519855241882</v>
      </c>
      <c r="Q78" s="26">
        <f t="shared" si="15"/>
        <v>1.5052340966054201</v>
      </c>
      <c r="R78" s="26">
        <f t="shared" si="15"/>
        <v>1.6152467496290162</v>
      </c>
      <c r="S78" s="26">
        <f t="shared" si="15"/>
        <v>1.71823003081388</v>
      </c>
      <c r="T78" s="26">
        <f t="shared" si="15"/>
        <v>1.8153806254871823</v>
      </c>
      <c r="U78" s="26">
        <f t="shared" si="15"/>
        <v>1.9075898909351034</v>
      </c>
      <c r="V78" s="26">
        <f t="shared" si="15"/>
        <v>1.9955429257726742</v>
      </c>
      <c r="W78" s="26">
        <f t="shared" si="15"/>
        <v>2.0797797828628228</v>
      </c>
      <c r="X78" s="18">
        <f t="shared" si="14"/>
        <v>37000</v>
      </c>
    </row>
    <row r="79" spans="1:24">
      <c r="A79" s="18">
        <v>37500</v>
      </c>
      <c r="B79" s="25">
        <f t="shared" si="11"/>
        <v>968.1005104214338</v>
      </c>
      <c r="C79" s="17">
        <f t="shared" si="12"/>
        <v>37500</v>
      </c>
      <c r="D79" s="26">
        <f t="shared" si="13"/>
        <v>0</v>
      </c>
      <c r="E79" s="26">
        <f t="shared" si="13"/>
        <v>0</v>
      </c>
      <c r="F79" s="26">
        <f t="shared" si="10"/>
        <v>0</v>
      </c>
      <c r="G79" s="26">
        <f t="shared" si="10"/>
        <v>0</v>
      </c>
      <c r="H79" s="26">
        <f t="shared" si="10"/>
        <v>0</v>
      </c>
      <c r="I79" s="26">
        <f t="shared" si="10"/>
        <v>0</v>
      </c>
      <c r="J79" s="26">
        <f t="shared" si="10"/>
        <v>0</v>
      </c>
      <c r="K79" s="26">
        <f t="shared" si="10"/>
        <v>0.41430204959881983</v>
      </c>
      <c r="L79" s="26">
        <f t="shared" si="10"/>
        <v>0.71759219958507703</v>
      </c>
      <c r="M79" s="26">
        <f t="shared" si="10"/>
        <v>0.92640754612045073</v>
      </c>
      <c r="N79" s="26">
        <f t="shared" si="15"/>
        <v>1.0961401909028248</v>
      </c>
      <c r="O79" s="26">
        <f t="shared" si="15"/>
        <v>1.2429061487964597</v>
      </c>
      <c r="P79" s="26">
        <f t="shared" si="15"/>
        <v>1.3740844483944983</v>
      </c>
      <c r="Q79" s="26">
        <f t="shared" si="15"/>
        <v>1.4937872833583699</v>
      </c>
      <c r="R79" s="26">
        <f t="shared" si="15"/>
        <v>1.6045849383958286</v>
      </c>
      <c r="S79" s="26">
        <f t="shared" si="15"/>
        <v>1.7082111114058212</v>
      </c>
      <c r="T79" s="26">
        <f t="shared" si="15"/>
        <v>1.8059007663030315</v>
      </c>
      <c r="U79" s="26">
        <f t="shared" si="15"/>
        <v>1.8985705028619406</v>
      </c>
      <c r="V79" s="26">
        <f t="shared" si="15"/>
        <v>1.9869228296390902</v>
      </c>
      <c r="W79" s="26">
        <f t="shared" si="15"/>
        <v>2.071510247994099</v>
      </c>
      <c r="X79" s="18">
        <f t="shared" si="14"/>
        <v>37500</v>
      </c>
    </row>
    <row r="80" spans="1:24">
      <c r="A80" s="18">
        <v>38000</v>
      </c>
      <c r="B80" s="25">
        <f t="shared" si="11"/>
        <v>968.1005104214338</v>
      </c>
      <c r="C80" s="17">
        <f t="shared" si="12"/>
        <v>38000</v>
      </c>
      <c r="D80" s="26">
        <f t="shared" si="13"/>
        <v>0</v>
      </c>
      <c r="E80" s="26">
        <f t="shared" si="13"/>
        <v>0</v>
      </c>
      <c r="F80" s="26">
        <f t="shared" si="10"/>
        <v>0</v>
      </c>
      <c r="G80" s="26">
        <f t="shared" si="10"/>
        <v>0</v>
      </c>
      <c r="H80" s="26">
        <f t="shared" si="10"/>
        <v>0</v>
      </c>
      <c r="I80" s="26">
        <f t="shared" si="10"/>
        <v>0</v>
      </c>
      <c r="J80" s="26">
        <f t="shared" si="10"/>
        <v>0</v>
      </c>
      <c r="K80" s="26">
        <f t="shared" si="10"/>
        <v>0.37056301844818029</v>
      </c>
      <c r="L80" s="26">
        <f t="shared" si="10"/>
        <v>0.69325992762094102</v>
      </c>
      <c r="M80" s="26">
        <f t="shared" si="10"/>
        <v>0.90769031274359113</v>
      </c>
      <c r="N80" s="26">
        <f t="shared" si="15"/>
        <v>1.0803675672900055</v>
      </c>
      <c r="O80" s="26">
        <f t="shared" si="15"/>
        <v>1.2290184933741599</v>
      </c>
      <c r="P80" s="26">
        <f t="shared" si="15"/>
        <v>1.3615354691153867</v>
      </c>
      <c r="Q80" s="26">
        <f t="shared" si="15"/>
        <v>1.4822520737927212</v>
      </c>
      <c r="R80" s="26">
        <f t="shared" si="15"/>
        <v>1.5938518083141822</v>
      </c>
      <c r="S80" s="26">
        <f t="shared" si="15"/>
        <v>1.6981330817901035</v>
      </c>
      <c r="T80" s="26">
        <f t="shared" si="15"/>
        <v>1.796370880434639</v>
      </c>
      <c r="U80" s="26">
        <f t="shared" si="15"/>
        <v>1.8895080620831142</v>
      </c>
      <c r="V80" s="26">
        <f t="shared" si="15"/>
        <v>1.9782651726400715</v>
      </c>
      <c r="W80" s="26">
        <f t="shared" si="15"/>
        <v>2.0632075682985023</v>
      </c>
      <c r="X80" s="18">
        <f t="shared" si="14"/>
        <v>38000</v>
      </c>
    </row>
    <row r="81" spans="1:24">
      <c r="A81" s="18">
        <v>38500</v>
      </c>
      <c r="B81" s="25">
        <f t="shared" si="11"/>
        <v>968.1005104214338</v>
      </c>
      <c r="C81" s="17">
        <f t="shared" si="12"/>
        <v>38500</v>
      </c>
      <c r="D81" s="26">
        <f t="shared" si="13"/>
        <v>0</v>
      </c>
      <c r="E81" s="26">
        <f t="shared" si="13"/>
        <v>0</v>
      </c>
      <c r="F81" s="26">
        <f t="shared" si="10"/>
        <v>0</v>
      </c>
      <c r="G81" s="26">
        <f t="shared" si="10"/>
        <v>0</v>
      </c>
      <c r="H81" s="26">
        <f t="shared" si="10"/>
        <v>0</v>
      </c>
      <c r="I81" s="26">
        <f t="shared" si="10"/>
        <v>0</v>
      </c>
      <c r="J81" s="26">
        <f t="shared" si="10"/>
        <v>0</v>
      </c>
      <c r="K81" s="26">
        <f t="shared" si="10"/>
        <v>0.32091698767916571</v>
      </c>
      <c r="L81" s="26">
        <f t="shared" si="10"/>
        <v>0.66804198190281106</v>
      </c>
      <c r="M81" s="26">
        <f t="shared" si="10"/>
        <v>0.88857890262384787</v>
      </c>
      <c r="N81" s="26">
        <f t="shared" si="15"/>
        <v>1.0643612369828994</v>
      </c>
      <c r="O81" s="26">
        <f t="shared" si="15"/>
        <v>1.214972106426865</v>
      </c>
      <c r="P81" s="26">
        <f t="shared" si="15"/>
        <v>1.3488697476031182</v>
      </c>
      <c r="Q81" s="26">
        <f t="shared" si="15"/>
        <v>1.4706263878369874</v>
      </c>
      <c r="R81" s="26">
        <f t="shared" si="15"/>
        <v>1.5830459087487108</v>
      </c>
      <c r="S81" s="26">
        <f t="shared" si="15"/>
        <v>1.6879948832296849</v>
      </c>
      <c r="T81" s="26">
        <f t="shared" si="15"/>
        <v>1.7867901674268201</v>
      </c>
      <c r="U81" s="26">
        <f t="shared" si="15"/>
        <v>1.8804019461319246</v>
      </c>
      <c r="V81" s="26">
        <f t="shared" si="15"/>
        <v>1.9695694594556181</v>
      </c>
      <c r="W81" s="26">
        <f t="shared" si="15"/>
        <v>2.054871342012405</v>
      </c>
      <c r="X81" s="18">
        <f t="shared" si="14"/>
        <v>38500</v>
      </c>
    </row>
    <row r="82" spans="1:24">
      <c r="A82" s="18">
        <v>39000</v>
      </c>
      <c r="B82" s="25">
        <f t="shared" si="11"/>
        <v>968.1005104214338</v>
      </c>
      <c r="C82" s="17">
        <f t="shared" si="12"/>
        <v>39000</v>
      </c>
      <c r="D82" s="26">
        <f t="shared" si="13"/>
        <v>0</v>
      </c>
      <c r="E82" s="26">
        <f t="shared" si="13"/>
        <v>0</v>
      </c>
      <c r="F82" s="26">
        <f t="shared" si="10"/>
        <v>0</v>
      </c>
      <c r="G82" s="26">
        <f t="shared" si="10"/>
        <v>0</v>
      </c>
      <c r="H82" s="26">
        <f t="shared" si="10"/>
        <v>0</v>
      </c>
      <c r="I82" s="26">
        <f t="shared" si="10"/>
        <v>0</v>
      </c>
      <c r="J82" s="26">
        <f t="shared" si="10"/>
        <v>0</v>
      </c>
      <c r="K82" s="26">
        <f t="shared" si="10"/>
        <v>0.26202762320166401</v>
      </c>
      <c r="L82" s="26">
        <f t="shared" si="10"/>
        <v>0.64183397535833142</v>
      </c>
      <c r="M82" s="26">
        <f t="shared" si="10"/>
        <v>0.86904731086854259</v>
      </c>
      <c r="N82" s="26">
        <f t="shared" si="15"/>
        <v>1.048110492806656</v>
      </c>
      <c r="O82" s="26">
        <f t="shared" si="15"/>
        <v>1.2007614174909924</v>
      </c>
      <c r="P82" s="26">
        <f t="shared" si="15"/>
        <v>1.3360839638056221</v>
      </c>
      <c r="Q82" s="26">
        <f t="shared" si="15"/>
        <v>1.4589080625392776</v>
      </c>
      <c r="R82" s="26">
        <f t="shared" si="15"/>
        <v>1.5721657392099839</v>
      </c>
      <c r="S82" s="26">
        <f t="shared" si="15"/>
        <v>1.6777954249994964</v>
      </c>
      <c r="T82" s="26">
        <f t="shared" si="15"/>
        <v>1.7771578052476957</v>
      </c>
      <c r="U82" s="26">
        <f t="shared" si="15"/>
        <v>1.8712515173958773</v>
      </c>
      <c r="V82" s="26">
        <f t="shared" si="15"/>
        <v>1.9608351837826499</v>
      </c>
      <c r="W82" s="26">
        <f t="shared" si="15"/>
        <v>2.0465011591893871</v>
      </c>
      <c r="X82" s="18">
        <f t="shared" si="14"/>
        <v>39000</v>
      </c>
    </row>
    <row r="83" spans="1:24">
      <c r="A83" s="18">
        <v>39500</v>
      </c>
      <c r="B83" s="25">
        <f t="shared" si="11"/>
        <v>968.1005104214338</v>
      </c>
      <c r="C83" s="17">
        <f t="shared" si="12"/>
        <v>39500</v>
      </c>
      <c r="D83" s="26">
        <f t="shared" si="13"/>
        <v>0</v>
      </c>
      <c r="E83" s="26">
        <f t="shared" si="13"/>
        <v>0</v>
      </c>
      <c r="F83" s="26">
        <f t="shared" si="10"/>
        <v>0</v>
      </c>
      <c r="G83" s="26">
        <f t="shared" si="10"/>
        <v>0</v>
      </c>
      <c r="H83" s="26">
        <f t="shared" si="10"/>
        <v>0</v>
      </c>
      <c r="I83" s="26">
        <f t="shared" si="10"/>
        <v>0</v>
      </c>
      <c r="J83" s="26">
        <f t="shared" si="10"/>
        <v>0</v>
      </c>
      <c r="K83" s="26">
        <f t="shared" si="10"/>
        <v>0.18528150922409015</v>
      </c>
      <c r="L83" s="26">
        <f t="shared" si="10"/>
        <v>0.61450924668707996</v>
      </c>
      <c r="M83" s="26">
        <f t="shared" si="10"/>
        <v>0.84906654089505174</v>
      </c>
      <c r="N83" s="26">
        <f t="shared" si="15"/>
        <v>1.0316037841492511</v>
      </c>
      <c r="O83" s="26">
        <f t="shared" si="15"/>
        <v>1.1863805224609096</v>
      </c>
      <c r="P83" s="26">
        <f t="shared" si="15"/>
        <v>1.3231746372562414</v>
      </c>
      <c r="Q83" s="26">
        <f t="shared" si="15"/>
        <v>1.4470948473689458</v>
      </c>
      <c r="R83" s="26">
        <f t="shared" si="15"/>
        <v>1.5612097469223405</v>
      </c>
      <c r="S83" s="26">
        <f t="shared" si="15"/>
        <v>1.6675335830168112</v>
      </c>
      <c r="T83" s="26">
        <f t="shared" si="15"/>
        <v>1.7674729494655499</v>
      </c>
      <c r="U83" s="26">
        <f t="shared" si="15"/>
        <v>1.8620561225956687</v>
      </c>
      <c r="V83" s="26">
        <f t="shared" si="15"/>
        <v>1.9520618279910047</v>
      </c>
      <c r="W83" s="26">
        <f t="shared" si="15"/>
        <v>2.0380966014649915</v>
      </c>
      <c r="X83" s="18">
        <f t="shared" si="14"/>
        <v>39500</v>
      </c>
    </row>
    <row r="84" spans="1:24">
      <c r="A84" s="18">
        <v>40000</v>
      </c>
      <c r="B84" s="25">
        <f t="shared" si="11"/>
        <v>968.1005104214338</v>
      </c>
      <c r="C84" s="17">
        <f t="shared" si="12"/>
        <v>40000</v>
      </c>
      <c r="D84" s="26">
        <f t="shared" si="13"/>
        <v>0</v>
      </c>
      <c r="E84" s="26">
        <f t="shared" si="13"/>
        <v>0</v>
      </c>
      <c r="F84" s="26">
        <f t="shared" si="10"/>
        <v>0</v>
      </c>
      <c r="G84" s="26">
        <f t="shared" si="10"/>
        <v>0</v>
      </c>
      <c r="H84" s="26">
        <f t="shared" si="10"/>
        <v>0</v>
      </c>
      <c r="I84" s="26">
        <f t="shared" si="10"/>
        <v>0</v>
      </c>
      <c r="J84" s="26">
        <f t="shared" si="10"/>
        <v>0</v>
      </c>
      <c r="K84" s="26">
        <f t="shared" si="10"/>
        <v>0</v>
      </c>
      <c r="L84" s="26">
        <f t="shared" si="10"/>
        <v>0.5859115774616217</v>
      </c>
      <c r="M84" s="26">
        <f t="shared" si="10"/>
        <v>0.82860409919763967</v>
      </c>
      <c r="N84" s="26">
        <f t="shared" si="15"/>
        <v>1.0148286209063568</v>
      </c>
      <c r="O84" s="26">
        <f t="shared" si="15"/>
        <v>1.1718231549232434</v>
      </c>
      <c r="P84" s="26">
        <f t="shared" si="15"/>
        <v>1.3101381160083199</v>
      </c>
      <c r="Q84" s="26">
        <f t="shared" si="15"/>
        <v>1.4351843991701541</v>
      </c>
      <c r="R84" s="26">
        <f t="shared" si="15"/>
        <v>1.5501763242370084</v>
      </c>
      <c r="S84" s="26">
        <f t="shared" si="15"/>
        <v>1.6572081983952793</v>
      </c>
      <c r="T84" s="26">
        <f t="shared" si="15"/>
        <v>1.7577347323848653</v>
      </c>
      <c r="U84" s="26">
        <f t="shared" si="15"/>
        <v>1.8528150922409015</v>
      </c>
      <c r="V84" s="26">
        <f t="shared" si="15"/>
        <v>1.9432488627654527</v>
      </c>
      <c r="W84" s="26">
        <f t="shared" si="15"/>
        <v>2.0296572418127137</v>
      </c>
      <c r="X84" s="18">
        <f t="shared" si="14"/>
        <v>40000</v>
      </c>
    </row>
    <row r="85" spans="1:24">
      <c r="A85" s="18">
        <v>40500</v>
      </c>
      <c r="B85" s="25">
        <f t="shared" si="11"/>
        <v>968.1005104214338</v>
      </c>
      <c r="C85" s="17">
        <f t="shared" si="12"/>
        <v>40500</v>
      </c>
      <c r="D85" s="26">
        <f t="shared" si="13"/>
        <v>0</v>
      </c>
      <c r="E85" s="26">
        <f t="shared" si="13"/>
        <v>0</v>
      </c>
      <c r="F85" s="26">
        <f t="shared" si="10"/>
        <v>0</v>
      </c>
      <c r="G85" s="26">
        <f t="shared" si="10"/>
        <v>0</v>
      </c>
      <c r="H85" s="26">
        <f t="shared" si="10"/>
        <v>0</v>
      </c>
      <c r="I85" s="26">
        <f t="shared" si="10"/>
        <v>0</v>
      </c>
      <c r="J85" s="26">
        <f t="shared" si="10"/>
        <v>0</v>
      </c>
      <c r="K85" s="26">
        <f t="shared" si="10"/>
        <v>0</v>
      </c>
      <c r="L85" s="26">
        <f t="shared" si="10"/>
        <v>0.55584452767227033</v>
      </c>
      <c r="M85" s="26">
        <f t="shared" si="10"/>
        <v>0.80762337481450808</v>
      </c>
      <c r="N85" s="26">
        <f t="shared" si="15"/>
        <v>0.99777146288633711</v>
      </c>
      <c r="O85" s="26">
        <f t="shared" si="15"/>
        <v>1.1570826542446773</v>
      </c>
      <c r="P85" s="26">
        <f t="shared" si="15"/>
        <v>1.2969705645686309</v>
      </c>
      <c r="Q85" s="26">
        <f t="shared" si="15"/>
        <v>1.4231742767352982</v>
      </c>
      <c r="R85" s="26">
        <f t="shared" si="15"/>
        <v>1.5390638058783024</v>
      </c>
      <c r="S85" s="26">
        <f t="shared" si="15"/>
        <v>1.6468180759173647</v>
      </c>
      <c r="T85" s="26">
        <f t="shared" si="15"/>
        <v>1.7479422621390379</v>
      </c>
      <c r="U85" s="26">
        <f t="shared" si="15"/>
        <v>1.8435277400612402</v>
      </c>
      <c r="V85" s="26">
        <f t="shared" si="15"/>
        <v>1.9343957467330384</v>
      </c>
      <c r="W85" s="26">
        <f t="shared" si="15"/>
        <v>2.0211826442908207</v>
      </c>
      <c r="X85" s="18">
        <f t="shared" si="14"/>
        <v>40500</v>
      </c>
    </row>
    <row r="86" spans="1:24">
      <c r="A86" s="18">
        <v>41000</v>
      </c>
      <c r="B86" s="25">
        <f t="shared" si="11"/>
        <v>968.1005104214338</v>
      </c>
      <c r="C86" s="17">
        <f t="shared" si="12"/>
        <v>41000</v>
      </c>
      <c r="D86" s="26">
        <f t="shared" ref="D86:E107" si="16">SQRT(IF((D$3-$A86)&gt;0,(D$3-$A86),0)*2*32.174)/$B86</f>
        <v>0</v>
      </c>
      <c r="E86" s="26">
        <f t="shared" si="16"/>
        <v>0</v>
      </c>
      <c r="F86" s="26">
        <f t="shared" si="10"/>
        <v>0</v>
      </c>
      <c r="G86" s="26">
        <f t="shared" si="10"/>
        <v>0</v>
      </c>
      <c r="H86" s="26">
        <f t="shared" si="10"/>
        <v>0</v>
      </c>
      <c r="I86" s="26">
        <f t="shared" si="10"/>
        <v>0</v>
      </c>
      <c r="J86" s="26">
        <f t="shared" si="10"/>
        <v>0</v>
      </c>
      <c r="K86" s="26">
        <f t="shared" si="10"/>
        <v>0</v>
      </c>
      <c r="L86" s="26">
        <f t="shared" si="10"/>
        <v>0.52405524640332801</v>
      </c>
      <c r="M86" s="26">
        <f t="shared" si="10"/>
        <v>0.78608286960499196</v>
      </c>
      <c r="N86" s="26">
        <f t="shared" si="15"/>
        <v>0.98041759189132494</v>
      </c>
      <c r="O86" s="26">
        <f t="shared" si="15"/>
        <v>1.1421519299522067</v>
      </c>
      <c r="P86" s="26">
        <f t="shared" si="15"/>
        <v>1.2836679507166628</v>
      </c>
      <c r="Q86" s="26">
        <f t="shared" si="15"/>
        <v>1.4110619349627012</v>
      </c>
      <c r="R86" s="26">
        <f t="shared" si="15"/>
        <v>1.527870466009553</v>
      </c>
      <c r="S86" s="26">
        <f t="shared" si="15"/>
        <v>1.6363619824194813</v>
      </c>
      <c r="T86" s="26">
        <f t="shared" si="15"/>
        <v>1.7380946217370852</v>
      </c>
      <c r="U86" s="26">
        <f t="shared" si="15"/>
        <v>1.834193362411648</v>
      </c>
      <c r="V86" s="26">
        <f t="shared" si="15"/>
        <v>1.9255019260749942</v>
      </c>
      <c r="W86" s="26">
        <f t="shared" si="15"/>
        <v>2.0126723637795791</v>
      </c>
      <c r="X86" s="18">
        <f t="shared" si="14"/>
        <v>41000</v>
      </c>
    </row>
    <row r="87" spans="1:24">
      <c r="A87" s="18">
        <v>41500</v>
      </c>
      <c r="B87" s="25">
        <f t="shared" si="11"/>
        <v>968.1005104214338</v>
      </c>
      <c r="C87" s="17">
        <f t="shared" si="12"/>
        <v>41500</v>
      </c>
      <c r="D87" s="26">
        <f t="shared" si="16"/>
        <v>0</v>
      </c>
      <c r="E87" s="26">
        <f t="shared" si="16"/>
        <v>0</v>
      </c>
      <c r="F87" s="26">
        <f t="shared" si="10"/>
        <v>0</v>
      </c>
      <c r="G87" s="26">
        <f t="shared" si="10"/>
        <v>0</v>
      </c>
      <c r="H87" s="26">
        <f t="shared" si="10"/>
        <v>0</v>
      </c>
      <c r="I87" s="26">
        <f t="shared" si="10"/>
        <v>0</v>
      </c>
      <c r="J87" s="26">
        <f t="shared" si="10"/>
        <v>0</v>
      </c>
      <c r="K87" s="26">
        <f t="shared" si="10"/>
        <v>0</v>
      </c>
      <c r="L87" s="26">
        <f t="shared" si="10"/>
        <v>0.49020879594566247</v>
      </c>
      <c r="M87" s="26">
        <f t="shared" si="10"/>
        <v>0.7639352330047765</v>
      </c>
      <c r="N87" s="26">
        <f t="shared" si="15"/>
        <v>0.96275096303749708</v>
      </c>
      <c r="O87" s="26">
        <f t="shared" si="15"/>
        <v>1.1270234218653994</v>
      </c>
      <c r="P87" s="26">
        <f t="shared" si="15"/>
        <v>1.270226031081382</v>
      </c>
      <c r="Q87" s="26">
        <f t="shared" si="15"/>
        <v>1.3988447185589707</v>
      </c>
      <c r="R87" s="26">
        <f t="shared" si="15"/>
        <v>1.5165945151041171</v>
      </c>
      <c r="S87" s="26">
        <f t="shared" si="15"/>
        <v>1.6258386450836559</v>
      </c>
      <c r="T87" s="26">
        <f t="shared" si="15"/>
        <v>1.7281908680614604</v>
      </c>
      <c r="U87" s="26">
        <f t="shared" si="15"/>
        <v>1.824811237650237</v>
      </c>
      <c r="V87" s="26">
        <f t="shared" si="15"/>
        <v>1.9165668341224513</v>
      </c>
      <c r="W87" s="26">
        <f t="shared" si="15"/>
        <v>2.0041259457084335</v>
      </c>
      <c r="X87" s="18">
        <f t="shared" si="14"/>
        <v>41500</v>
      </c>
    </row>
    <row r="88" spans="1:24">
      <c r="A88" s="18">
        <v>42000</v>
      </c>
      <c r="B88" s="25">
        <f t="shared" si="11"/>
        <v>968.1005104214338</v>
      </c>
      <c r="C88" s="17">
        <f t="shared" si="12"/>
        <v>42000</v>
      </c>
      <c r="D88" s="26">
        <f t="shared" si="16"/>
        <v>0</v>
      </c>
      <c r="E88" s="26">
        <f t="shared" si="16"/>
        <v>0</v>
      </c>
      <c r="F88" s="26">
        <f t="shared" si="10"/>
        <v>0</v>
      </c>
      <c r="G88" s="26">
        <f t="shared" si="10"/>
        <v>0</v>
      </c>
      <c r="H88" s="26">
        <f t="shared" si="10"/>
        <v>0</v>
      </c>
      <c r="I88" s="26">
        <f t="shared" si="10"/>
        <v>0</v>
      </c>
      <c r="J88" s="26">
        <f t="shared" si="10"/>
        <v>0</v>
      </c>
      <c r="K88" s="26">
        <f t="shared" si="10"/>
        <v>0</v>
      </c>
      <c r="L88" s="26">
        <f t="shared" si="10"/>
        <v>0.45384515637179557</v>
      </c>
      <c r="M88" s="26">
        <f t="shared" si="10"/>
        <v>0.74112603689636058</v>
      </c>
      <c r="N88" s="26">
        <f t="shared" si="15"/>
        <v>0.94475403104155709</v>
      </c>
      <c r="O88" s="26">
        <f t="shared" si="15"/>
        <v>1.1116890553445407</v>
      </c>
      <c r="P88" s="26">
        <f t="shared" si="15"/>
        <v>1.2566403353292475</v>
      </c>
      <c r="Q88" s="26">
        <f t="shared" si="15"/>
        <v>1.386519855241882</v>
      </c>
      <c r="R88" s="26">
        <f t="shared" si="15"/>
        <v>1.5052340966054201</v>
      </c>
      <c r="S88" s="26">
        <f t="shared" si="15"/>
        <v>1.6152467496290162</v>
      </c>
      <c r="T88" s="26">
        <f t="shared" si="15"/>
        <v>1.71823003081388</v>
      </c>
      <c r="U88" s="26">
        <f t="shared" si="15"/>
        <v>1.8153806254871823</v>
      </c>
      <c r="V88" s="26">
        <f t="shared" si="15"/>
        <v>1.9075898909351034</v>
      </c>
      <c r="W88" s="26">
        <f t="shared" si="15"/>
        <v>1.9955429257726742</v>
      </c>
      <c r="X88" s="18">
        <f t="shared" si="14"/>
        <v>42000</v>
      </c>
    </row>
    <row r="89" spans="1:24">
      <c r="A89" s="18">
        <v>42500</v>
      </c>
      <c r="B89" s="25">
        <f t="shared" si="11"/>
        <v>968.1005104214338</v>
      </c>
      <c r="C89" s="17">
        <f t="shared" si="12"/>
        <v>42500</v>
      </c>
      <c r="D89" s="26">
        <f t="shared" si="16"/>
        <v>0</v>
      </c>
      <c r="E89" s="26">
        <f t="shared" si="16"/>
        <v>0</v>
      </c>
      <c r="F89" s="26">
        <f t="shared" si="10"/>
        <v>0</v>
      </c>
      <c r="G89" s="26">
        <f t="shared" si="10"/>
        <v>0</v>
      </c>
      <c r="H89" s="26">
        <f t="shared" si="10"/>
        <v>0</v>
      </c>
      <c r="I89" s="26">
        <f t="shared" si="10"/>
        <v>0</v>
      </c>
      <c r="J89" s="26">
        <f t="shared" si="10"/>
        <v>0</v>
      </c>
      <c r="K89" s="26">
        <f t="shared" si="10"/>
        <v>0</v>
      </c>
      <c r="L89" s="26">
        <f t="shared" si="10"/>
        <v>0.41430204959881983</v>
      </c>
      <c r="M89" s="26">
        <f t="shared" si="10"/>
        <v>0.71759219958507703</v>
      </c>
      <c r="N89" s="26">
        <f t="shared" si="15"/>
        <v>0.92640754612045073</v>
      </c>
      <c r="O89" s="26">
        <f t="shared" si="15"/>
        <v>1.0961401909028248</v>
      </c>
      <c r="P89" s="26">
        <f t="shared" si="15"/>
        <v>1.2429061487964597</v>
      </c>
      <c r="Q89" s="26">
        <f t="shared" si="15"/>
        <v>1.3740844483944983</v>
      </c>
      <c r="R89" s="26">
        <f t="shared" si="15"/>
        <v>1.4937872833583699</v>
      </c>
      <c r="S89" s="26">
        <f t="shared" si="15"/>
        <v>1.6045849383958286</v>
      </c>
      <c r="T89" s="26">
        <f t="shared" si="15"/>
        <v>1.7082111114058212</v>
      </c>
      <c r="U89" s="26">
        <f t="shared" si="15"/>
        <v>1.8059007663030315</v>
      </c>
      <c r="V89" s="26">
        <f t="shared" si="15"/>
        <v>1.8985705028619406</v>
      </c>
      <c r="W89" s="26">
        <f t="shared" si="15"/>
        <v>1.9869228296390902</v>
      </c>
      <c r="X89" s="18">
        <f t="shared" si="14"/>
        <v>42500</v>
      </c>
    </row>
    <row r="90" spans="1:24">
      <c r="A90" s="18">
        <v>43000</v>
      </c>
      <c r="B90" s="25">
        <f t="shared" si="11"/>
        <v>968.1005104214338</v>
      </c>
      <c r="C90" s="17">
        <f t="shared" si="12"/>
        <v>43000</v>
      </c>
      <c r="D90" s="26">
        <f t="shared" si="16"/>
        <v>0</v>
      </c>
      <c r="E90" s="26">
        <f t="shared" si="16"/>
        <v>0</v>
      </c>
      <c r="F90" s="26">
        <f t="shared" si="10"/>
        <v>0</v>
      </c>
      <c r="G90" s="26">
        <f t="shared" si="10"/>
        <v>0</v>
      </c>
      <c r="H90" s="26">
        <f t="shared" si="10"/>
        <v>0</v>
      </c>
      <c r="I90" s="26">
        <f t="shared" si="10"/>
        <v>0</v>
      </c>
      <c r="J90" s="26">
        <f t="shared" si="10"/>
        <v>0</v>
      </c>
      <c r="K90" s="26">
        <f t="shared" si="10"/>
        <v>0</v>
      </c>
      <c r="L90" s="26">
        <f t="shared" si="10"/>
        <v>0.37056301844818029</v>
      </c>
      <c r="M90" s="26">
        <f t="shared" si="10"/>
        <v>0.69325992762094102</v>
      </c>
      <c r="N90" s="26">
        <f t="shared" si="15"/>
        <v>0.90769031274359113</v>
      </c>
      <c r="O90" s="26">
        <f t="shared" si="15"/>
        <v>1.0803675672900055</v>
      </c>
      <c r="P90" s="26">
        <f t="shared" si="15"/>
        <v>1.2290184933741599</v>
      </c>
      <c r="Q90" s="26">
        <f t="shared" si="15"/>
        <v>1.3615354691153867</v>
      </c>
      <c r="R90" s="26">
        <f t="shared" si="15"/>
        <v>1.4822520737927212</v>
      </c>
      <c r="S90" s="26">
        <f t="shared" si="15"/>
        <v>1.5938518083141822</v>
      </c>
      <c r="T90" s="26">
        <f t="shared" si="15"/>
        <v>1.6981330817901035</v>
      </c>
      <c r="U90" s="26">
        <f t="shared" si="15"/>
        <v>1.796370880434639</v>
      </c>
      <c r="V90" s="26">
        <f t="shared" si="15"/>
        <v>1.8895080620831142</v>
      </c>
      <c r="W90" s="26">
        <f t="shared" si="15"/>
        <v>1.9782651726400715</v>
      </c>
      <c r="X90" s="18">
        <f t="shared" si="14"/>
        <v>43000</v>
      </c>
    </row>
    <row r="91" spans="1:24">
      <c r="A91" s="18">
        <v>43500</v>
      </c>
      <c r="B91" s="25">
        <f t="shared" si="11"/>
        <v>968.1005104214338</v>
      </c>
      <c r="C91" s="17">
        <f t="shared" si="12"/>
        <v>43500</v>
      </c>
      <c r="D91" s="26">
        <f t="shared" si="16"/>
        <v>0</v>
      </c>
      <c r="E91" s="26">
        <f t="shared" si="16"/>
        <v>0</v>
      </c>
      <c r="F91" s="26">
        <f t="shared" si="10"/>
        <v>0</v>
      </c>
      <c r="G91" s="26">
        <f t="shared" si="10"/>
        <v>0</v>
      </c>
      <c r="H91" s="26">
        <f t="shared" si="10"/>
        <v>0</v>
      </c>
      <c r="I91" s="26">
        <f t="shared" si="10"/>
        <v>0</v>
      </c>
      <c r="J91" s="26">
        <f t="shared" si="10"/>
        <v>0</v>
      </c>
      <c r="K91" s="26">
        <f t="shared" si="10"/>
        <v>0</v>
      </c>
      <c r="L91" s="26">
        <f t="shared" si="10"/>
        <v>0.32091698767916571</v>
      </c>
      <c r="M91" s="26">
        <f t="shared" si="10"/>
        <v>0.66804198190281106</v>
      </c>
      <c r="N91" s="26">
        <f t="shared" si="15"/>
        <v>0.88857890262384787</v>
      </c>
      <c r="O91" s="26">
        <f t="shared" si="15"/>
        <v>1.0643612369828994</v>
      </c>
      <c r="P91" s="26">
        <f t="shared" si="15"/>
        <v>1.214972106426865</v>
      </c>
      <c r="Q91" s="26">
        <f t="shared" si="15"/>
        <v>1.3488697476031182</v>
      </c>
      <c r="R91" s="26">
        <f t="shared" si="15"/>
        <v>1.4706263878369874</v>
      </c>
      <c r="S91" s="26">
        <f t="shared" si="15"/>
        <v>1.5830459087487108</v>
      </c>
      <c r="T91" s="26">
        <f t="shared" si="15"/>
        <v>1.6879948832296849</v>
      </c>
      <c r="U91" s="26">
        <f t="shared" si="15"/>
        <v>1.7867901674268201</v>
      </c>
      <c r="V91" s="26">
        <f t="shared" si="15"/>
        <v>1.8804019461319246</v>
      </c>
      <c r="W91" s="26">
        <f t="shared" si="15"/>
        <v>1.9695694594556181</v>
      </c>
      <c r="X91" s="18">
        <f t="shared" si="14"/>
        <v>43500</v>
      </c>
    </row>
    <row r="92" spans="1:24">
      <c r="A92" s="18">
        <v>44000</v>
      </c>
      <c r="B92" s="25">
        <f t="shared" si="11"/>
        <v>968.1005104214338</v>
      </c>
      <c r="C92" s="17">
        <f t="shared" si="12"/>
        <v>44000</v>
      </c>
      <c r="D92" s="26">
        <f t="shared" si="16"/>
        <v>0</v>
      </c>
      <c r="E92" s="26">
        <f t="shared" si="16"/>
        <v>0</v>
      </c>
      <c r="F92" s="26">
        <f t="shared" si="10"/>
        <v>0</v>
      </c>
      <c r="G92" s="26">
        <f t="shared" si="10"/>
        <v>0</v>
      </c>
      <c r="H92" s="26">
        <f t="shared" si="10"/>
        <v>0</v>
      </c>
      <c r="I92" s="26">
        <f t="shared" si="10"/>
        <v>0</v>
      </c>
      <c r="J92" s="26">
        <f t="shared" si="10"/>
        <v>0</v>
      </c>
      <c r="K92" s="26">
        <f t="shared" si="10"/>
        <v>0</v>
      </c>
      <c r="L92" s="26">
        <f t="shared" si="10"/>
        <v>0.26202762320166401</v>
      </c>
      <c r="M92" s="26">
        <f t="shared" si="10"/>
        <v>0.64183397535833142</v>
      </c>
      <c r="N92" s="26">
        <f t="shared" si="15"/>
        <v>0.86904731086854259</v>
      </c>
      <c r="O92" s="26">
        <f t="shared" si="15"/>
        <v>1.048110492806656</v>
      </c>
      <c r="P92" s="26">
        <f t="shared" si="15"/>
        <v>1.2007614174909924</v>
      </c>
      <c r="Q92" s="26">
        <f t="shared" si="15"/>
        <v>1.3360839638056221</v>
      </c>
      <c r="R92" s="26">
        <f t="shared" si="15"/>
        <v>1.4589080625392776</v>
      </c>
      <c r="S92" s="26">
        <f t="shared" si="15"/>
        <v>1.5721657392099839</v>
      </c>
      <c r="T92" s="26">
        <f t="shared" si="15"/>
        <v>1.6777954249994964</v>
      </c>
      <c r="U92" s="26">
        <f t="shared" si="15"/>
        <v>1.7771578052476957</v>
      </c>
      <c r="V92" s="26">
        <f t="shared" si="15"/>
        <v>1.8712515173958773</v>
      </c>
      <c r="W92" s="26">
        <f t="shared" si="15"/>
        <v>1.9608351837826499</v>
      </c>
      <c r="X92" s="18">
        <f t="shared" si="14"/>
        <v>44000</v>
      </c>
    </row>
    <row r="93" spans="1:24">
      <c r="A93" s="18">
        <v>44500</v>
      </c>
      <c r="B93" s="25">
        <f t="shared" si="11"/>
        <v>968.1005104214338</v>
      </c>
      <c r="C93" s="17">
        <f t="shared" si="12"/>
        <v>44500</v>
      </c>
      <c r="D93" s="26">
        <f t="shared" si="16"/>
        <v>0</v>
      </c>
      <c r="E93" s="26">
        <f t="shared" si="16"/>
        <v>0</v>
      </c>
      <c r="F93" s="26">
        <f t="shared" si="10"/>
        <v>0</v>
      </c>
      <c r="G93" s="26">
        <f t="shared" si="10"/>
        <v>0</v>
      </c>
      <c r="H93" s="26">
        <f t="shared" si="10"/>
        <v>0</v>
      </c>
      <c r="I93" s="26">
        <f t="shared" si="10"/>
        <v>0</v>
      </c>
      <c r="J93" s="26">
        <f t="shared" si="10"/>
        <v>0</v>
      </c>
      <c r="K93" s="26">
        <f t="shared" si="10"/>
        <v>0</v>
      </c>
      <c r="L93" s="26">
        <f t="shared" si="10"/>
        <v>0.18528150922409015</v>
      </c>
      <c r="M93" s="26">
        <f t="shared" si="10"/>
        <v>0.61450924668707996</v>
      </c>
      <c r="N93" s="26">
        <f t="shared" si="15"/>
        <v>0.84906654089505174</v>
      </c>
      <c r="O93" s="26">
        <f t="shared" si="15"/>
        <v>1.0316037841492511</v>
      </c>
      <c r="P93" s="26">
        <f t="shared" si="15"/>
        <v>1.1863805224609096</v>
      </c>
      <c r="Q93" s="26">
        <f t="shared" si="15"/>
        <v>1.3231746372562414</v>
      </c>
      <c r="R93" s="26">
        <f t="shared" si="15"/>
        <v>1.4470948473689458</v>
      </c>
      <c r="S93" s="26">
        <f t="shared" si="15"/>
        <v>1.5612097469223405</v>
      </c>
      <c r="T93" s="26">
        <f t="shared" si="15"/>
        <v>1.6675335830168112</v>
      </c>
      <c r="U93" s="26">
        <f t="shared" si="15"/>
        <v>1.7674729494655499</v>
      </c>
      <c r="V93" s="26">
        <f t="shared" si="15"/>
        <v>1.8620561225956687</v>
      </c>
      <c r="W93" s="26">
        <f t="shared" si="15"/>
        <v>1.9520618279910047</v>
      </c>
      <c r="X93" s="18">
        <f t="shared" si="14"/>
        <v>44500</v>
      </c>
    </row>
    <row r="94" spans="1:24">
      <c r="A94" s="18">
        <v>45000</v>
      </c>
      <c r="B94" s="25">
        <f t="shared" si="11"/>
        <v>968.1005104214338</v>
      </c>
      <c r="C94" s="17">
        <f t="shared" si="12"/>
        <v>45000</v>
      </c>
      <c r="D94" s="26">
        <f t="shared" si="16"/>
        <v>0</v>
      </c>
      <c r="E94" s="26">
        <f t="shared" si="16"/>
        <v>0</v>
      </c>
      <c r="F94" s="26">
        <f t="shared" si="10"/>
        <v>0</v>
      </c>
      <c r="G94" s="26">
        <f t="shared" si="10"/>
        <v>0</v>
      </c>
      <c r="H94" s="26">
        <f t="shared" si="10"/>
        <v>0</v>
      </c>
      <c r="I94" s="26">
        <f t="shared" si="10"/>
        <v>0</v>
      </c>
      <c r="J94" s="26">
        <f t="shared" si="10"/>
        <v>0</v>
      </c>
      <c r="K94" s="26">
        <f t="shared" si="10"/>
        <v>0</v>
      </c>
      <c r="L94" s="26">
        <f t="shared" si="10"/>
        <v>0</v>
      </c>
      <c r="M94" s="26">
        <f t="shared" si="10"/>
        <v>0.5859115774616217</v>
      </c>
      <c r="N94" s="26">
        <f t="shared" si="15"/>
        <v>0.82860409919763967</v>
      </c>
      <c r="O94" s="26">
        <f t="shared" si="15"/>
        <v>1.0148286209063568</v>
      </c>
      <c r="P94" s="26">
        <f t="shared" si="15"/>
        <v>1.1718231549232434</v>
      </c>
      <c r="Q94" s="26">
        <f t="shared" si="15"/>
        <v>1.3101381160083199</v>
      </c>
      <c r="R94" s="26">
        <f t="shared" si="15"/>
        <v>1.4351843991701541</v>
      </c>
      <c r="S94" s="26">
        <f t="shared" si="15"/>
        <v>1.5501763242370084</v>
      </c>
      <c r="T94" s="26">
        <f t="shared" si="15"/>
        <v>1.6572081983952793</v>
      </c>
      <c r="U94" s="26">
        <f t="shared" si="15"/>
        <v>1.7577347323848653</v>
      </c>
      <c r="V94" s="26">
        <f t="shared" si="15"/>
        <v>1.8528150922409015</v>
      </c>
      <c r="W94" s="26">
        <f t="shared" si="15"/>
        <v>1.9432488627654527</v>
      </c>
      <c r="X94" s="18">
        <f t="shared" si="14"/>
        <v>45000</v>
      </c>
    </row>
    <row r="95" spans="1:24">
      <c r="A95" s="18">
        <v>45500</v>
      </c>
      <c r="B95" s="25">
        <f t="shared" si="11"/>
        <v>968.1005104214338</v>
      </c>
      <c r="C95" s="17">
        <f t="shared" si="12"/>
        <v>45500</v>
      </c>
      <c r="D95" s="26">
        <f t="shared" si="16"/>
        <v>0</v>
      </c>
      <c r="E95" s="26">
        <f t="shared" si="16"/>
        <v>0</v>
      </c>
      <c r="F95" s="26">
        <f t="shared" si="10"/>
        <v>0</v>
      </c>
      <c r="G95" s="26">
        <f t="shared" si="10"/>
        <v>0</v>
      </c>
      <c r="H95" s="26">
        <f t="shared" si="10"/>
        <v>0</v>
      </c>
      <c r="I95" s="26">
        <f t="shared" si="10"/>
        <v>0</v>
      </c>
      <c r="J95" s="26">
        <f t="shared" si="10"/>
        <v>0</v>
      </c>
      <c r="K95" s="26">
        <f t="shared" si="10"/>
        <v>0</v>
      </c>
      <c r="L95" s="26">
        <f t="shared" si="10"/>
        <v>0</v>
      </c>
      <c r="M95" s="26">
        <f t="shared" si="10"/>
        <v>0.55584452767227033</v>
      </c>
      <c r="N95" s="26">
        <f t="shared" si="15"/>
        <v>0.80762337481450808</v>
      </c>
      <c r="O95" s="26">
        <f t="shared" si="15"/>
        <v>0.99777146288633711</v>
      </c>
      <c r="P95" s="26">
        <f t="shared" si="15"/>
        <v>1.1570826542446773</v>
      </c>
      <c r="Q95" s="26">
        <f t="shared" si="15"/>
        <v>1.2969705645686309</v>
      </c>
      <c r="R95" s="26">
        <f t="shared" si="15"/>
        <v>1.4231742767352982</v>
      </c>
      <c r="S95" s="26">
        <f t="shared" si="15"/>
        <v>1.5390638058783024</v>
      </c>
      <c r="T95" s="26">
        <f t="shared" si="15"/>
        <v>1.6468180759173647</v>
      </c>
      <c r="U95" s="26">
        <f t="shared" si="15"/>
        <v>1.7479422621390379</v>
      </c>
      <c r="V95" s="26">
        <f t="shared" si="15"/>
        <v>1.8435277400612402</v>
      </c>
      <c r="W95" s="26">
        <f t="shared" si="15"/>
        <v>1.9343957467330384</v>
      </c>
      <c r="X95" s="18">
        <f t="shared" si="14"/>
        <v>45500</v>
      </c>
    </row>
    <row r="96" spans="1:24">
      <c r="A96" s="18">
        <v>46000</v>
      </c>
      <c r="B96" s="25">
        <f t="shared" si="11"/>
        <v>968.1005104214338</v>
      </c>
      <c r="C96" s="17">
        <f t="shared" si="12"/>
        <v>46000</v>
      </c>
      <c r="D96" s="26">
        <f t="shared" si="16"/>
        <v>0</v>
      </c>
      <c r="E96" s="26">
        <f t="shared" si="16"/>
        <v>0</v>
      </c>
      <c r="F96" s="26">
        <f t="shared" si="10"/>
        <v>0</v>
      </c>
      <c r="G96" s="26">
        <f t="shared" si="10"/>
        <v>0</v>
      </c>
      <c r="H96" s="26">
        <f t="shared" si="10"/>
        <v>0</v>
      </c>
      <c r="I96" s="26">
        <f t="shared" si="10"/>
        <v>0</v>
      </c>
      <c r="J96" s="26">
        <f t="shared" si="10"/>
        <v>0</v>
      </c>
      <c r="K96" s="26">
        <f t="shared" si="10"/>
        <v>0</v>
      </c>
      <c r="L96" s="26">
        <f t="shared" si="10"/>
        <v>0</v>
      </c>
      <c r="M96" s="26">
        <f t="shared" si="10"/>
        <v>0.52405524640332801</v>
      </c>
      <c r="N96" s="26">
        <f t="shared" si="15"/>
        <v>0.78608286960499196</v>
      </c>
      <c r="O96" s="26">
        <f t="shared" si="15"/>
        <v>0.98041759189132494</v>
      </c>
      <c r="P96" s="26">
        <f t="shared" si="15"/>
        <v>1.1421519299522067</v>
      </c>
      <c r="Q96" s="26">
        <f t="shared" si="15"/>
        <v>1.2836679507166628</v>
      </c>
      <c r="R96" s="26">
        <f t="shared" si="15"/>
        <v>1.4110619349627012</v>
      </c>
      <c r="S96" s="26">
        <f t="shared" ref="N96:W121" si="17">SQRT(IF((S$3-$A96)&gt;0,(S$3-$A96),0)*2*32.174)/$B96</f>
        <v>1.527870466009553</v>
      </c>
      <c r="T96" s="26">
        <f t="shared" si="17"/>
        <v>1.6363619824194813</v>
      </c>
      <c r="U96" s="26">
        <f t="shared" si="17"/>
        <v>1.7380946217370852</v>
      </c>
      <c r="V96" s="26">
        <f t="shared" si="17"/>
        <v>1.834193362411648</v>
      </c>
      <c r="W96" s="26">
        <f t="shared" si="17"/>
        <v>1.9255019260749942</v>
      </c>
      <c r="X96" s="18">
        <f t="shared" si="14"/>
        <v>46000</v>
      </c>
    </row>
    <row r="97" spans="1:24">
      <c r="A97" s="18">
        <v>46500</v>
      </c>
      <c r="B97" s="25">
        <f t="shared" si="11"/>
        <v>968.1005104214338</v>
      </c>
      <c r="C97" s="17">
        <f t="shared" si="12"/>
        <v>46500</v>
      </c>
      <c r="D97" s="26">
        <f t="shared" si="16"/>
        <v>0</v>
      </c>
      <c r="E97" s="26">
        <f t="shared" si="16"/>
        <v>0</v>
      </c>
      <c r="F97" s="26">
        <f t="shared" si="10"/>
        <v>0</v>
      </c>
      <c r="G97" s="26">
        <f t="shared" si="10"/>
        <v>0</v>
      </c>
      <c r="H97" s="26">
        <f t="shared" si="10"/>
        <v>0</v>
      </c>
      <c r="I97" s="26">
        <f t="shared" si="10"/>
        <v>0</v>
      </c>
      <c r="J97" s="26">
        <f t="shared" si="10"/>
        <v>0</v>
      </c>
      <c r="K97" s="26">
        <f t="shared" si="10"/>
        <v>0</v>
      </c>
      <c r="L97" s="26">
        <f t="shared" si="10"/>
        <v>0</v>
      </c>
      <c r="M97" s="26">
        <f t="shared" si="10"/>
        <v>0.49020879594566247</v>
      </c>
      <c r="N97" s="26">
        <f t="shared" si="17"/>
        <v>0.7639352330047765</v>
      </c>
      <c r="O97" s="26">
        <f t="shared" si="17"/>
        <v>0.96275096303749708</v>
      </c>
      <c r="P97" s="26">
        <f t="shared" si="17"/>
        <v>1.1270234218653994</v>
      </c>
      <c r="Q97" s="26">
        <f t="shared" si="17"/>
        <v>1.270226031081382</v>
      </c>
      <c r="R97" s="26">
        <f t="shared" si="17"/>
        <v>1.3988447185589707</v>
      </c>
      <c r="S97" s="26">
        <f t="shared" si="17"/>
        <v>1.5165945151041171</v>
      </c>
      <c r="T97" s="26">
        <f t="shared" si="17"/>
        <v>1.6258386450836559</v>
      </c>
      <c r="U97" s="26">
        <f t="shared" si="17"/>
        <v>1.7281908680614604</v>
      </c>
      <c r="V97" s="26">
        <f t="shared" si="17"/>
        <v>1.824811237650237</v>
      </c>
      <c r="W97" s="26">
        <f t="shared" si="17"/>
        <v>1.9165668341224513</v>
      </c>
      <c r="X97" s="18">
        <f t="shared" si="14"/>
        <v>46500</v>
      </c>
    </row>
    <row r="98" spans="1:24">
      <c r="A98" s="18">
        <v>47000</v>
      </c>
      <c r="B98" s="25">
        <f t="shared" si="11"/>
        <v>968.1005104214338</v>
      </c>
      <c r="C98" s="17">
        <f t="shared" si="12"/>
        <v>47000</v>
      </c>
      <c r="D98" s="26">
        <f t="shared" si="16"/>
        <v>0</v>
      </c>
      <c r="E98" s="26">
        <f t="shared" si="16"/>
        <v>0</v>
      </c>
      <c r="F98" s="26">
        <f t="shared" si="10"/>
        <v>0</v>
      </c>
      <c r="G98" s="26">
        <f t="shared" si="10"/>
        <v>0</v>
      </c>
      <c r="H98" s="26">
        <f t="shared" si="10"/>
        <v>0</v>
      </c>
      <c r="I98" s="26">
        <f t="shared" si="10"/>
        <v>0</v>
      </c>
      <c r="J98" s="26">
        <f t="shared" si="10"/>
        <v>0</v>
      </c>
      <c r="K98" s="26">
        <f t="shared" si="10"/>
        <v>0</v>
      </c>
      <c r="L98" s="26">
        <f t="shared" si="10"/>
        <v>0</v>
      </c>
      <c r="M98" s="26">
        <f t="shared" si="10"/>
        <v>0.45384515637179557</v>
      </c>
      <c r="N98" s="26">
        <f t="shared" si="17"/>
        <v>0.74112603689636058</v>
      </c>
      <c r="O98" s="26">
        <f t="shared" si="17"/>
        <v>0.94475403104155709</v>
      </c>
      <c r="P98" s="26">
        <f t="shared" si="17"/>
        <v>1.1116890553445407</v>
      </c>
      <c r="Q98" s="26">
        <f t="shared" si="17"/>
        <v>1.2566403353292475</v>
      </c>
      <c r="R98" s="26">
        <f t="shared" si="17"/>
        <v>1.386519855241882</v>
      </c>
      <c r="S98" s="26">
        <f t="shared" si="17"/>
        <v>1.5052340966054201</v>
      </c>
      <c r="T98" s="26">
        <f t="shared" si="17"/>
        <v>1.6152467496290162</v>
      </c>
      <c r="U98" s="26">
        <f t="shared" si="17"/>
        <v>1.71823003081388</v>
      </c>
      <c r="V98" s="26">
        <f t="shared" si="17"/>
        <v>1.8153806254871823</v>
      </c>
      <c r="W98" s="26">
        <f t="shared" si="17"/>
        <v>1.9075898909351034</v>
      </c>
      <c r="X98" s="18">
        <f t="shared" si="14"/>
        <v>47000</v>
      </c>
    </row>
    <row r="99" spans="1:24">
      <c r="A99" s="18">
        <v>47500</v>
      </c>
      <c r="B99" s="25">
        <f t="shared" si="11"/>
        <v>968.1005104214338</v>
      </c>
      <c r="C99" s="17">
        <f t="shared" si="12"/>
        <v>47500</v>
      </c>
      <c r="D99" s="26">
        <f t="shared" si="16"/>
        <v>0</v>
      </c>
      <c r="E99" s="26">
        <f t="shared" si="16"/>
        <v>0</v>
      </c>
      <c r="F99" s="26">
        <f t="shared" si="10"/>
        <v>0</v>
      </c>
      <c r="G99" s="26">
        <f t="shared" si="10"/>
        <v>0</v>
      </c>
      <c r="H99" s="26">
        <f t="shared" si="10"/>
        <v>0</v>
      </c>
      <c r="I99" s="26">
        <f t="shared" si="10"/>
        <v>0</v>
      </c>
      <c r="J99" s="26">
        <f t="shared" si="10"/>
        <v>0</v>
      </c>
      <c r="K99" s="26">
        <f t="shared" ref="F99:M131" si="18">SQRT(IF((K$3-$A99)&gt;0,(K$3-$A99),0)*2*32.174)/$B99</f>
        <v>0</v>
      </c>
      <c r="L99" s="26">
        <f t="shared" si="18"/>
        <v>0</v>
      </c>
      <c r="M99" s="26">
        <f t="shared" si="18"/>
        <v>0.41430204959881983</v>
      </c>
      <c r="N99" s="26">
        <f t="shared" si="17"/>
        <v>0.71759219958507703</v>
      </c>
      <c r="O99" s="26">
        <f t="shared" si="17"/>
        <v>0.92640754612045073</v>
      </c>
      <c r="P99" s="26">
        <f t="shared" si="17"/>
        <v>1.0961401909028248</v>
      </c>
      <c r="Q99" s="26">
        <f t="shared" si="17"/>
        <v>1.2429061487964597</v>
      </c>
      <c r="R99" s="26">
        <f t="shared" si="17"/>
        <v>1.3740844483944983</v>
      </c>
      <c r="S99" s="26">
        <f t="shared" si="17"/>
        <v>1.4937872833583699</v>
      </c>
      <c r="T99" s="26">
        <f t="shared" si="17"/>
        <v>1.6045849383958286</v>
      </c>
      <c r="U99" s="26">
        <f t="shared" si="17"/>
        <v>1.7082111114058212</v>
      </c>
      <c r="V99" s="26">
        <f t="shared" si="17"/>
        <v>1.8059007663030315</v>
      </c>
      <c r="W99" s="26">
        <f t="shared" si="17"/>
        <v>1.8985705028619406</v>
      </c>
      <c r="X99" s="18">
        <f t="shared" si="14"/>
        <v>47500</v>
      </c>
    </row>
    <row r="100" spans="1:24">
      <c r="A100" s="18">
        <v>48000</v>
      </c>
      <c r="B100" s="25">
        <f t="shared" ref="B100:B131" si="19">Linterp(A100,atmos_h,atmos_aspeed)</f>
        <v>968.1005104214338</v>
      </c>
      <c r="C100" s="17">
        <f t="shared" si="12"/>
        <v>48000</v>
      </c>
      <c r="D100" s="26">
        <f t="shared" si="16"/>
        <v>0</v>
      </c>
      <c r="E100" s="26">
        <f t="shared" si="16"/>
        <v>0</v>
      </c>
      <c r="F100" s="26">
        <f t="shared" si="18"/>
        <v>0</v>
      </c>
      <c r="G100" s="26">
        <f t="shared" si="18"/>
        <v>0</v>
      </c>
      <c r="H100" s="26">
        <f t="shared" si="18"/>
        <v>0</v>
      </c>
      <c r="I100" s="26">
        <f t="shared" si="18"/>
        <v>0</v>
      </c>
      <c r="J100" s="26">
        <f t="shared" si="18"/>
        <v>0</v>
      </c>
      <c r="K100" s="26">
        <f t="shared" si="18"/>
        <v>0</v>
      </c>
      <c r="L100" s="26">
        <f t="shared" si="18"/>
        <v>0</v>
      </c>
      <c r="M100" s="26">
        <f t="shared" si="18"/>
        <v>0.37056301844818029</v>
      </c>
      <c r="N100" s="26">
        <f t="shared" si="17"/>
        <v>0.69325992762094102</v>
      </c>
      <c r="O100" s="26">
        <f t="shared" si="17"/>
        <v>0.90769031274359113</v>
      </c>
      <c r="P100" s="26">
        <f t="shared" si="17"/>
        <v>1.0803675672900055</v>
      </c>
      <c r="Q100" s="26">
        <f t="shared" si="17"/>
        <v>1.2290184933741599</v>
      </c>
      <c r="R100" s="26">
        <f t="shared" si="17"/>
        <v>1.3615354691153867</v>
      </c>
      <c r="S100" s="26">
        <f t="shared" si="17"/>
        <v>1.4822520737927212</v>
      </c>
      <c r="T100" s="26">
        <f t="shared" si="17"/>
        <v>1.5938518083141822</v>
      </c>
      <c r="U100" s="26">
        <f t="shared" si="17"/>
        <v>1.6981330817901035</v>
      </c>
      <c r="V100" s="26">
        <f t="shared" si="17"/>
        <v>1.796370880434639</v>
      </c>
      <c r="W100" s="26">
        <f t="shared" si="17"/>
        <v>1.8895080620831142</v>
      </c>
      <c r="X100" s="18">
        <f t="shared" si="14"/>
        <v>48000</v>
      </c>
    </row>
    <row r="101" spans="1:24">
      <c r="A101" s="18">
        <v>48500</v>
      </c>
      <c r="B101" s="25">
        <f t="shared" si="19"/>
        <v>968.1005104214338</v>
      </c>
      <c r="C101" s="17">
        <f t="shared" si="12"/>
        <v>48500</v>
      </c>
      <c r="D101" s="26">
        <f t="shared" si="16"/>
        <v>0</v>
      </c>
      <c r="E101" s="26">
        <f t="shared" si="16"/>
        <v>0</v>
      </c>
      <c r="F101" s="26">
        <f t="shared" si="18"/>
        <v>0</v>
      </c>
      <c r="G101" s="26">
        <f t="shared" si="18"/>
        <v>0</v>
      </c>
      <c r="H101" s="26">
        <f t="shared" si="18"/>
        <v>0</v>
      </c>
      <c r="I101" s="26">
        <f t="shared" si="18"/>
        <v>0</v>
      </c>
      <c r="J101" s="26">
        <f t="shared" si="18"/>
        <v>0</v>
      </c>
      <c r="K101" s="26">
        <f t="shared" si="18"/>
        <v>0</v>
      </c>
      <c r="L101" s="26">
        <f t="shared" si="18"/>
        <v>0</v>
      </c>
      <c r="M101" s="26">
        <f t="shared" si="18"/>
        <v>0.32091698767916571</v>
      </c>
      <c r="N101" s="26">
        <f t="shared" si="17"/>
        <v>0.66804198190281106</v>
      </c>
      <c r="O101" s="26">
        <f t="shared" si="17"/>
        <v>0.88857890262384787</v>
      </c>
      <c r="P101" s="26">
        <f t="shared" si="17"/>
        <v>1.0643612369828994</v>
      </c>
      <c r="Q101" s="26">
        <f t="shared" si="17"/>
        <v>1.214972106426865</v>
      </c>
      <c r="R101" s="26">
        <f t="shared" si="17"/>
        <v>1.3488697476031182</v>
      </c>
      <c r="S101" s="26">
        <f t="shared" si="17"/>
        <v>1.4706263878369874</v>
      </c>
      <c r="T101" s="26">
        <f t="shared" si="17"/>
        <v>1.5830459087487108</v>
      </c>
      <c r="U101" s="26">
        <f t="shared" si="17"/>
        <v>1.6879948832296849</v>
      </c>
      <c r="V101" s="26">
        <f t="shared" si="17"/>
        <v>1.7867901674268201</v>
      </c>
      <c r="W101" s="26">
        <f t="shared" si="17"/>
        <v>1.8804019461319246</v>
      </c>
      <c r="X101" s="18">
        <f t="shared" si="14"/>
        <v>48500</v>
      </c>
    </row>
    <row r="102" spans="1:24">
      <c r="A102" s="18">
        <v>49000</v>
      </c>
      <c r="B102" s="25">
        <f t="shared" si="19"/>
        <v>968.1005104214338</v>
      </c>
      <c r="C102" s="17">
        <f t="shared" si="12"/>
        <v>49000</v>
      </c>
      <c r="D102" s="26">
        <f t="shared" si="16"/>
        <v>0</v>
      </c>
      <c r="E102" s="26">
        <f t="shared" si="16"/>
        <v>0</v>
      </c>
      <c r="F102" s="26">
        <f t="shared" si="18"/>
        <v>0</v>
      </c>
      <c r="G102" s="26">
        <f t="shared" si="18"/>
        <v>0</v>
      </c>
      <c r="H102" s="26">
        <f t="shared" si="18"/>
        <v>0</v>
      </c>
      <c r="I102" s="26">
        <f t="shared" si="18"/>
        <v>0</v>
      </c>
      <c r="J102" s="26">
        <f t="shared" si="18"/>
        <v>0</v>
      </c>
      <c r="K102" s="26">
        <f t="shared" si="18"/>
        <v>0</v>
      </c>
      <c r="L102" s="26">
        <f t="shared" si="18"/>
        <v>0</v>
      </c>
      <c r="M102" s="26">
        <f t="shared" si="18"/>
        <v>0.26202762320166401</v>
      </c>
      <c r="N102" s="26">
        <f t="shared" si="17"/>
        <v>0.64183397535833142</v>
      </c>
      <c r="O102" s="26">
        <f t="shared" si="17"/>
        <v>0.86904731086854259</v>
      </c>
      <c r="P102" s="26">
        <f t="shared" si="17"/>
        <v>1.048110492806656</v>
      </c>
      <c r="Q102" s="26">
        <f t="shared" si="17"/>
        <v>1.2007614174909924</v>
      </c>
      <c r="R102" s="26">
        <f t="shared" si="17"/>
        <v>1.3360839638056221</v>
      </c>
      <c r="S102" s="26">
        <f t="shared" si="17"/>
        <v>1.4589080625392776</v>
      </c>
      <c r="T102" s="26">
        <f t="shared" si="17"/>
        <v>1.5721657392099839</v>
      </c>
      <c r="U102" s="26">
        <f t="shared" si="17"/>
        <v>1.6777954249994964</v>
      </c>
      <c r="V102" s="26">
        <f t="shared" si="17"/>
        <v>1.7771578052476957</v>
      </c>
      <c r="W102" s="26">
        <f t="shared" si="17"/>
        <v>1.8712515173958773</v>
      </c>
      <c r="X102" s="18">
        <f t="shared" si="14"/>
        <v>49000</v>
      </c>
    </row>
    <row r="103" spans="1:24">
      <c r="A103" s="18">
        <v>49500</v>
      </c>
      <c r="B103" s="25">
        <f t="shared" si="19"/>
        <v>968.1005104214338</v>
      </c>
      <c r="C103" s="17">
        <f t="shared" si="12"/>
        <v>49500</v>
      </c>
      <c r="D103" s="26">
        <f t="shared" si="16"/>
        <v>0</v>
      </c>
      <c r="E103" s="26">
        <f t="shared" si="16"/>
        <v>0</v>
      </c>
      <c r="F103" s="26">
        <f t="shared" si="18"/>
        <v>0</v>
      </c>
      <c r="G103" s="26">
        <f t="shared" si="18"/>
        <v>0</v>
      </c>
      <c r="H103" s="26">
        <f t="shared" si="18"/>
        <v>0</v>
      </c>
      <c r="I103" s="26">
        <f t="shared" si="18"/>
        <v>0</v>
      </c>
      <c r="J103" s="26">
        <f t="shared" si="18"/>
        <v>0</v>
      </c>
      <c r="K103" s="26">
        <f t="shared" si="18"/>
        <v>0</v>
      </c>
      <c r="L103" s="26">
        <f t="shared" si="18"/>
        <v>0</v>
      </c>
      <c r="M103" s="26">
        <f t="shared" si="18"/>
        <v>0.18528150922409015</v>
      </c>
      <c r="N103" s="26">
        <f t="shared" si="17"/>
        <v>0.61450924668707996</v>
      </c>
      <c r="O103" s="26">
        <f t="shared" si="17"/>
        <v>0.84906654089505174</v>
      </c>
      <c r="P103" s="26">
        <f t="shared" si="17"/>
        <v>1.0316037841492511</v>
      </c>
      <c r="Q103" s="26">
        <f t="shared" si="17"/>
        <v>1.1863805224609096</v>
      </c>
      <c r="R103" s="26">
        <f t="shared" si="17"/>
        <v>1.3231746372562414</v>
      </c>
      <c r="S103" s="26">
        <f t="shared" si="17"/>
        <v>1.4470948473689458</v>
      </c>
      <c r="T103" s="26">
        <f t="shared" si="17"/>
        <v>1.5612097469223405</v>
      </c>
      <c r="U103" s="26">
        <f t="shared" si="17"/>
        <v>1.6675335830168112</v>
      </c>
      <c r="V103" s="26">
        <f t="shared" si="17"/>
        <v>1.7674729494655499</v>
      </c>
      <c r="W103" s="26">
        <f t="shared" si="17"/>
        <v>1.8620561225956687</v>
      </c>
      <c r="X103" s="18">
        <f t="shared" si="14"/>
        <v>49500</v>
      </c>
    </row>
    <row r="104" spans="1:24">
      <c r="A104" s="18">
        <v>50000</v>
      </c>
      <c r="B104" s="25">
        <f t="shared" si="19"/>
        <v>968.1005104214338</v>
      </c>
      <c r="C104" s="17">
        <f t="shared" si="12"/>
        <v>50000</v>
      </c>
      <c r="D104" s="26">
        <f t="shared" si="16"/>
        <v>0</v>
      </c>
      <c r="E104" s="26">
        <f t="shared" si="16"/>
        <v>0</v>
      </c>
      <c r="F104" s="26">
        <f t="shared" si="18"/>
        <v>0</v>
      </c>
      <c r="G104" s="26">
        <f t="shared" si="18"/>
        <v>0</v>
      </c>
      <c r="H104" s="26">
        <f t="shared" si="18"/>
        <v>0</v>
      </c>
      <c r="I104" s="26">
        <f t="shared" si="18"/>
        <v>0</v>
      </c>
      <c r="J104" s="26">
        <f t="shared" si="18"/>
        <v>0</v>
      </c>
      <c r="K104" s="26">
        <f t="shared" si="18"/>
        <v>0</v>
      </c>
      <c r="L104" s="26">
        <f t="shared" si="18"/>
        <v>0</v>
      </c>
      <c r="M104" s="26">
        <f t="shared" si="18"/>
        <v>0</v>
      </c>
      <c r="N104" s="26">
        <f t="shared" si="17"/>
        <v>0.5859115774616217</v>
      </c>
      <c r="O104" s="26">
        <f t="shared" si="17"/>
        <v>0.82860409919763967</v>
      </c>
      <c r="P104" s="26">
        <f t="shared" si="17"/>
        <v>1.0148286209063568</v>
      </c>
      <c r="Q104" s="26">
        <f t="shared" si="17"/>
        <v>1.1718231549232434</v>
      </c>
      <c r="R104" s="26">
        <f t="shared" si="17"/>
        <v>1.3101381160083199</v>
      </c>
      <c r="S104" s="26">
        <f t="shared" si="17"/>
        <v>1.4351843991701541</v>
      </c>
      <c r="T104" s="26">
        <f t="shared" si="17"/>
        <v>1.5501763242370084</v>
      </c>
      <c r="U104" s="26">
        <f t="shared" si="17"/>
        <v>1.6572081983952793</v>
      </c>
      <c r="V104" s="26">
        <f t="shared" si="17"/>
        <v>1.7577347323848653</v>
      </c>
      <c r="W104" s="26">
        <f t="shared" si="17"/>
        <v>1.8528150922409015</v>
      </c>
      <c r="X104" s="18">
        <f t="shared" si="14"/>
        <v>50000</v>
      </c>
    </row>
    <row r="105" spans="1:24">
      <c r="A105" s="18">
        <v>50500</v>
      </c>
      <c r="B105" s="25">
        <f t="shared" si="19"/>
        <v>968.1005104214338</v>
      </c>
      <c r="C105" s="17">
        <f t="shared" si="12"/>
        <v>50500</v>
      </c>
      <c r="D105" s="26">
        <f t="shared" si="16"/>
        <v>0</v>
      </c>
      <c r="E105" s="26">
        <f t="shared" si="16"/>
        <v>0</v>
      </c>
      <c r="F105" s="26">
        <f t="shared" si="18"/>
        <v>0</v>
      </c>
      <c r="G105" s="26">
        <f t="shared" si="18"/>
        <v>0</v>
      </c>
      <c r="H105" s="26">
        <f t="shared" si="18"/>
        <v>0</v>
      </c>
      <c r="I105" s="26">
        <f t="shared" si="18"/>
        <v>0</v>
      </c>
      <c r="J105" s="26">
        <f t="shared" si="18"/>
        <v>0</v>
      </c>
      <c r="K105" s="26">
        <f t="shared" si="18"/>
        <v>0</v>
      </c>
      <c r="L105" s="26">
        <f t="shared" si="18"/>
        <v>0</v>
      </c>
      <c r="M105" s="26">
        <f t="shared" si="18"/>
        <v>0</v>
      </c>
      <c r="N105" s="26">
        <f t="shared" si="17"/>
        <v>0.55584452767227033</v>
      </c>
      <c r="O105" s="26">
        <f t="shared" si="17"/>
        <v>0.80762337481450808</v>
      </c>
      <c r="P105" s="26">
        <f t="shared" si="17"/>
        <v>0.99777146288633711</v>
      </c>
      <c r="Q105" s="26">
        <f t="shared" si="17"/>
        <v>1.1570826542446773</v>
      </c>
      <c r="R105" s="26">
        <f t="shared" si="17"/>
        <v>1.2969705645686309</v>
      </c>
      <c r="S105" s="26">
        <f t="shared" si="17"/>
        <v>1.4231742767352982</v>
      </c>
      <c r="T105" s="26">
        <f t="shared" si="17"/>
        <v>1.5390638058783024</v>
      </c>
      <c r="U105" s="26">
        <f t="shared" si="17"/>
        <v>1.6468180759173647</v>
      </c>
      <c r="V105" s="26">
        <f t="shared" si="17"/>
        <v>1.7479422621390379</v>
      </c>
      <c r="W105" s="26">
        <f t="shared" si="17"/>
        <v>1.8435277400612402</v>
      </c>
      <c r="X105" s="18">
        <f t="shared" si="14"/>
        <v>50500</v>
      </c>
    </row>
    <row r="106" spans="1:24">
      <c r="A106" s="18">
        <v>51000</v>
      </c>
      <c r="B106" s="25">
        <f t="shared" si="19"/>
        <v>968.1005104214338</v>
      </c>
      <c r="C106" s="17">
        <f t="shared" si="12"/>
        <v>51000</v>
      </c>
      <c r="D106" s="26">
        <f t="shared" si="16"/>
        <v>0</v>
      </c>
      <c r="E106" s="26">
        <f t="shared" si="16"/>
        <v>0</v>
      </c>
      <c r="F106" s="26">
        <f t="shared" si="18"/>
        <v>0</v>
      </c>
      <c r="G106" s="26">
        <f t="shared" si="18"/>
        <v>0</v>
      </c>
      <c r="H106" s="26">
        <f t="shared" si="18"/>
        <v>0</v>
      </c>
      <c r="I106" s="26">
        <f t="shared" si="18"/>
        <v>0</v>
      </c>
      <c r="J106" s="26">
        <f t="shared" si="18"/>
        <v>0</v>
      </c>
      <c r="K106" s="26">
        <f t="shared" si="18"/>
        <v>0</v>
      </c>
      <c r="L106" s="26">
        <f t="shared" si="18"/>
        <v>0</v>
      </c>
      <c r="M106" s="26">
        <f t="shared" si="18"/>
        <v>0</v>
      </c>
      <c r="N106" s="26">
        <f t="shared" si="17"/>
        <v>0.52405524640332801</v>
      </c>
      <c r="O106" s="26">
        <f t="shared" si="17"/>
        <v>0.78608286960499196</v>
      </c>
      <c r="P106" s="26">
        <f t="shared" si="17"/>
        <v>0.98041759189132494</v>
      </c>
      <c r="Q106" s="26">
        <f t="shared" si="17"/>
        <v>1.1421519299522067</v>
      </c>
      <c r="R106" s="26">
        <f t="shared" si="17"/>
        <v>1.2836679507166628</v>
      </c>
      <c r="S106" s="26">
        <f t="shared" si="17"/>
        <v>1.4110619349627012</v>
      </c>
      <c r="T106" s="26">
        <f t="shared" si="17"/>
        <v>1.527870466009553</v>
      </c>
      <c r="U106" s="26">
        <f t="shared" si="17"/>
        <v>1.6363619824194813</v>
      </c>
      <c r="V106" s="26">
        <f t="shared" si="17"/>
        <v>1.7380946217370852</v>
      </c>
      <c r="W106" s="26">
        <f t="shared" si="17"/>
        <v>1.834193362411648</v>
      </c>
      <c r="X106" s="18">
        <f t="shared" si="14"/>
        <v>51000</v>
      </c>
    </row>
    <row r="107" spans="1:24">
      <c r="A107" s="18">
        <v>51500</v>
      </c>
      <c r="B107" s="25">
        <f t="shared" si="19"/>
        <v>968.1005104214338</v>
      </c>
      <c r="C107" s="17">
        <f t="shared" si="12"/>
        <v>51500</v>
      </c>
      <c r="D107" s="26">
        <f t="shared" si="16"/>
        <v>0</v>
      </c>
      <c r="E107" s="26">
        <f t="shared" si="16"/>
        <v>0</v>
      </c>
      <c r="F107" s="26">
        <f t="shared" si="18"/>
        <v>0</v>
      </c>
      <c r="G107" s="26">
        <f t="shared" si="18"/>
        <v>0</v>
      </c>
      <c r="H107" s="26">
        <f t="shared" si="18"/>
        <v>0</v>
      </c>
      <c r="I107" s="26">
        <f t="shared" si="18"/>
        <v>0</v>
      </c>
      <c r="J107" s="26">
        <f t="shared" si="18"/>
        <v>0</v>
      </c>
      <c r="K107" s="26">
        <f t="shared" si="18"/>
        <v>0</v>
      </c>
      <c r="L107" s="26">
        <f t="shared" si="18"/>
        <v>0</v>
      </c>
      <c r="M107" s="26">
        <f t="shared" si="18"/>
        <v>0</v>
      </c>
      <c r="N107" s="26">
        <f t="shared" si="17"/>
        <v>0.49020879594566247</v>
      </c>
      <c r="O107" s="26">
        <f t="shared" si="17"/>
        <v>0.7639352330047765</v>
      </c>
      <c r="P107" s="26">
        <f t="shared" si="17"/>
        <v>0.96275096303749708</v>
      </c>
      <c r="Q107" s="26">
        <f t="shared" si="17"/>
        <v>1.1270234218653994</v>
      </c>
      <c r="R107" s="26">
        <f t="shared" si="17"/>
        <v>1.270226031081382</v>
      </c>
      <c r="S107" s="26">
        <f t="shared" si="17"/>
        <v>1.3988447185589707</v>
      </c>
      <c r="T107" s="26">
        <f t="shared" si="17"/>
        <v>1.5165945151041171</v>
      </c>
      <c r="U107" s="26">
        <f t="shared" si="17"/>
        <v>1.6258386450836559</v>
      </c>
      <c r="V107" s="26">
        <f t="shared" si="17"/>
        <v>1.7281908680614604</v>
      </c>
      <c r="W107" s="26">
        <f t="shared" si="17"/>
        <v>1.824811237650237</v>
      </c>
      <c r="X107" s="18">
        <f t="shared" si="14"/>
        <v>51500</v>
      </c>
    </row>
    <row r="108" spans="1:24">
      <c r="A108" s="18">
        <v>52000</v>
      </c>
      <c r="B108" s="25">
        <f t="shared" si="19"/>
        <v>968.1005104214338</v>
      </c>
      <c r="C108" s="17">
        <f t="shared" si="12"/>
        <v>52000</v>
      </c>
      <c r="D108" s="26">
        <f t="shared" ref="D108:E125" si="20">SQRT(IF((D$3-$A108)&gt;0,(D$3-$A108),0)*2*32.174)/$B108</f>
        <v>0</v>
      </c>
      <c r="E108" s="26">
        <f t="shared" si="20"/>
        <v>0</v>
      </c>
      <c r="F108" s="26">
        <f t="shared" si="18"/>
        <v>0</v>
      </c>
      <c r="G108" s="26">
        <f t="shared" si="18"/>
        <v>0</v>
      </c>
      <c r="H108" s="26">
        <f t="shared" si="18"/>
        <v>0</v>
      </c>
      <c r="I108" s="26">
        <f t="shared" si="18"/>
        <v>0</v>
      </c>
      <c r="J108" s="26">
        <f t="shared" si="18"/>
        <v>0</v>
      </c>
      <c r="K108" s="26">
        <f t="shared" si="18"/>
        <v>0</v>
      </c>
      <c r="L108" s="26">
        <f t="shared" si="18"/>
        <v>0</v>
      </c>
      <c r="M108" s="26">
        <f t="shared" si="18"/>
        <v>0</v>
      </c>
      <c r="N108" s="26">
        <f t="shared" si="17"/>
        <v>0.45384515637179557</v>
      </c>
      <c r="O108" s="26">
        <f t="shared" si="17"/>
        <v>0.74112603689636058</v>
      </c>
      <c r="P108" s="26">
        <f t="shared" si="17"/>
        <v>0.94475403104155709</v>
      </c>
      <c r="Q108" s="26">
        <f t="shared" si="17"/>
        <v>1.1116890553445407</v>
      </c>
      <c r="R108" s="26">
        <f t="shared" si="17"/>
        <v>1.2566403353292475</v>
      </c>
      <c r="S108" s="26">
        <f t="shared" si="17"/>
        <v>1.386519855241882</v>
      </c>
      <c r="T108" s="26">
        <f t="shared" si="17"/>
        <v>1.5052340966054201</v>
      </c>
      <c r="U108" s="26">
        <f t="shared" si="17"/>
        <v>1.6152467496290162</v>
      </c>
      <c r="V108" s="26">
        <f t="shared" si="17"/>
        <v>1.71823003081388</v>
      </c>
      <c r="W108" s="26">
        <f t="shared" si="17"/>
        <v>1.8153806254871823</v>
      </c>
      <c r="X108" s="18">
        <f t="shared" si="14"/>
        <v>52000</v>
      </c>
    </row>
    <row r="109" spans="1:24">
      <c r="A109" s="18">
        <v>52500</v>
      </c>
      <c r="B109" s="25">
        <f t="shared" si="19"/>
        <v>968.1005104214338</v>
      </c>
      <c r="C109" s="17">
        <f t="shared" si="12"/>
        <v>52500</v>
      </c>
      <c r="D109" s="26">
        <f t="shared" si="20"/>
        <v>0</v>
      </c>
      <c r="E109" s="26">
        <f t="shared" si="20"/>
        <v>0</v>
      </c>
      <c r="F109" s="26">
        <f t="shared" si="18"/>
        <v>0</v>
      </c>
      <c r="G109" s="26">
        <f t="shared" si="18"/>
        <v>0</v>
      </c>
      <c r="H109" s="26">
        <f t="shared" si="18"/>
        <v>0</v>
      </c>
      <c r="I109" s="26">
        <f t="shared" si="18"/>
        <v>0</v>
      </c>
      <c r="J109" s="26">
        <f t="shared" si="18"/>
        <v>0</v>
      </c>
      <c r="K109" s="26">
        <f t="shared" si="18"/>
        <v>0</v>
      </c>
      <c r="L109" s="26">
        <f t="shared" si="18"/>
        <v>0</v>
      </c>
      <c r="M109" s="26">
        <f t="shared" si="18"/>
        <v>0</v>
      </c>
      <c r="N109" s="26">
        <f t="shared" si="17"/>
        <v>0.41430204959881983</v>
      </c>
      <c r="O109" s="26">
        <f t="shared" si="17"/>
        <v>0.71759219958507703</v>
      </c>
      <c r="P109" s="26">
        <f t="shared" si="17"/>
        <v>0.92640754612045073</v>
      </c>
      <c r="Q109" s="26">
        <f t="shared" si="17"/>
        <v>1.0961401909028248</v>
      </c>
      <c r="R109" s="26">
        <f t="shared" si="17"/>
        <v>1.2429061487964597</v>
      </c>
      <c r="S109" s="26">
        <f t="shared" si="17"/>
        <v>1.3740844483944983</v>
      </c>
      <c r="T109" s="26">
        <f t="shared" si="17"/>
        <v>1.4937872833583699</v>
      </c>
      <c r="U109" s="26">
        <f t="shared" si="17"/>
        <v>1.6045849383958286</v>
      </c>
      <c r="V109" s="26">
        <f t="shared" si="17"/>
        <v>1.7082111114058212</v>
      </c>
      <c r="W109" s="26">
        <f t="shared" si="17"/>
        <v>1.8059007663030315</v>
      </c>
      <c r="X109" s="18">
        <f t="shared" si="14"/>
        <v>52500</v>
      </c>
    </row>
    <row r="110" spans="1:24">
      <c r="A110" s="18">
        <v>53000</v>
      </c>
      <c r="B110" s="25">
        <f t="shared" si="19"/>
        <v>968.1005104214338</v>
      </c>
      <c r="C110" s="17">
        <f t="shared" si="12"/>
        <v>53000</v>
      </c>
      <c r="D110" s="26">
        <f t="shared" si="20"/>
        <v>0</v>
      </c>
      <c r="E110" s="26">
        <f t="shared" si="20"/>
        <v>0</v>
      </c>
      <c r="F110" s="26">
        <f t="shared" si="18"/>
        <v>0</v>
      </c>
      <c r="G110" s="26">
        <f t="shared" si="18"/>
        <v>0</v>
      </c>
      <c r="H110" s="26">
        <f t="shared" si="18"/>
        <v>0</v>
      </c>
      <c r="I110" s="26">
        <f t="shared" si="18"/>
        <v>0</v>
      </c>
      <c r="J110" s="26">
        <f t="shared" si="18"/>
        <v>0</v>
      </c>
      <c r="K110" s="26">
        <f t="shared" si="18"/>
        <v>0</v>
      </c>
      <c r="L110" s="26">
        <f t="shared" si="18"/>
        <v>0</v>
      </c>
      <c r="M110" s="26">
        <f t="shared" si="18"/>
        <v>0</v>
      </c>
      <c r="N110" s="26">
        <f t="shared" si="17"/>
        <v>0.37056301844818029</v>
      </c>
      <c r="O110" s="26">
        <f t="shared" si="17"/>
        <v>0.69325992762094102</v>
      </c>
      <c r="P110" s="26">
        <f t="shared" si="17"/>
        <v>0.90769031274359113</v>
      </c>
      <c r="Q110" s="26">
        <f t="shared" si="17"/>
        <v>1.0803675672900055</v>
      </c>
      <c r="R110" s="26">
        <f t="shared" si="17"/>
        <v>1.2290184933741599</v>
      </c>
      <c r="S110" s="26">
        <f t="shared" si="17"/>
        <v>1.3615354691153867</v>
      </c>
      <c r="T110" s="26">
        <f t="shared" si="17"/>
        <v>1.4822520737927212</v>
      </c>
      <c r="U110" s="26">
        <f t="shared" si="17"/>
        <v>1.5938518083141822</v>
      </c>
      <c r="V110" s="26">
        <f t="shared" si="17"/>
        <v>1.6981330817901035</v>
      </c>
      <c r="W110" s="26">
        <f t="shared" si="17"/>
        <v>1.796370880434639</v>
      </c>
      <c r="X110" s="18">
        <f t="shared" si="14"/>
        <v>53000</v>
      </c>
    </row>
    <row r="111" spans="1:24">
      <c r="A111" s="18">
        <v>53500</v>
      </c>
      <c r="B111" s="25">
        <f t="shared" si="19"/>
        <v>968.1005104214338</v>
      </c>
      <c r="C111" s="17">
        <f t="shared" si="12"/>
        <v>53500</v>
      </c>
      <c r="D111" s="26">
        <f t="shared" si="20"/>
        <v>0</v>
      </c>
      <c r="E111" s="26">
        <f t="shared" si="20"/>
        <v>0</v>
      </c>
      <c r="F111" s="26">
        <f t="shared" si="18"/>
        <v>0</v>
      </c>
      <c r="G111" s="26">
        <f t="shared" si="18"/>
        <v>0</v>
      </c>
      <c r="H111" s="26">
        <f t="shared" si="18"/>
        <v>0</v>
      </c>
      <c r="I111" s="26">
        <f t="shared" si="18"/>
        <v>0</v>
      </c>
      <c r="J111" s="26">
        <f t="shared" si="18"/>
        <v>0</v>
      </c>
      <c r="K111" s="26">
        <f t="shared" si="18"/>
        <v>0</v>
      </c>
      <c r="L111" s="26">
        <f t="shared" si="18"/>
        <v>0</v>
      </c>
      <c r="M111" s="26">
        <f t="shared" si="18"/>
        <v>0</v>
      </c>
      <c r="N111" s="26">
        <f t="shared" si="17"/>
        <v>0.32091698767916571</v>
      </c>
      <c r="O111" s="26">
        <f t="shared" si="17"/>
        <v>0.66804198190281106</v>
      </c>
      <c r="P111" s="26">
        <f t="shared" si="17"/>
        <v>0.88857890262384787</v>
      </c>
      <c r="Q111" s="26">
        <f t="shared" si="17"/>
        <v>1.0643612369828994</v>
      </c>
      <c r="R111" s="26">
        <f t="shared" si="17"/>
        <v>1.214972106426865</v>
      </c>
      <c r="S111" s="26">
        <f t="shared" si="17"/>
        <v>1.3488697476031182</v>
      </c>
      <c r="T111" s="26">
        <f t="shared" si="17"/>
        <v>1.4706263878369874</v>
      </c>
      <c r="U111" s="26">
        <f t="shared" si="17"/>
        <v>1.5830459087487108</v>
      </c>
      <c r="V111" s="26">
        <f t="shared" si="17"/>
        <v>1.6879948832296849</v>
      </c>
      <c r="W111" s="26">
        <f t="shared" si="17"/>
        <v>1.7867901674268201</v>
      </c>
      <c r="X111" s="18">
        <f t="shared" si="14"/>
        <v>53500</v>
      </c>
    </row>
    <row r="112" spans="1:24">
      <c r="A112" s="18">
        <v>54000</v>
      </c>
      <c r="B112" s="25">
        <f t="shared" si="19"/>
        <v>968.1005104214338</v>
      </c>
      <c r="C112" s="17">
        <f t="shared" si="12"/>
        <v>54000</v>
      </c>
      <c r="D112" s="26">
        <f t="shared" si="20"/>
        <v>0</v>
      </c>
      <c r="E112" s="26">
        <f t="shared" si="20"/>
        <v>0</v>
      </c>
      <c r="F112" s="26">
        <f t="shared" si="18"/>
        <v>0</v>
      </c>
      <c r="G112" s="26">
        <f t="shared" si="18"/>
        <v>0</v>
      </c>
      <c r="H112" s="26">
        <f t="shared" si="18"/>
        <v>0</v>
      </c>
      <c r="I112" s="26">
        <f t="shared" si="18"/>
        <v>0</v>
      </c>
      <c r="J112" s="26">
        <f t="shared" si="18"/>
        <v>0</v>
      </c>
      <c r="K112" s="26">
        <f t="shared" si="18"/>
        <v>0</v>
      </c>
      <c r="L112" s="26">
        <f t="shared" si="18"/>
        <v>0</v>
      </c>
      <c r="M112" s="26">
        <f t="shared" si="18"/>
        <v>0</v>
      </c>
      <c r="N112" s="26">
        <f t="shared" si="17"/>
        <v>0.26202762320166401</v>
      </c>
      <c r="O112" s="26">
        <f t="shared" si="17"/>
        <v>0.64183397535833142</v>
      </c>
      <c r="P112" s="26">
        <f t="shared" si="17"/>
        <v>0.86904731086854259</v>
      </c>
      <c r="Q112" s="26">
        <f t="shared" si="17"/>
        <v>1.048110492806656</v>
      </c>
      <c r="R112" s="26">
        <f t="shared" si="17"/>
        <v>1.2007614174909924</v>
      </c>
      <c r="S112" s="26">
        <f t="shared" si="17"/>
        <v>1.3360839638056221</v>
      </c>
      <c r="T112" s="26">
        <f t="shared" si="17"/>
        <v>1.4589080625392776</v>
      </c>
      <c r="U112" s="26">
        <f t="shared" si="17"/>
        <v>1.5721657392099839</v>
      </c>
      <c r="V112" s="26">
        <f t="shared" si="17"/>
        <v>1.6777954249994964</v>
      </c>
      <c r="W112" s="26">
        <f t="shared" si="17"/>
        <v>1.7771578052476957</v>
      </c>
      <c r="X112" s="18">
        <f t="shared" si="14"/>
        <v>54000</v>
      </c>
    </row>
    <row r="113" spans="1:24">
      <c r="A113" s="18">
        <v>54500</v>
      </c>
      <c r="B113" s="25">
        <f t="shared" si="19"/>
        <v>968.1005104214338</v>
      </c>
      <c r="C113" s="17">
        <f t="shared" si="12"/>
        <v>54500</v>
      </c>
      <c r="D113" s="26">
        <f t="shared" si="20"/>
        <v>0</v>
      </c>
      <c r="E113" s="26">
        <f t="shared" si="20"/>
        <v>0</v>
      </c>
      <c r="F113" s="26">
        <f t="shared" si="18"/>
        <v>0</v>
      </c>
      <c r="G113" s="26">
        <f t="shared" si="18"/>
        <v>0</v>
      </c>
      <c r="H113" s="26">
        <f t="shared" si="18"/>
        <v>0</v>
      </c>
      <c r="I113" s="26">
        <f t="shared" si="18"/>
        <v>0</v>
      </c>
      <c r="J113" s="26">
        <f t="shared" si="18"/>
        <v>0</v>
      </c>
      <c r="K113" s="26">
        <f t="shared" si="18"/>
        <v>0</v>
      </c>
      <c r="L113" s="26">
        <f t="shared" si="18"/>
        <v>0</v>
      </c>
      <c r="M113" s="26">
        <f t="shared" si="18"/>
        <v>0</v>
      </c>
      <c r="N113" s="26">
        <f t="shared" si="17"/>
        <v>0.18528150922409015</v>
      </c>
      <c r="O113" s="26">
        <f t="shared" si="17"/>
        <v>0.61450924668707996</v>
      </c>
      <c r="P113" s="26">
        <f t="shared" si="17"/>
        <v>0.84906654089505174</v>
      </c>
      <c r="Q113" s="26">
        <f t="shared" si="17"/>
        <v>1.0316037841492511</v>
      </c>
      <c r="R113" s="26">
        <f t="shared" si="17"/>
        <v>1.1863805224609096</v>
      </c>
      <c r="S113" s="26">
        <f t="shared" si="17"/>
        <v>1.3231746372562414</v>
      </c>
      <c r="T113" s="26">
        <f t="shared" si="17"/>
        <v>1.4470948473689458</v>
      </c>
      <c r="U113" s="26">
        <f t="shared" si="17"/>
        <v>1.5612097469223405</v>
      </c>
      <c r="V113" s="26">
        <f t="shared" si="17"/>
        <v>1.6675335830168112</v>
      </c>
      <c r="W113" s="26">
        <f t="shared" si="17"/>
        <v>1.7674729494655499</v>
      </c>
      <c r="X113" s="18">
        <f t="shared" si="14"/>
        <v>54500</v>
      </c>
    </row>
    <row r="114" spans="1:24">
      <c r="A114" s="18">
        <v>55000</v>
      </c>
      <c r="B114" s="25">
        <f t="shared" si="19"/>
        <v>968.1005104214338</v>
      </c>
      <c r="C114" s="17">
        <f t="shared" si="12"/>
        <v>55000</v>
      </c>
      <c r="D114" s="26">
        <f t="shared" si="20"/>
        <v>0</v>
      </c>
      <c r="E114" s="26">
        <f t="shared" si="20"/>
        <v>0</v>
      </c>
      <c r="F114" s="26">
        <f t="shared" si="18"/>
        <v>0</v>
      </c>
      <c r="G114" s="26">
        <f t="shared" si="18"/>
        <v>0</v>
      </c>
      <c r="H114" s="26">
        <f t="shared" si="18"/>
        <v>0</v>
      </c>
      <c r="I114" s="26">
        <f t="shared" si="18"/>
        <v>0</v>
      </c>
      <c r="J114" s="26">
        <f t="shared" si="18"/>
        <v>0</v>
      </c>
      <c r="K114" s="26">
        <f t="shared" si="18"/>
        <v>0</v>
      </c>
      <c r="L114" s="26">
        <f t="shared" si="18"/>
        <v>0</v>
      </c>
      <c r="M114" s="26">
        <f t="shared" si="18"/>
        <v>0</v>
      </c>
      <c r="N114" s="26">
        <f t="shared" si="17"/>
        <v>0</v>
      </c>
      <c r="O114" s="26">
        <f t="shared" si="17"/>
        <v>0.5859115774616217</v>
      </c>
      <c r="P114" s="26">
        <f t="shared" si="17"/>
        <v>0.82860409919763967</v>
      </c>
      <c r="Q114" s="26">
        <f t="shared" si="17"/>
        <v>1.0148286209063568</v>
      </c>
      <c r="R114" s="26">
        <f t="shared" si="17"/>
        <v>1.1718231549232434</v>
      </c>
      <c r="S114" s="26">
        <f t="shared" si="17"/>
        <v>1.3101381160083199</v>
      </c>
      <c r="T114" s="26">
        <f t="shared" si="17"/>
        <v>1.4351843991701541</v>
      </c>
      <c r="U114" s="26">
        <f t="shared" si="17"/>
        <v>1.5501763242370084</v>
      </c>
      <c r="V114" s="26">
        <f t="shared" si="17"/>
        <v>1.6572081983952793</v>
      </c>
      <c r="W114" s="26">
        <f t="shared" si="17"/>
        <v>1.7577347323848653</v>
      </c>
      <c r="X114" s="18">
        <f t="shared" si="14"/>
        <v>55000</v>
      </c>
    </row>
    <row r="115" spans="1:24">
      <c r="A115" s="18">
        <v>55500</v>
      </c>
      <c r="B115" s="25">
        <f t="shared" si="19"/>
        <v>968.1005104214338</v>
      </c>
      <c r="C115" s="17">
        <f t="shared" si="12"/>
        <v>55500</v>
      </c>
      <c r="D115" s="26">
        <f t="shared" si="20"/>
        <v>0</v>
      </c>
      <c r="E115" s="26">
        <f t="shared" si="20"/>
        <v>0</v>
      </c>
      <c r="F115" s="26">
        <f t="shared" si="18"/>
        <v>0</v>
      </c>
      <c r="G115" s="26">
        <f t="shared" si="18"/>
        <v>0</v>
      </c>
      <c r="H115" s="26">
        <f t="shared" si="18"/>
        <v>0</v>
      </c>
      <c r="I115" s="26">
        <f t="shared" si="18"/>
        <v>0</v>
      </c>
      <c r="J115" s="26">
        <f t="shared" si="18"/>
        <v>0</v>
      </c>
      <c r="K115" s="26">
        <f t="shared" si="18"/>
        <v>0</v>
      </c>
      <c r="L115" s="26">
        <f t="shared" si="18"/>
        <v>0</v>
      </c>
      <c r="M115" s="26">
        <f t="shared" si="18"/>
        <v>0</v>
      </c>
      <c r="N115" s="26">
        <f t="shared" si="17"/>
        <v>0</v>
      </c>
      <c r="O115" s="26">
        <f t="shared" si="17"/>
        <v>0.55584452767227033</v>
      </c>
      <c r="P115" s="26">
        <f t="shared" si="17"/>
        <v>0.80762337481450808</v>
      </c>
      <c r="Q115" s="26">
        <f t="shared" si="17"/>
        <v>0.99777146288633711</v>
      </c>
      <c r="R115" s="26">
        <f t="shared" si="17"/>
        <v>1.1570826542446773</v>
      </c>
      <c r="S115" s="26">
        <f t="shared" si="17"/>
        <v>1.2969705645686309</v>
      </c>
      <c r="T115" s="26">
        <f t="shared" si="17"/>
        <v>1.4231742767352982</v>
      </c>
      <c r="U115" s="26">
        <f t="shared" si="17"/>
        <v>1.5390638058783024</v>
      </c>
      <c r="V115" s="26">
        <f t="shared" si="17"/>
        <v>1.6468180759173647</v>
      </c>
      <c r="W115" s="26">
        <f t="shared" si="17"/>
        <v>1.7479422621390379</v>
      </c>
      <c r="X115" s="18">
        <f t="shared" si="14"/>
        <v>55500</v>
      </c>
    </row>
    <row r="116" spans="1:24">
      <c r="A116" s="18">
        <v>56000</v>
      </c>
      <c r="B116" s="25">
        <f t="shared" si="19"/>
        <v>968.1005104214338</v>
      </c>
      <c r="C116" s="17">
        <f t="shared" si="12"/>
        <v>56000</v>
      </c>
      <c r="D116" s="26">
        <f t="shared" si="20"/>
        <v>0</v>
      </c>
      <c r="E116" s="26">
        <f t="shared" si="20"/>
        <v>0</v>
      </c>
      <c r="F116" s="26">
        <f t="shared" si="18"/>
        <v>0</v>
      </c>
      <c r="G116" s="26">
        <f t="shared" si="18"/>
        <v>0</v>
      </c>
      <c r="H116" s="26">
        <f t="shared" si="18"/>
        <v>0</v>
      </c>
      <c r="I116" s="26">
        <f t="shared" si="18"/>
        <v>0</v>
      </c>
      <c r="J116" s="26">
        <f t="shared" si="18"/>
        <v>0</v>
      </c>
      <c r="K116" s="26">
        <f t="shared" si="18"/>
        <v>0</v>
      </c>
      <c r="L116" s="26">
        <f t="shared" si="18"/>
        <v>0</v>
      </c>
      <c r="M116" s="26">
        <f t="shared" si="18"/>
        <v>0</v>
      </c>
      <c r="N116" s="26">
        <f t="shared" si="17"/>
        <v>0</v>
      </c>
      <c r="O116" s="26">
        <f t="shared" si="17"/>
        <v>0.52405524640332801</v>
      </c>
      <c r="P116" s="26">
        <f t="shared" si="17"/>
        <v>0.78608286960499196</v>
      </c>
      <c r="Q116" s="26">
        <f t="shared" si="17"/>
        <v>0.98041759189132494</v>
      </c>
      <c r="R116" s="26">
        <f t="shared" si="17"/>
        <v>1.1421519299522067</v>
      </c>
      <c r="S116" s="26">
        <f t="shared" si="17"/>
        <v>1.2836679507166628</v>
      </c>
      <c r="T116" s="26">
        <f t="shared" si="17"/>
        <v>1.4110619349627012</v>
      </c>
      <c r="U116" s="26">
        <f t="shared" si="17"/>
        <v>1.527870466009553</v>
      </c>
      <c r="V116" s="26">
        <f t="shared" si="17"/>
        <v>1.6363619824194813</v>
      </c>
      <c r="W116" s="26">
        <f t="shared" si="17"/>
        <v>1.7380946217370852</v>
      </c>
      <c r="X116" s="18">
        <f t="shared" si="14"/>
        <v>56000</v>
      </c>
    </row>
    <row r="117" spans="1:24">
      <c r="A117" s="18">
        <v>56500</v>
      </c>
      <c r="B117" s="25">
        <f t="shared" si="19"/>
        <v>968.1005104214338</v>
      </c>
      <c r="C117" s="17">
        <f t="shared" si="12"/>
        <v>56500</v>
      </c>
      <c r="D117" s="26">
        <f t="shared" si="20"/>
        <v>0</v>
      </c>
      <c r="E117" s="26">
        <f t="shared" si="20"/>
        <v>0</v>
      </c>
      <c r="F117" s="26">
        <f t="shared" si="18"/>
        <v>0</v>
      </c>
      <c r="G117" s="26">
        <f t="shared" si="18"/>
        <v>0</v>
      </c>
      <c r="H117" s="26">
        <f t="shared" si="18"/>
        <v>0</v>
      </c>
      <c r="I117" s="26">
        <f t="shared" si="18"/>
        <v>0</v>
      </c>
      <c r="J117" s="26">
        <f t="shared" si="18"/>
        <v>0</v>
      </c>
      <c r="K117" s="26">
        <f t="shared" si="18"/>
        <v>0</v>
      </c>
      <c r="L117" s="26">
        <f t="shared" si="18"/>
        <v>0</v>
      </c>
      <c r="M117" s="26">
        <f t="shared" si="18"/>
        <v>0</v>
      </c>
      <c r="N117" s="26">
        <f t="shared" si="17"/>
        <v>0</v>
      </c>
      <c r="O117" s="26">
        <f t="shared" si="17"/>
        <v>0.49020879594566247</v>
      </c>
      <c r="P117" s="26">
        <f t="shared" si="17"/>
        <v>0.7639352330047765</v>
      </c>
      <c r="Q117" s="26">
        <f t="shared" si="17"/>
        <v>0.96275096303749708</v>
      </c>
      <c r="R117" s="26">
        <f t="shared" si="17"/>
        <v>1.1270234218653994</v>
      </c>
      <c r="S117" s="26">
        <f t="shared" si="17"/>
        <v>1.270226031081382</v>
      </c>
      <c r="T117" s="26">
        <f t="shared" si="17"/>
        <v>1.3988447185589707</v>
      </c>
      <c r="U117" s="26">
        <f t="shared" si="17"/>
        <v>1.5165945151041171</v>
      </c>
      <c r="V117" s="26">
        <f t="shared" si="17"/>
        <v>1.6258386450836559</v>
      </c>
      <c r="W117" s="26">
        <f t="shared" si="17"/>
        <v>1.7281908680614604</v>
      </c>
      <c r="X117" s="18">
        <f t="shared" si="14"/>
        <v>56500</v>
      </c>
    </row>
    <row r="118" spans="1:24">
      <c r="A118" s="18">
        <v>57000</v>
      </c>
      <c r="B118" s="25">
        <f t="shared" si="19"/>
        <v>968.1005104214338</v>
      </c>
      <c r="C118" s="17">
        <f t="shared" si="12"/>
        <v>57000</v>
      </c>
      <c r="D118" s="26">
        <f t="shared" si="20"/>
        <v>0</v>
      </c>
      <c r="E118" s="26">
        <f t="shared" si="20"/>
        <v>0</v>
      </c>
      <c r="F118" s="26">
        <f t="shared" si="18"/>
        <v>0</v>
      </c>
      <c r="G118" s="26">
        <f t="shared" si="18"/>
        <v>0</v>
      </c>
      <c r="H118" s="26">
        <f t="shared" si="18"/>
        <v>0</v>
      </c>
      <c r="I118" s="26">
        <f t="shared" si="18"/>
        <v>0</v>
      </c>
      <c r="J118" s="26">
        <f t="shared" si="18"/>
        <v>0</v>
      </c>
      <c r="K118" s="26">
        <f t="shared" si="18"/>
        <v>0</v>
      </c>
      <c r="L118" s="26">
        <f t="shared" si="18"/>
        <v>0</v>
      </c>
      <c r="M118" s="26">
        <f t="shared" si="18"/>
        <v>0</v>
      </c>
      <c r="N118" s="26">
        <f t="shared" si="17"/>
        <v>0</v>
      </c>
      <c r="O118" s="26">
        <f t="shared" si="17"/>
        <v>0.45384515637179557</v>
      </c>
      <c r="P118" s="26">
        <f t="shared" si="17"/>
        <v>0.74112603689636058</v>
      </c>
      <c r="Q118" s="26">
        <f t="shared" si="17"/>
        <v>0.94475403104155709</v>
      </c>
      <c r="R118" s="26">
        <f t="shared" si="17"/>
        <v>1.1116890553445407</v>
      </c>
      <c r="S118" s="26">
        <f t="shared" si="17"/>
        <v>1.2566403353292475</v>
      </c>
      <c r="T118" s="26">
        <f t="shared" si="17"/>
        <v>1.386519855241882</v>
      </c>
      <c r="U118" s="26">
        <f t="shared" si="17"/>
        <v>1.5052340966054201</v>
      </c>
      <c r="V118" s="26">
        <f t="shared" si="17"/>
        <v>1.6152467496290162</v>
      </c>
      <c r="W118" s="26">
        <f t="shared" si="17"/>
        <v>1.71823003081388</v>
      </c>
      <c r="X118" s="18">
        <f t="shared" si="14"/>
        <v>57000</v>
      </c>
    </row>
    <row r="119" spans="1:24">
      <c r="A119" s="18">
        <v>57500</v>
      </c>
      <c r="B119" s="25">
        <f t="shared" si="19"/>
        <v>968.1005104214338</v>
      </c>
      <c r="C119" s="17">
        <f t="shared" si="12"/>
        <v>57500</v>
      </c>
      <c r="D119" s="26">
        <f t="shared" si="20"/>
        <v>0</v>
      </c>
      <c r="E119" s="26">
        <f t="shared" si="20"/>
        <v>0</v>
      </c>
      <c r="F119" s="26">
        <f t="shared" si="18"/>
        <v>0</v>
      </c>
      <c r="G119" s="26">
        <f t="shared" si="18"/>
        <v>0</v>
      </c>
      <c r="H119" s="26">
        <f t="shared" si="18"/>
        <v>0</v>
      </c>
      <c r="I119" s="26">
        <f t="shared" si="18"/>
        <v>0</v>
      </c>
      <c r="J119" s="26">
        <f t="shared" si="18"/>
        <v>0</v>
      </c>
      <c r="K119" s="26">
        <f t="shared" si="18"/>
        <v>0</v>
      </c>
      <c r="L119" s="26">
        <f t="shared" si="18"/>
        <v>0</v>
      </c>
      <c r="M119" s="26">
        <f t="shared" si="18"/>
        <v>0</v>
      </c>
      <c r="N119" s="26">
        <f t="shared" si="17"/>
        <v>0</v>
      </c>
      <c r="O119" s="26">
        <f t="shared" si="17"/>
        <v>0.41430204959881983</v>
      </c>
      <c r="P119" s="26">
        <f t="shared" si="17"/>
        <v>0.71759219958507703</v>
      </c>
      <c r="Q119" s="26">
        <f t="shared" si="17"/>
        <v>0.92640754612045073</v>
      </c>
      <c r="R119" s="26">
        <f t="shared" si="17"/>
        <v>1.0961401909028248</v>
      </c>
      <c r="S119" s="26">
        <f t="shared" si="17"/>
        <v>1.2429061487964597</v>
      </c>
      <c r="T119" s="26">
        <f t="shared" si="17"/>
        <v>1.3740844483944983</v>
      </c>
      <c r="U119" s="26">
        <f t="shared" si="17"/>
        <v>1.4937872833583699</v>
      </c>
      <c r="V119" s="26">
        <f t="shared" si="17"/>
        <v>1.6045849383958286</v>
      </c>
      <c r="W119" s="26">
        <f t="shared" si="17"/>
        <v>1.7082111114058212</v>
      </c>
      <c r="X119" s="18">
        <f t="shared" si="14"/>
        <v>57500</v>
      </c>
    </row>
    <row r="120" spans="1:24">
      <c r="A120" s="18">
        <v>58000</v>
      </c>
      <c r="B120" s="25">
        <f t="shared" si="19"/>
        <v>968.1005104214338</v>
      </c>
      <c r="C120" s="17">
        <f t="shared" si="12"/>
        <v>58000</v>
      </c>
      <c r="D120" s="26">
        <f t="shared" si="20"/>
        <v>0</v>
      </c>
      <c r="E120" s="26">
        <f t="shared" si="20"/>
        <v>0</v>
      </c>
      <c r="F120" s="26">
        <f t="shared" si="18"/>
        <v>0</v>
      </c>
      <c r="G120" s="26">
        <f t="shared" si="18"/>
        <v>0</v>
      </c>
      <c r="H120" s="26">
        <f t="shared" si="18"/>
        <v>0</v>
      </c>
      <c r="I120" s="26">
        <f t="shared" si="18"/>
        <v>0</v>
      </c>
      <c r="J120" s="26">
        <f t="shared" si="18"/>
        <v>0</v>
      </c>
      <c r="K120" s="26">
        <f t="shared" si="18"/>
        <v>0</v>
      </c>
      <c r="L120" s="26">
        <f t="shared" si="18"/>
        <v>0</v>
      </c>
      <c r="M120" s="26">
        <f t="shared" si="18"/>
        <v>0</v>
      </c>
      <c r="N120" s="26">
        <f t="shared" si="17"/>
        <v>0</v>
      </c>
      <c r="O120" s="26">
        <f t="shared" si="17"/>
        <v>0.37056301844818029</v>
      </c>
      <c r="P120" s="26">
        <f t="shared" si="17"/>
        <v>0.69325992762094102</v>
      </c>
      <c r="Q120" s="26">
        <f t="shared" si="17"/>
        <v>0.90769031274359113</v>
      </c>
      <c r="R120" s="26">
        <f t="shared" si="17"/>
        <v>1.0803675672900055</v>
      </c>
      <c r="S120" s="26">
        <f t="shared" si="17"/>
        <v>1.2290184933741599</v>
      </c>
      <c r="T120" s="26">
        <f t="shared" si="17"/>
        <v>1.3615354691153867</v>
      </c>
      <c r="U120" s="26">
        <f t="shared" si="17"/>
        <v>1.4822520737927212</v>
      </c>
      <c r="V120" s="26">
        <f t="shared" si="17"/>
        <v>1.5938518083141822</v>
      </c>
      <c r="W120" s="26">
        <f t="shared" si="17"/>
        <v>1.6981330817901035</v>
      </c>
      <c r="X120" s="18">
        <f t="shared" si="14"/>
        <v>58000</v>
      </c>
    </row>
    <row r="121" spans="1:24">
      <c r="A121" s="18">
        <v>58500</v>
      </c>
      <c r="B121" s="25">
        <f t="shared" si="19"/>
        <v>968.1005104214338</v>
      </c>
      <c r="C121" s="17">
        <f t="shared" si="12"/>
        <v>58500</v>
      </c>
      <c r="D121" s="26">
        <f t="shared" si="20"/>
        <v>0</v>
      </c>
      <c r="E121" s="26">
        <f t="shared" si="20"/>
        <v>0</v>
      </c>
      <c r="F121" s="26">
        <f t="shared" si="18"/>
        <v>0</v>
      </c>
      <c r="G121" s="26">
        <f t="shared" si="18"/>
        <v>0</v>
      </c>
      <c r="H121" s="26">
        <f t="shared" si="18"/>
        <v>0</v>
      </c>
      <c r="I121" s="26">
        <f t="shared" si="18"/>
        <v>0</v>
      </c>
      <c r="J121" s="26">
        <f t="shared" si="18"/>
        <v>0</v>
      </c>
      <c r="K121" s="26">
        <f t="shared" si="18"/>
        <v>0</v>
      </c>
      <c r="L121" s="26">
        <f t="shared" si="18"/>
        <v>0</v>
      </c>
      <c r="M121" s="26">
        <f t="shared" si="18"/>
        <v>0</v>
      </c>
      <c r="N121" s="26">
        <f t="shared" si="17"/>
        <v>0</v>
      </c>
      <c r="O121" s="26">
        <f t="shared" si="17"/>
        <v>0.32091698767916571</v>
      </c>
      <c r="P121" s="26">
        <f t="shared" si="17"/>
        <v>0.66804198190281106</v>
      </c>
      <c r="Q121" s="26">
        <f t="shared" si="17"/>
        <v>0.88857890262384787</v>
      </c>
      <c r="R121" s="26">
        <f t="shared" si="17"/>
        <v>1.0643612369828994</v>
      </c>
      <c r="S121" s="26">
        <f t="shared" si="17"/>
        <v>1.214972106426865</v>
      </c>
      <c r="T121" s="26">
        <f t="shared" si="17"/>
        <v>1.3488697476031182</v>
      </c>
      <c r="U121" s="26">
        <f t="shared" si="17"/>
        <v>1.4706263878369874</v>
      </c>
      <c r="V121" s="26">
        <f t="shared" si="17"/>
        <v>1.5830459087487108</v>
      </c>
      <c r="W121" s="26">
        <f t="shared" si="17"/>
        <v>1.6879948832296849</v>
      </c>
      <c r="X121" s="18">
        <f t="shared" si="14"/>
        <v>58500</v>
      </c>
    </row>
    <row r="122" spans="1:24">
      <c r="A122" s="18">
        <v>59000</v>
      </c>
      <c r="B122" s="25">
        <f t="shared" si="19"/>
        <v>968.1005104214338</v>
      </c>
      <c r="C122" s="17">
        <f t="shared" si="12"/>
        <v>59000</v>
      </c>
      <c r="D122" s="26">
        <f t="shared" si="20"/>
        <v>0</v>
      </c>
      <c r="E122" s="26">
        <f t="shared" si="20"/>
        <v>0</v>
      </c>
      <c r="F122" s="26">
        <f t="shared" si="18"/>
        <v>0</v>
      </c>
      <c r="G122" s="26">
        <f t="shared" si="18"/>
        <v>0</v>
      </c>
      <c r="H122" s="26">
        <f t="shared" si="18"/>
        <v>0</v>
      </c>
      <c r="I122" s="26">
        <f t="shared" si="18"/>
        <v>0</v>
      </c>
      <c r="J122" s="26">
        <f t="shared" si="18"/>
        <v>0</v>
      </c>
      <c r="K122" s="26">
        <f t="shared" si="18"/>
        <v>0</v>
      </c>
      <c r="L122" s="26">
        <f t="shared" si="18"/>
        <v>0</v>
      </c>
      <c r="M122" s="26">
        <f t="shared" si="18"/>
        <v>0</v>
      </c>
      <c r="N122" s="26">
        <f t="shared" ref="N122:W133" si="21">SQRT(IF((N$3-$A122)&gt;0,(N$3-$A122),0)*2*32.174)/$B122</f>
        <v>0</v>
      </c>
      <c r="O122" s="26">
        <f t="shared" si="21"/>
        <v>0.26202762320166401</v>
      </c>
      <c r="P122" s="26">
        <f t="shared" si="21"/>
        <v>0.64183397535833142</v>
      </c>
      <c r="Q122" s="26">
        <f t="shared" si="21"/>
        <v>0.86904731086854259</v>
      </c>
      <c r="R122" s="26">
        <f t="shared" si="21"/>
        <v>1.048110492806656</v>
      </c>
      <c r="S122" s="26">
        <f t="shared" si="21"/>
        <v>1.2007614174909924</v>
      </c>
      <c r="T122" s="26">
        <f t="shared" si="21"/>
        <v>1.3360839638056221</v>
      </c>
      <c r="U122" s="26">
        <f t="shared" si="21"/>
        <v>1.4589080625392776</v>
      </c>
      <c r="V122" s="26">
        <f t="shared" si="21"/>
        <v>1.5721657392099839</v>
      </c>
      <c r="W122" s="26">
        <f t="shared" si="21"/>
        <v>1.6777954249994964</v>
      </c>
      <c r="X122" s="18">
        <f t="shared" si="14"/>
        <v>59000</v>
      </c>
    </row>
    <row r="123" spans="1:24">
      <c r="A123" s="18">
        <v>59500</v>
      </c>
      <c r="B123" s="25">
        <f t="shared" si="19"/>
        <v>968.1005104214338</v>
      </c>
      <c r="C123" s="17">
        <f t="shared" si="12"/>
        <v>59500</v>
      </c>
      <c r="D123" s="26">
        <f t="shared" si="20"/>
        <v>0</v>
      </c>
      <c r="E123" s="26">
        <f t="shared" si="20"/>
        <v>0</v>
      </c>
      <c r="F123" s="26">
        <f t="shared" si="18"/>
        <v>0</v>
      </c>
      <c r="G123" s="26">
        <f t="shared" si="18"/>
        <v>0</v>
      </c>
      <c r="H123" s="26">
        <f t="shared" si="18"/>
        <v>0</v>
      </c>
      <c r="I123" s="26">
        <f t="shared" si="18"/>
        <v>0</v>
      </c>
      <c r="J123" s="26">
        <f t="shared" si="18"/>
        <v>0</v>
      </c>
      <c r="K123" s="26">
        <f t="shared" si="18"/>
        <v>0</v>
      </c>
      <c r="L123" s="26">
        <f t="shared" si="18"/>
        <v>0</v>
      </c>
      <c r="M123" s="26">
        <f t="shared" si="18"/>
        <v>0</v>
      </c>
      <c r="N123" s="26">
        <f t="shared" si="21"/>
        <v>0</v>
      </c>
      <c r="O123" s="26">
        <f t="shared" si="21"/>
        <v>0.18528150922409015</v>
      </c>
      <c r="P123" s="26">
        <f t="shared" si="21"/>
        <v>0.61450924668707996</v>
      </c>
      <c r="Q123" s="26">
        <f t="shared" si="21"/>
        <v>0.84906654089505174</v>
      </c>
      <c r="R123" s="26">
        <f t="shared" si="21"/>
        <v>1.0316037841492511</v>
      </c>
      <c r="S123" s="26">
        <f t="shared" si="21"/>
        <v>1.1863805224609096</v>
      </c>
      <c r="T123" s="26">
        <f t="shared" si="21"/>
        <v>1.3231746372562414</v>
      </c>
      <c r="U123" s="26">
        <f t="shared" si="21"/>
        <v>1.4470948473689458</v>
      </c>
      <c r="V123" s="26">
        <f t="shared" si="21"/>
        <v>1.5612097469223405</v>
      </c>
      <c r="W123" s="26">
        <f t="shared" si="21"/>
        <v>1.6675335830168112</v>
      </c>
      <c r="X123" s="18">
        <f t="shared" si="14"/>
        <v>59500</v>
      </c>
    </row>
    <row r="124" spans="1:24">
      <c r="A124" s="18">
        <v>60000</v>
      </c>
      <c r="B124" s="25">
        <f t="shared" si="19"/>
        <v>968.1005104214338</v>
      </c>
      <c r="C124" s="17">
        <f t="shared" si="12"/>
        <v>60000</v>
      </c>
      <c r="D124" s="26">
        <f t="shared" si="20"/>
        <v>0</v>
      </c>
      <c r="E124" s="26">
        <f t="shared" si="20"/>
        <v>0</v>
      </c>
      <c r="F124" s="26">
        <f t="shared" si="18"/>
        <v>0</v>
      </c>
      <c r="G124" s="26">
        <f t="shared" si="18"/>
        <v>0</v>
      </c>
      <c r="H124" s="26">
        <f t="shared" si="18"/>
        <v>0</v>
      </c>
      <c r="I124" s="26">
        <f t="shared" si="18"/>
        <v>0</v>
      </c>
      <c r="J124" s="26">
        <f t="shared" si="18"/>
        <v>0</v>
      </c>
      <c r="K124" s="26">
        <f t="shared" si="18"/>
        <v>0</v>
      </c>
      <c r="L124" s="26">
        <f t="shared" si="18"/>
        <v>0</v>
      </c>
      <c r="M124" s="26">
        <f t="shared" si="18"/>
        <v>0</v>
      </c>
      <c r="N124" s="26">
        <f t="shared" si="21"/>
        <v>0</v>
      </c>
      <c r="O124" s="26">
        <f t="shared" si="21"/>
        <v>0</v>
      </c>
      <c r="P124" s="26">
        <f t="shared" si="21"/>
        <v>0.5859115774616217</v>
      </c>
      <c r="Q124" s="26">
        <f t="shared" si="21"/>
        <v>0.82860409919763967</v>
      </c>
      <c r="R124" s="26">
        <f t="shared" si="21"/>
        <v>1.0148286209063568</v>
      </c>
      <c r="S124" s="26">
        <f t="shared" si="21"/>
        <v>1.1718231549232434</v>
      </c>
      <c r="T124" s="26">
        <f t="shared" si="21"/>
        <v>1.3101381160083199</v>
      </c>
      <c r="U124" s="26">
        <f t="shared" si="21"/>
        <v>1.4351843991701541</v>
      </c>
      <c r="V124" s="26">
        <f t="shared" si="21"/>
        <v>1.5501763242370084</v>
      </c>
      <c r="W124" s="26">
        <f t="shared" si="21"/>
        <v>1.6572081983952793</v>
      </c>
      <c r="X124" s="18">
        <f t="shared" si="14"/>
        <v>60000</v>
      </c>
    </row>
    <row r="125" spans="1:24">
      <c r="A125" s="18">
        <v>60500</v>
      </c>
      <c r="B125" s="25">
        <f t="shared" si="19"/>
        <v>968.1005104214338</v>
      </c>
      <c r="C125" s="17">
        <f t="shared" si="12"/>
        <v>60500</v>
      </c>
      <c r="D125" s="26">
        <f t="shared" si="20"/>
        <v>0</v>
      </c>
      <c r="E125" s="26">
        <f t="shared" si="20"/>
        <v>0</v>
      </c>
      <c r="F125" s="26">
        <f t="shared" si="18"/>
        <v>0</v>
      </c>
      <c r="G125" s="26">
        <f t="shared" si="18"/>
        <v>0</v>
      </c>
      <c r="H125" s="26">
        <f t="shared" si="18"/>
        <v>0</v>
      </c>
      <c r="I125" s="26">
        <f t="shared" si="18"/>
        <v>0</v>
      </c>
      <c r="J125" s="26">
        <f t="shared" si="18"/>
        <v>0</v>
      </c>
      <c r="K125" s="26">
        <f t="shared" si="18"/>
        <v>0</v>
      </c>
      <c r="L125" s="26">
        <f t="shared" si="18"/>
        <v>0</v>
      </c>
      <c r="M125" s="26">
        <f t="shared" si="18"/>
        <v>0</v>
      </c>
      <c r="N125" s="26">
        <f t="shared" si="21"/>
        <v>0</v>
      </c>
      <c r="O125" s="26">
        <f t="shared" si="21"/>
        <v>0</v>
      </c>
      <c r="P125" s="26">
        <f t="shared" si="21"/>
        <v>0.55584452767227033</v>
      </c>
      <c r="Q125" s="26">
        <f t="shared" si="21"/>
        <v>0.80762337481450808</v>
      </c>
      <c r="R125" s="26">
        <f t="shared" si="21"/>
        <v>0.99777146288633711</v>
      </c>
      <c r="S125" s="26">
        <f t="shared" si="21"/>
        <v>1.1570826542446773</v>
      </c>
      <c r="T125" s="26">
        <f t="shared" si="21"/>
        <v>1.2969705645686309</v>
      </c>
      <c r="U125" s="26">
        <f t="shared" si="21"/>
        <v>1.4231742767352982</v>
      </c>
      <c r="V125" s="26">
        <f t="shared" si="21"/>
        <v>1.5390638058783024</v>
      </c>
      <c r="W125" s="26">
        <f t="shared" si="21"/>
        <v>1.6468180759173647</v>
      </c>
      <c r="X125" s="18">
        <f t="shared" si="14"/>
        <v>60500</v>
      </c>
    </row>
    <row r="126" spans="1:24">
      <c r="A126" s="18">
        <v>61000</v>
      </c>
      <c r="B126" s="25">
        <f t="shared" si="19"/>
        <v>968.1005104214338</v>
      </c>
      <c r="C126" s="17">
        <f t="shared" si="12"/>
        <v>61000</v>
      </c>
      <c r="D126" s="26">
        <f t="shared" ref="D126:E133" si="22">SQRT(IF((D$3-$A126)&gt;0,(D$3-$A126),0)*2*32.174)/$B126</f>
        <v>0</v>
      </c>
      <c r="E126" s="26">
        <f t="shared" si="22"/>
        <v>0</v>
      </c>
      <c r="F126" s="26">
        <f t="shared" si="18"/>
        <v>0</v>
      </c>
      <c r="G126" s="26">
        <f t="shared" si="18"/>
        <v>0</v>
      </c>
      <c r="H126" s="26">
        <f t="shared" si="18"/>
        <v>0</v>
      </c>
      <c r="I126" s="26">
        <f t="shared" si="18"/>
        <v>0</v>
      </c>
      <c r="J126" s="26">
        <f t="shared" si="18"/>
        <v>0</v>
      </c>
      <c r="K126" s="26">
        <f t="shared" si="18"/>
        <v>0</v>
      </c>
      <c r="L126" s="26">
        <f t="shared" si="18"/>
        <v>0</v>
      </c>
      <c r="M126" s="26">
        <f t="shared" si="18"/>
        <v>0</v>
      </c>
      <c r="N126" s="26">
        <f t="shared" si="21"/>
        <v>0</v>
      </c>
      <c r="O126" s="26">
        <f t="shared" si="21"/>
        <v>0</v>
      </c>
      <c r="P126" s="26">
        <f t="shared" si="21"/>
        <v>0.52405524640332801</v>
      </c>
      <c r="Q126" s="26">
        <f t="shared" si="21"/>
        <v>0.78608286960499196</v>
      </c>
      <c r="R126" s="26">
        <f t="shared" si="21"/>
        <v>0.98041759189132494</v>
      </c>
      <c r="S126" s="26">
        <f t="shared" si="21"/>
        <v>1.1421519299522067</v>
      </c>
      <c r="T126" s="26">
        <f t="shared" si="21"/>
        <v>1.2836679507166628</v>
      </c>
      <c r="U126" s="26">
        <f t="shared" si="21"/>
        <v>1.4110619349627012</v>
      </c>
      <c r="V126" s="26">
        <f t="shared" si="21"/>
        <v>1.527870466009553</v>
      </c>
      <c r="W126" s="26">
        <f t="shared" si="21"/>
        <v>1.6363619824194813</v>
      </c>
      <c r="X126" s="18">
        <f t="shared" si="14"/>
        <v>61000</v>
      </c>
    </row>
    <row r="127" spans="1:24">
      <c r="A127" s="18">
        <v>61500</v>
      </c>
      <c r="B127" s="25">
        <f t="shared" si="19"/>
        <v>968.1005104214338</v>
      </c>
      <c r="C127" s="17">
        <f t="shared" si="12"/>
        <v>61500</v>
      </c>
      <c r="D127" s="26">
        <f t="shared" si="22"/>
        <v>0</v>
      </c>
      <c r="E127" s="26">
        <f t="shared" si="22"/>
        <v>0</v>
      </c>
      <c r="F127" s="26">
        <f t="shared" si="18"/>
        <v>0</v>
      </c>
      <c r="G127" s="26">
        <f t="shared" si="18"/>
        <v>0</v>
      </c>
      <c r="H127" s="26">
        <f t="shared" si="18"/>
        <v>0</v>
      </c>
      <c r="I127" s="26">
        <f t="shared" si="18"/>
        <v>0</v>
      </c>
      <c r="J127" s="26">
        <f t="shared" si="18"/>
        <v>0</v>
      </c>
      <c r="K127" s="26">
        <f t="shared" si="18"/>
        <v>0</v>
      </c>
      <c r="L127" s="26">
        <f t="shared" si="18"/>
        <v>0</v>
      </c>
      <c r="M127" s="26">
        <f t="shared" si="18"/>
        <v>0</v>
      </c>
      <c r="N127" s="26">
        <f t="shared" si="21"/>
        <v>0</v>
      </c>
      <c r="O127" s="26">
        <f t="shared" si="21"/>
        <v>0</v>
      </c>
      <c r="P127" s="26">
        <f t="shared" si="21"/>
        <v>0.49020879594566247</v>
      </c>
      <c r="Q127" s="26">
        <f t="shared" si="21"/>
        <v>0.7639352330047765</v>
      </c>
      <c r="R127" s="26">
        <f t="shared" si="21"/>
        <v>0.96275096303749708</v>
      </c>
      <c r="S127" s="26">
        <f t="shared" si="21"/>
        <v>1.1270234218653994</v>
      </c>
      <c r="T127" s="26">
        <f t="shared" si="21"/>
        <v>1.270226031081382</v>
      </c>
      <c r="U127" s="26">
        <f t="shared" si="21"/>
        <v>1.3988447185589707</v>
      </c>
      <c r="V127" s="26">
        <f t="shared" si="21"/>
        <v>1.5165945151041171</v>
      </c>
      <c r="W127" s="26">
        <f t="shared" si="21"/>
        <v>1.6258386450836559</v>
      </c>
      <c r="X127" s="18">
        <f t="shared" si="14"/>
        <v>61500</v>
      </c>
    </row>
    <row r="128" spans="1:24">
      <c r="A128" s="18">
        <v>62000</v>
      </c>
      <c r="B128" s="25">
        <f t="shared" si="19"/>
        <v>968.1005104214338</v>
      </c>
      <c r="C128" s="17">
        <f t="shared" si="12"/>
        <v>62000</v>
      </c>
      <c r="D128" s="26">
        <f t="shared" si="22"/>
        <v>0</v>
      </c>
      <c r="E128" s="26">
        <f t="shared" si="22"/>
        <v>0</v>
      </c>
      <c r="F128" s="26">
        <f t="shared" si="18"/>
        <v>0</v>
      </c>
      <c r="G128" s="26">
        <f t="shared" si="18"/>
        <v>0</v>
      </c>
      <c r="H128" s="26">
        <f t="shared" si="18"/>
        <v>0</v>
      </c>
      <c r="I128" s="26">
        <f t="shared" si="18"/>
        <v>0</v>
      </c>
      <c r="J128" s="26">
        <f t="shared" si="18"/>
        <v>0</v>
      </c>
      <c r="K128" s="26">
        <f t="shared" si="18"/>
        <v>0</v>
      </c>
      <c r="L128" s="26">
        <f t="shared" si="18"/>
        <v>0</v>
      </c>
      <c r="M128" s="26">
        <f t="shared" si="18"/>
        <v>0</v>
      </c>
      <c r="N128" s="26">
        <f t="shared" si="21"/>
        <v>0</v>
      </c>
      <c r="O128" s="26">
        <f t="shared" si="21"/>
        <v>0</v>
      </c>
      <c r="P128" s="26">
        <f t="shared" si="21"/>
        <v>0.45384515637179557</v>
      </c>
      <c r="Q128" s="26">
        <f t="shared" si="21"/>
        <v>0.74112603689636058</v>
      </c>
      <c r="R128" s="26">
        <f t="shared" si="21"/>
        <v>0.94475403104155709</v>
      </c>
      <c r="S128" s="26">
        <f t="shared" si="21"/>
        <v>1.1116890553445407</v>
      </c>
      <c r="T128" s="26">
        <f t="shared" si="21"/>
        <v>1.2566403353292475</v>
      </c>
      <c r="U128" s="26">
        <f t="shared" si="21"/>
        <v>1.386519855241882</v>
      </c>
      <c r="V128" s="26">
        <f t="shared" si="21"/>
        <v>1.5052340966054201</v>
      </c>
      <c r="W128" s="26">
        <f t="shared" si="21"/>
        <v>1.6152467496290162</v>
      </c>
      <c r="X128" s="18">
        <f t="shared" si="14"/>
        <v>62000</v>
      </c>
    </row>
    <row r="129" spans="1:24">
      <c r="A129" s="18">
        <v>62500</v>
      </c>
      <c r="B129" s="25">
        <f t="shared" si="19"/>
        <v>968.1005104214338</v>
      </c>
      <c r="C129" s="17">
        <f t="shared" si="12"/>
        <v>62500</v>
      </c>
      <c r="D129" s="26">
        <f t="shared" si="22"/>
        <v>0</v>
      </c>
      <c r="E129" s="26">
        <f t="shared" si="22"/>
        <v>0</v>
      </c>
      <c r="F129" s="26">
        <f t="shared" si="18"/>
        <v>0</v>
      </c>
      <c r="G129" s="26">
        <f t="shared" si="18"/>
        <v>0</v>
      </c>
      <c r="H129" s="26">
        <f t="shared" si="18"/>
        <v>0</v>
      </c>
      <c r="I129" s="26">
        <f t="shared" si="18"/>
        <v>0</v>
      </c>
      <c r="J129" s="26">
        <f t="shared" si="18"/>
        <v>0</v>
      </c>
      <c r="K129" s="26">
        <f t="shared" si="18"/>
        <v>0</v>
      </c>
      <c r="L129" s="26">
        <f t="shared" si="18"/>
        <v>0</v>
      </c>
      <c r="M129" s="26">
        <f t="shared" si="18"/>
        <v>0</v>
      </c>
      <c r="N129" s="26">
        <f t="shared" si="21"/>
        <v>0</v>
      </c>
      <c r="O129" s="26">
        <f t="shared" si="21"/>
        <v>0</v>
      </c>
      <c r="P129" s="26">
        <f t="shared" si="21"/>
        <v>0.41430204959881983</v>
      </c>
      <c r="Q129" s="26">
        <f t="shared" si="21"/>
        <v>0.71759219958507703</v>
      </c>
      <c r="R129" s="26">
        <f t="shared" si="21"/>
        <v>0.92640754612045073</v>
      </c>
      <c r="S129" s="26">
        <f t="shared" si="21"/>
        <v>1.0961401909028248</v>
      </c>
      <c r="T129" s="26">
        <f t="shared" si="21"/>
        <v>1.2429061487964597</v>
      </c>
      <c r="U129" s="26">
        <f t="shared" si="21"/>
        <v>1.3740844483944983</v>
      </c>
      <c r="V129" s="26">
        <f t="shared" si="21"/>
        <v>1.4937872833583699</v>
      </c>
      <c r="W129" s="26">
        <f t="shared" si="21"/>
        <v>1.6045849383958286</v>
      </c>
      <c r="X129" s="18">
        <f t="shared" si="14"/>
        <v>62500</v>
      </c>
    </row>
    <row r="130" spans="1:24">
      <c r="A130" s="18">
        <v>63000</v>
      </c>
      <c r="B130" s="25">
        <f t="shared" si="19"/>
        <v>968.1005104214338</v>
      </c>
      <c r="C130" s="17">
        <f t="shared" si="12"/>
        <v>63000</v>
      </c>
      <c r="D130" s="26">
        <f t="shared" si="22"/>
        <v>0</v>
      </c>
      <c r="E130" s="26">
        <f t="shared" si="22"/>
        <v>0</v>
      </c>
      <c r="F130" s="26">
        <f t="shared" si="18"/>
        <v>0</v>
      </c>
      <c r="G130" s="26">
        <f t="shared" si="18"/>
        <v>0</v>
      </c>
      <c r="H130" s="26">
        <f t="shared" si="18"/>
        <v>0</v>
      </c>
      <c r="I130" s="26">
        <f t="shared" si="18"/>
        <v>0</v>
      </c>
      <c r="J130" s="26">
        <f t="shared" si="18"/>
        <v>0</v>
      </c>
      <c r="K130" s="26">
        <f t="shared" si="18"/>
        <v>0</v>
      </c>
      <c r="L130" s="26">
        <f t="shared" si="18"/>
        <v>0</v>
      </c>
      <c r="M130" s="26">
        <f t="shared" si="18"/>
        <v>0</v>
      </c>
      <c r="N130" s="26">
        <f t="shared" si="21"/>
        <v>0</v>
      </c>
      <c r="O130" s="26">
        <f t="shared" si="21"/>
        <v>0</v>
      </c>
      <c r="P130" s="26">
        <f t="shared" si="21"/>
        <v>0.37056301844818029</v>
      </c>
      <c r="Q130" s="26">
        <f t="shared" si="21"/>
        <v>0.69325992762094102</v>
      </c>
      <c r="R130" s="26">
        <f t="shared" si="21"/>
        <v>0.90769031274359113</v>
      </c>
      <c r="S130" s="26">
        <f t="shared" si="21"/>
        <v>1.0803675672900055</v>
      </c>
      <c r="T130" s="26">
        <f t="shared" si="21"/>
        <v>1.2290184933741599</v>
      </c>
      <c r="U130" s="26">
        <f t="shared" si="21"/>
        <v>1.3615354691153867</v>
      </c>
      <c r="V130" s="26">
        <f t="shared" si="21"/>
        <v>1.4822520737927212</v>
      </c>
      <c r="W130" s="26">
        <f t="shared" si="21"/>
        <v>1.5938518083141822</v>
      </c>
      <c r="X130" s="18">
        <f t="shared" si="14"/>
        <v>63000</v>
      </c>
    </row>
    <row r="131" spans="1:24">
      <c r="A131" s="18">
        <v>63500</v>
      </c>
      <c r="B131" s="25">
        <f t="shared" si="19"/>
        <v>968.1005104214338</v>
      </c>
      <c r="C131" s="17">
        <f t="shared" si="12"/>
        <v>63500</v>
      </c>
      <c r="D131" s="26">
        <f t="shared" si="22"/>
        <v>0</v>
      </c>
      <c r="E131" s="26">
        <f t="shared" si="22"/>
        <v>0</v>
      </c>
      <c r="F131" s="26">
        <f t="shared" si="18"/>
        <v>0</v>
      </c>
      <c r="G131" s="26">
        <f t="shared" si="18"/>
        <v>0</v>
      </c>
      <c r="H131" s="26">
        <f t="shared" si="18"/>
        <v>0</v>
      </c>
      <c r="I131" s="26">
        <f t="shared" si="18"/>
        <v>0</v>
      </c>
      <c r="J131" s="26">
        <f t="shared" ref="F131:M133" si="23">SQRT(IF((J$3-$A131)&gt;0,(J$3-$A131),0)*2*32.174)/$B131</f>
        <v>0</v>
      </c>
      <c r="K131" s="26">
        <f t="shared" si="23"/>
        <v>0</v>
      </c>
      <c r="L131" s="26">
        <f t="shared" si="23"/>
        <v>0</v>
      </c>
      <c r="M131" s="26">
        <f t="shared" si="23"/>
        <v>0</v>
      </c>
      <c r="N131" s="26">
        <f t="shared" si="21"/>
        <v>0</v>
      </c>
      <c r="O131" s="26">
        <f t="shared" si="21"/>
        <v>0</v>
      </c>
      <c r="P131" s="26">
        <f t="shared" si="21"/>
        <v>0.32091698767916571</v>
      </c>
      <c r="Q131" s="26">
        <f t="shared" si="21"/>
        <v>0.66804198190281106</v>
      </c>
      <c r="R131" s="26">
        <f t="shared" si="21"/>
        <v>0.88857890262384787</v>
      </c>
      <c r="S131" s="26">
        <f t="shared" si="21"/>
        <v>1.0643612369828994</v>
      </c>
      <c r="T131" s="26">
        <f t="shared" si="21"/>
        <v>1.214972106426865</v>
      </c>
      <c r="U131" s="26">
        <f t="shared" si="21"/>
        <v>1.3488697476031182</v>
      </c>
      <c r="V131" s="26">
        <f t="shared" si="21"/>
        <v>1.4706263878369874</v>
      </c>
      <c r="W131" s="26">
        <f t="shared" si="21"/>
        <v>1.5830459087487108</v>
      </c>
      <c r="X131" s="18">
        <f t="shared" si="14"/>
        <v>63500</v>
      </c>
    </row>
    <row r="132" spans="1:24">
      <c r="A132" s="18">
        <v>64000</v>
      </c>
      <c r="B132" s="25">
        <f t="shared" ref="B132:B133" si="24">Linterp(A132,atmos_h,atmos_aspeed)</f>
        <v>968.1005104214338</v>
      </c>
      <c r="C132" s="17">
        <f t="shared" si="12"/>
        <v>64000</v>
      </c>
      <c r="D132" s="26">
        <f t="shared" si="22"/>
        <v>0</v>
      </c>
      <c r="E132" s="26">
        <f t="shared" si="22"/>
        <v>0</v>
      </c>
      <c r="F132" s="26">
        <f t="shared" si="23"/>
        <v>0</v>
      </c>
      <c r="G132" s="26">
        <f t="shared" si="23"/>
        <v>0</v>
      </c>
      <c r="H132" s="26">
        <f t="shared" si="23"/>
        <v>0</v>
      </c>
      <c r="I132" s="26">
        <f t="shared" si="23"/>
        <v>0</v>
      </c>
      <c r="J132" s="26">
        <f t="shared" si="23"/>
        <v>0</v>
      </c>
      <c r="K132" s="26">
        <f t="shared" si="23"/>
        <v>0</v>
      </c>
      <c r="L132" s="26">
        <f t="shared" si="23"/>
        <v>0</v>
      </c>
      <c r="M132" s="26">
        <f t="shared" si="23"/>
        <v>0</v>
      </c>
      <c r="N132" s="26">
        <f t="shared" si="21"/>
        <v>0</v>
      </c>
      <c r="O132" s="26">
        <f t="shared" si="21"/>
        <v>0</v>
      </c>
      <c r="P132" s="26">
        <f t="shared" si="21"/>
        <v>0.26202762320166401</v>
      </c>
      <c r="Q132" s="26">
        <f t="shared" si="21"/>
        <v>0.64183397535833142</v>
      </c>
      <c r="R132" s="26">
        <f t="shared" si="21"/>
        <v>0.86904731086854259</v>
      </c>
      <c r="S132" s="26">
        <f t="shared" si="21"/>
        <v>1.048110492806656</v>
      </c>
      <c r="T132" s="26">
        <f t="shared" si="21"/>
        <v>1.2007614174909924</v>
      </c>
      <c r="U132" s="26">
        <f t="shared" si="21"/>
        <v>1.3360839638056221</v>
      </c>
      <c r="V132" s="26">
        <f t="shared" si="21"/>
        <v>1.4589080625392776</v>
      </c>
      <c r="W132" s="26">
        <f t="shared" si="21"/>
        <v>1.5721657392099839</v>
      </c>
      <c r="X132" s="18">
        <f t="shared" si="14"/>
        <v>64000</v>
      </c>
    </row>
    <row r="133" spans="1:24">
      <c r="A133" s="18">
        <v>64500</v>
      </c>
      <c r="B133" s="25">
        <f t="shared" si="24"/>
        <v>968.1005104214338</v>
      </c>
      <c r="C133" s="17">
        <f t="shared" ref="C133" si="25">$A133+C$3*C$3*$B133*$B133/(2*32.174)</f>
        <v>64500</v>
      </c>
      <c r="D133" s="26">
        <f t="shared" si="22"/>
        <v>0</v>
      </c>
      <c r="E133" s="26">
        <f t="shared" si="22"/>
        <v>0</v>
      </c>
      <c r="F133" s="26">
        <f t="shared" si="23"/>
        <v>0</v>
      </c>
      <c r="G133" s="26">
        <f t="shared" si="23"/>
        <v>0</v>
      </c>
      <c r="H133" s="26">
        <f t="shared" si="23"/>
        <v>0</v>
      </c>
      <c r="I133" s="26">
        <f t="shared" si="23"/>
        <v>0</v>
      </c>
      <c r="J133" s="26">
        <f t="shared" si="23"/>
        <v>0</v>
      </c>
      <c r="K133" s="26">
        <f t="shared" si="23"/>
        <v>0</v>
      </c>
      <c r="L133" s="26">
        <f t="shared" si="23"/>
        <v>0</v>
      </c>
      <c r="M133" s="26">
        <f t="shared" si="23"/>
        <v>0</v>
      </c>
      <c r="N133" s="26">
        <f t="shared" si="21"/>
        <v>0</v>
      </c>
      <c r="O133" s="26">
        <f t="shared" si="21"/>
        <v>0</v>
      </c>
      <c r="P133" s="26">
        <f t="shared" si="21"/>
        <v>0.18528150922409015</v>
      </c>
      <c r="Q133" s="26">
        <f t="shared" si="21"/>
        <v>0.61450924668707996</v>
      </c>
      <c r="R133" s="26">
        <f t="shared" si="21"/>
        <v>0.84906654089505174</v>
      </c>
      <c r="S133" s="26">
        <f t="shared" si="21"/>
        <v>1.0316037841492511</v>
      </c>
      <c r="T133" s="26">
        <f t="shared" si="21"/>
        <v>1.1863805224609096</v>
      </c>
      <c r="U133" s="26">
        <f t="shared" si="21"/>
        <v>1.3231746372562414</v>
      </c>
      <c r="V133" s="26">
        <f t="shared" si="21"/>
        <v>1.4470948473689458</v>
      </c>
      <c r="W133" s="26">
        <f t="shared" si="21"/>
        <v>1.5612097469223405</v>
      </c>
      <c r="X133" s="18">
        <f t="shared" ref="X133" si="26">A133</f>
        <v>64500</v>
      </c>
    </row>
    <row r="134" spans="1:24">
      <c r="A134" s="18"/>
      <c r="B134" s="25"/>
      <c r="C134" s="17"/>
      <c r="D134" s="26"/>
      <c r="E134" s="26"/>
    </row>
    <row r="135" spans="1:24">
      <c r="A135" s="18"/>
      <c r="B135" s="25"/>
      <c r="C135" s="17"/>
      <c r="D135" s="26"/>
      <c r="E135" s="26"/>
    </row>
    <row r="136" spans="1:24">
      <c r="A136" s="18"/>
      <c r="B136" s="25"/>
      <c r="C136" s="17"/>
      <c r="D136" s="26"/>
      <c r="E136" s="26"/>
    </row>
    <row r="137" spans="1:24">
      <c r="A137" s="18"/>
      <c r="B137" s="25"/>
      <c r="C137" s="17"/>
      <c r="D137" s="26"/>
      <c r="E137" s="26"/>
    </row>
    <row r="138" spans="1:24">
      <c r="A138" s="18"/>
      <c r="B138" s="25"/>
      <c r="C138" s="17"/>
      <c r="D138" s="26"/>
      <c r="E138" s="26"/>
    </row>
    <row r="139" spans="1:24">
      <c r="A139" s="18"/>
      <c r="B139" s="25"/>
      <c r="C139" s="17"/>
      <c r="D139" s="26"/>
      <c r="E139" s="26"/>
    </row>
    <row r="140" spans="1:24">
      <c r="A140" s="18"/>
      <c r="B140" s="25"/>
      <c r="C140" s="17"/>
      <c r="D140" s="26"/>
      <c r="E140" s="26"/>
    </row>
    <row r="141" spans="1:24">
      <c r="A141" s="18"/>
      <c r="B141" s="25"/>
      <c r="C141" s="17"/>
      <c r="D141" s="26"/>
      <c r="E141" s="26"/>
    </row>
    <row r="142" spans="1:24">
      <c r="A142" s="18"/>
      <c r="B142" s="25"/>
      <c r="C142" s="17"/>
      <c r="D142" s="26"/>
      <c r="E142" s="26"/>
    </row>
    <row r="143" spans="1:24">
      <c r="A143" s="18"/>
      <c r="B143" s="25"/>
      <c r="C143" s="17"/>
      <c r="D143" s="26"/>
      <c r="E143" s="26"/>
    </row>
    <row r="144" spans="1:24">
      <c r="A144" s="18"/>
      <c r="B144" s="25"/>
      <c r="C144" s="17"/>
      <c r="D144" s="26"/>
      <c r="E144" s="26"/>
    </row>
    <row r="145" spans="1:5">
      <c r="A145" s="18"/>
      <c r="B145" s="25"/>
      <c r="C145" s="17"/>
      <c r="D145" s="26"/>
      <c r="E145" s="26"/>
    </row>
    <row r="146" spans="1:5">
      <c r="A146" s="18"/>
      <c r="B146" s="25"/>
      <c r="C146" s="17"/>
      <c r="D146" s="26"/>
      <c r="E146" s="26"/>
    </row>
    <row r="147" spans="1:5">
      <c r="A147" s="18"/>
      <c r="B147" s="25"/>
      <c r="C147" s="17"/>
      <c r="D147" s="26"/>
      <c r="E147" s="26"/>
    </row>
    <row r="148" spans="1:5">
      <c r="A148" s="18"/>
      <c r="B148" s="25"/>
      <c r="C148" s="17"/>
      <c r="D148" s="26"/>
      <c r="E148" s="26"/>
    </row>
    <row r="149" spans="1:5">
      <c r="A149" s="18"/>
      <c r="B149" s="25"/>
      <c r="C149" s="17"/>
      <c r="D149" s="26"/>
      <c r="E149" s="26"/>
    </row>
    <row r="150" spans="1:5">
      <c r="A150" s="18"/>
      <c r="B150" s="25"/>
      <c r="C150" s="17"/>
      <c r="D150" s="26"/>
      <c r="E150" s="26"/>
    </row>
    <row r="151" spans="1:5">
      <c r="A151" s="18"/>
      <c r="B151" s="25"/>
      <c r="C151" s="17"/>
      <c r="D151" s="26"/>
      <c r="E151" s="26"/>
    </row>
    <row r="152" spans="1:5">
      <c r="A152" s="18"/>
      <c r="B152" s="25"/>
      <c r="C152" s="17"/>
      <c r="D152" s="26"/>
      <c r="E152" s="26"/>
    </row>
    <row r="153" spans="1:5">
      <c r="A153" s="18"/>
      <c r="B153" s="25"/>
      <c r="C153" s="17"/>
      <c r="D153" s="26"/>
      <c r="E153" s="26"/>
    </row>
    <row r="154" spans="1:5">
      <c r="A154" s="18"/>
      <c r="B154" s="25"/>
      <c r="C154" s="17"/>
      <c r="D154" s="26"/>
      <c r="E154" s="26"/>
    </row>
    <row r="155" spans="1:5">
      <c r="A155" s="18"/>
      <c r="B155" s="25"/>
      <c r="C155" s="17"/>
      <c r="D155" s="26"/>
      <c r="E155" s="26"/>
    </row>
    <row r="156" spans="1:5">
      <c r="A156" s="18"/>
      <c r="B156" s="25"/>
      <c r="C156" s="17"/>
      <c r="D156" s="26"/>
      <c r="E156" s="26"/>
    </row>
    <row r="157" spans="1:5">
      <c r="A157" s="18"/>
      <c r="B157" s="25"/>
      <c r="C157" s="17"/>
      <c r="D157" s="26"/>
      <c r="E157" s="26"/>
    </row>
    <row r="158" spans="1:5">
      <c r="A158" s="18"/>
      <c r="B158" s="25"/>
      <c r="C158" s="17"/>
      <c r="D158" s="26"/>
      <c r="E158" s="26"/>
    </row>
    <row r="159" spans="1:5">
      <c r="A159" s="18"/>
      <c r="B159" s="25"/>
      <c r="C159" s="17"/>
      <c r="D159" s="26"/>
      <c r="E159" s="26"/>
    </row>
    <row r="160" spans="1:5">
      <c r="A160" s="18"/>
      <c r="B160" s="25"/>
      <c r="C160" s="17"/>
      <c r="D160" s="26"/>
      <c r="E160" s="26"/>
    </row>
    <row r="161" spans="1:5">
      <c r="A161" s="18"/>
      <c r="B161" s="25"/>
      <c r="C161" s="17"/>
      <c r="D161" s="26"/>
      <c r="E161" s="26"/>
    </row>
    <row r="162" spans="1:5">
      <c r="A162" s="18"/>
      <c r="B162" s="25"/>
      <c r="C162" s="17"/>
      <c r="D162" s="26"/>
      <c r="E162" s="26"/>
    </row>
    <row r="163" spans="1:5">
      <c r="A163" s="18"/>
      <c r="B163" s="25"/>
      <c r="C163" s="17"/>
      <c r="D163" s="26"/>
      <c r="E163" s="26"/>
    </row>
    <row r="164" spans="1:5">
      <c r="A164" s="18"/>
      <c r="B164" s="25"/>
      <c r="C164" s="17"/>
      <c r="D164" s="26"/>
      <c r="E164" s="26"/>
    </row>
    <row r="165" spans="1:5">
      <c r="A165" s="18"/>
      <c r="B165" s="25"/>
      <c r="C165" s="17"/>
      <c r="D165" s="26"/>
      <c r="E165" s="26"/>
    </row>
    <row r="166" spans="1:5">
      <c r="A166" s="18"/>
      <c r="B166" s="25"/>
      <c r="C166" s="17"/>
      <c r="D166" s="26"/>
      <c r="E166" s="26"/>
    </row>
    <row r="167" spans="1:5">
      <c r="A167" s="18"/>
      <c r="B167" s="25"/>
      <c r="C167" s="17"/>
      <c r="D167" s="26"/>
      <c r="E167" s="26"/>
    </row>
    <row r="168" spans="1:5">
      <c r="A168" s="18"/>
      <c r="B168" s="25"/>
      <c r="C168" s="17"/>
      <c r="D168" s="26"/>
      <c r="E168" s="26"/>
    </row>
    <row r="169" spans="1:5">
      <c r="A169" s="18"/>
      <c r="B169" s="25"/>
      <c r="C169" s="17"/>
      <c r="D169" s="26"/>
      <c r="E169" s="26"/>
    </row>
    <row r="170" spans="1:5">
      <c r="A170" s="18"/>
      <c r="B170" s="25"/>
      <c r="C170" s="17"/>
      <c r="D170" s="26"/>
      <c r="E170" s="26"/>
    </row>
    <row r="171" spans="1:5">
      <c r="A171" s="18"/>
      <c r="B171" s="25"/>
      <c r="C171" s="17"/>
      <c r="D171" s="26"/>
      <c r="E171" s="26"/>
    </row>
    <row r="172" spans="1:5">
      <c r="A172" s="18"/>
      <c r="B172" s="25"/>
      <c r="C172" s="17"/>
      <c r="D172" s="26"/>
      <c r="E172" s="26"/>
    </row>
    <row r="173" spans="1:5">
      <c r="A173" s="18"/>
      <c r="B173" s="25"/>
      <c r="C173" s="17"/>
      <c r="D173" s="26"/>
      <c r="E173" s="26"/>
    </row>
    <row r="174" spans="1:5">
      <c r="A174" s="18"/>
      <c r="B174" s="25"/>
      <c r="C174" s="17"/>
      <c r="D174" s="26"/>
      <c r="E174" s="26"/>
    </row>
    <row r="175" spans="1:5">
      <c r="A175" s="18"/>
      <c r="B175" s="25"/>
      <c r="C175" s="17"/>
      <c r="D175" s="26"/>
      <c r="E175" s="26"/>
    </row>
    <row r="176" spans="1:5">
      <c r="A176" s="18"/>
      <c r="B176" s="25"/>
      <c r="C176" s="17"/>
      <c r="D176" s="26"/>
      <c r="E176" s="26"/>
    </row>
    <row r="177" spans="1:5">
      <c r="A177" s="18"/>
      <c r="B177" s="25"/>
      <c r="C177" s="17"/>
      <c r="D177" s="26"/>
      <c r="E177" s="26"/>
    </row>
    <row r="178" spans="1:5">
      <c r="A178" s="18"/>
      <c r="B178" s="25"/>
      <c r="C178" s="17"/>
      <c r="D178" s="26"/>
      <c r="E178" s="26"/>
    </row>
    <row r="179" spans="1:5">
      <c r="A179" s="18"/>
      <c r="B179" s="25"/>
      <c r="C179" s="17"/>
      <c r="D179" s="26"/>
      <c r="E179" s="26"/>
    </row>
    <row r="180" spans="1:5">
      <c r="A180" s="18"/>
      <c r="B180" s="25"/>
      <c r="C180" s="17"/>
      <c r="D180" s="26"/>
      <c r="E180" s="26"/>
    </row>
    <row r="181" spans="1:5">
      <c r="A181" s="18"/>
      <c r="B181" s="25"/>
      <c r="C181" s="17"/>
      <c r="D181" s="26"/>
      <c r="E181" s="26"/>
    </row>
    <row r="182" spans="1:5">
      <c r="A182" s="18"/>
      <c r="B182" s="25"/>
      <c r="C182" s="17"/>
      <c r="D182" s="26"/>
      <c r="E182" s="26"/>
    </row>
    <row r="183" spans="1:5">
      <c r="A183" s="18"/>
      <c r="B183" s="25"/>
      <c r="C183" s="17"/>
      <c r="D183" s="26"/>
      <c r="E183" s="26"/>
    </row>
    <row r="184" spans="1:5">
      <c r="A184" s="18"/>
      <c r="B184" s="25"/>
      <c r="C184" s="17"/>
      <c r="D184" s="26"/>
      <c r="E184" s="26"/>
    </row>
    <row r="185" spans="1:5">
      <c r="A185" s="18"/>
      <c r="B185" s="25"/>
      <c r="C185" s="17"/>
      <c r="D185" s="26"/>
      <c r="E185" s="26"/>
    </row>
    <row r="186" spans="1:5">
      <c r="A186" s="18"/>
      <c r="B186" s="25"/>
      <c r="C186" s="17"/>
      <c r="D186" s="26"/>
      <c r="E186" s="26"/>
    </row>
    <row r="187" spans="1:5">
      <c r="A187" s="18"/>
      <c r="B187" s="25"/>
      <c r="C187" s="17"/>
      <c r="D187" s="26"/>
      <c r="E187" s="26"/>
    </row>
    <row r="188" spans="1:5">
      <c r="A188" s="18"/>
      <c r="B188" s="25"/>
      <c r="C188" s="17"/>
      <c r="D188" s="26"/>
      <c r="E188" s="26"/>
    </row>
    <row r="189" spans="1:5">
      <c r="A189" s="18"/>
      <c r="B189" s="25"/>
      <c r="C189" s="17"/>
      <c r="D189" s="26"/>
      <c r="E189" s="26"/>
    </row>
    <row r="190" spans="1:5">
      <c r="A190" s="18"/>
      <c r="B190" s="25"/>
      <c r="C190" s="17"/>
      <c r="D190" s="26"/>
      <c r="E190" s="26"/>
    </row>
    <row r="191" spans="1:5">
      <c r="A191" s="18"/>
      <c r="B191" s="25"/>
      <c r="C191" s="17"/>
      <c r="D191" s="26"/>
      <c r="E191" s="26"/>
    </row>
    <row r="192" spans="1:5">
      <c r="A192" s="18"/>
      <c r="B192" s="25"/>
      <c r="C192" s="17"/>
      <c r="D192" s="26"/>
      <c r="E192" s="26"/>
    </row>
    <row r="193" spans="1:5">
      <c r="A193" s="18"/>
      <c r="B193" s="25"/>
      <c r="C193" s="17"/>
      <c r="D193" s="26"/>
      <c r="E193" s="26"/>
    </row>
    <row r="194" spans="1:5">
      <c r="A194" s="18"/>
      <c r="B194" s="25"/>
      <c r="C194" s="17"/>
      <c r="D194" s="26"/>
      <c r="E194" s="26"/>
    </row>
    <row r="195" spans="1:5">
      <c r="A195" s="18"/>
      <c r="B195" s="25"/>
      <c r="C195" s="17"/>
      <c r="D195" s="26"/>
      <c r="E195" s="26"/>
    </row>
    <row r="196" spans="1:5">
      <c r="A196" s="18"/>
      <c r="B196" s="25"/>
      <c r="C196" s="17"/>
      <c r="D196" s="26"/>
      <c r="E196" s="26"/>
    </row>
    <row r="197" spans="1:5">
      <c r="A197" s="18"/>
      <c r="B197" s="25"/>
      <c r="C197" s="17"/>
      <c r="D197" s="26"/>
      <c r="E197" s="26"/>
    </row>
    <row r="198" spans="1:5">
      <c r="A198" s="18"/>
      <c r="B198" s="25"/>
      <c r="C198" s="17"/>
      <c r="D198" s="26"/>
      <c r="E198" s="26"/>
    </row>
    <row r="199" spans="1:5">
      <c r="A199" s="18"/>
      <c r="B199" s="25"/>
      <c r="C199" s="17"/>
      <c r="D199" s="26"/>
      <c r="E199" s="26"/>
    </row>
    <row r="200" spans="1:5">
      <c r="A200" s="18"/>
      <c r="B200" s="25"/>
      <c r="C200" s="17"/>
      <c r="D200" s="26"/>
      <c r="E200" s="26"/>
    </row>
    <row r="201" spans="1:5">
      <c r="A201" s="18"/>
      <c r="B201" s="25"/>
      <c r="C201" s="17"/>
      <c r="D201" s="26"/>
      <c r="E201" s="26"/>
    </row>
    <row r="202" spans="1:5">
      <c r="A202" s="18"/>
      <c r="B202" s="25"/>
      <c r="C202" s="17"/>
      <c r="D202" s="26"/>
      <c r="E202" s="26"/>
    </row>
    <row r="203" spans="1:5">
      <c r="A203" s="18"/>
      <c r="B203" s="25"/>
      <c r="C203" s="17"/>
      <c r="D203" s="26"/>
      <c r="E203" s="26"/>
    </row>
    <row r="204" spans="1:5">
      <c r="A204" s="18"/>
      <c r="B204" s="25"/>
      <c r="C204" s="17"/>
      <c r="D204" s="26"/>
      <c r="E204" s="26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34996-A67B-4BB0-BC4B-369359003462}">
  <sheetPr codeName="Sheet43">
    <tabColor theme="0" tint="-4.9989318521683403E-2"/>
  </sheetPr>
  <dimension ref="A1:Q39"/>
  <sheetViews>
    <sheetView workbookViewId="0">
      <selection activeCell="O29" sqref="O29"/>
    </sheetView>
  </sheetViews>
  <sheetFormatPr defaultRowHeight="14.5"/>
  <sheetData>
    <row r="1" spans="1:17">
      <c r="A1" t="s">
        <v>1</v>
      </c>
      <c r="B1">
        <f>'9 - Maneuver calcs'!B2</f>
        <v>15000</v>
      </c>
      <c r="C1" t="s">
        <v>2</v>
      </c>
    </row>
    <row r="2" spans="1:17">
      <c r="A2" t="s">
        <v>153</v>
      </c>
      <c r="B2" s="3" cm="1">
        <f t="array" ref="B2">Linterp(B1,atmos_h,atmos_aspeed)</f>
        <v>1057.3146036052262</v>
      </c>
      <c r="C2" t="s">
        <v>20</v>
      </c>
    </row>
    <row r="5" spans="1:17">
      <c r="A5" s="55" t="s">
        <v>72</v>
      </c>
      <c r="B5" s="55" t="s">
        <v>505</v>
      </c>
      <c r="C5" s="120">
        <v>1000</v>
      </c>
      <c r="D5" s="120">
        <v>2000</v>
      </c>
      <c r="E5" s="120">
        <v>4000</v>
      </c>
      <c r="F5" s="120">
        <v>8000</v>
      </c>
      <c r="G5" s="120">
        <v>16000</v>
      </c>
      <c r="H5" s="120">
        <v>32000</v>
      </c>
      <c r="J5" s="121">
        <v>2</v>
      </c>
      <c r="K5" s="121">
        <v>3</v>
      </c>
      <c r="L5" s="121">
        <v>4</v>
      </c>
      <c r="M5" s="121">
        <v>5</v>
      </c>
      <c r="N5" s="121">
        <v>6</v>
      </c>
      <c r="O5" s="121">
        <v>7</v>
      </c>
      <c r="P5" s="121">
        <v>8</v>
      </c>
      <c r="Q5" s="121">
        <v>9</v>
      </c>
    </row>
    <row r="6" spans="1:17">
      <c r="A6" s="55"/>
      <c r="B6" s="55" t="s">
        <v>69</v>
      </c>
      <c r="C6" s="55" t="s">
        <v>30</v>
      </c>
      <c r="D6" s="55" t="s">
        <v>30</v>
      </c>
      <c r="E6" s="55" t="s">
        <v>30</v>
      </c>
      <c r="F6" s="55" t="s">
        <v>30</v>
      </c>
      <c r="G6" s="55" t="s">
        <v>30</v>
      </c>
      <c r="H6" s="55" t="s">
        <v>30</v>
      </c>
      <c r="J6" s="55" t="s">
        <v>46</v>
      </c>
      <c r="K6" s="55" t="s">
        <v>46</v>
      </c>
      <c r="L6" s="55" t="s">
        <v>46</v>
      </c>
      <c r="M6" s="55" t="s">
        <v>46</v>
      </c>
      <c r="N6" s="55" t="s">
        <v>46</v>
      </c>
      <c r="O6" s="55" t="s">
        <v>46</v>
      </c>
      <c r="P6" s="55" t="s">
        <v>46</v>
      </c>
      <c r="Q6" s="55" t="s">
        <v>46</v>
      </c>
    </row>
    <row r="7" spans="1:17">
      <c r="A7" s="83">
        <v>0.01</v>
      </c>
      <c r="B7" s="16">
        <f>A7*$B$2</f>
        <v>10.573146036052263</v>
      </c>
      <c r="C7" s="7">
        <f>$B7/C$5*180/PI()</f>
        <v>0.60579664404127076</v>
      </c>
      <c r="D7" s="7">
        <f t="shared" ref="D7:H22" si="0">$B7/D$5*180/PI()</f>
        <v>0.30289832202063538</v>
      </c>
      <c r="E7" s="7">
        <f t="shared" si="0"/>
        <v>0.15144916101031769</v>
      </c>
      <c r="F7" s="7">
        <f t="shared" si="0"/>
        <v>7.5724580505158845E-2</v>
      </c>
      <c r="G7" s="7">
        <f t="shared" si="0"/>
        <v>3.7862290252579422E-2</v>
      </c>
      <c r="H7" s="7">
        <f t="shared" si="0"/>
        <v>1.8931145126289711E-2</v>
      </c>
      <c r="J7" s="7">
        <f t="shared" ref="J7:Q28" si="1">(32.174*SQRT(J$5*J$5-1))/$B7*180/PI()</f>
        <v>301.98410650405492</v>
      </c>
      <c r="K7" s="7">
        <f t="shared" si="1"/>
        <v>493.1379809101503</v>
      </c>
      <c r="L7" s="7">
        <f t="shared" si="1"/>
        <v>675.25699026760321</v>
      </c>
      <c r="M7" s="7">
        <f t="shared" si="1"/>
        <v>854.14003807831114</v>
      </c>
      <c r="N7" s="7">
        <f t="shared" si="1"/>
        <v>1031.472090483117</v>
      </c>
      <c r="O7" s="7">
        <f t="shared" si="1"/>
        <v>1207.9364260162197</v>
      </c>
      <c r="P7" s="7">
        <f t="shared" si="1"/>
        <v>1383.8650267284379</v>
      </c>
      <c r="Q7" s="7">
        <f t="shared" si="1"/>
        <v>1559.4392204127087</v>
      </c>
    </row>
    <row r="8" spans="1:17">
      <c r="A8" s="7">
        <v>0.05</v>
      </c>
      <c r="B8" s="16">
        <f t="shared" ref="B8:B39" si="2">A8*$B$2</f>
        <v>52.865730180261316</v>
      </c>
      <c r="C8" s="7">
        <f t="shared" ref="C8:H28" si="3">$B8/C$5*180/PI()</f>
        <v>3.0289832202063542</v>
      </c>
      <c r="D8" s="7">
        <f t="shared" si="0"/>
        <v>1.5144916101031771</v>
      </c>
      <c r="E8" s="7">
        <f t="shared" si="0"/>
        <v>0.75724580505158856</v>
      </c>
      <c r="F8" s="7">
        <f t="shared" si="0"/>
        <v>0.37862290252579428</v>
      </c>
      <c r="G8" s="7">
        <f t="shared" si="0"/>
        <v>0.18931145126289714</v>
      </c>
      <c r="H8" s="7">
        <f t="shared" si="0"/>
        <v>9.465572563144857E-2</v>
      </c>
      <c r="J8" s="7">
        <f t="shared" si="1"/>
        <v>60.396821300810977</v>
      </c>
      <c r="K8" s="7">
        <f t="shared" si="1"/>
        <v>98.627596182030061</v>
      </c>
      <c r="L8" s="7">
        <f t="shared" si="1"/>
        <v>135.05139805352064</v>
      </c>
      <c r="M8" s="7">
        <f t="shared" si="1"/>
        <v>170.82800761566222</v>
      </c>
      <c r="N8" s="7">
        <f t="shared" si="1"/>
        <v>206.29441809662336</v>
      </c>
      <c r="O8" s="7">
        <f t="shared" si="1"/>
        <v>241.58728520324391</v>
      </c>
      <c r="P8" s="7">
        <f t="shared" si="1"/>
        <v>276.77300534568758</v>
      </c>
      <c r="Q8" s="7">
        <f t="shared" si="1"/>
        <v>311.88784408254179</v>
      </c>
    </row>
    <row r="9" spans="1:17">
      <c r="A9" s="7">
        <v>0.1</v>
      </c>
      <c r="B9" s="16">
        <f t="shared" si="2"/>
        <v>105.73146036052263</v>
      </c>
      <c r="C9" s="7">
        <f t="shared" si="3"/>
        <v>6.0579664404127085</v>
      </c>
      <c r="D9" s="7">
        <f t="shared" si="0"/>
        <v>3.0289832202063542</v>
      </c>
      <c r="E9" s="7">
        <f t="shared" si="0"/>
        <v>1.5144916101031771</v>
      </c>
      <c r="F9" s="7">
        <f t="shared" si="0"/>
        <v>0.75724580505158856</v>
      </c>
      <c r="G9" s="7">
        <f t="shared" si="0"/>
        <v>0.37862290252579428</v>
      </c>
      <c r="H9" s="7">
        <f t="shared" si="0"/>
        <v>0.18931145126289714</v>
      </c>
      <c r="J9" s="7">
        <f t="shared" si="1"/>
        <v>30.198410650405489</v>
      </c>
      <c r="K9" s="7">
        <f t="shared" si="1"/>
        <v>49.31379809101503</v>
      </c>
      <c r="L9" s="7">
        <f t="shared" si="1"/>
        <v>67.525699026760321</v>
      </c>
      <c r="M9" s="7">
        <f t="shared" si="1"/>
        <v>85.414003807831108</v>
      </c>
      <c r="N9" s="7">
        <f t="shared" si="1"/>
        <v>103.14720904831168</v>
      </c>
      <c r="O9" s="7">
        <f t="shared" si="1"/>
        <v>120.79364260162195</v>
      </c>
      <c r="P9" s="7">
        <f t="shared" si="1"/>
        <v>138.38650267284379</v>
      </c>
      <c r="Q9" s="7">
        <f t="shared" si="1"/>
        <v>155.94392204127089</v>
      </c>
    </row>
    <row r="10" spans="1:17">
      <c r="A10" s="7">
        <v>0.15</v>
      </c>
      <c r="B10" s="16">
        <f t="shared" si="2"/>
        <v>158.59719054078394</v>
      </c>
      <c r="C10" s="7">
        <f t="shared" si="3"/>
        <v>9.0869496606190623</v>
      </c>
      <c r="D10" s="7">
        <f t="shared" si="0"/>
        <v>4.5434748303095311</v>
      </c>
      <c r="E10" s="7">
        <f t="shared" si="0"/>
        <v>2.2717374151547656</v>
      </c>
      <c r="F10" s="7">
        <f t="shared" si="0"/>
        <v>1.1358687075773828</v>
      </c>
      <c r="G10" s="7">
        <f t="shared" si="0"/>
        <v>0.56793435378869139</v>
      </c>
      <c r="H10" s="7">
        <f t="shared" si="0"/>
        <v>0.2839671768943457</v>
      </c>
      <c r="J10" s="7">
        <f t="shared" si="1"/>
        <v>20.132273766936997</v>
      </c>
      <c r="K10" s="7">
        <f t="shared" si="1"/>
        <v>32.87586539401002</v>
      </c>
      <c r="L10" s="7">
        <f t="shared" si="1"/>
        <v>45.017132684506883</v>
      </c>
      <c r="M10" s="7">
        <f t="shared" si="1"/>
        <v>56.942669205220746</v>
      </c>
      <c r="N10" s="7">
        <f t="shared" si="1"/>
        <v>68.764806032207801</v>
      </c>
      <c r="O10" s="7">
        <f t="shared" si="1"/>
        <v>80.529095067747988</v>
      </c>
      <c r="P10" s="7">
        <f t="shared" si="1"/>
        <v>92.257668448562526</v>
      </c>
      <c r="Q10" s="7">
        <f t="shared" si="1"/>
        <v>103.96261469418059</v>
      </c>
    </row>
    <row r="11" spans="1:17">
      <c r="A11" s="7">
        <v>0.2</v>
      </c>
      <c r="B11" s="16">
        <f t="shared" si="2"/>
        <v>211.46292072104526</v>
      </c>
      <c r="C11" s="7">
        <f t="shared" si="3"/>
        <v>12.115932880825417</v>
      </c>
      <c r="D11" s="7">
        <f t="shared" si="0"/>
        <v>6.0579664404127085</v>
      </c>
      <c r="E11" s="7">
        <f t="shared" si="0"/>
        <v>3.0289832202063542</v>
      </c>
      <c r="F11" s="7">
        <f t="shared" si="0"/>
        <v>1.5144916101031771</v>
      </c>
      <c r="G11" s="7">
        <f t="shared" si="0"/>
        <v>0.75724580505158856</v>
      </c>
      <c r="H11" s="7">
        <f t="shared" si="0"/>
        <v>0.37862290252579428</v>
      </c>
      <c r="J11" s="7">
        <f t="shared" si="1"/>
        <v>15.099205325202744</v>
      </c>
      <c r="K11" s="7">
        <f t="shared" si="1"/>
        <v>24.656899045507515</v>
      </c>
      <c r="L11" s="7">
        <f t="shared" si="1"/>
        <v>33.762849513380161</v>
      </c>
      <c r="M11" s="7">
        <f t="shared" si="1"/>
        <v>42.707001903915554</v>
      </c>
      <c r="N11" s="7">
        <f t="shared" si="1"/>
        <v>51.57360452415584</v>
      </c>
      <c r="O11" s="7">
        <f t="shared" si="1"/>
        <v>60.396821300810977</v>
      </c>
      <c r="P11" s="7">
        <f t="shared" si="1"/>
        <v>69.193251336421895</v>
      </c>
      <c r="Q11" s="7">
        <f t="shared" si="1"/>
        <v>77.971961020635447</v>
      </c>
    </row>
    <row r="12" spans="1:17">
      <c r="A12" s="7">
        <v>0.25</v>
      </c>
      <c r="B12" s="16">
        <f t="shared" si="2"/>
        <v>264.32865090130656</v>
      </c>
      <c r="C12" s="7">
        <f t="shared" si="3"/>
        <v>15.14491610103177</v>
      </c>
      <c r="D12" s="7">
        <f t="shared" si="0"/>
        <v>7.5724580505158849</v>
      </c>
      <c r="E12" s="7">
        <f t="shared" si="0"/>
        <v>3.7862290252579425</v>
      </c>
      <c r="F12" s="7">
        <f t="shared" si="0"/>
        <v>1.8931145126289712</v>
      </c>
      <c r="G12" s="7">
        <f t="shared" si="0"/>
        <v>0.94655725631448562</v>
      </c>
      <c r="H12" s="7">
        <f t="shared" si="0"/>
        <v>0.47327862815724281</v>
      </c>
      <c r="J12" s="7">
        <f t="shared" si="1"/>
        <v>12.079364260162199</v>
      </c>
      <c r="K12" s="7">
        <f t="shared" si="1"/>
        <v>19.725519236406011</v>
      </c>
      <c r="L12" s="7">
        <f t="shared" si="1"/>
        <v>27.010279610704131</v>
      </c>
      <c r="M12" s="7">
        <f t="shared" si="1"/>
        <v>34.165601523132452</v>
      </c>
      <c r="N12" s="7">
        <f t="shared" si="1"/>
        <v>41.258883619324671</v>
      </c>
      <c r="O12" s="7">
        <f t="shared" si="1"/>
        <v>48.317457040648797</v>
      </c>
      <c r="P12" s="7">
        <f t="shared" si="1"/>
        <v>55.354601069137523</v>
      </c>
      <c r="Q12" s="7">
        <f t="shared" si="1"/>
        <v>62.377568816508351</v>
      </c>
    </row>
    <row r="13" spans="1:17">
      <c r="A13" s="7">
        <v>0.3</v>
      </c>
      <c r="B13" s="16">
        <f t="shared" si="2"/>
        <v>317.19438108156788</v>
      </c>
      <c r="C13" s="7">
        <f t="shared" si="3"/>
        <v>18.173899321238125</v>
      </c>
      <c r="D13" s="7">
        <f t="shared" si="0"/>
        <v>9.0869496606190623</v>
      </c>
      <c r="E13" s="7">
        <f t="shared" si="0"/>
        <v>4.5434748303095311</v>
      </c>
      <c r="F13" s="7">
        <f t="shared" si="0"/>
        <v>2.2717374151547656</v>
      </c>
      <c r="G13" s="7">
        <f t="shared" si="0"/>
        <v>1.1358687075773828</v>
      </c>
      <c r="H13" s="7">
        <f t="shared" si="0"/>
        <v>0.56793435378869139</v>
      </c>
      <c r="J13" s="7">
        <f t="shared" si="1"/>
        <v>10.066136883468499</v>
      </c>
      <c r="K13" s="7">
        <f t="shared" si="1"/>
        <v>16.43793269700501</v>
      </c>
      <c r="L13" s="7">
        <f t="shared" si="1"/>
        <v>22.508566342253442</v>
      </c>
      <c r="M13" s="7">
        <f t="shared" si="1"/>
        <v>28.471334602610373</v>
      </c>
      <c r="N13" s="7">
        <f t="shared" si="1"/>
        <v>34.3824030161039</v>
      </c>
      <c r="O13" s="7">
        <f t="shared" si="1"/>
        <v>40.264547533873994</v>
      </c>
      <c r="P13" s="7">
        <f t="shared" si="1"/>
        <v>46.128834224281263</v>
      </c>
      <c r="Q13" s="7">
        <f t="shared" si="1"/>
        <v>51.981307347090294</v>
      </c>
    </row>
    <row r="14" spans="1:17">
      <c r="A14" s="7">
        <v>0.35</v>
      </c>
      <c r="B14" s="16">
        <f t="shared" si="2"/>
        <v>370.06011126182915</v>
      </c>
      <c r="C14" s="7">
        <f t="shared" si="3"/>
        <v>21.202882541444477</v>
      </c>
      <c r="D14" s="7">
        <f t="shared" si="0"/>
        <v>10.601441270722239</v>
      </c>
      <c r="E14" s="7">
        <f t="shared" si="0"/>
        <v>5.3007206353611194</v>
      </c>
      <c r="F14" s="7">
        <f t="shared" si="0"/>
        <v>2.6503603176805597</v>
      </c>
      <c r="G14" s="7">
        <f t="shared" si="0"/>
        <v>1.3251801588402798</v>
      </c>
      <c r="H14" s="7">
        <f t="shared" si="0"/>
        <v>0.66259007942013992</v>
      </c>
      <c r="J14" s="7">
        <f t="shared" si="1"/>
        <v>8.6281173286872832</v>
      </c>
      <c r="K14" s="7">
        <f t="shared" si="1"/>
        <v>14.089656597432869</v>
      </c>
      <c r="L14" s="7">
        <f t="shared" si="1"/>
        <v>19.293056864788667</v>
      </c>
      <c r="M14" s="7">
        <f t="shared" si="1"/>
        <v>24.404001087951752</v>
      </c>
      <c r="N14" s="7">
        <f t="shared" si="1"/>
        <v>29.470631156660488</v>
      </c>
      <c r="O14" s="7">
        <f t="shared" si="1"/>
        <v>34.512469314749133</v>
      </c>
      <c r="P14" s="7">
        <f t="shared" si="1"/>
        <v>39.539000763669662</v>
      </c>
      <c r="Q14" s="7">
        <f t="shared" si="1"/>
        <v>44.555406297505975</v>
      </c>
    </row>
    <row r="15" spans="1:17">
      <c r="A15" s="7">
        <v>0.4</v>
      </c>
      <c r="B15" s="16">
        <f t="shared" si="2"/>
        <v>422.92584144209053</v>
      </c>
      <c r="C15" s="7">
        <f t="shared" si="3"/>
        <v>24.231865761650834</v>
      </c>
      <c r="D15" s="7">
        <f t="shared" si="0"/>
        <v>12.115932880825417</v>
      </c>
      <c r="E15" s="7">
        <f t="shared" si="0"/>
        <v>6.0579664404127085</v>
      </c>
      <c r="F15" s="7">
        <f t="shared" si="0"/>
        <v>3.0289832202063542</v>
      </c>
      <c r="G15" s="7">
        <f t="shared" si="0"/>
        <v>1.5144916101031771</v>
      </c>
      <c r="H15" s="7">
        <f t="shared" si="0"/>
        <v>0.75724580505158856</v>
      </c>
      <c r="J15" s="7">
        <f t="shared" si="1"/>
        <v>7.5496026626013721</v>
      </c>
      <c r="K15" s="7">
        <f t="shared" si="1"/>
        <v>12.328449522753758</v>
      </c>
      <c r="L15" s="7">
        <f t="shared" si="1"/>
        <v>16.88142475669008</v>
      </c>
      <c r="M15" s="7">
        <f t="shared" si="1"/>
        <v>21.353500951957777</v>
      </c>
      <c r="N15" s="7">
        <f t="shared" si="1"/>
        <v>25.78680226207792</v>
      </c>
      <c r="O15" s="7">
        <f t="shared" si="1"/>
        <v>30.198410650405489</v>
      </c>
      <c r="P15" s="7">
        <f t="shared" si="1"/>
        <v>34.596625668210947</v>
      </c>
      <c r="Q15" s="7">
        <f t="shared" si="1"/>
        <v>38.985980510317724</v>
      </c>
    </row>
    <row r="16" spans="1:17">
      <c r="A16" s="7">
        <v>0.45</v>
      </c>
      <c r="B16" s="16">
        <f t="shared" si="2"/>
        <v>475.7915716223518</v>
      </c>
      <c r="C16" s="7">
        <f t="shared" si="3"/>
        <v>27.260848981857183</v>
      </c>
      <c r="D16" s="7">
        <f t="shared" si="0"/>
        <v>13.630424490928592</v>
      </c>
      <c r="E16" s="7">
        <f t="shared" si="0"/>
        <v>6.8152122454642958</v>
      </c>
      <c r="F16" s="7">
        <f t="shared" si="0"/>
        <v>3.4076061227321479</v>
      </c>
      <c r="G16" s="7">
        <f t="shared" si="0"/>
        <v>1.703803061366074</v>
      </c>
      <c r="H16" s="7">
        <f t="shared" si="0"/>
        <v>0.85190153068303698</v>
      </c>
      <c r="J16" s="7">
        <f t="shared" si="1"/>
        <v>6.7107579223123324</v>
      </c>
      <c r="K16" s="7">
        <f t="shared" si="1"/>
        <v>10.958621798003342</v>
      </c>
      <c r="L16" s="7">
        <f t="shared" si="1"/>
        <v>15.005710894835628</v>
      </c>
      <c r="M16" s="7">
        <f t="shared" si="1"/>
        <v>18.980889735073582</v>
      </c>
      <c r="N16" s="7">
        <f t="shared" si="1"/>
        <v>22.921602010735931</v>
      </c>
      <c r="O16" s="7">
        <f t="shared" si="1"/>
        <v>26.843031689249329</v>
      </c>
      <c r="P16" s="7">
        <f t="shared" si="1"/>
        <v>30.752556149520846</v>
      </c>
      <c r="Q16" s="7">
        <f t="shared" si="1"/>
        <v>34.654204898060193</v>
      </c>
    </row>
    <row r="17" spans="1:17">
      <c r="A17" s="7">
        <v>0.5</v>
      </c>
      <c r="B17" s="16">
        <f t="shared" si="2"/>
        <v>528.65730180261312</v>
      </c>
      <c r="C17" s="7">
        <f t="shared" si="3"/>
        <v>30.28983220206354</v>
      </c>
      <c r="D17" s="7">
        <f t="shared" si="0"/>
        <v>15.14491610103177</v>
      </c>
      <c r="E17" s="7">
        <f t="shared" si="0"/>
        <v>7.5724580505158849</v>
      </c>
      <c r="F17" s="7">
        <f t="shared" si="0"/>
        <v>3.7862290252579425</v>
      </c>
      <c r="G17" s="7">
        <f t="shared" si="0"/>
        <v>1.8931145126289712</v>
      </c>
      <c r="H17" s="7">
        <f t="shared" si="0"/>
        <v>0.94655725631448562</v>
      </c>
      <c r="J17" s="7">
        <f t="shared" si="1"/>
        <v>6.0396821300810997</v>
      </c>
      <c r="K17" s="7">
        <f t="shared" si="1"/>
        <v>9.8627596182030057</v>
      </c>
      <c r="L17" s="7">
        <f t="shared" si="1"/>
        <v>13.505139805352066</v>
      </c>
      <c r="M17" s="7">
        <f t="shared" si="1"/>
        <v>17.082800761566226</v>
      </c>
      <c r="N17" s="7">
        <f t="shared" si="1"/>
        <v>20.629441809662335</v>
      </c>
      <c r="O17" s="7">
        <f t="shared" si="1"/>
        <v>24.158728520324399</v>
      </c>
      <c r="P17" s="7">
        <f t="shared" si="1"/>
        <v>27.677300534568761</v>
      </c>
      <c r="Q17" s="7">
        <f t="shared" si="1"/>
        <v>31.188784408254175</v>
      </c>
    </row>
    <row r="18" spans="1:17">
      <c r="A18" s="7">
        <v>0.55000000000000004</v>
      </c>
      <c r="B18" s="16">
        <f t="shared" si="2"/>
        <v>581.5230319828745</v>
      </c>
      <c r="C18" s="7">
        <f t="shared" si="3"/>
        <v>33.3188154222699</v>
      </c>
      <c r="D18" s="7">
        <f t="shared" si="0"/>
        <v>16.65940771113495</v>
      </c>
      <c r="E18" s="7">
        <f t="shared" si="0"/>
        <v>8.3297038555674749</v>
      </c>
      <c r="F18" s="7">
        <f t="shared" si="0"/>
        <v>4.1648519277837375</v>
      </c>
      <c r="G18" s="7">
        <f t="shared" si="0"/>
        <v>2.0824259638918687</v>
      </c>
      <c r="H18" s="7">
        <f t="shared" si="0"/>
        <v>1.0412129819459344</v>
      </c>
      <c r="J18" s="7">
        <f t="shared" si="1"/>
        <v>5.4906201182555447</v>
      </c>
      <c r="K18" s="7">
        <f t="shared" si="1"/>
        <v>8.9661451074572778</v>
      </c>
      <c r="L18" s="7">
        <f t="shared" si="1"/>
        <v>12.277399823047329</v>
      </c>
      <c r="M18" s="7">
        <f t="shared" si="1"/>
        <v>15.529818874151109</v>
      </c>
      <c r="N18" s="7">
        <f t="shared" si="1"/>
        <v>18.75403800878394</v>
      </c>
      <c r="O18" s="7">
        <f t="shared" si="1"/>
        <v>21.962480473022179</v>
      </c>
      <c r="P18" s="7">
        <f t="shared" si="1"/>
        <v>25.161182304153417</v>
      </c>
      <c r="Q18" s="7">
        <f t="shared" si="1"/>
        <v>28.353440371140159</v>
      </c>
    </row>
    <row r="19" spans="1:17">
      <c r="A19" s="7">
        <v>0.6</v>
      </c>
      <c r="B19" s="16">
        <f t="shared" si="2"/>
        <v>634.38876216313577</v>
      </c>
      <c r="C19" s="7">
        <f t="shared" si="3"/>
        <v>36.347798642476249</v>
      </c>
      <c r="D19" s="7">
        <f t="shared" si="0"/>
        <v>18.173899321238125</v>
      </c>
      <c r="E19" s="7">
        <f t="shared" si="0"/>
        <v>9.0869496606190623</v>
      </c>
      <c r="F19" s="7">
        <f t="shared" si="0"/>
        <v>4.5434748303095311</v>
      </c>
      <c r="G19" s="7">
        <f t="shared" si="0"/>
        <v>2.2717374151547656</v>
      </c>
      <c r="H19" s="7">
        <f t="shared" si="0"/>
        <v>1.1358687075773828</v>
      </c>
      <c r="J19" s="7">
        <f t="shared" si="1"/>
        <v>5.0330684417342493</v>
      </c>
      <c r="K19" s="7">
        <f t="shared" si="1"/>
        <v>8.2189663485025051</v>
      </c>
      <c r="L19" s="7">
        <f t="shared" si="1"/>
        <v>11.254283171126721</v>
      </c>
      <c r="M19" s="7">
        <f t="shared" si="1"/>
        <v>14.235667301305186</v>
      </c>
      <c r="N19" s="7">
        <f t="shared" si="1"/>
        <v>17.19120150805195</v>
      </c>
      <c r="O19" s="7">
        <f t="shared" si="1"/>
        <v>20.132273766936997</v>
      </c>
      <c r="P19" s="7">
        <f t="shared" si="1"/>
        <v>23.064417112140632</v>
      </c>
      <c r="Q19" s="7">
        <f t="shared" si="1"/>
        <v>25.990653673545147</v>
      </c>
    </row>
    <row r="20" spans="1:17">
      <c r="A20" s="7">
        <v>0.65</v>
      </c>
      <c r="B20" s="16">
        <f t="shared" si="2"/>
        <v>687.25449234339703</v>
      </c>
      <c r="C20" s="7">
        <f t="shared" si="3"/>
        <v>39.376781862682599</v>
      </c>
      <c r="D20" s="7">
        <f t="shared" si="0"/>
        <v>19.688390931341299</v>
      </c>
      <c r="E20" s="7">
        <f t="shared" si="0"/>
        <v>9.8441954656706496</v>
      </c>
      <c r="F20" s="7">
        <f t="shared" si="0"/>
        <v>4.9220977328353248</v>
      </c>
      <c r="G20" s="7">
        <f t="shared" si="0"/>
        <v>2.4610488664176624</v>
      </c>
      <c r="H20" s="7">
        <f t="shared" si="0"/>
        <v>1.2305244332088312</v>
      </c>
      <c r="J20" s="7">
        <f t="shared" si="1"/>
        <v>4.6459093308316151</v>
      </c>
      <c r="K20" s="7">
        <f t="shared" si="1"/>
        <v>7.586738167848468</v>
      </c>
      <c r="L20" s="7">
        <f t="shared" si="1"/>
        <v>10.388569081040052</v>
      </c>
      <c r="M20" s="7">
        <f t="shared" si="1"/>
        <v>13.140615970435558</v>
      </c>
      <c r="N20" s="7">
        <f t="shared" si="1"/>
        <v>15.868801392047953</v>
      </c>
      <c r="O20" s="7">
        <f t="shared" si="1"/>
        <v>18.58363732332646</v>
      </c>
      <c r="P20" s="7">
        <f t="shared" si="1"/>
        <v>21.290231180437512</v>
      </c>
      <c r="Q20" s="7">
        <f t="shared" si="1"/>
        <v>23.991372621733987</v>
      </c>
    </row>
    <row r="21" spans="1:17">
      <c r="A21" s="7">
        <v>0.7</v>
      </c>
      <c r="B21" s="16">
        <f t="shared" si="2"/>
        <v>740.1202225236583</v>
      </c>
      <c r="C21" s="7">
        <f t="shared" si="3"/>
        <v>42.405765082888955</v>
      </c>
      <c r="D21" s="7">
        <f t="shared" si="0"/>
        <v>21.202882541444477</v>
      </c>
      <c r="E21" s="7">
        <f t="shared" si="0"/>
        <v>10.601441270722239</v>
      </c>
      <c r="F21" s="7">
        <f t="shared" si="0"/>
        <v>5.3007206353611194</v>
      </c>
      <c r="G21" s="7">
        <f t="shared" si="0"/>
        <v>2.6503603176805597</v>
      </c>
      <c r="H21" s="7">
        <f t="shared" si="0"/>
        <v>1.3251801588402798</v>
      </c>
      <c r="J21" s="7">
        <f t="shared" si="1"/>
        <v>4.3140586643436416</v>
      </c>
      <c r="K21" s="7">
        <f t="shared" si="1"/>
        <v>7.0448282987164346</v>
      </c>
      <c r="L21" s="7">
        <f t="shared" si="1"/>
        <v>9.6465284323943337</v>
      </c>
      <c r="M21" s="7">
        <f t="shared" si="1"/>
        <v>12.202000543975876</v>
      </c>
      <c r="N21" s="7">
        <f t="shared" si="1"/>
        <v>14.735315578330244</v>
      </c>
      <c r="O21" s="7">
        <f t="shared" si="1"/>
        <v>17.256234657374566</v>
      </c>
      <c r="P21" s="7">
        <f t="shared" si="1"/>
        <v>19.769500381834831</v>
      </c>
      <c r="Q21" s="7">
        <f t="shared" si="1"/>
        <v>22.277703148752988</v>
      </c>
    </row>
    <row r="22" spans="1:17">
      <c r="A22" s="7">
        <v>0.75</v>
      </c>
      <c r="B22" s="16">
        <f t="shared" si="2"/>
        <v>792.98595270391968</v>
      </c>
      <c r="C22" s="7">
        <f t="shared" si="3"/>
        <v>45.434748303095311</v>
      </c>
      <c r="D22" s="7">
        <f t="shared" si="0"/>
        <v>22.717374151547656</v>
      </c>
      <c r="E22" s="7">
        <f t="shared" si="0"/>
        <v>11.358687075773828</v>
      </c>
      <c r="F22" s="7">
        <f t="shared" si="0"/>
        <v>5.6793435378869139</v>
      </c>
      <c r="G22" s="7">
        <f t="shared" si="0"/>
        <v>2.839671768943457</v>
      </c>
      <c r="H22" s="7">
        <f t="shared" si="0"/>
        <v>1.4198358844717285</v>
      </c>
      <c r="J22" s="7">
        <f t="shared" si="1"/>
        <v>4.0264547533873989</v>
      </c>
      <c r="K22" s="7">
        <f t="shared" si="1"/>
        <v>6.5751730788020044</v>
      </c>
      <c r="L22" s="7">
        <f t="shared" si="1"/>
        <v>9.0034265369013777</v>
      </c>
      <c r="M22" s="7">
        <f t="shared" si="1"/>
        <v>11.388533841044151</v>
      </c>
      <c r="N22" s="7">
        <f t="shared" si="1"/>
        <v>13.752961206441558</v>
      </c>
      <c r="O22" s="7">
        <f t="shared" si="1"/>
        <v>16.105819013549596</v>
      </c>
      <c r="P22" s="7">
        <f t="shared" si="1"/>
        <v>18.451533689712505</v>
      </c>
      <c r="Q22" s="7">
        <f t="shared" si="1"/>
        <v>20.792522938836115</v>
      </c>
    </row>
    <row r="23" spans="1:17">
      <c r="A23" s="7">
        <v>0.8</v>
      </c>
      <c r="B23" s="16">
        <f t="shared" si="2"/>
        <v>845.85168288418106</v>
      </c>
      <c r="C23" s="7">
        <f t="shared" si="3"/>
        <v>48.463731523301668</v>
      </c>
      <c r="D23" s="7">
        <f t="shared" si="3"/>
        <v>24.231865761650834</v>
      </c>
      <c r="E23" s="7">
        <f t="shared" si="3"/>
        <v>12.115932880825417</v>
      </c>
      <c r="F23" s="7">
        <f t="shared" si="3"/>
        <v>6.0579664404127085</v>
      </c>
      <c r="G23" s="7">
        <f t="shared" si="3"/>
        <v>3.0289832202063542</v>
      </c>
      <c r="H23" s="7">
        <f t="shared" si="3"/>
        <v>1.5144916101031771</v>
      </c>
      <c r="J23" s="7">
        <f t="shared" si="1"/>
        <v>3.7748013313006861</v>
      </c>
      <c r="K23" s="7">
        <f t="shared" si="1"/>
        <v>6.1642247613768788</v>
      </c>
      <c r="L23" s="7">
        <f t="shared" si="1"/>
        <v>8.4407123783450402</v>
      </c>
      <c r="M23" s="7">
        <f t="shared" si="1"/>
        <v>10.676750475978888</v>
      </c>
      <c r="N23" s="7">
        <f t="shared" si="1"/>
        <v>12.89340113103896</v>
      </c>
      <c r="O23" s="7">
        <f t="shared" si="1"/>
        <v>15.099205325202744</v>
      </c>
      <c r="P23" s="7">
        <f t="shared" si="1"/>
        <v>17.298312834105474</v>
      </c>
      <c r="Q23" s="7">
        <f t="shared" si="1"/>
        <v>19.492990255158862</v>
      </c>
    </row>
    <row r="24" spans="1:17">
      <c r="A24" s="7">
        <v>0.85</v>
      </c>
      <c r="B24" s="16">
        <f t="shared" si="2"/>
        <v>898.71741306444233</v>
      </c>
      <c r="C24" s="7">
        <f t="shared" si="3"/>
        <v>51.49271474350801</v>
      </c>
      <c r="D24" s="7">
        <f t="shared" si="3"/>
        <v>25.746357371754005</v>
      </c>
      <c r="E24" s="7">
        <f t="shared" si="3"/>
        <v>12.873178685877003</v>
      </c>
      <c r="F24" s="7">
        <f t="shared" si="3"/>
        <v>6.4365893429385013</v>
      </c>
      <c r="G24" s="7">
        <f t="shared" si="3"/>
        <v>3.2182946714692506</v>
      </c>
      <c r="H24" s="7">
        <f t="shared" si="3"/>
        <v>1.6091473357346253</v>
      </c>
      <c r="J24" s="7">
        <f t="shared" si="1"/>
        <v>3.552754194165352</v>
      </c>
      <c r="K24" s="7">
        <f t="shared" si="1"/>
        <v>5.8016233048252985</v>
      </c>
      <c r="L24" s="7">
        <f t="shared" si="1"/>
        <v>7.9441998855012148</v>
      </c>
      <c r="M24" s="7">
        <f t="shared" si="1"/>
        <v>10.048706330333072</v>
      </c>
      <c r="N24" s="7">
        <f t="shared" si="1"/>
        <v>12.134965770389611</v>
      </c>
      <c r="O24" s="7">
        <f t="shared" si="1"/>
        <v>14.211016776661408</v>
      </c>
      <c r="P24" s="7">
        <f t="shared" si="1"/>
        <v>16.280765020334567</v>
      </c>
      <c r="Q24" s="7">
        <f t="shared" si="1"/>
        <v>18.34634376956128</v>
      </c>
    </row>
    <row r="25" spans="1:17">
      <c r="A25" s="7">
        <v>0.9</v>
      </c>
      <c r="B25" s="16">
        <f t="shared" si="2"/>
        <v>951.58314324470359</v>
      </c>
      <c r="C25" s="7">
        <f t="shared" si="3"/>
        <v>54.521697963714367</v>
      </c>
      <c r="D25" s="7">
        <f t="shared" si="3"/>
        <v>27.260848981857183</v>
      </c>
      <c r="E25" s="7">
        <f t="shared" si="3"/>
        <v>13.630424490928592</v>
      </c>
      <c r="F25" s="7">
        <f t="shared" si="3"/>
        <v>6.8152122454642958</v>
      </c>
      <c r="G25" s="7">
        <f t="shared" si="3"/>
        <v>3.4076061227321479</v>
      </c>
      <c r="H25" s="7">
        <f t="shared" si="3"/>
        <v>1.703803061366074</v>
      </c>
      <c r="J25" s="7">
        <f t="shared" si="1"/>
        <v>3.3553789611561662</v>
      </c>
      <c r="K25" s="7">
        <f t="shared" si="1"/>
        <v>5.4793108990016712</v>
      </c>
      <c r="L25" s="7">
        <f t="shared" si="1"/>
        <v>7.5028554474178142</v>
      </c>
      <c r="M25" s="7">
        <f t="shared" si="1"/>
        <v>9.490444867536791</v>
      </c>
      <c r="N25" s="7">
        <f t="shared" si="1"/>
        <v>11.460801005367966</v>
      </c>
      <c r="O25" s="7">
        <f t="shared" si="1"/>
        <v>13.421515844624665</v>
      </c>
      <c r="P25" s="7">
        <f t="shared" si="1"/>
        <v>15.376278074760423</v>
      </c>
      <c r="Q25" s="7">
        <f t="shared" si="1"/>
        <v>17.327102449030097</v>
      </c>
    </row>
    <row r="26" spans="1:17">
      <c r="A26" s="7">
        <v>0.95</v>
      </c>
      <c r="B26" s="16">
        <f t="shared" si="2"/>
        <v>1004.4488734249649</v>
      </c>
      <c r="C26" s="7">
        <f t="shared" si="3"/>
        <v>57.550681183920716</v>
      </c>
      <c r="D26" s="7">
        <f t="shared" si="3"/>
        <v>28.775340591960358</v>
      </c>
      <c r="E26" s="7">
        <f t="shared" si="3"/>
        <v>14.387670295980179</v>
      </c>
      <c r="F26" s="7">
        <f t="shared" si="3"/>
        <v>7.1938351479900895</v>
      </c>
      <c r="G26" s="7">
        <f t="shared" si="3"/>
        <v>3.5969175739950447</v>
      </c>
      <c r="H26" s="7">
        <f t="shared" si="3"/>
        <v>1.7984587869975224</v>
      </c>
      <c r="J26" s="7">
        <f t="shared" si="1"/>
        <v>3.1787800684637366</v>
      </c>
      <c r="K26" s="7">
        <f t="shared" si="1"/>
        <v>5.1909261148436885</v>
      </c>
      <c r="L26" s="7">
        <f t="shared" si="1"/>
        <v>7.1079683186063507</v>
      </c>
      <c r="M26" s="7">
        <f t="shared" si="1"/>
        <v>8.9909477692453823</v>
      </c>
      <c r="N26" s="7">
        <f t="shared" si="1"/>
        <v>10.857600952453865</v>
      </c>
      <c r="O26" s="7">
        <f t="shared" si="1"/>
        <v>12.715120273854946</v>
      </c>
      <c r="P26" s="7">
        <f t="shared" si="1"/>
        <v>14.56700028135198</v>
      </c>
      <c r="Q26" s="7">
        <f t="shared" si="1"/>
        <v>16.41514968855483</v>
      </c>
    </row>
    <row r="27" spans="1:17">
      <c r="A27" s="7">
        <v>1</v>
      </c>
      <c r="B27" s="16">
        <f t="shared" si="2"/>
        <v>1057.3146036052262</v>
      </c>
      <c r="C27" s="7">
        <f t="shared" si="3"/>
        <v>60.57966440412708</v>
      </c>
      <c r="D27" s="7">
        <f t="shared" si="3"/>
        <v>30.28983220206354</v>
      </c>
      <c r="E27" s="7">
        <f t="shared" si="3"/>
        <v>15.14491610103177</v>
      </c>
      <c r="F27" s="7">
        <f t="shared" si="3"/>
        <v>7.5724580505158849</v>
      </c>
      <c r="G27" s="7">
        <f t="shared" si="3"/>
        <v>3.7862290252579425</v>
      </c>
      <c r="H27" s="7">
        <f t="shared" si="3"/>
        <v>1.8931145126289712</v>
      </c>
      <c r="J27" s="7">
        <f t="shared" si="1"/>
        <v>3.0198410650405498</v>
      </c>
      <c r="K27" s="7">
        <f t="shared" si="1"/>
        <v>4.9313798091015029</v>
      </c>
      <c r="L27" s="7">
        <f t="shared" si="1"/>
        <v>6.7525699026760329</v>
      </c>
      <c r="M27" s="7">
        <f t="shared" si="1"/>
        <v>8.5414003807831129</v>
      </c>
      <c r="N27" s="7">
        <f t="shared" si="1"/>
        <v>10.314720904831168</v>
      </c>
      <c r="O27" s="7">
        <f t="shared" si="1"/>
        <v>12.079364260162199</v>
      </c>
      <c r="P27" s="7">
        <f t="shared" si="1"/>
        <v>13.838650267284381</v>
      </c>
      <c r="Q27" s="7">
        <f t="shared" si="1"/>
        <v>15.594392204127088</v>
      </c>
    </row>
    <row r="28" spans="1:17">
      <c r="A28" s="7">
        <v>1.05</v>
      </c>
      <c r="B28" s="16">
        <f t="shared" si="2"/>
        <v>1110.1803337854876</v>
      </c>
      <c r="C28" s="7">
        <f t="shared" si="3"/>
        <v>63.608647624333436</v>
      </c>
      <c r="D28" s="7">
        <f t="shared" si="3"/>
        <v>31.804323812166718</v>
      </c>
      <c r="E28" s="7">
        <f t="shared" si="3"/>
        <v>15.902161906083359</v>
      </c>
      <c r="F28" s="7">
        <f t="shared" si="3"/>
        <v>7.9510809530416795</v>
      </c>
      <c r="G28" s="7">
        <f t="shared" si="3"/>
        <v>3.9755404765208397</v>
      </c>
      <c r="H28" s="7">
        <f t="shared" si="3"/>
        <v>1.9877702382604199</v>
      </c>
      <c r="J28" s="7">
        <f t="shared" si="1"/>
        <v>2.876039109562428</v>
      </c>
      <c r="K28" s="7">
        <f t="shared" si="1"/>
        <v>4.6965521991442882</v>
      </c>
      <c r="L28" s="7">
        <f t="shared" si="1"/>
        <v>6.431018954929554</v>
      </c>
      <c r="M28" s="7">
        <f t="shared" si="1"/>
        <v>8.1346670293172494</v>
      </c>
      <c r="N28" s="7">
        <f t="shared" si="1"/>
        <v>9.8235437188868282</v>
      </c>
      <c r="O28" s="7">
        <f t="shared" si="1"/>
        <v>11.504156438249712</v>
      </c>
      <c r="P28" s="7">
        <f t="shared" si="1"/>
        <v>13.17966692122322</v>
      </c>
      <c r="Q28" s="7">
        <f t="shared" si="1"/>
        <v>14.851802099168655</v>
      </c>
    </row>
    <row r="29" spans="1:17">
      <c r="A29" s="7">
        <v>1.1000000000000001</v>
      </c>
      <c r="B29" s="16">
        <f t="shared" si="2"/>
        <v>1163.046063965749</v>
      </c>
      <c r="C29" s="7">
        <f t="shared" ref="C29:H39" si="4">$B29/C$5*180/PI()</f>
        <v>66.6376308445398</v>
      </c>
      <c r="D29" s="7">
        <f t="shared" si="4"/>
        <v>33.3188154222699</v>
      </c>
      <c r="E29" s="7">
        <f t="shared" si="4"/>
        <v>16.65940771113495</v>
      </c>
      <c r="F29" s="7">
        <f t="shared" si="4"/>
        <v>8.3297038555674749</v>
      </c>
      <c r="G29" s="7">
        <f t="shared" si="4"/>
        <v>4.1648519277837375</v>
      </c>
      <c r="H29" s="7">
        <f t="shared" si="4"/>
        <v>2.0824259638918687</v>
      </c>
      <c r="J29" s="7">
        <f t="shared" ref="J29:Q39" si="5">(32.174*SQRT(J$5*J$5-1))/$B29*180/PI()</f>
        <v>2.7453100591277724</v>
      </c>
      <c r="K29" s="7">
        <f t="shared" si="5"/>
        <v>4.4830725537286389</v>
      </c>
      <c r="L29" s="7">
        <f t="shared" si="5"/>
        <v>6.1386999115236645</v>
      </c>
      <c r="M29" s="7">
        <f t="shared" si="5"/>
        <v>7.7649094370755547</v>
      </c>
      <c r="N29" s="7">
        <f t="shared" si="5"/>
        <v>9.3770190043919701</v>
      </c>
      <c r="O29" s="7">
        <f t="shared" si="5"/>
        <v>10.981240236511089</v>
      </c>
      <c r="P29" s="7">
        <f t="shared" si="5"/>
        <v>12.580591152076709</v>
      </c>
      <c r="Q29" s="7">
        <f t="shared" si="5"/>
        <v>14.17672018557008</v>
      </c>
    </row>
    <row r="30" spans="1:17">
      <c r="A30" s="7">
        <v>1.1499999999999999</v>
      </c>
      <c r="B30" s="16">
        <f t="shared" si="2"/>
        <v>1215.9117941460102</v>
      </c>
      <c r="C30" s="7">
        <f t="shared" si="4"/>
        <v>69.666614064746142</v>
      </c>
      <c r="D30" s="7">
        <f t="shared" si="4"/>
        <v>34.833307032373071</v>
      </c>
      <c r="E30" s="7">
        <f t="shared" si="4"/>
        <v>17.416653516186535</v>
      </c>
      <c r="F30" s="7">
        <f t="shared" si="4"/>
        <v>8.7083267580932677</v>
      </c>
      <c r="G30" s="7">
        <f t="shared" si="4"/>
        <v>4.3541633790466339</v>
      </c>
      <c r="H30" s="7">
        <f t="shared" si="4"/>
        <v>2.1770816895233169</v>
      </c>
      <c r="J30" s="7">
        <f t="shared" si="5"/>
        <v>2.6259487522091738</v>
      </c>
      <c r="K30" s="7">
        <f t="shared" si="5"/>
        <v>4.2881563557404379</v>
      </c>
      <c r="L30" s="7">
        <f t="shared" si="5"/>
        <v>5.8717999153704632</v>
      </c>
      <c r="M30" s="7">
        <f t="shared" si="5"/>
        <v>7.4273046789418355</v>
      </c>
      <c r="N30" s="7">
        <f t="shared" si="5"/>
        <v>8.9693225259401466</v>
      </c>
      <c r="O30" s="7">
        <f t="shared" si="5"/>
        <v>10.503795008836695</v>
      </c>
      <c r="P30" s="7">
        <f t="shared" si="5"/>
        <v>12.033608928073374</v>
      </c>
      <c r="Q30" s="7">
        <f t="shared" si="5"/>
        <v>13.560341047067034</v>
      </c>
    </row>
    <row r="31" spans="1:17">
      <c r="A31" s="7">
        <v>1.2</v>
      </c>
      <c r="B31" s="16">
        <f t="shared" si="2"/>
        <v>1268.7775243262715</v>
      </c>
      <c r="C31" s="7">
        <f t="shared" si="4"/>
        <v>72.695597284952498</v>
      </c>
      <c r="D31" s="7">
        <f t="shared" si="4"/>
        <v>36.347798642476249</v>
      </c>
      <c r="E31" s="7">
        <f t="shared" si="4"/>
        <v>18.173899321238125</v>
      </c>
      <c r="F31" s="7">
        <f t="shared" si="4"/>
        <v>9.0869496606190623</v>
      </c>
      <c r="G31" s="7">
        <f t="shared" si="4"/>
        <v>4.5434748303095311</v>
      </c>
      <c r="H31" s="7">
        <f t="shared" si="4"/>
        <v>2.2717374151547656</v>
      </c>
      <c r="J31" s="7">
        <f t="shared" si="5"/>
        <v>2.5165342208671246</v>
      </c>
      <c r="K31" s="7">
        <f t="shared" si="5"/>
        <v>4.1094831742512525</v>
      </c>
      <c r="L31" s="7">
        <f t="shared" si="5"/>
        <v>5.6271415855633604</v>
      </c>
      <c r="M31" s="7">
        <f t="shared" si="5"/>
        <v>7.1178336506525932</v>
      </c>
      <c r="N31" s="7">
        <f t="shared" si="5"/>
        <v>8.5956007540259751</v>
      </c>
      <c r="O31" s="7">
        <f t="shared" si="5"/>
        <v>10.066136883468499</v>
      </c>
      <c r="P31" s="7">
        <f t="shared" si="5"/>
        <v>11.532208556070316</v>
      </c>
      <c r="Q31" s="7">
        <f t="shared" si="5"/>
        <v>12.995326836772573</v>
      </c>
    </row>
    <row r="32" spans="1:17">
      <c r="A32" s="7">
        <v>1.25</v>
      </c>
      <c r="B32" s="16">
        <f t="shared" si="2"/>
        <v>1321.6432545065327</v>
      </c>
      <c r="C32" s="7">
        <f t="shared" si="4"/>
        <v>75.724580505158841</v>
      </c>
      <c r="D32" s="7">
        <f t="shared" si="4"/>
        <v>37.86229025257942</v>
      </c>
      <c r="E32" s="7">
        <f t="shared" si="4"/>
        <v>18.93114512628971</v>
      </c>
      <c r="F32" s="7">
        <f t="shared" si="4"/>
        <v>9.4655725631448551</v>
      </c>
      <c r="G32" s="7">
        <f t="shared" si="4"/>
        <v>4.7327862815724275</v>
      </c>
      <c r="H32" s="7">
        <f t="shared" si="4"/>
        <v>2.3663931407862138</v>
      </c>
      <c r="J32" s="7">
        <f t="shared" si="5"/>
        <v>2.41587285203244</v>
      </c>
      <c r="K32" s="7">
        <f t="shared" si="5"/>
        <v>3.9451038472812026</v>
      </c>
      <c r="L32" s="7">
        <f t="shared" si="5"/>
        <v>5.4020559221408266</v>
      </c>
      <c r="M32" s="7">
        <f t="shared" si="5"/>
        <v>6.8331203046264903</v>
      </c>
      <c r="N32" s="7">
        <f t="shared" si="5"/>
        <v>8.2517767238649373</v>
      </c>
      <c r="O32" s="7">
        <f t="shared" si="5"/>
        <v>9.6634914081297598</v>
      </c>
      <c r="P32" s="7">
        <f t="shared" si="5"/>
        <v>11.070920213827506</v>
      </c>
      <c r="Q32" s="7">
        <f t="shared" si="5"/>
        <v>12.475513763301672</v>
      </c>
    </row>
    <row r="33" spans="1:17">
      <c r="A33" s="7">
        <v>1.3</v>
      </c>
      <c r="B33" s="16">
        <f t="shared" si="2"/>
        <v>1374.5089846867941</v>
      </c>
      <c r="C33" s="7">
        <f t="shared" si="4"/>
        <v>78.753563725365197</v>
      </c>
      <c r="D33" s="7">
        <f t="shared" si="4"/>
        <v>39.376781862682599</v>
      </c>
      <c r="E33" s="7">
        <f t="shared" si="4"/>
        <v>19.688390931341299</v>
      </c>
      <c r="F33" s="7">
        <f t="shared" si="4"/>
        <v>9.8441954656706496</v>
      </c>
      <c r="G33" s="7">
        <f t="shared" si="4"/>
        <v>4.9220977328353248</v>
      </c>
      <c r="H33" s="7">
        <f t="shared" si="4"/>
        <v>2.4610488664176624</v>
      </c>
      <c r="J33" s="7">
        <f t="shared" si="5"/>
        <v>2.3229546654158075</v>
      </c>
      <c r="K33" s="7">
        <f t="shared" si="5"/>
        <v>3.793369083924234</v>
      </c>
      <c r="L33" s="7">
        <f t="shared" si="5"/>
        <v>5.1942845405200258</v>
      </c>
      <c r="M33" s="7">
        <f t="shared" si="5"/>
        <v>6.570307985217779</v>
      </c>
      <c r="N33" s="7">
        <f t="shared" si="5"/>
        <v>7.9344006960239764</v>
      </c>
      <c r="O33" s="7">
        <f t="shared" si="5"/>
        <v>9.2918186616632301</v>
      </c>
      <c r="P33" s="7">
        <f t="shared" si="5"/>
        <v>10.645115590218756</v>
      </c>
      <c r="Q33" s="7">
        <f t="shared" si="5"/>
        <v>11.995686310866994</v>
      </c>
    </row>
    <row r="34" spans="1:17">
      <c r="A34" s="7">
        <v>1.35</v>
      </c>
      <c r="B34" s="16">
        <f t="shared" si="2"/>
        <v>1427.3747148670554</v>
      </c>
      <c r="C34" s="7">
        <f t="shared" si="4"/>
        <v>81.782546945571553</v>
      </c>
      <c r="D34" s="7">
        <f t="shared" si="4"/>
        <v>40.891273472785777</v>
      </c>
      <c r="E34" s="7">
        <f t="shared" si="4"/>
        <v>20.445636736392888</v>
      </c>
      <c r="F34" s="7">
        <f t="shared" si="4"/>
        <v>10.222818368196444</v>
      </c>
      <c r="G34" s="7">
        <f t="shared" si="4"/>
        <v>5.1114091840982221</v>
      </c>
      <c r="H34" s="7">
        <f t="shared" si="4"/>
        <v>2.555704592049111</v>
      </c>
      <c r="J34" s="7">
        <f t="shared" si="5"/>
        <v>2.2369193074374438</v>
      </c>
      <c r="K34" s="7">
        <f t="shared" si="5"/>
        <v>3.6528739326677799</v>
      </c>
      <c r="L34" s="7">
        <f t="shared" si="5"/>
        <v>5.0019036316118752</v>
      </c>
      <c r="M34" s="7">
        <f t="shared" si="5"/>
        <v>6.3269632450245279</v>
      </c>
      <c r="N34" s="7">
        <f t="shared" si="5"/>
        <v>7.6405340035786438</v>
      </c>
      <c r="O34" s="7">
        <f t="shared" si="5"/>
        <v>8.9476772297497753</v>
      </c>
      <c r="P34" s="7">
        <f t="shared" si="5"/>
        <v>10.250852049840281</v>
      </c>
      <c r="Q34" s="7">
        <f t="shared" si="5"/>
        <v>11.551401632686732</v>
      </c>
    </row>
    <row r="35" spans="1:17">
      <c r="A35" s="7">
        <v>1.4</v>
      </c>
      <c r="B35" s="16">
        <f t="shared" si="2"/>
        <v>1480.2404450473166</v>
      </c>
      <c r="C35" s="7">
        <f t="shared" si="4"/>
        <v>84.81153016577791</v>
      </c>
      <c r="D35" s="7">
        <f t="shared" si="4"/>
        <v>42.405765082888955</v>
      </c>
      <c r="E35" s="7">
        <f t="shared" si="4"/>
        <v>21.202882541444477</v>
      </c>
      <c r="F35" s="7">
        <f t="shared" si="4"/>
        <v>10.601441270722239</v>
      </c>
      <c r="G35" s="7">
        <f t="shared" si="4"/>
        <v>5.3007206353611194</v>
      </c>
      <c r="H35" s="7">
        <f t="shared" si="4"/>
        <v>2.6503603176805597</v>
      </c>
      <c r="J35" s="7">
        <f t="shared" si="5"/>
        <v>2.1570293321718208</v>
      </c>
      <c r="K35" s="7">
        <f t="shared" si="5"/>
        <v>3.5224141493582173</v>
      </c>
      <c r="L35" s="7">
        <f t="shared" si="5"/>
        <v>4.8232642161971668</v>
      </c>
      <c r="M35" s="7">
        <f t="shared" si="5"/>
        <v>6.1010002719879379</v>
      </c>
      <c r="N35" s="7">
        <f t="shared" si="5"/>
        <v>7.367657789165122</v>
      </c>
      <c r="O35" s="7">
        <f t="shared" si="5"/>
        <v>8.6281173286872832</v>
      </c>
      <c r="P35" s="7">
        <f t="shared" si="5"/>
        <v>9.8847501909174156</v>
      </c>
      <c r="Q35" s="7">
        <f t="shared" si="5"/>
        <v>11.138851574376494</v>
      </c>
    </row>
    <row r="36" spans="1:17">
      <c r="A36" s="7">
        <v>1.45</v>
      </c>
      <c r="B36" s="16">
        <f t="shared" si="2"/>
        <v>1533.106175227578</v>
      </c>
      <c r="C36" s="7">
        <f t="shared" si="4"/>
        <v>87.840513385984266</v>
      </c>
      <c r="D36" s="7">
        <f t="shared" si="4"/>
        <v>43.920256692992133</v>
      </c>
      <c r="E36" s="7">
        <f t="shared" si="4"/>
        <v>21.960128346496067</v>
      </c>
      <c r="F36" s="7">
        <f t="shared" si="4"/>
        <v>10.980064173248033</v>
      </c>
      <c r="G36" s="7">
        <f t="shared" si="4"/>
        <v>5.4900320866240166</v>
      </c>
      <c r="H36" s="7">
        <f t="shared" si="4"/>
        <v>2.7450160433120083</v>
      </c>
      <c r="J36" s="7">
        <f t="shared" si="5"/>
        <v>2.0826490103727928</v>
      </c>
      <c r="K36" s="7">
        <f t="shared" si="5"/>
        <v>3.4009515924837954</v>
      </c>
      <c r="L36" s="7">
        <f t="shared" si="5"/>
        <v>4.6569447604662297</v>
      </c>
      <c r="M36" s="7">
        <f t="shared" si="5"/>
        <v>5.8906209522642152</v>
      </c>
      <c r="N36" s="7">
        <f t="shared" si="5"/>
        <v>7.1136006240214957</v>
      </c>
      <c r="O36" s="7">
        <f t="shared" si="5"/>
        <v>8.3305960414911713</v>
      </c>
      <c r="P36" s="7">
        <f t="shared" si="5"/>
        <v>9.5438967360581941</v>
      </c>
      <c r="Q36" s="7">
        <f t="shared" si="5"/>
        <v>10.754753244225578</v>
      </c>
    </row>
    <row r="37" spans="1:17">
      <c r="A37" s="7">
        <v>1.5</v>
      </c>
      <c r="B37" s="16">
        <f t="shared" si="2"/>
        <v>1585.9719054078394</v>
      </c>
      <c r="C37" s="7">
        <f t="shared" si="4"/>
        <v>90.869496606190623</v>
      </c>
      <c r="D37" s="7">
        <f t="shared" si="4"/>
        <v>45.434748303095311</v>
      </c>
      <c r="E37" s="7">
        <f t="shared" si="4"/>
        <v>22.717374151547656</v>
      </c>
      <c r="F37" s="7">
        <f t="shared" si="4"/>
        <v>11.358687075773828</v>
      </c>
      <c r="G37" s="7">
        <f t="shared" si="4"/>
        <v>5.6793435378869139</v>
      </c>
      <c r="H37" s="7">
        <f t="shared" si="4"/>
        <v>2.839671768943457</v>
      </c>
      <c r="J37" s="7">
        <f t="shared" si="5"/>
        <v>2.0132273766936994</v>
      </c>
      <c r="K37" s="7">
        <f t="shared" si="5"/>
        <v>3.2875865394010022</v>
      </c>
      <c r="L37" s="7">
        <f t="shared" si="5"/>
        <v>4.5017132684506889</v>
      </c>
      <c r="M37" s="7">
        <f t="shared" si="5"/>
        <v>5.6942669205220753</v>
      </c>
      <c r="N37" s="7">
        <f t="shared" si="5"/>
        <v>6.876480603220779</v>
      </c>
      <c r="O37" s="7">
        <f t="shared" si="5"/>
        <v>8.0529095067747978</v>
      </c>
      <c r="P37" s="7">
        <f t="shared" si="5"/>
        <v>9.2257668448562526</v>
      </c>
      <c r="Q37" s="7">
        <f t="shared" si="5"/>
        <v>10.396261469418057</v>
      </c>
    </row>
    <row r="38" spans="1:17">
      <c r="A38" s="7">
        <v>1.55</v>
      </c>
      <c r="B38" s="16">
        <f t="shared" si="2"/>
        <v>1638.8376355881007</v>
      </c>
      <c r="C38" s="7">
        <f t="shared" si="4"/>
        <v>93.898479826396979</v>
      </c>
      <c r="D38" s="7">
        <f t="shared" si="4"/>
        <v>46.94923991319849</v>
      </c>
      <c r="E38" s="7">
        <f t="shared" si="4"/>
        <v>23.474619956599245</v>
      </c>
      <c r="F38" s="7">
        <f t="shared" si="4"/>
        <v>11.737309978299622</v>
      </c>
      <c r="G38" s="7">
        <f t="shared" si="4"/>
        <v>5.8686549891498112</v>
      </c>
      <c r="H38" s="7">
        <f t="shared" si="4"/>
        <v>2.9343274945749056</v>
      </c>
      <c r="J38" s="7">
        <f t="shared" si="5"/>
        <v>1.9482845580906771</v>
      </c>
      <c r="K38" s="7">
        <f t="shared" si="5"/>
        <v>3.1815353607106469</v>
      </c>
      <c r="L38" s="7">
        <f t="shared" si="5"/>
        <v>4.3564967114038922</v>
      </c>
      <c r="M38" s="7">
        <f t="shared" si="5"/>
        <v>5.5105808908278151</v>
      </c>
      <c r="N38" s="7">
        <f t="shared" si="5"/>
        <v>6.6546586482781729</v>
      </c>
      <c r="O38" s="7">
        <f t="shared" si="5"/>
        <v>7.7931382323627085</v>
      </c>
      <c r="P38" s="7">
        <f t="shared" si="5"/>
        <v>8.9281614627641179</v>
      </c>
      <c r="Q38" s="7">
        <f t="shared" si="5"/>
        <v>10.060898196211026</v>
      </c>
    </row>
    <row r="39" spans="1:17">
      <c r="A39" s="7">
        <v>1.6</v>
      </c>
      <c r="B39" s="16">
        <f t="shared" si="2"/>
        <v>1691.7033657683621</v>
      </c>
      <c r="C39" s="7">
        <f t="shared" si="4"/>
        <v>96.927463046603336</v>
      </c>
      <c r="D39" s="7">
        <f t="shared" si="4"/>
        <v>48.463731523301668</v>
      </c>
      <c r="E39" s="7">
        <f t="shared" si="4"/>
        <v>24.231865761650834</v>
      </c>
      <c r="F39" s="7">
        <f t="shared" si="4"/>
        <v>12.115932880825417</v>
      </c>
      <c r="G39" s="7">
        <f t="shared" si="4"/>
        <v>6.0579664404127085</v>
      </c>
      <c r="H39" s="7">
        <f t="shared" si="4"/>
        <v>3.0289832202063542</v>
      </c>
      <c r="J39" s="7">
        <f t="shared" si="5"/>
        <v>1.887400665650343</v>
      </c>
      <c r="K39" s="7">
        <f t="shared" si="5"/>
        <v>3.0821123806884394</v>
      </c>
      <c r="L39" s="7">
        <f t="shared" si="5"/>
        <v>4.2203561891725201</v>
      </c>
      <c r="M39" s="7">
        <f t="shared" si="5"/>
        <v>5.3383752379894442</v>
      </c>
      <c r="N39" s="7">
        <f t="shared" si="5"/>
        <v>6.44670056551948</v>
      </c>
      <c r="O39" s="7">
        <f t="shared" si="5"/>
        <v>7.5496026626013721</v>
      </c>
      <c r="P39" s="7">
        <f t="shared" si="5"/>
        <v>8.6491564170527369</v>
      </c>
      <c r="Q39" s="7">
        <f t="shared" si="5"/>
        <v>9.7464951275794309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49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59</vt:i4>
      </vt:variant>
    </vt:vector>
  </HeadingPairs>
  <TitlesOfParts>
    <vt:vector size="111" baseType="lpstr">
      <vt:lpstr>Aircraft Data</vt:lpstr>
      <vt:lpstr>Atmos</vt:lpstr>
      <vt:lpstr>1 - Atmosphere</vt:lpstr>
      <vt:lpstr>1 - Atmos Charts</vt:lpstr>
      <vt:lpstr>1 - ICET Data</vt:lpstr>
      <vt:lpstr>1 - ICET Charts</vt:lpstr>
      <vt:lpstr>2 - Aerodynamics</vt:lpstr>
      <vt:lpstr>2 - Drag Polar Plot</vt:lpstr>
      <vt:lpstr>3 - Propulsion</vt:lpstr>
      <vt:lpstr>3 - Data Charts</vt:lpstr>
      <vt:lpstr>4 - Dimensions</vt:lpstr>
      <vt:lpstr>6 - Numerical Methods</vt:lpstr>
      <vt:lpstr>7 - Flight Envelope Calc</vt:lpstr>
      <vt:lpstr>7 - nz vs Weight Chart</vt:lpstr>
      <vt:lpstr>8 - Energy Concepts</vt:lpstr>
      <vt:lpstr>9 - Maneuver - Corner Velocity</vt:lpstr>
      <vt:lpstr>9 - Maneuver - Sust g &amp; Fuel</vt:lpstr>
      <vt:lpstr>9 - Maneuver calcs</vt:lpstr>
      <vt:lpstr>10 - Cruise Summary</vt:lpstr>
      <vt:lpstr>10 - Cruise at SL</vt:lpstr>
      <vt:lpstr>10 - Cruise at 10k</vt:lpstr>
      <vt:lpstr>10 - Cruise at 20k</vt:lpstr>
      <vt:lpstr>10 - Cruise at 30k</vt:lpstr>
      <vt:lpstr>10 - Cruise at 40k</vt:lpstr>
      <vt:lpstr>10 - Cruise Plots</vt:lpstr>
      <vt:lpstr>11 - Climb Summary</vt:lpstr>
      <vt:lpstr>11 - Climb - Mil</vt:lpstr>
      <vt:lpstr>11 - Climb - Max</vt:lpstr>
      <vt:lpstr>11 - Climb RoC Calcs</vt:lpstr>
      <vt:lpstr>12 - Descent Summary</vt:lpstr>
      <vt:lpstr>12 - Descent</vt:lpstr>
      <vt:lpstr>12 - Descent Calcs</vt:lpstr>
      <vt:lpstr>13 - Ceilings - Mil</vt:lpstr>
      <vt:lpstr>13 - Ceilings - Max</vt:lpstr>
      <vt:lpstr>14 - Accel at 10k</vt:lpstr>
      <vt:lpstr>14 - Accel at 30k</vt:lpstr>
      <vt:lpstr>15 - Decel at 30k</vt:lpstr>
      <vt:lpstr>15 - Decel at 30k SPBK</vt:lpstr>
      <vt:lpstr>16 - Takeoff Summary</vt:lpstr>
      <vt:lpstr>16 - Takeoff</vt:lpstr>
      <vt:lpstr>17 - Takeoff Fuel</vt:lpstr>
      <vt:lpstr>18 - Landing Summary</vt:lpstr>
      <vt:lpstr>18 - Landing</vt:lpstr>
      <vt:lpstr>19 - Landing Reserves</vt:lpstr>
      <vt:lpstr>19 - Cruise at SL (2)</vt:lpstr>
      <vt:lpstr>19 - Cruise at 10k (2)</vt:lpstr>
      <vt:lpstr>Blank</vt:lpstr>
      <vt:lpstr>7 - Es Contours</vt:lpstr>
      <vt:lpstr>9 - R and g calculations</vt:lpstr>
      <vt:lpstr>7 - Flight Envelope Chart</vt:lpstr>
      <vt:lpstr>7 - V-n Chart</vt:lpstr>
      <vt:lpstr>9 - Maneuver Diagram</vt:lpstr>
      <vt:lpstr>amlim</vt:lpstr>
      <vt:lpstr>AR</vt:lpstr>
      <vt:lpstr>atmos_aspeed</vt:lpstr>
      <vt:lpstr>atmos_degC</vt:lpstr>
      <vt:lpstr>atmos_degF</vt:lpstr>
      <vt:lpstr>atmos_DR</vt:lpstr>
      <vt:lpstr>atmos_h</vt:lpstr>
      <vt:lpstr>atmos_P</vt:lpstr>
      <vt:lpstr>atmos_PR</vt:lpstr>
      <vt:lpstr>atmos_qms</vt:lpstr>
      <vt:lpstr>atmos_rho</vt:lpstr>
      <vt:lpstr>atmos_sqrtDR</vt:lpstr>
      <vt:lpstr>atmos_TR</vt:lpstr>
      <vt:lpstr>atmos_vela</vt:lpstr>
      <vt:lpstr>b</vt:lpstr>
      <vt:lpstr>BFDGW</vt:lpstr>
      <vt:lpstr>CD_CL</vt:lpstr>
      <vt:lpstr>CD_M</vt:lpstr>
      <vt:lpstr>CD_table</vt:lpstr>
      <vt:lpstr>CLmax</vt:lpstr>
      <vt:lpstr>CLmaxLND</vt:lpstr>
      <vt:lpstr>CLmaxTO</vt:lpstr>
      <vt:lpstr>FFmax_h</vt:lpstr>
      <vt:lpstr>FFmax_M</vt:lpstr>
      <vt:lpstr>FFmax_table</vt:lpstr>
      <vt:lpstr>FFmil_h</vt:lpstr>
      <vt:lpstr>FFmil_M</vt:lpstr>
      <vt:lpstr>FFmil_table</vt:lpstr>
      <vt:lpstr>FFnorm_h</vt:lpstr>
      <vt:lpstr>FFnorm_M</vt:lpstr>
      <vt:lpstr>FFnorm_PS</vt:lpstr>
      <vt:lpstr>FFnorm_table</vt:lpstr>
      <vt:lpstr>glimit</vt:lpstr>
      <vt:lpstr>LND_alpha</vt:lpstr>
      <vt:lpstr>LND_CD_cl</vt:lpstr>
      <vt:lpstr>LND_CL_a</vt:lpstr>
      <vt:lpstr>LND_CL_cd</vt:lpstr>
      <vt:lpstr>maxalt</vt:lpstr>
      <vt:lpstr>maxKEAS</vt:lpstr>
      <vt:lpstr>maxq</vt:lpstr>
      <vt:lpstr>n_FE</vt:lpstr>
      <vt:lpstr>numeng</vt:lpstr>
      <vt:lpstr>NZW</vt:lpstr>
      <vt:lpstr>S</vt:lpstr>
      <vt:lpstr>Tmax_h</vt:lpstr>
      <vt:lpstr>Tmax_M</vt:lpstr>
      <vt:lpstr>Tmax_table</vt:lpstr>
      <vt:lpstr>Tmil_h</vt:lpstr>
      <vt:lpstr>Tmil_M</vt:lpstr>
      <vt:lpstr>Tmil_table</vt:lpstr>
      <vt:lpstr>Tnorm_h</vt:lpstr>
      <vt:lpstr>Tnorm_M</vt:lpstr>
      <vt:lpstr>Tnorm_table</vt:lpstr>
      <vt:lpstr>TO_alpha</vt:lpstr>
      <vt:lpstr>TO_CD_cl</vt:lpstr>
      <vt:lpstr>TO_CL_a</vt:lpstr>
      <vt:lpstr>TO_CL_cd</vt:lpstr>
      <vt:lpstr>W_8</vt:lpstr>
      <vt:lpstr>W_FE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Study</dc:creator>
  <cp:lastModifiedBy>Martinelli, Brice (marti2bc)</cp:lastModifiedBy>
  <cp:lastPrinted>2018-09-27T02:32:28Z</cp:lastPrinted>
  <dcterms:created xsi:type="dcterms:W3CDTF">2016-01-30T23:05:58Z</dcterms:created>
  <dcterms:modified xsi:type="dcterms:W3CDTF">2025-07-10T19:10:19Z</dcterms:modified>
</cp:coreProperties>
</file>